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7530" yWindow="-240" windowWidth="20730" windowHeight="1176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P172" i="11" l="1"/>
  <c r="O172" i="11"/>
  <c r="I44" i="3" l="1"/>
  <c r="B28" i="8" l="1"/>
  <c r="C28" i="8" s="1"/>
  <c r="D28" i="8" s="1"/>
  <c r="E28" i="8" s="1"/>
  <c r="F28" i="8" s="1"/>
  <c r="G28" i="8" s="1"/>
  <c r="H28" i="8" s="1"/>
  <c r="I28" i="8" s="1"/>
  <c r="J28" i="8" s="1"/>
  <c r="K28" i="8" s="1"/>
  <c r="B57" i="8" s="1"/>
  <c r="C57" i="8" s="1"/>
  <c r="D57" i="8" s="1"/>
  <c r="E57" i="8" s="1"/>
  <c r="F57" i="8" s="1"/>
  <c r="G57" i="8" s="1"/>
  <c r="H57" i="8" s="1"/>
  <c r="I57" i="8" s="1"/>
  <c r="J57" i="8" s="1"/>
  <c r="K57" i="8" s="1"/>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HC632" i="59" s="1"/>
  <c r="D632" i="59"/>
  <c r="E632" i="59"/>
  <c r="F632" i="59"/>
  <c r="G632" i="59"/>
  <c r="H632" i="59"/>
  <c r="I632" i="59"/>
  <c r="J632" i="59"/>
  <c r="B633" i="59"/>
  <c r="C633" i="59"/>
  <c r="D633" i="59"/>
  <c r="E633" i="59"/>
  <c r="F633" i="59"/>
  <c r="G633" i="59"/>
  <c r="H633" i="59"/>
  <c r="I633" i="59"/>
  <c r="J633" i="59"/>
  <c r="B634" i="59"/>
  <c r="C634" i="59"/>
  <c r="D634" i="59"/>
  <c r="E634" i="59"/>
  <c r="JM634" i="59" s="1"/>
  <c r="F634" i="59"/>
  <c r="G634" i="59"/>
  <c r="H634" i="59"/>
  <c r="I634" i="59"/>
  <c r="J634" i="59"/>
  <c r="B635" i="59"/>
  <c r="C635" i="59"/>
  <c r="D635" i="59"/>
  <c r="E635" i="59"/>
  <c r="F635" i="59"/>
  <c r="G635" i="59"/>
  <c r="H635" i="59"/>
  <c r="I635" i="59"/>
  <c r="J635" i="59"/>
  <c r="B636" i="59"/>
  <c r="C636" i="59"/>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K645" i="59" s="1"/>
  <c r="L645" i="59" s="1"/>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GK640" i="59"/>
  <c r="JO639" i="59"/>
  <c r="HX639" i="59"/>
  <c r="HT639" i="59"/>
  <c r="HS639" i="59"/>
  <c r="HI639" i="59"/>
  <c r="HH639" i="59"/>
  <c r="HC639" i="59"/>
  <c r="GW639" i="59"/>
  <c r="GR639" i="59"/>
  <c r="GN639" i="59"/>
  <c r="GG639" i="59"/>
  <c r="GC639" i="59"/>
  <c r="GB639" i="59"/>
  <c r="FS639" i="59"/>
  <c r="FQ639" i="59"/>
  <c r="FL639" i="59"/>
  <c r="FG639" i="59"/>
  <c r="FA639" i="59"/>
  <c r="EW639"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GK636" i="59"/>
  <c r="JO635" i="59"/>
  <c r="HY635" i="59"/>
  <c r="HO635" i="59"/>
  <c r="HI635" i="59"/>
  <c r="HC635" i="59"/>
  <c r="GX635" i="59"/>
  <c r="GS635" i="59"/>
  <c r="GM635" i="59"/>
  <c r="GH635" i="59"/>
  <c r="GC635" i="59"/>
  <c r="FW635" i="59"/>
  <c r="FR635" i="59"/>
  <c r="FM635" i="59"/>
  <c r="FG635" i="59"/>
  <c r="FB635" i="59"/>
  <c r="EX635" i="59"/>
  <c r="EW635" i="59"/>
  <c r="K635" i="59"/>
  <c r="L635" i="59" s="1"/>
  <c r="FE634" i="59"/>
  <c r="IB633" i="59"/>
  <c r="HT633" i="59"/>
  <c r="HN633" i="59"/>
  <c r="HL633" i="59"/>
  <c r="HF633" i="59"/>
  <c r="HD633" i="59"/>
  <c r="GX633" i="59"/>
  <c r="GV633" i="59"/>
  <c r="GP633" i="59"/>
  <c r="GN633" i="59"/>
  <c r="GH633" i="59"/>
  <c r="GF633" i="59"/>
  <c r="FZ633" i="59"/>
  <c r="FX633" i="59"/>
  <c r="FR633" i="59"/>
  <c r="FP633" i="59"/>
  <c r="FJ633" i="59"/>
  <c r="FH633" i="59"/>
  <c r="FB633" i="59"/>
  <c r="EZ633" i="59"/>
  <c r="FW632" i="59"/>
  <c r="HZ631" i="59"/>
  <c r="HV631" i="59"/>
  <c r="HJ631" i="59"/>
  <c r="HF631" i="59"/>
  <c r="GT631" i="59"/>
  <c r="GP631" i="59"/>
  <c r="GD631" i="59"/>
  <c r="FZ631" i="59"/>
  <c r="FN631" i="59"/>
  <c r="FJ631" i="59"/>
  <c r="EX631" i="59"/>
  <c r="HX630" i="59"/>
  <c r="GG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IZ664" i="59" l="1"/>
  <c r="IV664" i="59"/>
  <c r="IR664" i="59"/>
  <c r="IN664" i="59"/>
  <c r="IJ664" i="59"/>
  <c r="EU664" i="59"/>
  <c r="EQ664" i="59"/>
  <c r="EM664" i="59"/>
  <c r="EI664" i="59"/>
  <c r="IY664" i="59"/>
  <c r="IT664" i="59"/>
  <c r="IO664" i="59"/>
  <c r="II664" i="59"/>
  <c r="ER664" i="59"/>
  <c r="EL664" i="59"/>
  <c r="EG664" i="59"/>
  <c r="EC664" i="59"/>
  <c r="DY664" i="59"/>
  <c r="DU664" i="59"/>
  <c r="DQ664" i="59"/>
  <c r="DM664" i="59"/>
  <c r="DI664" i="59"/>
  <c r="DE664" i="59"/>
  <c r="DA664" i="59"/>
  <c r="CW664" i="59"/>
  <c r="CS664" i="59"/>
  <c r="CO664" i="59"/>
  <c r="CK664" i="59"/>
  <c r="CG664" i="59"/>
  <c r="CC664" i="59"/>
  <c r="BY664" i="59"/>
  <c r="BU664" i="59"/>
  <c r="BQ664" i="59"/>
  <c r="BM664" i="59"/>
  <c r="BI664" i="59"/>
  <c r="BE664" i="59"/>
  <c r="BA664" i="59"/>
  <c r="AW664" i="59"/>
  <c r="AS664" i="59"/>
  <c r="AO664" i="59"/>
  <c r="AK664" i="59"/>
  <c r="AG664" i="59"/>
  <c r="AC664" i="59"/>
  <c r="Y664" i="59"/>
  <c r="IW664" i="59"/>
  <c r="IQ664" i="59"/>
  <c r="IL664" i="59"/>
  <c r="ET664" i="59"/>
  <c r="EO664" i="59"/>
  <c r="EJ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X664" i="59"/>
  <c r="IM664" i="59"/>
  <c r="EK664" i="59"/>
  <c r="EB664" i="59"/>
  <c r="DT664" i="59"/>
  <c r="DL664" i="59"/>
  <c r="DD664" i="59"/>
  <c r="CV664" i="59"/>
  <c r="CN664" i="59"/>
  <c r="CF664" i="59"/>
  <c r="BX664" i="59"/>
  <c r="BP664" i="59"/>
  <c r="BH664" i="59"/>
  <c r="AZ664" i="59"/>
  <c r="AR664" i="59"/>
  <c r="AJ664" i="59"/>
  <c r="AB664" i="59"/>
  <c r="IS664" i="59"/>
  <c r="IH664" i="59"/>
  <c r="EP664" i="59"/>
  <c r="EF664" i="59"/>
  <c r="DX664" i="59"/>
  <c r="DP664" i="59"/>
  <c r="DH664" i="59"/>
  <c r="CZ664" i="59"/>
  <c r="CR664" i="59"/>
  <c r="CJ664" i="59"/>
  <c r="CB664" i="59"/>
  <c r="BT664" i="59"/>
  <c r="BL664" i="59"/>
  <c r="BD664" i="59"/>
  <c r="AV664" i="59"/>
  <c r="AN664" i="59"/>
  <c r="AF664" i="59"/>
  <c r="X664" i="59"/>
  <c r="JA664" i="59"/>
  <c r="ED664" i="59"/>
  <c r="DN664" i="59"/>
  <c r="CX664" i="59"/>
  <c r="CH664" i="59"/>
  <c r="BR664" i="59"/>
  <c r="BB664" i="59"/>
  <c r="AL664" i="59"/>
  <c r="V664" i="59"/>
  <c r="IP664" i="59"/>
  <c r="EN664" i="59"/>
  <c r="DV664" i="59"/>
  <c r="DF664" i="59"/>
  <c r="CP664" i="59"/>
  <c r="BZ664" i="59"/>
  <c r="BJ664" i="59"/>
  <c r="AT664" i="59"/>
  <c r="AD664" i="59"/>
  <c r="IU664" i="59"/>
  <c r="DZ664" i="59"/>
  <c r="CT664" i="59"/>
  <c r="BN664" i="59"/>
  <c r="AH664" i="59"/>
  <c r="ES664" i="59"/>
  <c r="DJ664" i="59"/>
  <c r="CD664" i="59"/>
  <c r="AX664" i="59"/>
  <c r="EH664" i="59"/>
  <c r="BV664" i="59"/>
  <c r="IK664" i="59"/>
  <c r="CL664" i="59"/>
  <c r="Z664" i="59"/>
  <c r="BF664" i="59"/>
  <c r="AP664" i="59"/>
  <c r="DR664" i="59"/>
  <c r="DB664"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Y656" i="59"/>
  <c r="IQ656" i="59"/>
  <c r="II656" i="59"/>
  <c r="ET656" i="59"/>
  <c r="EL656" i="59"/>
  <c r="ED656" i="59"/>
  <c r="DV656" i="59"/>
  <c r="DN656" i="59"/>
  <c r="DF656" i="59"/>
  <c r="CX656" i="59"/>
  <c r="CP656" i="59"/>
  <c r="CH656" i="59"/>
  <c r="BZ656" i="59"/>
  <c r="BR656" i="59"/>
  <c r="BJ656" i="59"/>
  <c r="BB656" i="59"/>
  <c r="AT656" i="59"/>
  <c r="AL656" i="59"/>
  <c r="AD656" i="59"/>
  <c r="V656" i="59"/>
  <c r="IX656" i="59"/>
  <c r="IP656" i="59"/>
  <c r="IH656" i="59"/>
  <c r="ES656" i="59"/>
  <c r="EK656" i="59"/>
  <c r="EC656" i="59"/>
  <c r="DU656" i="59"/>
  <c r="DM656" i="59"/>
  <c r="DE656" i="59"/>
  <c r="CW656" i="59"/>
  <c r="CO656" i="59"/>
  <c r="CG656" i="59"/>
  <c r="BY656" i="59"/>
  <c r="BQ656" i="59"/>
  <c r="BI656" i="59"/>
  <c r="BA656" i="59"/>
  <c r="AS656" i="59"/>
  <c r="AK656" i="59"/>
  <c r="AC656" i="59"/>
  <c r="IM656" i="59"/>
  <c r="EP656" i="59"/>
  <c r="DZ656" i="59"/>
  <c r="DJ656" i="59"/>
  <c r="CT656" i="59"/>
  <c r="CD656" i="59"/>
  <c r="BN656" i="59"/>
  <c r="AX656" i="59"/>
  <c r="AH656" i="59"/>
  <c r="IL656" i="59"/>
  <c r="EO656" i="59"/>
  <c r="DY656" i="59"/>
  <c r="DI656" i="59"/>
  <c r="CS656" i="59"/>
  <c r="CC656" i="59"/>
  <c r="BM656" i="59"/>
  <c r="AW656" i="59"/>
  <c r="AG656" i="59"/>
  <c r="DR656" i="59"/>
  <c r="CL656" i="59"/>
  <c r="BF656" i="59"/>
  <c r="Z656" i="59"/>
  <c r="IT656" i="59"/>
  <c r="EG656" i="59"/>
  <c r="DA656" i="59"/>
  <c r="BU656" i="59"/>
  <c r="AO656" i="59"/>
  <c r="CK656" i="59"/>
  <c r="Y656" i="59"/>
  <c r="BV656" i="59"/>
  <c r="BE656" i="59"/>
  <c r="IU656" i="59"/>
  <c r="DB656" i="59"/>
  <c r="AP656" i="59"/>
  <c r="EH656" i="59"/>
  <c r="DQ656" i="59"/>
  <c r="ID649" i="59"/>
  <c r="IG649" i="59"/>
  <c r="IC649" i="59"/>
  <c r="IE649" i="59"/>
  <c r="IF649"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U648" i="59"/>
  <c r="IM648" i="59"/>
  <c r="EP648" i="59"/>
  <c r="EH648" i="59"/>
  <c r="DZ648" i="59"/>
  <c r="DR648" i="59"/>
  <c r="DJ648" i="59"/>
  <c r="DB648" i="59"/>
  <c r="CT648" i="59"/>
  <c r="CL648" i="59"/>
  <c r="CD648" i="59"/>
  <c r="BV648" i="59"/>
  <c r="BN648" i="59"/>
  <c r="BF648" i="59"/>
  <c r="AX648" i="59"/>
  <c r="AP648" i="59"/>
  <c r="AH648" i="59"/>
  <c r="Z648" i="59"/>
  <c r="IX648" i="59"/>
  <c r="IP648" i="59"/>
  <c r="IH648" i="59"/>
  <c r="ES648" i="59"/>
  <c r="EK648" i="59"/>
  <c r="EC648" i="59"/>
  <c r="DU648" i="59"/>
  <c r="DM648" i="59"/>
  <c r="DE648" i="59"/>
  <c r="CW648" i="59"/>
  <c r="CO648" i="59"/>
  <c r="CG648" i="59"/>
  <c r="BY648" i="59"/>
  <c r="BQ648" i="59"/>
  <c r="BI648" i="59"/>
  <c r="BA648" i="59"/>
  <c r="AS648" i="59"/>
  <c r="AK648" i="59"/>
  <c r="AC648" i="59"/>
  <c r="IL648" i="59"/>
  <c r="EO648" i="59"/>
  <c r="DY648" i="59"/>
  <c r="DI648" i="59"/>
  <c r="CS648" i="59"/>
  <c r="CC648" i="59"/>
  <c r="BM648" i="59"/>
  <c r="AW648" i="59"/>
  <c r="AG648" i="59"/>
  <c r="IY648" i="59"/>
  <c r="EL648" i="59"/>
  <c r="DF648" i="59"/>
  <c r="BZ648" i="59"/>
  <c r="AT648" i="59"/>
  <c r="IT648" i="59"/>
  <c r="EG648" i="59"/>
  <c r="DA648" i="59"/>
  <c r="BU648" i="59"/>
  <c r="AO648" i="59"/>
  <c r="IQ648" i="59"/>
  <c r="ET648" i="59"/>
  <c r="ED648" i="59"/>
  <c r="DN648" i="59"/>
  <c r="CX648" i="59"/>
  <c r="CH648" i="59"/>
  <c r="BR648" i="59"/>
  <c r="BB648" i="59"/>
  <c r="AL648" i="59"/>
  <c r="V648" i="59"/>
  <c r="II648" i="59"/>
  <c r="DV648" i="59"/>
  <c r="CP648" i="59"/>
  <c r="BJ648" i="59"/>
  <c r="AD648" i="59"/>
  <c r="DQ648" i="59"/>
  <c r="CK648" i="59"/>
  <c r="BE648" i="59"/>
  <c r="Y648" i="59"/>
  <c r="IF645" i="59"/>
  <c r="IG645" i="59"/>
  <c r="IC645" i="59"/>
  <c r="IE645" i="59"/>
  <c r="ID645"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P644" i="59"/>
  <c r="IH644" i="59"/>
  <c r="ES644" i="59"/>
  <c r="EK644" i="59"/>
  <c r="EC644" i="59"/>
  <c r="DU644" i="59"/>
  <c r="DM644" i="59"/>
  <c r="DE644" i="59"/>
  <c r="CW644" i="59"/>
  <c r="CO644" i="59"/>
  <c r="CG644" i="59"/>
  <c r="BY644" i="59"/>
  <c r="BQ644" i="59"/>
  <c r="BI644" i="59"/>
  <c r="BA644" i="59"/>
  <c r="AS644" i="59"/>
  <c r="AK644" i="59"/>
  <c r="AC644" i="59"/>
  <c r="IO644" i="59"/>
  <c r="ER644" i="59"/>
  <c r="EB644" i="59"/>
  <c r="DL644" i="59"/>
  <c r="CV644" i="59"/>
  <c r="CF644" i="59"/>
  <c r="BP644" i="59"/>
  <c r="AZ644" i="59"/>
  <c r="AJ644" i="59"/>
  <c r="IT644" i="59"/>
  <c r="EG644" i="59"/>
  <c r="DQ644" i="59"/>
  <c r="JA644" i="59"/>
  <c r="IS644" i="59"/>
  <c r="IK644" i="59"/>
  <c r="EN644" i="59"/>
  <c r="EF644" i="59"/>
  <c r="DX644" i="59"/>
  <c r="DP644" i="59"/>
  <c r="DH644" i="59"/>
  <c r="CZ644" i="59"/>
  <c r="CR644" i="59"/>
  <c r="CJ644" i="59"/>
  <c r="CB644" i="59"/>
  <c r="BT644" i="59"/>
  <c r="BL644" i="59"/>
  <c r="BD644" i="59"/>
  <c r="AV644" i="59"/>
  <c r="AN644" i="59"/>
  <c r="AF644" i="59"/>
  <c r="X644" i="59"/>
  <c r="IW644" i="59"/>
  <c r="EJ644" i="59"/>
  <c r="DT644" i="59"/>
  <c r="DD644" i="59"/>
  <c r="CN644" i="59"/>
  <c r="BX644" i="59"/>
  <c r="BH644" i="59"/>
  <c r="AR644" i="59"/>
  <c r="AB644" i="59"/>
  <c r="IL644" i="59"/>
  <c r="EO644" i="59"/>
  <c r="DY644" i="59"/>
  <c r="DI644" i="59"/>
  <c r="DA644" i="59"/>
  <c r="BU644" i="59"/>
  <c r="AO644" i="59"/>
  <c r="CS644" i="59"/>
  <c r="BE644" i="59"/>
  <c r="Y644" i="59"/>
  <c r="CC644" i="59"/>
  <c r="AW644" i="59"/>
  <c r="BM644" i="59"/>
  <c r="AG644" i="59"/>
  <c r="CK644" i="59"/>
  <c r="IG641" i="59"/>
  <c r="IC641" i="59"/>
  <c r="IF641" i="59"/>
  <c r="ID641" i="59"/>
  <c r="IE641"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Y640" i="59"/>
  <c r="IQ640" i="59"/>
  <c r="II640" i="59"/>
  <c r="ET640" i="59"/>
  <c r="EL640" i="59"/>
  <c r="ED640" i="59"/>
  <c r="DV640" i="59"/>
  <c r="DN640" i="59"/>
  <c r="DF640" i="59"/>
  <c r="CX640" i="59"/>
  <c r="CP640" i="59"/>
  <c r="CH640" i="59"/>
  <c r="BZ640" i="59"/>
  <c r="BR640" i="59"/>
  <c r="BJ640" i="59"/>
  <c r="BB640" i="59"/>
  <c r="AT640" i="59"/>
  <c r="AL640" i="59"/>
  <c r="AD640" i="59"/>
  <c r="V640"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U640" i="59"/>
  <c r="IM640" i="59"/>
  <c r="EP640" i="59"/>
  <c r="EH640" i="59"/>
  <c r="DZ640" i="59"/>
  <c r="DR640" i="59"/>
  <c r="DJ640" i="59"/>
  <c r="DB640" i="59"/>
  <c r="CT640" i="59"/>
  <c r="CL640" i="59"/>
  <c r="CD640" i="59"/>
  <c r="BV640" i="59"/>
  <c r="BN640" i="59"/>
  <c r="BF640" i="59"/>
  <c r="AX640" i="59"/>
  <c r="AP640" i="59"/>
  <c r="AH640" i="59"/>
  <c r="Z640" i="59"/>
  <c r="IL640" i="59"/>
  <c r="EO640" i="59"/>
  <c r="DY640" i="59"/>
  <c r="DI640" i="59"/>
  <c r="CS640" i="59"/>
  <c r="CC640" i="59"/>
  <c r="BM640" i="59"/>
  <c r="AW640" i="59"/>
  <c r="AG640" i="59"/>
  <c r="IX640" i="59"/>
  <c r="EK640" i="59"/>
  <c r="DE640" i="59"/>
  <c r="BY640" i="59"/>
  <c r="AS640" i="59"/>
  <c r="DQ640" i="59"/>
  <c r="CK640" i="59"/>
  <c r="BE640" i="59"/>
  <c r="Y640" i="59"/>
  <c r="IP640" i="59"/>
  <c r="ES640" i="59"/>
  <c r="EC640" i="59"/>
  <c r="DM640" i="59"/>
  <c r="CW640" i="59"/>
  <c r="CG640" i="59"/>
  <c r="BQ640" i="59"/>
  <c r="BA640" i="59"/>
  <c r="AK640" i="59"/>
  <c r="IH640" i="59"/>
  <c r="DU640" i="59"/>
  <c r="CO640" i="59"/>
  <c r="BI640" i="59"/>
  <c r="AC640" i="59"/>
  <c r="IT640" i="59"/>
  <c r="EG640" i="59"/>
  <c r="DA640" i="59"/>
  <c r="BU640" i="59"/>
  <c r="AO640" i="59"/>
  <c r="IG637" i="59"/>
  <c r="IC637" i="59"/>
  <c r="IF637" i="59"/>
  <c r="ID637" i="59"/>
  <c r="IE637"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Y636" i="59"/>
  <c r="IQ636" i="59"/>
  <c r="II636" i="59"/>
  <c r="ET636" i="59"/>
  <c r="EL636" i="59"/>
  <c r="ED636" i="59"/>
  <c r="DV636" i="59"/>
  <c r="DN636" i="59"/>
  <c r="DF636" i="59"/>
  <c r="CX636" i="59"/>
  <c r="CP636" i="59"/>
  <c r="CH636" i="59"/>
  <c r="BZ636" i="59"/>
  <c r="BR636" i="59"/>
  <c r="BJ636" i="59"/>
  <c r="BB636" i="59"/>
  <c r="AT636" i="59"/>
  <c r="AL636" i="59"/>
  <c r="AD636" i="59"/>
  <c r="V636"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U636" i="59"/>
  <c r="IM636" i="59"/>
  <c r="EP636" i="59"/>
  <c r="EH636" i="59"/>
  <c r="DZ636" i="59"/>
  <c r="DR636" i="59"/>
  <c r="DJ636" i="59"/>
  <c r="DB636" i="59"/>
  <c r="CT636" i="59"/>
  <c r="CL636" i="59"/>
  <c r="CD636" i="59"/>
  <c r="BV636" i="59"/>
  <c r="BN636" i="59"/>
  <c r="BF636" i="59"/>
  <c r="AX636" i="59"/>
  <c r="AP636" i="59"/>
  <c r="AH636" i="59"/>
  <c r="Z636" i="59"/>
  <c r="IX636" i="59"/>
  <c r="IH636" i="59"/>
  <c r="EK636" i="59"/>
  <c r="DU636" i="59"/>
  <c r="DE636" i="59"/>
  <c r="CO636" i="59"/>
  <c r="BY636" i="59"/>
  <c r="BI636" i="59"/>
  <c r="AS636" i="59"/>
  <c r="AC636" i="59"/>
  <c r="DQ636" i="59"/>
  <c r="CK636" i="59"/>
  <c r="BE636" i="59"/>
  <c r="Y636" i="59"/>
  <c r="IP636" i="59"/>
  <c r="EC636" i="59"/>
  <c r="CW636" i="59"/>
  <c r="BQ636" i="59"/>
  <c r="AK636" i="59"/>
  <c r="IL636" i="59"/>
  <c r="EO636" i="59"/>
  <c r="DY636" i="59"/>
  <c r="DI636" i="59"/>
  <c r="CS636" i="59"/>
  <c r="CC636" i="59"/>
  <c r="BM636" i="59"/>
  <c r="AW636" i="59"/>
  <c r="AG636" i="59"/>
  <c r="IT636" i="59"/>
  <c r="EG636" i="59"/>
  <c r="DA636" i="59"/>
  <c r="BU636" i="59"/>
  <c r="AO636" i="59"/>
  <c r="ES636" i="59"/>
  <c r="DM636" i="59"/>
  <c r="CG636" i="59"/>
  <c r="BA636" i="59"/>
  <c r="HA636" i="59"/>
  <c r="GS640" i="59"/>
  <c r="HQ648"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Z667" i="59"/>
  <c r="IR667" i="59"/>
  <c r="IJ667" i="59"/>
  <c r="EU667" i="59"/>
  <c r="EM667" i="59"/>
  <c r="EE667" i="59"/>
  <c r="DW667" i="59"/>
  <c r="DO667" i="59"/>
  <c r="DG667" i="59"/>
  <c r="CY667" i="59"/>
  <c r="CQ667" i="59"/>
  <c r="CI667" i="59"/>
  <c r="CA667" i="59"/>
  <c r="BS667" i="59"/>
  <c r="BK667" i="59"/>
  <c r="BC667" i="59"/>
  <c r="AU667" i="59"/>
  <c r="AM667" i="59"/>
  <c r="AE667" i="59"/>
  <c r="W667" i="59"/>
  <c r="IV667" i="59"/>
  <c r="IN667" i="59"/>
  <c r="EQ667" i="59"/>
  <c r="EI667" i="59"/>
  <c r="EA667" i="59"/>
  <c r="DS667" i="59"/>
  <c r="DK667" i="59"/>
  <c r="DC667" i="59"/>
  <c r="CU667" i="59"/>
  <c r="CM667" i="59"/>
  <c r="CE667" i="59"/>
  <c r="BW667" i="59"/>
  <c r="BO667" i="59"/>
  <c r="BG667" i="59"/>
  <c r="AY667" i="59"/>
  <c r="AQ667" i="59"/>
  <c r="AI667" i="59"/>
  <c r="AA667" i="59"/>
  <c r="IY667" i="59"/>
  <c r="II667" i="59"/>
  <c r="EL667" i="59"/>
  <c r="DV667" i="59"/>
  <c r="DF667" i="59"/>
  <c r="CP667" i="59"/>
  <c r="BZ667" i="59"/>
  <c r="BJ667" i="59"/>
  <c r="AT667" i="59"/>
  <c r="AD667" i="59"/>
  <c r="IQ667" i="59"/>
  <c r="ET667" i="59"/>
  <c r="ED667" i="59"/>
  <c r="DN667" i="59"/>
  <c r="CX667" i="59"/>
  <c r="CH667" i="59"/>
  <c r="BR667" i="59"/>
  <c r="BB667" i="59"/>
  <c r="AL667" i="59"/>
  <c r="V667" i="59"/>
  <c r="IU667" i="59"/>
  <c r="EH667" i="59"/>
  <c r="DB667" i="59"/>
  <c r="BV667" i="59"/>
  <c r="AP667" i="59"/>
  <c r="DR667" i="59"/>
  <c r="CL667" i="59"/>
  <c r="BF667" i="59"/>
  <c r="Z667" i="59"/>
  <c r="EP667" i="59"/>
  <c r="CD667" i="59"/>
  <c r="DJ667" i="59"/>
  <c r="AX667" i="59"/>
  <c r="DZ667" i="59"/>
  <c r="BN667" i="59"/>
  <c r="IM667" i="59"/>
  <c r="CT667" i="59"/>
  <c r="AH667" i="59"/>
  <c r="IF664" i="59"/>
  <c r="ID664" i="59"/>
  <c r="IG664" i="59"/>
  <c r="IC664" i="59"/>
  <c r="IE664" i="59"/>
  <c r="JA663" i="59"/>
  <c r="IW663" i="59"/>
  <c r="IS663" i="59"/>
  <c r="IO663" i="59"/>
  <c r="IK663" i="59"/>
  <c r="ER663" i="59"/>
  <c r="EN663" i="59"/>
  <c r="EJ663" i="59"/>
  <c r="EF663" i="59"/>
  <c r="EB663" i="59"/>
  <c r="DX663" i="59"/>
  <c r="DT663" i="59"/>
  <c r="DP663" i="59"/>
  <c r="DL663" i="59"/>
  <c r="DH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Z663" i="59"/>
  <c r="IR663" i="59"/>
  <c r="IJ663" i="59"/>
  <c r="EU663" i="59"/>
  <c r="EM663" i="59"/>
  <c r="EE663" i="59"/>
  <c r="DW663" i="59"/>
  <c r="DO663" i="59"/>
  <c r="DG663" i="59"/>
  <c r="CY663" i="59"/>
  <c r="CQ663" i="59"/>
  <c r="CI663" i="59"/>
  <c r="CA663" i="59"/>
  <c r="BS663" i="59"/>
  <c r="BK663" i="59"/>
  <c r="BC663" i="59"/>
  <c r="AU663" i="59"/>
  <c r="AM663" i="59"/>
  <c r="AE663" i="59"/>
  <c r="W663" i="59"/>
  <c r="IV663" i="59"/>
  <c r="IN663" i="59"/>
  <c r="EQ663" i="59"/>
  <c r="EI663" i="59"/>
  <c r="EA663" i="59"/>
  <c r="DS663" i="59"/>
  <c r="DK663" i="59"/>
  <c r="DC663" i="59"/>
  <c r="CU663" i="59"/>
  <c r="CM663" i="59"/>
  <c r="CE663" i="59"/>
  <c r="BW663" i="59"/>
  <c r="BO663" i="59"/>
  <c r="BG663" i="59"/>
  <c r="AY663" i="59"/>
  <c r="AQ663" i="59"/>
  <c r="AI663" i="59"/>
  <c r="AA663" i="59"/>
  <c r="IL663" i="59"/>
  <c r="EO663" i="59"/>
  <c r="DY663" i="59"/>
  <c r="DI663" i="59"/>
  <c r="CS663" i="59"/>
  <c r="CC663" i="59"/>
  <c r="BM663" i="59"/>
  <c r="AW663" i="59"/>
  <c r="AG663" i="59"/>
  <c r="IT663" i="59"/>
  <c r="EG663" i="59"/>
  <c r="DQ663" i="59"/>
  <c r="DA663" i="59"/>
  <c r="CK663" i="59"/>
  <c r="BU663" i="59"/>
  <c r="BE663" i="59"/>
  <c r="AO663" i="59"/>
  <c r="Y663" i="59"/>
  <c r="IH663" i="59"/>
  <c r="DU663" i="59"/>
  <c r="CO663" i="59"/>
  <c r="BI663" i="59"/>
  <c r="AC663" i="59"/>
  <c r="IX663" i="59"/>
  <c r="EK663" i="59"/>
  <c r="DE663" i="59"/>
  <c r="BY663" i="59"/>
  <c r="AS663" i="59"/>
  <c r="IP663" i="59"/>
  <c r="CW663" i="59"/>
  <c r="AK663" i="59"/>
  <c r="DM663" i="59"/>
  <c r="BA663" i="59"/>
  <c r="CG663" i="59"/>
  <c r="BQ663" i="59"/>
  <c r="ES663" i="59"/>
  <c r="EC663" i="59"/>
  <c r="IE660" i="59"/>
  <c r="IG660" i="59"/>
  <c r="IC660" i="59"/>
  <c r="IF660" i="59"/>
  <c r="ID660" i="59"/>
  <c r="IX659" i="59"/>
  <c r="IT659" i="59"/>
  <c r="IP659" i="59"/>
  <c r="IL659" i="59"/>
  <c r="IH659" i="59"/>
  <c r="ES659" i="59"/>
  <c r="EO659" i="59"/>
  <c r="EK659" i="59"/>
  <c r="EG659" i="59"/>
  <c r="EC659" i="59"/>
  <c r="DY659" i="59"/>
  <c r="DU659" i="59"/>
  <c r="DQ659" i="59"/>
  <c r="DM659" i="59"/>
  <c r="DI659" i="59"/>
  <c r="IZ659" i="59"/>
  <c r="IV659" i="59"/>
  <c r="IR659" i="59"/>
  <c r="IN659" i="59"/>
  <c r="IJ659" i="59"/>
  <c r="EU659" i="59"/>
  <c r="EQ659" i="59"/>
  <c r="EM659" i="59"/>
  <c r="EI659" i="59"/>
  <c r="EE659" i="59"/>
  <c r="EA659" i="59"/>
  <c r="DW659" i="59"/>
  <c r="DS659" i="59"/>
  <c r="DO659" i="59"/>
  <c r="DK659" i="59"/>
  <c r="DG659" i="59"/>
  <c r="DC659" i="59"/>
  <c r="CY659" i="59"/>
  <c r="CU659" i="59"/>
  <c r="CQ659" i="59"/>
  <c r="IY659" i="59"/>
  <c r="IQ659" i="59"/>
  <c r="II659" i="59"/>
  <c r="ET659" i="59"/>
  <c r="EL659" i="59"/>
  <c r="ED659" i="59"/>
  <c r="DV659" i="59"/>
  <c r="DN659" i="59"/>
  <c r="DF659" i="59"/>
  <c r="IS659" i="59"/>
  <c r="EP659" i="59"/>
  <c r="EF659" i="59"/>
  <c r="DT659" i="59"/>
  <c r="DJ659" i="59"/>
  <c r="DB659" i="59"/>
  <c r="CW659" i="59"/>
  <c r="CR659" i="59"/>
  <c r="CM659" i="59"/>
  <c r="CI659" i="59"/>
  <c r="CE659" i="59"/>
  <c r="CA659" i="59"/>
  <c r="BW659" i="59"/>
  <c r="BS659" i="59"/>
  <c r="BO659" i="59"/>
  <c r="BK659" i="59"/>
  <c r="BG659" i="59"/>
  <c r="BC659" i="59"/>
  <c r="AY659" i="59"/>
  <c r="AU659" i="59"/>
  <c r="AQ659" i="59"/>
  <c r="AM659" i="59"/>
  <c r="AI659" i="59"/>
  <c r="AE659" i="59"/>
  <c r="AA659" i="59"/>
  <c r="W659" i="59"/>
  <c r="IW659" i="59"/>
  <c r="IM659" i="59"/>
  <c r="EJ659" i="59"/>
  <c r="DZ659" i="59"/>
  <c r="DP659" i="59"/>
  <c r="DE659" i="59"/>
  <c r="CZ659" i="59"/>
  <c r="CT659" i="59"/>
  <c r="CO659" i="59"/>
  <c r="CK659" i="59"/>
  <c r="CG659" i="59"/>
  <c r="CC659" i="59"/>
  <c r="BY659" i="59"/>
  <c r="BU659" i="59"/>
  <c r="BQ659" i="59"/>
  <c r="BM659" i="59"/>
  <c r="BI659" i="59"/>
  <c r="BE659" i="59"/>
  <c r="BA659" i="59"/>
  <c r="AW659" i="59"/>
  <c r="AS659" i="59"/>
  <c r="AO659" i="59"/>
  <c r="AK659" i="59"/>
  <c r="AG659" i="59"/>
  <c r="AC659" i="59"/>
  <c r="Y659" i="59"/>
  <c r="IU659" i="59"/>
  <c r="ER659" i="59"/>
  <c r="DX659" i="59"/>
  <c r="DD659" i="59"/>
  <c r="CS659" i="59"/>
  <c r="CJ659" i="59"/>
  <c r="CB659" i="59"/>
  <c r="BT659" i="59"/>
  <c r="BL659" i="59"/>
  <c r="BD659" i="59"/>
  <c r="AV659" i="59"/>
  <c r="AN659" i="59"/>
  <c r="AF659" i="59"/>
  <c r="X659" i="59"/>
  <c r="JA659" i="59"/>
  <c r="EB659" i="59"/>
  <c r="DH659" i="59"/>
  <c r="CV659" i="59"/>
  <c r="CL659" i="59"/>
  <c r="CD659" i="59"/>
  <c r="BV659" i="59"/>
  <c r="BN659" i="59"/>
  <c r="BF659" i="59"/>
  <c r="AX659" i="59"/>
  <c r="AP659" i="59"/>
  <c r="AH659" i="59"/>
  <c r="Z659" i="59"/>
  <c r="IO659" i="59"/>
  <c r="DR659" i="59"/>
  <c r="CP659" i="59"/>
  <c r="BZ659" i="59"/>
  <c r="BJ659" i="59"/>
  <c r="AT659" i="59"/>
  <c r="AD659" i="59"/>
  <c r="IK659" i="59"/>
  <c r="DL659" i="59"/>
  <c r="CN659" i="59"/>
  <c r="BX659" i="59"/>
  <c r="BH659" i="59"/>
  <c r="AR659" i="59"/>
  <c r="AB659" i="59"/>
  <c r="EN659" i="59"/>
  <c r="CH659" i="59"/>
  <c r="BB659" i="59"/>
  <c r="V659" i="59"/>
  <c r="EH659" i="59"/>
  <c r="CF659" i="59"/>
  <c r="AZ659" i="59"/>
  <c r="DA659" i="59"/>
  <c r="AL659" i="59"/>
  <c r="BP659" i="59"/>
  <c r="AJ659" i="59"/>
  <c r="CX659" i="59"/>
  <c r="BR659" i="59"/>
  <c r="JL657" i="59"/>
  <c r="IF656" i="59"/>
  <c r="IG656" i="59"/>
  <c r="IC656" i="59"/>
  <c r="IE656" i="59"/>
  <c r="ID656"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IT655" i="59"/>
  <c r="IL655" i="59"/>
  <c r="EO655" i="59"/>
  <c r="EG655" i="59"/>
  <c r="DY655" i="59"/>
  <c r="DQ655" i="59"/>
  <c r="DI655" i="59"/>
  <c r="DA655" i="59"/>
  <c r="CS655" i="59"/>
  <c r="CK655" i="59"/>
  <c r="CF655" i="59"/>
  <c r="CB655" i="59"/>
  <c r="BX655" i="59"/>
  <c r="BT655" i="59"/>
  <c r="BP655" i="59"/>
  <c r="BL655" i="59"/>
  <c r="BH655" i="59"/>
  <c r="BD655" i="59"/>
  <c r="AZ655" i="59"/>
  <c r="AV655" i="59"/>
  <c r="AR655" i="59"/>
  <c r="AN655" i="59"/>
  <c r="AJ655" i="59"/>
  <c r="AF655" i="59"/>
  <c r="AB655" i="59"/>
  <c r="X655" i="59"/>
  <c r="JA655" i="59"/>
  <c r="IS655" i="59"/>
  <c r="IK655" i="59"/>
  <c r="EN655" i="59"/>
  <c r="EF655" i="59"/>
  <c r="DX655" i="59"/>
  <c r="DP655" i="59"/>
  <c r="DH655" i="59"/>
  <c r="CZ655" i="59"/>
  <c r="CR655" i="59"/>
  <c r="CJ655" i="59"/>
  <c r="CE655" i="59"/>
  <c r="CA655" i="59"/>
  <c r="BW655" i="59"/>
  <c r="BS655" i="59"/>
  <c r="BO655" i="59"/>
  <c r="BK655" i="59"/>
  <c r="BG655" i="59"/>
  <c r="BC655" i="59"/>
  <c r="AY655" i="59"/>
  <c r="AU655" i="59"/>
  <c r="AQ655" i="59"/>
  <c r="AM655" i="59"/>
  <c r="AI655" i="59"/>
  <c r="AE655" i="59"/>
  <c r="AA655" i="59"/>
  <c r="W655" i="59"/>
  <c r="IX655" i="59"/>
  <c r="IH655" i="59"/>
  <c r="EK655" i="59"/>
  <c r="DU655" i="59"/>
  <c r="DE655" i="59"/>
  <c r="CO655" i="59"/>
  <c r="CD655" i="59"/>
  <c r="BV655" i="59"/>
  <c r="BN655" i="59"/>
  <c r="BF655" i="59"/>
  <c r="AX655" i="59"/>
  <c r="AP655" i="59"/>
  <c r="AH655" i="59"/>
  <c r="Z655" i="59"/>
  <c r="IW655" i="59"/>
  <c r="EJ655" i="59"/>
  <c r="DT655" i="59"/>
  <c r="DD655" i="59"/>
  <c r="CN655" i="59"/>
  <c r="CC655" i="59"/>
  <c r="BU655" i="59"/>
  <c r="BM655" i="59"/>
  <c r="BE655" i="59"/>
  <c r="AW655" i="59"/>
  <c r="AO655" i="59"/>
  <c r="AG655" i="59"/>
  <c r="Y655" i="59"/>
  <c r="ES655" i="59"/>
  <c r="DM655" i="59"/>
  <c r="CI655" i="59"/>
  <c r="BR655" i="59"/>
  <c r="BB655" i="59"/>
  <c r="AL655" i="59"/>
  <c r="V655" i="59"/>
  <c r="IO655" i="59"/>
  <c r="EB655" i="59"/>
  <c r="CV655" i="59"/>
  <c r="BY655" i="59"/>
  <c r="BI655" i="59"/>
  <c r="AS655" i="59"/>
  <c r="AC655" i="59"/>
  <c r="DL655" i="59"/>
  <c r="BQ655" i="59"/>
  <c r="AK655" i="59"/>
  <c r="CW655" i="59"/>
  <c r="AD655" i="59"/>
  <c r="CG655" i="59"/>
  <c r="EC655" i="59"/>
  <c r="BZ655" i="59"/>
  <c r="AT655" i="59"/>
  <c r="IP655" i="59"/>
  <c r="BJ655" i="59"/>
  <c r="ER655" i="59"/>
  <c r="BA655" i="59"/>
  <c r="IG652" i="59"/>
  <c r="IC652" i="59"/>
  <c r="IF652" i="59"/>
  <c r="ID652" i="59"/>
  <c r="IE652"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T651" i="59"/>
  <c r="IL651" i="59"/>
  <c r="EO651" i="59"/>
  <c r="EG651" i="59"/>
  <c r="DY651" i="59"/>
  <c r="DQ651" i="59"/>
  <c r="DI651" i="59"/>
  <c r="DA651" i="59"/>
  <c r="CS651" i="59"/>
  <c r="CK651" i="59"/>
  <c r="CC651" i="59"/>
  <c r="BU651" i="59"/>
  <c r="BM651" i="59"/>
  <c r="BE651" i="59"/>
  <c r="AW651" i="59"/>
  <c r="AO651" i="59"/>
  <c r="AG651" i="59"/>
  <c r="Y651" i="59"/>
  <c r="IW651" i="59"/>
  <c r="IO651" i="59"/>
  <c r="ER651" i="59"/>
  <c r="EJ651" i="59"/>
  <c r="EB651" i="59"/>
  <c r="DT651" i="59"/>
  <c r="DL651" i="59"/>
  <c r="DD651" i="59"/>
  <c r="CV651" i="59"/>
  <c r="CN651" i="59"/>
  <c r="CF651" i="59"/>
  <c r="BX651" i="59"/>
  <c r="BP651" i="59"/>
  <c r="BH651" i="59"/>
  <c r="AZ651" i="59"/>
  <c r="AR651" i="59"/>
  <c r="AJ651" i="59"/>
  <c r="AB651" i="59"/>
  <c r="JA651" i="59"/>
  <c r="IK651" i="59"/>
  <c r="EN651" i="59"/>
  <c r="DX651" i="59"/>
  <c r="DH651" i="59"/>
  <c r="CR651" i="59"/>
  <c r="CB651" i="59"/>
  <c r="BL651" i="59"/>
  <c r="AV651" i="59"/>
  <c r="AF651" i="59"/>
  <c r="IH651" i="59"/>
  <c r="DU651" i="59"/>
  <c r="CO651" i="59"/>
  <c r="BI651" i="59"/>
  <c r="AC651" i="59"/>
  <c r="DP651" i="59"/>
  <c r="CJ651" i="59"/>
  <c r="BD651" i="59"/>
  <c r="X651" i="59"/>
  <c r="IP651" i="59"/>
  <c r="ES651" i="59"/>
  <c r="EC651" i="59"/>
  <c r="DM651" i="59"/>
  <c r="CW651" i="59"/>
  <c r="CG651" i="59"/>
  <c r="BQ651" i="59"/>
  <c r="BA651" i="59"/>
  <c r="AK651" i="59"/>
  <c r="IX651" i="59"/>
  <c r="EK651" i="59"/>
  <c r="DE651" i="59"/>
  <c r="BY651" i="59"/>
  <c r="AS651" i="59"/>
  <c r="IS651" i="59"/>
  <c r="EF651" i="59"/>
  <c r="CZ651" i="59"/>
  <c r="BT651" i="59"/>
  <c r="AN651" i="59"/>
  <c r="IG648" i="59"/>
  <c r="IC648" i="59"/>
  <c r="IF648" i="59"/>
  <c r="IE648" i="59"/>
  <c r="ID648"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IX647" i="59"/>
  <c r="IP647" i="59"/>
  <c r="IH647" i="59"/>
  <c r="ES647" i="59"/>
  <c r="EK647" i="59"/>
  <c r="EC647" i="59"/>
  <c r="DU647" i="59"/>
  <c r="DM647" i="59"/>
  <c r="DE647" i="59"/>
  <c r="CW647" i="59"/>
  <c r="CO647" i="59"/>
  <c r="CG647" i="59"/>
  <c r="BY647" i="59"/>
  <c r="BQ647" i="59"/>
  <c r="BI647" i="59"/>
  <c r="BA647" i="59"/>
  <c r="AS647" i="59"/>
  <c r="AK647" i="59"/>
  <c r="AC647" i="59"/>
  <c r="JA647" i="59"/>
  <c r="IS647" i="59"/>
  <c r="IK647" i="59"/>
  <c r="EN647" i="59"/>
  <c r="EF647" i="59"/>
  <c r="DX647" i="59"/>
  <c r="DP647" i="59"/>
  <c r="DH647" i="59"/>
  <c r="CZ647" i="59"/>
  <c r="CR647" i="59"/>
  <c r="CJ647" i="59"/>
  <c r="CB647" i="59"/>
  <c r="BT647" i="59"/>
  <c r="BL647" i="59"/>
  <c r="BD647" i="59"/>
  <c r="AV647" i="59"/>
  <c r="AN647" i="59"/>
  <c r="AF647" i="59"/>
  <c r="X647" i="59"/>
  <c r="IW647" i="59"/>
  <c r="EJ647" i="59"/>
  <c r="DT647" i="59"/>
  <c r="DD647" i="59"/>
  <c r="CN647" i="59"/>
  <c r="BX647" i="59"/>
  <c r="BH647" i="59"/>
  <c r="AR647" i="59"/>
  <c r="AB647" i="59"/>
  <c r="IT647" i="59"/>
  <c r="EG647" i="59"/>
  <c r="DA647" i="59"/>
  <c r="BU647" i="59"/>
  <c r="AO647" i="59"/>
  <c r="IO647" i="59"/>
  <c r="EB647" i="59"/>
  <c r="CV647" i="59"/>
  <c r="BP647" i="59"/>
  <c r="AJ647" i="59"/>
  <c r="IL647" i="59"/>
  <c r="EO647" i="59"/>
  <c r="DY647" i="59"/>
  <c r="DI647" i="59"/>
  <c r="CS647" i="59"/>
  <c r="CC647" i="59"/>
  <c r="BM647" i="59"/>
  <c r="AW647" i="59"/>
  <c r="AG647" i="59"/>
  <c r="DQ647" i="59"/>
  <c r="CK647" i="59"/>
  <c r="BE647" i="59"/>
  <c r="Y647" i="59"/>
  <c r="ER647" i="59"/>
  <c r="DL647" i="59"/>
  <c r="CF647" i="59"/>
  <c r="AZ647" i="59"/>
  <c r="IE644" i="59"/>
  <c r="IF644" i="59"/>
  <c r="ID644" i="59"/>
  <c r="IC644" i="59"/>
  <c r="IG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JA643" i="59"/>
  <c r="IS643" i="59"/>
  <c r="IK643" i="59"/>
  <c r="EN643" i="59"/>
  <c r="EF643" i="59"/>
  <c r="DX643" i="59"/>
  <c r="DP643" i="59"/>
  <c r="DH643" i="59"/>
  <c r="CZ643" i="59"/>
  <c r="CR643" i="59"/>
  <c r="CJ643" i="59"/>
  <c r="CB643" i="59"/>
  <c r="BT643" i="59"/>
  <c r="BL643" i="59"/>
  <c r="BD643" i="59"/>
  <c r="AV643" i="59"/>
  <c r="AN643" i="59"/>
  <c r="AF643" i="59"/>
  <c r="X643" i="59"/>
  <c r="IZ643" i="59"/>
  <c r="IJ643" i="59"/>
  <c r="EM643" i="59"/>
  <c r="DW643" i="59"/>
  <c r="DG643" i="59"/>
  <c r="CQ643" i="59"/>
  <c r="CA643" i="59"/>
  <c r="BK643" i="59"/>
  <c r="AU643" i="59"/>
  <c r="AE643" i="59"/>
  <c r="IV643" i="59"/>
  <c r="IN643" i="59"/>
  <c r="EQ643" i="59"/>
  <c r="EI643" i="59"/>
  <c r="EA643" i="59"/>
  <c r="DS643" i="59"/>
  <c r="DK643" i="59"/>
  <c r="DC643" i="59"/>
  <c r="CU643" i="59"/>
  <c r="CM643" i="59"/>
  <c r="CE643" i="59"/>
  <c r="BW643" i="59"/>
  <c r="BO643" i="59"/>
  <c r="BG643" i="59"/>
  <c r="AY643" i="59"/>
  <c r="AQ643" i="59"/>
  <c r="AI643" i="59"/>
  <c r="AA643" i="59"/>
  <c r="IR643" i="59"/>
  <c r="EU643" i="59"/>
  <c r="EE643" i="59"/>
  <c r="DO643" i="59"/>
  <c r="CY643" i="59"/>
  <c r="CI643" i="59"/>
  <c r="BS643" i="59"/>
  <c r="BC643" i="59"/>
  <c r="AM643" i="59"/>
  <c r="W643" i="59"/>
  <c r="IO643" i="59"/>
  <c r="EB643" i="59"/>
  <c r="CV643" i="59"/>
  <c r="BP643" i="59"/>
  <c r="AJ643" i="59"/>
  <c r="CN643" i="59"/>
  <c r="AB643" i="59"/>
  <c r="DL643" i="59"/>
  <c r="AZ643" i="59"/>
  <c r="IW643" i="59"/>
  <c r="EJ643" i="59"/>
  <c r="DD643" i="59"/>
  <c r="BX643" i="59"/>
  <c r="AR643" i="59"/>
  <c r="DT643" i="59"/>
  <c r="BH643" i="59"/>
  <c r="ER643" i="59"/>
  <c r="CF643" i="59"/>
  <c r="IF640" i="59"/>
  <c r="IG640" i="59"/>
  <c r="IC640" i="59"/>
  <c r="IE640" i="59"/>
  <c r="ID640"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T639" i="59"/>
  <c r="IL639" i="59"/>
  <c r="EO639" i="59"/>
  <c r="EG639" i="59"/>
  <c r="DY639" i="59"/>
  <c r="DQ639" i="59"/>
  <c r="DI639" i="59"/>
  <c r="DA639" i="59"/>
  <c r="CS639" i="59"/>
  <c r="CK639" i="59"/>
  <c r="CC639" i="59"/>
  <c r="BU639" i="59"/>
  <c r="BM639" i="59"/>
  <c r="BE639" i="59"/>
  <c r="AW639" i="59"/>
  <c r="AO639" i="59"/>
  <c r="AG639" i="59"/>
  <c r="Y639"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X639" i="59"/>
  <c r="IP639" i="59"/>
  <c r="IH639" i="59"/>
  <c r="ES639" i="59"/>
  <c r="EK639" i="59"/>
  <c r="EC639" i="59"/>
  <c r="DU639" i="59"/>
  <c r="DM639" i="59"/>
  <c r="DE639" i="59"/>
  <c r="CW639" i="59"/>
  <c r="CO639" i="59"/>
  <c r="CG639" i="59"/>
  <c r="BY639" i="59"/>
  <c r="BQ639" i="59"/>
  <c r="BI639" i="59"/>
  <c r="BA639" i="59"/>
  <c r="AS639" i="59"/>
  <c r="AK639" i="59"/>
  <c r="AC639" i="59"/>
  <c r="IW639" i="59"/>
  <c r="EJ639" i="59"/>
  <c r="DT639" i="59"/>
  <c r="DD639" i="59"/>
  <c r="CN639" i="59"/>
  <c r="BX639" i="59"/>
  <c r="BH639" i="59"/>
  <c r="AR639" i="59"/>
  <c r="AB639" i="59"/>
  <c r="IS639" i="59"/>
  <c r="EF639" i="59"/>
  <c r="CZ639" i="59"/>
  <c r="BT639" i="59"/>
  <c r="AN639" i="59"/>
  <c r="ER639" i="59"/>
  <c r="DL639" i="59"/>
  <c r="CF639" i="59"/>
  <c r="AZ639" i="59"/>
  <c r="JA639" i="59"/>
  <c r="IK639" i="59"/>
  <c r="EN639" i="59"/>
  <c r="DX639" i="59"/>
  <c r="DH639" i="59"/>
  <c r="CR639" i="59"/>
  <c r="CB639" i="59"/>
  <c r="BL639" i="59"/>
  <c r="AV639" i="59"/>
  <c r="AF639" i="59"/>
  <c r="DP639" i="59"/>
  <c r="CJ639" i="59"/>
  <c r="BD639" i="59"/>
  <c r="X639" i="59"/>
  <c r="IO639" i="59"/>
  <c r="EB639" i="59"/>
  <c r="CV639" i="59"/>
  <c r="BP639" i="59"/>
  <c r="AJ639" i="59"/>
  <c r="IF636" i="59"/>
  <c r="IG636" i="59"/>
  <c r="IC636" i="59"/>
  <c r="IE636" i="59"/>
  <c r="ID636" i="59"/>
  <c r="GG656" i="59"/>
  <c r="FW652" i="59"/>
  <c r="GA648" i="59"/>
  <c r="GT644" i="59"/>
  <c r="IB641" i="59"/>
  <c r="GV634" i="59"/>
  <c r="HZ633" i="59"/>
  <c r="HS632" i="59"/>
  <c r="JN631" i="59"/>
  <c r="M750" i="59"/>
  <c r="I750" i="59"/>
  <c r="H777" i="59"/>
  <c r="IG661" i="59"/>
  <c r="IC661" i="59"/>
  <c r="IE661" i="59"/>
  <c r="ID661" i="59"/>
  <c r="IF661" i="59"/>
  <c r="IE653" i="59"/>
  <c r="ID653" i="59"/>
  <c r="IC653" i="59"/>
  <c r="IG653" i="59"/>
  <c r="IF653" i="59"/>
  <c r="FK636" i="59"/>
  <c r="HG636" i="59"/>
  <c r="HY640" i="59"/>
  <c r="IG667" i="59"/>
  <c r="IC667" i="59"/>
  <c r="ID667" i="59"/>
  <c r="IF667" i="59"/>
  <c r="IE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U666" i="59"/>
  <c r="IM666" i="59"/>
  <c r="EP666" i="59"/>
  <c r="EH666" i="59"/>
  <c r="DZ666" i="59"/>
  <c r="DR666" i="59"/>
  <c r="DJ666" i="59"/>
  <c r="DB666" i="59"/>
  <c r="CT666" i="59"/>
  <c r="CL666" i="59"/>
  <c r="CD666" i="59"/>
  <c r="BV666" i="59"/>
  <c r="BN666" i="59"/>
  <c r="BF666" i="59"/>
  <c r="AX666" i="59"/>
  <c r="AP666" i="59"/>
  <c r="AH666" i="59"/>
  <c r="Z666" i="59"/>
  <c r="IY666" i="59"/>
  <c r="IQ666" i="59"/>
  <c r="II666" i="59"/>
  <c r="ET666" i="59"/>
  <c r="EL666" i="59"/>
  <c r="ED666" i="59"/>
  <c r="DV666" i="59"/>
  <c r="DN666" i="59"/>
  <c r="DF666" i="59"/>
  <c r="CX666" i="59"/>
  <c r="CP666" i="59"/>
  <c r="CH666" i="59"/>
  <c r="BZ666" i="59"/>
  <c r="BR666" i="59"/>
  <c r="BJ666" i="59"/>
  <c r="BB666" i="59"/>
  <c r="AT666" i="59"/>
  <c r="AL666" i="59"/>
  <c r="AD666" i="59"/>
  <c r="V666" i="59"/>
  <c r="IT666" i="59"/>
  <c r="EG666" i="59"/>
  <c r="DQ666" i="59"/>
  <c r="DA666" i="59"/>
  <c r="CK666" i="59"/>
  <c r="BU666" i="59"/>
  <c r="BE666" i="59"/>
  <c r="AO666" i="59"/>
  <c r="Y666" i="59"/>
  <c r="IL666" i="59"/>
  <c r="EO666" i="59"/>
  <c r="DY666" i="59"/>
  <c r="DI666" i="59"/>
  <c r="CS666" i="59"/>
  <c r="CC666" i="59"/>
  <c r="BM666" i="59"/>
  <c r="AW666" i="59"/>
  <c r="AG666" i="59"/>
  <c r="IP666" i="59"/>
  <c r="EC666" i="59"/>
  <c r="CW666" i="59"/>
  <c r="BQ666" i="59"/>
  <c r="AK666" i="59"/>
  <c r="ES666" i="59"/>
  <c r="DM666" i="59"/>
  <c r="CG666" i="59"/>
  <c r="BA666" i="59"/>
  <c r="IX666" i="59"/>
  <c r="DE666" i="59"/>
  <c r="AS666" i="59"/>
  <c r="EK666" i="59"/>
  <c r="BY666" i="59"/>
  <c r="IH666" i="59"/>
  <c r="AC666" i="59"/>
  <c r="CO666" i="59"/>
  <c r="BI666" i="59"/>
  <c r="DU666" i="59"/>
  <c r="IG663" i="59"/>
  <c r="IC663" i="59"/>
  <c r="IE663" i="59"/>
  <c r="IF663" i="59"/>
  <c r="ID663"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U662" i="59"/>
  <c r="IM662" i="59"/>
  <c r="EP662" i="59"/>
  <c r="EH662" i="59"/>
  <c r="DZ662" i="59"/>
  <c r="DR662" i="59"/>
  <c r="DJ662" i="59"/>
  <c r="DB662" i="59"/>
  <c r="CT662" i="59"/>
  <c r="CL662" i="59"/>
  <c r="CD662" i="59"/>
  <c r="BV662" i="59"/>
  <c r="BN662" i="59"/>
  <c r="BF662" i="59"/>
  <c r="AX662" i="59"/>
  <c r="AR662" i="59"/>
  <c r="AM662" i="59"/>
  <c r="AH662" i="59"/>
  <c r="AB662" i="59"/>
  <c r="W662" i="59"/>
  <c r="IY662" i="59"/>
  <c r="IQ662" i="59"/>
  <c r="II662" i="59"/>
  <c r="ET662" i="59"/>
  <c r="EL662" i="59"/>
  <c r="ED662" i="59"/>
  <c r="DV662" i="59"/>
  <c r="DN662" i="59"/>
  <c r="DF662" i="59"/>
  <c r="CX662" i="59"/>
  <c r="CP662" i="59"/>
  <c r="CH662" i="59"/>
  <c r="BZ662" i="59"/>
  <c r="BR662" i="59"/>
  <c r="BJ662" i="59"/>
  <c r="BB662" i="59"/>
  <c r="AU662" i="59"/>
  <c r="AP662" i="59"/>
  <c r="AJ662" i="59"/>
  <c r="AE662" i="59"/>
  <c r="Z662" i="59"/>
  <c r="IW662" i="59"/>
  <c r="EJ662" i="59"/>
  <c r="DT662" i="59"/>
  <c r="DD662" i="59"/>
  <c r="CN662" i="59"/>
  <c r="BX662" i="59"/>
  <c r="BH662" i="59"/>
  <c r="AT662" i="59"/>
  <c r="AI662" i="59"/>
  <c r="X662" i="59"/>
  <c r="IO662" i="59"/>
  <c r="ER662" i="59"/>
  <c r="EB662" i="59"/>
  <c r="DL662" i="59"/>
  <c r="CV662" i="59"/>
  <c r="CF662" i="59"/>
  <c r="BP662" i="59"/>
  <c r="AZ662" i="59"/>
  <c r="AN662" i="59"/>
  <c r="AD662" i="59"/>
  <c r="DP662" i="59"/>
  <c r="CJ662" i="59"/>
  <c r="BD662" i="59"/>
  <c r="AF662" i="59"/>
  <c r="IS662" i="59"/>
  <c r="EF662" i="59"/>
  <c r="CZ662" i="59"/>
  <c r="BT662" i="59"/>
  <c r="AQ662" i="59"/>
  <c r="V662" i="59"/>
  <c r="DX662" i="59"/>
  <c r="BL662" i="59"/>
  <c r="EN662" i="59"/>
  <c r="CB662" i="59"/>
  <c r="AA662" i="59"/>
  <c r="DH662" i="59"/>
  <c r="CR662" i="59"/>
  <c r="AV662" i="59"/>
  <c r="AL662" i="59"/>
  <c r="IK662" i="59"/>
  <c r="JA662" i="59"/>
  <c r="ID659" i="59"/>
  <c r="IF659" i="59"/>
  <c r="IG659" i="59"/>
  <c r="IC659" i="59"/>
  <c r="IE659" i="59"/>
  <c r="IY658" i="59"/>
  <c r="IU658" i="59"/>
  <c r="IQ658" i="59"/>
  <c r="IM658" i="59"/>
  <c r="II658" i="59"/>
  <c r="ET658" i="59"/>
  <c r="EP658" i="59"/>
  <c r="EL658" i="59"/>
  <c r="EH658" i="59"/>
  <c r="JA658" i="59"/>
  <c r="IW658" i="59"/>
  <c r="IS658" i="59"/>
  <c r="IO658" i="59"/>
  <c r="IK658" i="59"/>
  <c r="ER658" i="59"/>
  <c r="EN658" i="59"/>
  <c r="EJ658" i="59"/>
  <c r="EF658" i="59"/>
  <c r="IV658" i="59"/>
  <c r="IN658" i="59"/>
  <c r="EQ658" i="59"/>
  <c r="EI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IX658" i="59"/>
  <c r="IP658" i="59"/>
  <c r="IH658" i="59"/>
  <c r="ES658" i="59"/>
  <c r="EK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T658" i="59"/>
  <c r="EG658" i="59"/>
  <c r="DX658" i="59"/>
  <c r="DP658" i="59"/>
  <c r="DH658" i="59"/>
  <c r="CZ658" i="59"/>
  <c r="CR658" i="59"/>
  <c r="CJ658" i="59"/>
  <c r="CB658" i="59"/>
  <c r="BT658" i="59"/>
  <c r="BL658" i="59"/>
  <c r="BD658" i="59"/>
  <c r="AV658" i="59"/>
  <c r="AN658" i="59"/>
  <c r="AF658" i="59"/>
  <c r="X658" i="59"/>
  <c r="IR658" i="59"/>
  <c r="EU658" i="59"/>
  <c r="EE658" i="59"/>
  <c r="DW658" i="59"/>
  <c r="DO658" i="59"/>
  <c r="DG658" i="59"/>
  <c r="CY658" i="59"/>
  <c r="CQ658" i="59"/>
  <c r="CI658" i="59"/>
  <c r="CA658" i="59"/>
  <c r="BS658" i="59"/>
  <c r="BK658" i="59"/>
  <c r="BC658" i="59"/>
  <c r="AU658" i="59"/>
  <c r="AM658" i="59"/>
  <c r="AE658" i="59"/>
  <c r="W658" i="59"/>
  <c r="EO658" i="59"/>
  <c r="DT658" i="59"/>
  <c r="DD658" i="59"/>
  <c r="CN658" i="59"/>
  <c r="BX658" i="59"/>
  <c r="BH658" i="59"/>
  <c r="AR658" i="59"/>
  <c r="AB658" i="59"/>
  <c r="IZ658" i="59"/>
  <c r="EM658" i="59"/>
  <c r="DS658" i="59"/>
  <c r="DC658" i="59"/>
  <c r="CM658" i="59"/>
  <c r="BW658" i="59"/>
  <c r="BG658" i="59"/>
  <c r="AQ658" i="59"/>
  <c r="AA658" i="59"/>
  <c r="EB658" i="59"/>
  <c r="CV658" i="59"/>
  <c r="BP658" i="59"/>
  <c r="AJ658" i="59"/>
  <c r="IJ658" i="59"/>
  <c r="DK658" i="59"/>
  <c r="CE658" i="59"/>
  <c r="AY658" i="59"/>
  <c r="CU658" i="59"/>
  <c r="AI658" i="59"/>
  <c r="IL658" i="59"/>
  <c r="EA658" i="59"/>
  <c r="DL658" i="59"/>
  <c r="AZ658" i="59"/>
  <c r="CF658" i="59"/>
  <c r="BO658" i="59"/>
  <c r="IE655" i="59"/>
  <c r="IF655" i="59"/>
  <c r="ID655" i="59"/>
  <c r="IC655" i="59"/>
  <c r="IG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Y654" i="59"/>
  <c r="IU654" i="59"/>
  <c r="IQ654" i="59"/>
  <c r="IM654" i="59"/>
  <c r="II654" i="59"/>
  <c r="ET654" i="59"/>
  <c r="EP654" i="59"/>
  <c r="EL654" i="59"/>
  <c r="EH654" i="59"/>
  <c r="ED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X654" i="59"/>
  <c r="IP654" i="59"/>
  <c r="IH654" i="59"/>
  <c r="ES654" i="59"/>
  <c r="EK654" i="59"/>
  <c r="EC654" i="59"/>
  <c r="DU654" i="59"/>
  <c r="DM654" i="59"/>
  <c r="DE654" i="59"/>
  <c r="CW654" i="59"/>
  <c r="CO654" i="59"/>
  <c r="CG654" i="59"/>
  <c r="BY654" i="59"/>
  <c r="BQ654" i="59"/>
  <c r="BI654" i="59"/>
  <c r="BA654" i="59"/>
  <c r="AS654" i="59"/>
  <c r="AK654" i="59"/>
  <c r="AC654" i="59"/>
  <c r="IW654" i="59"/>
  <c r="IO654" i="59"/>
  <c r="ER654" i="59"/>
  <c r="EJ654" i="59"/>
  <c r="EB654" i="59"/>
  <c r="DT654" i="59"/>
  <c r="DL654" i="59"/>
  <c r="DD654" i="59"/>
  <c r="CV654" i="59"/>
  <c r="CN654" i="59"/>
  <c r="CF654" i="59"/>
  <c r="BX654" i="59"/>
  <c r="BP654" i="59"/>
  <c r="BH654" i="59"/>
  <c r="AZ654" i="59"/>
  <c r="AR654" i="59"/>
  <c r="AJ654" i="59"/>
  <c r="AB654" i="59"/>
  <c r="IL654" i="59"/>
  <c r="EO654" i="59"/>
  <c r="DY654" i="59"/>
  <c r="DI654" i="59"/>
  <c r="CS654" i="59"/>
  <c r="CC654" i="59"/>
  <c r="BM654" i="59"/>
  <c r="AW654" i="59"/>
  <c r="AG654" i="59"/>
  <c r="IS654" i="59"/>
  <c r="EF654" i="59"/>
  <c r="DP654" i="59"/>
  <c r="CZ654" i="59"/>
  <c r="CJ654" i="59"/>
  <c r="BT654" i="59"/>
  <c r="BD654" i="59"/>
  <c r="AN654" i="59"/>
  <c r="X654" i="59"/>
  <c r="IK654" i="59"/>
  <c r="DX654" i="59"/>
  <c r="CR654" i="59"/>
  <c r="BL654" i="59"/>
  <c r="AF654" i="59"/>
  <c r="DQ654" i="59"/>
  <c r="BE654" i="59"/>
  <c r="JA654" i="59"/>
  <c r="DH654" i="59"/>
  <c r="AV654" i="59"/>
  <c r="IT654" i="59"/>
  <c r="EG654" i="59"/>
  <c r="DA654" i="59"/>
  <c r="BU654" i="59"/>
  <c r="AO654" i="59"/>
  <c r="CK654" i="59"/>
  <c r="Y654" i="59"/>
  <c r="EN654" i="59"/>
  <c r="CB654" i="59"/>
  <c r="JO652" i="59"/>
  <c r="IF651" i="59"/>
  <c r="IE651" i="59"/>
  <c r="ID651" i="59"/>
  <c r="IG651" i="59"/>
  <c r="IC651"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W650" i="59"/>
  <c r="IO650" i="59"/>
  <c r="ER650" i="59"/>
  <c r="EJ650" i="59"/>
  <c r="EB650" i="59"/>
  <c r="DT650" i="59"/>
  <c r="DL650" i="59"/>
  <c r="DD650" i="59"/>
  <c r="CV650" i="59"/>
  <c r="CN650" i="59"/>
  <c r="CF650" i="59"/>
  <c r="BX650" i="59"/>
  <c r="BP650" i="59"/>
  <c r="BH650" i="59"/>
  <c r="AZ650" i="59"/>
  <c r="AR650" i="59"/>
  <c r="AJ650" i="59"/>
  <c r="AB650" i="59"/>
  <c r="IZ650" i="59"/>
  <c r="IR650" i="59"/>
  <c r="IJ650" i="59"/>
  <c r="EU650" i="59"/>
  <c r="EM650" i="59"/>
  <c r="EE650" i="59"/>
  <c r="DW650" i="59"/>
  <c r="DO650" i="59"/>
  <c r="DG650" i="59"/>
  <c r="CY650" i="59"/>
  <c r="CQ650" i="59"/>
  <c r="CI650" i="59"/>
  <c r="CA650" i="59"/>
  <c r="BS650" i="59"/>
  <c r="BK650" i="59"/>
  <c r="BC650" i="59"/>
  <c r="AU650" i="59"/>
  <c r="AM650" i="59"/>
  <c r="AE650" i="59"/>
  <c r="W650" i="59"/>
  <c r="IV650" i="59"/>
  <c r="EI650" i="59"/>
  <c r="DS650" i="59"/>
  <c r="DC650" i="59"/>
  <c r="CM650" i="59"/>
  <c r="BW650" i="59"/>
  <c r="BG650" i="59"/>
  <c r="AQ650" i="59"/>
  <c r="AA650" i="59"/>
  <c r="DP650" i="59"/>
  <c r="CJ650" i="59"/>
  <c r="BD650" i="59"/>
  <c r="X650" i="59"/>
  <c r="EQ650" i="59"/>
  <c r="DK650" i="59"/>
  <c r="CE650" i="59"/>
  <c r="AY650" i="59"/>
  <c r="JA650" i="59"/>
  <c r="IK650" i="59"/>
  <c r="EN650" i="59"/>
  <c r="DX650" i="59"/>
  <c r="DH650" i="59"/>
  <c r="CR650" i="59"/>
  <c r="CB650" i="59"/>
  <c r="BL650" i="59"/>
  <c r="AV650" i="59"/>
  <c r="AF650" i="59"/>
  <c r="IS650" i="59"/>
  <c r="EF650" i="59"/>
  <c r="CZ650" i="59"/>
  <c r="BT650" i="59"/>
  <c r="AN650" i="59"/>
  <c r="IN650" i="59"/>
  <c r="EA650" i="59"/>
  <c r="CU650" i="59"/>
  <c r="BO650" i="59"/>
  <c r="AI650" i="59"/>
  <c r="IF647" i="59"/>
  <c r="IE647" i="59"/>
  <c r="IC647" i="59"/>
  <c r="IG647" i="59"/>
  <c r="ID647" i="59"/>
  <c r="IY646" i="59"/>
  <c r="IU646" i="59"/>
  <c r="IQ646" i="59"/>
  <c r="IM646" i="59"/>
  <c r="II646" i="59"/>
  <c r="ET646" i="59"/>
  <c r="EP646" i="59"/>
  <c r="EL646" i="59"/>
  <c r="EH646" i="59"/>
  <c r="ED646" i="59"/>
  <c r="DZ646" i="59"/>
  <c r="DV646" i="59"/>
  <c r="DR646" i="59"/>
  <c r="IX646" i="59"/>
  <c r="IT646" i="59"/>
  <c r="IP646" i="59"/>
  <c r="IL646" i="59"/>
  <c r="IH646" i="59"/>
  <c r="ES646" i="59"/>
  <c r="EO646" i="59"/>
  <c r="EK646" i="59"/>
  <c r="EG646" i="59"/>
  <c r="EC646" i="59"/>
  <c r="DY646" i="59"/>
  <c r="DU646" i="59"/>
  <c r="DQ646" i="59"/>
  <c r="JA646" i="59"/>
  <c r="IS646" i="59"/>
  <c r="IK646" i="59"/>
  <c r="EN646" i="59"/>
  <c r="EF646" i="59"/>
  <c r="DX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V646" i="59"/>
  <c r="IN646" i="59"/>
  <c r="EQ646" i="59"/>
  <c r="EI646" i="59"/>
  <c r="EA646" i="59"/>
  <c r="DS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R646" i="59"/>
  <c r="EU646" i="59"/>
  <c r="EE646" i="59"/>
  <c r="DO646" i="59"/>
  <c r="DG646" i="59"/>
  <c r="CY646" i="59"/>
  <c r="CQ646" i="59"/>
  <c r="CI646" i="59"/>
  <c r="CA646" i="59"/>
  <c r="BS646" i="59"/>
  <c r="BK646" i="59"/>
  <c r="BC646" i="59"/>
  <c r="AU646" i="59"/>
  <c r="AM646" i="59"/>
  <c r="AE646" i="59"/>
  <c r="W646" i="59"/>
  <c r="IO646" i="59"/>
  <c r="EB646" i="59"/>
  <c r="DF646" i="59"/>
  <c r="CP646" i="59"/>
  <c r="BZ646" i="59"/>
  <c r="BJ646" i="59"/>
  <c r="AT646" i="59"/>
  <c r="AD646" i="59"/>
  <c r="IJ646" i="59"/>
  <c r="DW646" i="59"/>
  <c r="DC646" i="59"/>
  <c r="CM646" i="59"/>
  <c r="BW646" i="59"/>
  <c r="BG646" i="59"/>
  <c r="AQ646" i="59"/>
  <c r="AA646" i="59"/>
  <c r="IW646" i="59"/>
  <c r="EJ646" i="59"/>
  <c r="DT646" i="59"/>
  <c r="DJ646" i="59"/>
  <c r="DB646" i="59"/>
  <c r="CT646" i="59"/>
  <c r="CL646" i="59"/>
  <c r="CD646" i="59"/>
  <c r="BV646" i="59"/>
  <c r="BN646" i="59"/>
  <c r="BF646" i="59"/>
  <c r="AX646" i="59"/>
  <c r="AP646" i="59"/>
  <c r="AH646" i="59"/>
  <c r="Z646" i="59"/>
  <c r="ER646" i="59"/>
  <c r="DN646" i="59"/>
  <c r="CX646" i="59"/>
  <c r="CH646" i="59"/>
  <c r="BR646" i="59"/>
  <c r="BB646" i="59"/>
  <c r="AL646" i="59"/>
  <c r="V646" i="59"/>
  <c r="IZ646" i="59"/>
  <c r="EM646" i="59"/>
  <c r="DK646" i="59"/>
  <c r="CU646" i="59"/>
  <c r="CE646" i="59"/>
  <c r="BO646" i="59"/>
  <c r="AY646" i="59"/>
  <c r="AI646" i="59"/>
  <c r="ID643" i="59"/>
  <c r="IE643" i="59"/>
  <c r="IC643" i="59"/>
  <c r="IF643" i="59"/>
  <c r="IG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IV642" i="59"/>
  <c r="IN642" i="59"/>
  <c r="EQ642" i="59"/>
  <c r="EI642" i="59"/>
  <c r="EA642" i="59"/>
  <c r="DS642" i="59"/>
  <c r="DK642" i="59"/>
  <c r="DC642" i="59"/>
  <c r="CU642" i="59"/>
  <c r="CM642" i="59"/>
  <c r="CE642" i="59"/>
  <c r="BW642" i="59"/>
  <c r="BO642" i="59"/>
  <c r="BG642" i="59"/>
  <c r="BA642" i="59"/>
  <c r="AW642" i="59"/>
  <c r="AS642" i="59"/>
  <c r="AO642" i="59"/>
  <c r="AK642" i="59"/>
  <c r="AG642" i="59"/>
  <c r="AC642" i="59"/>
  <c r="Y642" i="59"/>
  <c r="IU642" i="59"/>
  <c r="EH642" i="59"/>
  <c r="DR642" i="59"/>
  <c r="DB642" i="59"/>
  <c r="CL642" i="59"/>
  <c r="BV642" i="59"/>
  <c r="BF642" i="59"/>
  <c r="AV642" i="59"/>
  <c r="AN642" i="59"/>
  <c r="AF642" i="59"/>
  <c r="X642" i="59"/>
  <c r="IY642" i="59"/>
  <c r="IQ642" i="59"/>
  <c r="II642" i="59"/>
  <c r="ET642" i="59"/>
  <c r="EL642" i="59"/>
  <c r="ED642" i="59"/>
  <c r="DV642" i="59"/>
  <c r="DN642" i="59"/>
  <c r="DF642" i="59"/>
  <c r="CX642" i="59"/>
  <c r="CP642" i="59"/>
  <c r="CH642" i="59"/>
  <c r="BZ642" i="59"/>
  <c r="BR642" i="59"/>
  <c r="BJ642" i="59"/>
  <c r="BB642" i="59"/>
  <c r="AX642" i="59"/>
  <c r="AT642" i="59"/>
  <c r="AP642" i="59"/>
  <c r="AL642" i="59"/>
  <c r="AH642" i="59"/>
  <c r="AD642" i="59"/>
  <c r="Z642" i="59"/>
  <c r="V642" i="59"/>
  <c r="IM642" i="59"/>
  <c r="EP642" i="59"/>
  <c r="DZ642" i="59"/>
  <c r="DJ642" i="59"/>
  <c r="CT642" i="59"/>
  <c r="CD642" i="59"/>
  <c r="BN642" i="59"/>
  <c r="AZ642" i="59"/>
  <c r="AR642" i="59"/>
  <c r="AJ642" i="59"/>
  <c r="AB642" i="59"/>
  <c r="IJ642" i="59"/>
  <c r="DW642" i="59"/>
  <c r="CQ642" i="59"/>
  <c r="BK642" i="59"/>
  <c r="AQ642" i="59"/>
  <c r="AA642" i="59"/>
  <c r="DO642" i="59"/>
  <c r="BC642" i="59"/>
  <c r="W642" i="59"/>
  <c r="EM642" i="59"/>
  <c r="CA642" i="59"/>
  <c r="AI642" i="59"/>
  <c r="IR642" i="59"/>
  <c r="EE642" i="59"/>
  <c r="CY642" i="59"/>
  <c r="BS642" i="59"/>
  <c r="AU642" i="59"/>
  <c r="AE642" i="59"/>
  <c r="EU642" i="59"/>
  <c r="CI642" i="59"/>
  <c r="AM642" i="59"/>
  <c r="IZ642" i="59"/>
  <c r="DG642" i="59"/>
  <c r="AY642" i="59"/>
  <c r="IE639" i="59"/>
  <c r="ID639" i="59"/>
  <c r="IF639" i="59"/>
  <c r="IG639" i="59"/>
  <c r="IC639" i="59"/>
  <c r="HJ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W638" i="59"/>
  <c r="IO638" i="59"/>
  <c r="ER638" i="59"/>
  <c r="EJ638" i="59"/>
  <c r="EB638" i="59"/>
  <c r="DT638" i="59"/>
  <c r="DL638" i="59"/>
  <c r="DD638" i="59"/>
  <c r="CV638" i="59"/>
  <c r="CN638" i="59"/>
  <c r="CF638" i="59"/>
  <c r="BX638" i="59"/>
  <c r="BT638" i="59"/>
  <c r="BL638" i="59"/>
  <c r="BD638" i="59"/>
  <c r="AV638" i="59"/>
  <c r="AN638" i="59"/>
  <c r="AF638" i="59"/>
  <c r="X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JA638" i="59"/>
  <c r="IS638" i="59"/>
  <c r="IK638" i="59"/>
  <c r="EN638" i="59"/>
  <c r="EF638" i="59"/>
  <c r="DX638" i="59"/>
  <c r="DP638" i="59"/>
  <c r="DH638" i="59"/>
  <c r="CZ638" i="59"/>
  <c r="CR638" i="59"/>
  <c r="CJ638" i="59"/>
  <c r="CB638" i="59"/>
  <c r="BP638" i="59"/>
  <c r="BH638" i="59"/>
  <c r="AZ638" i="59"/>
  <c r="AR638" i="59"/>
  <c r="AJ638" i="59"/>
  <c r="AB638" i="59"/>
  <c r="IR638" i="59"/>
  <c r="EU638" i="59"/>
  <c r="EE638" i="59"/>
  <c r="DO638" i="59"/>
  <c r="CY638" i="59"/>
  <c r="CI638" i="59"/>
  <c r="BS638" i="59"/>
  <c r="BC638" i="59"/>
  <c r="AM638" i="59"/>
  <c r="W638" i="59"/>
  <c r="IN638" i="59"/>
  <c r="EA638" i="59"/>
  <c r="CU638" i="59"/>
  <c r="BO638" i="59"/>
  <c r="AI638" i="59"/>
  <c r="IZ638" i="59"/>
  <c r="EM638" i="59"/>
  <c r="DG638" i="59"/>
  <c r="CA638" i="59"/>
  <c r="AU638" i="59"/>
  <c r="IV638" i="59"/>
  <c r="EI638" i="59"/>
  <c r="DS638" i="59"/>
  <c r="DC638" i="59"/>
  <c r="CM638" i="59"/>
  <c r="BW638" i="59"/>
  <c r="BG638" i="59"/>
  <c r="AQ638" i="59"/>
  <c r="AA638" i="59"/>
  <c r="EQ638" i="59"/>
  <c r="DK638" i="59"/>
  <c r="CE638" i="59"/>
  <c r="AY638" i="59"/>
  <c r="IJ638" i="59"/>
  <c r="DW638" i="59"/>
  <c r="CQ638" i="59"/>
  <c r="BK638" i="59"/>
  <c r="AE638" i="59"/>
  <c r="IE665" i="59"/>
  <c r="IG665" i="59"/>
  <c r="ID665" i="59"/>
  <c r="IF665" i="59"/>
  <c r="IC665"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V660" i="59"/>
  <c r="IN660" i="59"/>
  <c r="EQ660" i="59"/>
  <c r="EI660" i="59"/>
  <c r="EA660" i="59"/>
  <c r="DS660" i="59"/>
  <c r="DK660" i="59"/>
  <c r="DC660" i="59"/>
  <c r="CU660" i="59"/>
  <c r="CM660" i="59"/>
  <c r="CE660" i="59"/>
  <c r="BW660" i="59"/>
  <c r="BO660" i="59"/>
  <c r="BG660" i="59"/>
  <c r="AY660" i="59"/>
  <c r="AQ660" i="59"/>
  <c r="AI660" i="59"/>
  <c r="AA660" i="59"/>
  <c r="IX660" i="59"/>
  <c r="IL660" i="59"/>
  <c r="EU660" i="59"/>
  <c r="EK660" i="59"/>
  <c r="DY660" i="59"/>
  <c r="DO660" i="59"/>
  <c r="DE660" i="59"/>
  <c r="CS660" i="59"/>
  <c r="CI660" i="59"/>
  <c r="BY660" i="59"/>
  <c r="BM660" i="59"/>
  <c r="BC660" i="59"/>
  <c r="AS660" i="59"/>
  <c r="AG660" i="59"/>
  <c r="W660" i="59"/>
  <c r="IR660" i="59"/>
  <c r="IH660" i="59"/>
  <c r="EO660" i="59"/>
  <c r="EE660" i="59"/>
  <c r="DU660" i="59"/>
  <c r="DI660" i="59"/>
  <c r="CY660" i="59"/>
  <c r="CO660" i="59"/>
  <c r="CC660" i="59"/>
  <c r="BS660" i="59"/>
  <c r="BI660" i="59"/>
  <c r="AW660" i="59"/>
  <c r="AM660" i="59"/>
  <c r="AC660" i="59"/>
  <c r="IP660" i="59"/>
  <c r="EM660" i="59"/>
  <c r="DQ660" i="59"/>
  <c r="CW660" i="59"/>
  <c r="CA660" i="59"/>
  <c r="BE660" i="59"/>
  <c r="AK660" i="59"/>
  <c r="IT660" i="59"/>
  <c r="ES660" i="59"/>
  <c r="DW660" i="59"/>
  <c r="DA660" i="59"/>
  <c r="CG660" i="59"/>
  <c r="BK660" i="59"/>
  <c r="AO660" i="59"/>
  <c r="EG660" i="59"/>
  <c r="CQ660" i="59"/>
  <c r="BA660" i="59"/>
  <c r="IZ660" i="59"/>
  <c r="EC660" i="59"/>
  <c r="CK660" i="59"/>
  <c r="AU660" i="59"/>
  <c r="IJ660" i="59"/>
  <c r="BU660" i="59"/>
  <c r="BQ660" i="59"/>
  <c r="DM660" i="59"/>
  <c r="Y660" i="59"/>
  <c r="DG660" i="59"/>
  <c r="AE660" i="59"/>
  <c r="IG657" i="59"/>
  <c r="IC657" i="59"/>
  <c r="ID657" i="59"/>
  <c r="IF657" i="59"/>
  <c r="IE657"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Q652" i="59"/>
  <c r="II652" i="59"/>
  <c r="ET652" i="59"/>
  <c r="EL652" i="59"/>
  <c r="ED652" i="59"/>
  <c r="DV652" i="59"/>
  <c r="DN652" i="59"/>
  <c r="DF652" i="59"/>
  <c r="CX652" i="59"/>
  <c r="CP652" i="59"/>
  <c r="CH652" i="59"/>
  <c r="BZ652" i="59"/>
  <c r="BR652" i="59"/>
  <c r="BJ652" i="59"/>
  <c r="BB652" i="59"/>
  <c r="AT652" i="59"/>
  <c r="AL652" i="59"/>
  <c r="AD652" i="59"/>
  <c r="V652" i="59"/>
  <c r="IT652" i="59"/>
  <c r="IL652" i="59"/>
  <c r="EO652" i="59"/>
  <c r="EG652" i="59"/>
  <c r="DY652" i="59"/>
  <c r="DQ652" i="59"/>
  <c r="DI652" i="59"/>
  <c r="DA652" i="59"/>
  <c r="CS652" i="59"/>
  <c r="CK652" i="59"/>
  <c r="CC652" i="59"/>
  <c r="BU652" i="59"/>
  <c r="BM652" i="59"/>
  <c r="BE652" i="59"/>
  <c r="AW652" i="59"/>
  <c r="AO652" i="59"/>
  <c r="AG652" i="59"/>
  <c r="Y652" i="59"/>
  <c r="IP652" i="59"/>
  <c r="ES652" i="59"/>
  <c r="EC652" i="59"/>
  <c r="DM652" i="59"/>
  <c r="CW652" i="59"/>
  <c r="CG652" i="59"/>
  <c r="BQ652" i="59"/>
  <c r="BA652" i="59"/>
  <c r="AK652" i="59"/>
  <c r="IM652" i="59"/>
  <c r="DZ652" i="59"/>
  <c r="CT652" i="59"/>
  <c r="BN652" i="59"/>
  <c r="AH652" i="59"/>
  <c r="IH652" i="59"/>
  <c r="DU652" i="59"/>
  <c r="CO652" i="59"/>
  <c r="BI652" i="59"/>
  <c r="AC652" i="59"/>
  <c r="IU652" i="59"/>
  <c r="EH652" i="59"/>
  <c r="DR652" i="59"/>
  <c r="DB652" i="59"/>
  <c r="CL652" i="59"/>
  <c r="BV652" i="59"/>
  <c r="BF652" i="59"/>
  <c r="AP652" i="59"/>
  <c r="Z652" i="59"/>
  <c r="EP652" i="59"/>
  <c r="DJ652" i="59"/>
  <c r="CD652" i="59"/>
  <c r="AX652" i="59"/>
  <c r="IX652" i="59"/>
  <c r="EK652" i="59"/>
  <c r="DE652" i="59"/>
  <c r="BY652" i="59"/>
  <c r="AS652" i="59"/>
  <c r="FP636" i="59"/>
  <c r="IB636" i="59"/>
  <c r="FC644" i="59"/>
  <c r="HC630" i="59"/>
  <c r="IF666" i="59"/>
  <c r="IG666" i="59"/>
  <c r="IC666" i="59"/>
  <c r="IE666" i="59"/>
  <c r="ID666" i="59"/>
  <c r="IY665" i="59"/>
  <c r="IU665" i="59"/>
  <c r="IQ665" i="59"/>
  <c r="IM665" i="59"/>
  <c r="II665" i="59"/>
  <c r="ET665" i="59"/>
  <c r="IZ665" i="59"/>
  <c r="IV665" i="59"/>
  <c r="IX665" i="59"/>
  <c r="IR665" i="59"/>
  <c r="IL665" i="59"/>
  <c r="EU665" i="59"/>
  <c r="EP665" i="59"/>
  <c r="EL665" i="59"/>
  <c r="EH665" i="59"/>
  <c r="ED665" i="59"/>
  <c r="DZ665" i="59"/>
  <c r="DV665" i="59"/>
  <c r="DR665" i="59"/>
  <c r="DN665" i="59"/>
  <c r="DJ665" i="59"/>
  <c r="DF665" i="59"/>
  <c r="DB665" i="59"/>
  <c r="CX665" i="59"/>
  <c r="CT665" i="59"/>
  <c r="CP665" i="59"/>
  <c r="CL665" i="59"/>
  <c r="IT665" i="59"/>
  <c r="IO665" i="59"/>
  <c r="IJ665" i="59"/>
  <c r="ER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P665" i="59"/>
  <c r="EO665" i="59"/>
  <c r="EG665" i="59"/>
  <c r="DY665" i="59"/>
  <c r="DQ665" i="59"/>
  <c r="DI665" i="59"/>
  <c r="DA665" i="59"/>
  <c r="CS665" i="59"/>
  <c r="CK665" i="59"/>
  <c r="CE665" i="59"/>
  <c r="BZ665" i="59"/>
  <c r="BU665" i="59"/>
  <c r="BO665" i="59"/>
  <c r="BJ665" i="59"/>
  <c r="BE665" i="59"/>
  <c r="AY665" i="59"/>
  <c r="AT665" i="59"/>
  <c r="AO665" i="59"/>
  <c r="AI665" i="59"/>
  <c r="AD665" i="59"/>
  <c r="Y665" i="59"/>
  <c r="IW665" i="59"/>
  <c r="IK665" i="59"/>
  <c r="ES665" i="59"/>
  <c r="EK665" i="59"/>
  <c r="EC665" i="59"/>
  <c r="DU665" i="59"/>
  <c r="DM665" i="59"/>
  <c r="DE665" i="59"/>
  <c r="CW665" i="59"/>
  <c r="CO665" i="59"/>
  <c r="CH665" i="59"/>
  <c r="CC665" i="59"/>
  <c r="BW665" i="59"/>
  <c r="BR665" i="59"/>
  <c r="BM665" i="59"/>
  <c r="BG665" i="59"/>
  <c r="BB665" i="59"/>
  <c r="AW665" i="59"/>
  <c r="AQ665" i="59"/>
  <c r="AL665" i="59"/>
  <c r="AG665" i="59"/>
  <c r="AA665" i="59"/>
  <c r="V665" i="59"/>
  <c r="IN665" i="59"/>
  <c r="EM665" i="59"/>
  <c r="DW665" i="59"/>
  <c r="DG665" i="59"/>
  <c r="CQ665" i="59"/>
  <c r="CD665" i="59"/>
  <c r="BS665" i="59"/>
  <c r="BI665" i="59"/>
  <c r="AX665" i="59"/>
  <c r="AM665" i="59"/>
  <c r="AC665" i="59"/>
  <c r="JA665" i="59"/>
  <c r="EE665" i="59"/>
  <c r="DO665" i="59"/>
  <c r="CY665" i="59"/>
  <c r="CI665" i="59"/>
  <c r="BY665" i="59"/>
  <c r="BN665" i="59"/>
  <c r="BC665" i="59"/>
  <c r="AS665" i="59"/>
  <c r="AH665" i="59"/>
  <c r="W665" i="59"/>
  <c r="EQ665" i="59"/>
  <c r="DK665" i="59"/>
  <c r="CG665" i="59"/>
  <c r="BK665" i="59"/>
  <c r="AP665" i="59"/>
  <c r="IS665" i="59"/>
  <c r="EA665" i="59"/>
  <c r="CU665" i="59"/>
  <c r="BV665" i="59"/>
  <c r="BA665" i="59"/>
  <c r="AE665" i="59"/>
  <c r="DC665" i="59"/>
  <c r="BF665" i="59"/>
  <c r="EI665" i="59"/>
  <c r="CA665" i="59"/>
  <c r="AK665" i="59"/>
  <c r="BQ665" i="59"/>
  <c r="CM665" i="59"/>
  <c r="AU665" i="59"/>
  <c r="Z665" i="59"/>
  <c r="IH665" i="59"/>
  <c r="DS665" i="59"/>
  <c r="IF662" i="59"/>
  <c r="ID662" i="59"/>
  <c r="IE662" i="59"/>
  <c r="IG662" i="59"/>
  <c r="IC662" i="59"/>
  <c r="JA661" i="59"/>
  <c r="IW661" i="59"/>
  <c r="IS661" i="59"/>
  <c r="IO661" i="59"/>
  <c r="IK661" i="59"/>
  <c r="ER661" i="59"/>
  <c r="EN661" i="59"/>
  <c r="EJ661" i="59"/>
  <c r="EF661" i="59"/>
  <c r="EB661" i="59"/>
  <c r="DX661" i="59"/>
  <c r="DT661" i="59"/>
  <c r="DP661" i="59"/>
  <c r="IX661" i="59"/>
  <c r="IR661" i="59"/>
  <c r="IM661" i="59"/>
  <c r="IH661" i="59"/>
  <c r="EU661" i="59"/>
  <c r="EP661" i="59"/>
  <c r="EK661" i="59"/>
  <c r="EE661" i="59"/>
  <c r="DZ661" i="59"/>
  <c r="DU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Z661" i="59"/>
  <c r="IU661" i="59"/>
  <c r="IP661" i="59"/>
  <c r="IJ661" i="59"/>
  <c r="ES661" i="59"/>
  <c r="EM661" i="59"/>
  <c r="EH661" i="59"/>
  <c r="EC661" i="59"/>
  <c r="DW661" i="59"/>
  <c r="DR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IY661" i="59"/>
  <c r="IN661" i="59"/>
  <c r="EL661" i="59"/>
  <c r="EA661" i="59"/>
  <c r="DQ661" i="59"/>
  <c r="DH661" i="59"/>
  <c r="CZ661" i="59"/>
  <c r="CR661" i="59"/>
  <c r="CJ661" i="59"/>
  <c r="CB661" i="59"/>
  <c r="BT661" i="59"/>
  <c r="BL661" i="59"/>
  <c r="BD661" i="59"/>
  <c r="AV661" i="59"/>
  <c r="AN661" i="59"/>
  <c r="AF661" i="59"/>
  <c r="X661" i="59"/>
  <c r="IT661" i="59"/>
  <c r="EI661" i="59"/>
  <c r="DV661" i="59"/>
  <c r="DJ661" i="59"/>
  <c r="CX661" i="59"/>
  <c r="CN661" i="59"/>
  <c r="CD661" i="59"/>
  <c r="BR661" i="59"/>
  <c r="BH661" i="59"/>
  <c r="AX661" i="59"/>
  <c r="AL661" i="59"/>
  <c r="AB661" i="59"/>
  <c r="IL661" i="59"/>
  <c r="EQ661" i="59"/>
  <c r="ED661" i="59"/>
  <c r="DN661" i="59"/>
  <c r="DD661" i="59"/>
  <c r="CT661" i="59"/>
  <c r="CH661" i="59"/>
  <c r="BX661" i="59"/>
  <c r="BN661" i="59"/>
  <c r="BB661" i="59"/>
  <c r="AR661" i="59"/>
  <c r="AH661" i="59"/>
  <c r="V661" i="59"/>
  <c r="IV661" i="59"/>
  <c r="EO661" i="59"/>
  <c r="DL661" i="59"/>
  <c r="CP661" i="59"/>
  <c r="BV661" i="59"/>
  <c r="AZ661" i="59"/>
  <c r="AD661" i="59"/>
  <c r="ET661" i="59"/>
  <c r="DS661" i="59"/>
  <c r="CV661" i="59"/>
  <c r="BZ661" i="59"/>
  <c r="BF661" i="59"/>
  <c r="AJ661" i="59"/>
  <c r="IQ661" i="59"/>
  <c r="DF661" i="59"/>
  <c r="BP661" i="59"/>
  <c r="Z661" i="59"/>
  <c r="II661" i="59"/>
  <c r="DB661" i="59"/>
  <c r="BJ661" i="59"/>
  <c r="CL661" i="59"/>
  <c r="CF661" i="59"/>
  <c r="EG661" i="59"/>
  <c r="AP661" i="59"/>
  <c r="AT661" i="59"/>
  <c r="DY661" i="59"/>
  <c r="IE658" i="59"/>
  <c r="IG658" i="59"/>
  <c r="IC658" i="59"/>
  <c r="IF658" i="59"/>
  <c r="ID658"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V657" i="59"/>
  <c r="IN657" i="59"/>
  <c r="EQ657" i="59"/>
  <c r="EI657" i="59"/>
  <c r="EA657" i="59"/>
  <c r="DS657" i="59"/>
  <c r="DK657" i="59"/>
  <c r="DC657" i="59"/>
  <c r="CU657" i="59"/>
  <c r="CM657" i="59"/>
  <c r="CE657" i="59"/>
  <c r="BW657" i="59"/>
  <c r="BO657" i="59"/>
  <c r="BG657" i="59"/>
  <c r="AY657" i="59"/>
  <c r="AQ657" i="59"/>
  <c r="AI657" i="59"/>
  <c r="AA657" i="59"/>
  <c r="IU657" i="59"/>
  <c r="IM657" i="59"/>
  <c r="EP657" i="59"/>
  <c r="EH657" i="59"/>
  <c r="DZ657" i="59"/>
  <c r="DR657" i="59"/>
  <c r="DJ657" i="59"/>
  <c r="DB657" i="59"/>
  <c r="CT657" i="59"/>
  <c r="CL657" i="59"/>
  <c r="CD657" i="59"/>
  <c r="BV657" i="59"/>
  <c r="BN657" i="59"/>
  <c r="BF657" i="59"/>
  <c r="AX657" i="59"/>
  <c r="AP657" i="59"/>
  <c r="AH657" i="59"/>
  <c r="Z657" i="59"/>
  <c r="IR657" i="59"/>
  <c r="EU657" i="59"/>
  <c r="EE657" i="59"/>
  <c r="DO657" i="59"/>
  <c r="CY657" i="59"/>
  <c r="CI657" i="59"/>
  <c r="BS657" i="59"/>
  <c r="BC657" i="59"/>
  <c r="AM657" i="59"/>
  <c r="W657" i="59"/>
  <c r="IQ657" i="59"/>
  <c r="ET657" i="59"/>
  <c r="ED657" i="59"/>
  <c r="DN657" i="59"/>
  <c r="CX657" i="59"/>
  <c r="CH657" i="59"/>
  <c r="BR657" i="59"/>
  <c r="BB657" i="59"/>
  <c r="AL657" i="59"/>
  <c r="V657" i="59"/>
  <c r="IJ657" i="59"/>
  <c r="DW657" i="59"/>
  <c r="CQ657" i="59"/>
  <c r="BK657" i="59"/>
  <c r="AE657" i="59"/>
  <c r="IY657" i="59"/>
  <c r="EL657" i="59"/>
  <c r="DF657" i="59"/>
  <c r="BZ657" i="59"/>
  <c r="AT657" i="59"/>
  <c r="DV657" i="59"/>
  <c r="BJ657" i="59"/>
  <c r="IZ657" i="59"/>
  <c r="AU657" i="59"/>
  <c r="II657" i="59"/>
  <c r="AD657" i="59"/>
  <c r="EM657" i="59"/>
  <c r="CA657" i="59"/>
  <c r="DG657" i="59"/>
  <c r="CP657" i="59"/>
  <c r="IF654" i="59"/>
  <c r="IE654" i="59"/>
  <c r="IG654" i="59"/>
  <c r="IC654" i="59"/>
  <c r="ID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JA653" i="59"/>
  <c r="IS653" i="59"/>
  <c r="IK653" i="59"/>
  <c r="EN653" i="59"/>
  <c r="EF653" i="59"/>
  <c r="DX653" i="59"/>
  <c r="DP653" i="59"/>
  <c r="DH653" i="59"/>
  <c r="CZ653" i="59"/>
  <c r="CR653" i="59"/>
  <c r="CJ653" i="59"/>
  <c r="CB653" i="59"/>
  <c r="BT653" i="59"/>
  <c r="BL653" i="59"/>
  <c r="BE653" i="59"/>
  <c r="BA653" i="59"/>
  <c r="AW653" i="59"/>
  <c r="AS653" i="59"/>
  <c r="AO653" i="59"/>
  <c r="AK653" i="59"/>
  <c r="AG653" i="59"/>
  <c r="AC653" i="59"/>
  <c r="Y653" i="59"/>
  <c r="IZ653" i="59"/>
  <c r="IR653" i="59"/>
  <c r="IJ653" i="59"/>
  <c r="EU653" i="59"/>
  <c r="EM653" i="59"/>
  <c r="EE653" i="59"/>
  <c r="DW653" i="59"/>
  <c r="DO653" i="59"/>
  <c r="DG653" i="59"/>
  <c r="CY653" i="59"/>
  <c r="CQ653" i="59"/>
  <c r="CI653" i="59"/>
  <c r="CA653" i="59"/>
  <c r="BS653" i="59"/>
  <c r="BK653" i="59"/>
  <c r="BD653" i="59"/>
  <c r="AZ653" i="59"/>
  <c r="AV653" i="59"/>
  <c r="AR653" i="59"/>
  <c r="AN653" i="59"/>
  <c r="AJ653" i="59"/>
  <c r="AF653" i="59"/>
  <c r="AB653" i="59"/>
  <c r="X653" i="59"/>
  <c r="IW653" i="59"/>
  <c r="EJ653" i="59"/>
  <c r="DT653" i="59"/>
  <c r="DD653" i="59"/>
  <c r="CN653" i="59"/>
  <c r="BX653" i="59"/>
  <c r="BH653" i="59"/>
  <c r="AY653" i="59"/>
  <c r="AQ653" i="59"/>
  <c r="AI653" i="59"/>
  <c r="AA653" i="59"/>
  <c r="IN653" i="59"/>
  <c r="EQ653" i="59"/>
  <c r="EA653" i="59"/>
  <c r="DK653" i="59"/>
  <c r="CU653" i="59"/>
  <c r="CE653" i="59"/>
  <c r="BO653" i="59"/>
  <c r="BB653" i="59"/>
  <c r="AT653" i="59"/>
  <c r="AL653" i="59"/>
  <c r="AD653" i="59"/>
  <c r="V653" i="59"/>
  <c r="DS653" i="59"/>
  <c r="CM653" i="59"/>
  <c r="BG653" i="59"/>
  <c r="AP653" i="59"/>
  <c r="Z653" i="59"/>
  <c r="ER653" i="59"/>
  <c r="CF653" i="59"/>
  <c r="AM653" i="59"/>
  <c r="EI653" i="59"/>
  <c r="BW653" i="59"/>
  <c r="AH653" i="59"/>
  <c r="IO653" i="59"/>
  <c r="EB653" i="59"/>
  <c r="CV653" i="59"/>
  <c r="BP653" i="59"/>
  <c r="AU653" i="59"/>
  <c r="AE653" i="59"/>
  <c r="DL653" i="59"/>
  <c r="BC653" i="59"/>
  <c r="W653" i="59"/>
  <c r="IV653" i="59"/>
  <c r="DC653" i="59"/>
  <c r="AX653" i="59"/>
  <c r="IE650" i="59"/>
  <c r="ID650" i="59"/>
  <c r="IG650" i="59"/>
  <c r="IF650" i="59"/>
  <c r="IC650"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R649" i="59"/>
  <c r="IJ649" i="59"/>
  <c r="EU649" i="59"/>
  <c r="EM649" i="59"/>
  <c r="EE649" i="59"/>
  <c r="DW649" i="59"/>
  <c r="DO649" i="59"/>
  <c r="DG649" i="59"/>
  <c r="CY649" i="59"/>
  <c r="CQ649" i="59"/>
  <c r="CI649" i="59"/>
  <c r="CA649" i="59"/>
  <c r="BS649" i="59"/>
  <c r="BK649" i="59"/>
  <c r="BC649" i="59"/>
  <c r="AU649" i="59"/>
  <c r="AM649" i="59"/>
  <c r="AE649" i="59"/>
  <c r="W649" i="59"/>
  <c r="IU649" i="59"/>
  <c r="IM649" i="59"/>
  <c r="EP649" i="59"/>
  <c r="EH649" i="59"/>
  <c r="DZ649" i="59"/>
  <c r="DR649" i="59"/>
  <c r="DJ649" i="59"/>
  <c r="DB649" i="59"/>
  <c r="CT649" i="59"/>
  <c r="CL649" i="59"/>
  <c r="CD649" i="59"/>
  <c r="BV649" i="59"/>
  <c r="BN649" i="59"/>
  <c r="BF649" i="59"/>
  <c r="AX649" i="59"/>
  <c r="AP649" i="59"/>
  <c r="AH649" i="59"/>
  <c r="Z649" i="59"/>
  <c r="IQ649" i="59"/>
  <c r="ET649" i="59"/>
  <c r="ED649" i="59"/>
  <c r="DN649" i="59"/>
  <c r="CX649" i="59"/>
  <c r="CH649" i="59"/>
  <c r="BR649" i="59"/>
  <c r="BB649" i="59"/>
  <c r="AL649" i="59"/>
  <c r="V649" i="59"/>
  <c r="EQ649" i="59"/>
  <c r="DK649" i="59"/>
  <c r="CE649" i="59"/>
  <c r="AY649" i="59"/>
  <c r="IY649" i="59"/>
  <c r="EL649" i="59"/>
  <c r="DF649" i="59"/>
  <c r="BZ649" i="59"/>
  <c r="AT649" i="59"/>
  <c r="IV649" i="59"/>
  <c r="EI649" i="59"/>
  <c r="DS649" i="59"/>
  <c r="DC649" i="59"/>
  <c r="CM649" i="59"/>
  <c r="BW649" i="59"/>
  <c r="BG649" i="59"/>
  <c r="AQ649" i="59"/>
  <c r="AA649" i="59"/>
  <c r="IN649" i="59"/>
  <c r="EA649" i="59"/>
  <c r="CU649" i="59"/>
  <c r="BO649" i="59"/>
  <c r="AI649" i="59"/>
  <c r="II649" i="59"/>
  <c r="DV649" i="59"/>
  <c r="CP649" i="59"/>
  <c r="BJ649" i="59"/>
  <c r="AD649" i="59"/>
  <c r="IE646" i="59"/>
  <c r="ID646" i="59"/>
  <c r="IC646" i="59"/>
  <c r="IF646" i="59"/>
  <c r="IG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U645" i="59"/>
  <c r="IM645" i="59"/>
  <c r="EP645" i="59"/>
  <c r="EH645" i="59"/>
  <c r="DZ645" i="59"/>
  <c r="DR645" i="59"/>
  <c r="DJ645" i="59"/>
  <c r="DB645" i="59"/>
  <c r="CT645" i="59"/>
  <c r="CL645" i="59"/>
  <c r="CD645" i="59"/>
  <c r="BV645" i="59"/>
  <c r="BN645" i="59"/>
  <c r="BF645" i="59"/>
  <c r="AX645" i="59"/>
  <c r="AP645" i="59"/>
  <c r="AH645" i="59"/>
  <c r="Z645" i="59"/>
  <c r="IT645" i="59"/>
  <c r="EG645" i="59"/>
  <c r="DQ645" i="59"/>
  <c r="DA645" i="59"/>
  <c r="CK645" i="59"/>
  <c r="BU645" i="59"/>
  <c r="BE645" i="59"/>
  <c r="AO645" i="59"/>
  <c r="Y645" i="59"/>
  <c r="IQ645" i="59"/>
  <c r="ET645" i="59"/>
  <c r="EL645" i="59"/>
  <c r="DV645" i="59"/>
  <c r="DF645" i="59"/>
  <c r="CP645" i="59"/>
  <c r="BZ645" i="59"/>
  <c r="BJ645" i="59"/>
  <c r="AT645" i="59"/>
  <c r="AD645" i="59"/>
  <c r="IX645" i="59"/>
  <c r="IP645" i="59"/>
  <c r="IH645" i="59"/>
  <c r="ES645" i="59"/>
  <c r="EK645" i="59"/>
  <c r="EC645" i="59"/>
  <c r="DU645" i="59"/>
  <c r="DM645" i="59"/>
  <c r="DE645" i="59"/>
  <c r="CW645" i="59"/>
  <c r="CO645" i="59"/>
  <c r="CG645" i="59"/>
  <c r="BY645" i="59"/>
  <c r="BQ645" i="59"/>
  <c r="BI645" i="59"/>
  <c r="BA645" i="59"/>
  <c r="AS645" i="59"/>
  <c r="AK645" i="59"/>
  <c r="AC645" i="59"/>
  <c r="IL645" i="59"/>
  <c r="EO645" i="59"/>
  <c r="DY645" i="59"/>
  <c r="DI645" i="59"/>
  <c r="CS645" i="59"/>
  <c r="CC645" i="59"/>
  <c r="BM645" i="59"/>
  <c r="AW645" i="59"/>
  <c r="AG645" i="59"/>
  <c r="IY645" i="59"/>
  <c r="II645" i="59"/>
  <c r="ED645" i="59"/>
  <c r="DN645" i="59"/>
  <c r="CX645" i="59"/>
  <c r="CH645" i="59"/>
  <c r="BR645" i="59"/>
  <c r="BB645" i="59"/>
  <c r="AL645" i="59"/>
  <c r="V645" i="59"/>
  <c r="IG642" i="59"/>
  <c r="IC642" i="59"/>
  <c r="ID642" i="59"/>
  <c r="IF642" i="59"/>
  <c r="IE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V641" i="59"/>
  <c r="IN641" i="59"/>
  <c r="EQ641" i="59"/>
  <c r="EI641" i="59"/>
  <c r="EA641" i="59"/>
  <c r="DS641" i="59"/>
  <c r="DK641" i="59"/>
  <c r="DC641" i="59"/>
  <c r="CU641" i="59"/>
  <c r="CM641" i="59"/>
  <c r="CE641" i="59"/>
  <c r="BW641" i="59"/>
  <c r="BO641" i="59"/>
  <c r="BG641" i="59"/>
  <c r="AY641" i="59"/>
  <c r="AQ641" i="59"/>
  <c r="AI641" i="59"/>
  <c r="AA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Z641" i="59"/>
  <c r="IR641" i="59"/>
  <c r="IJ641" i="59"/>
  <c r="EU641" i="59"/>
  <c r="EM641" i="59"/>
  <c r="EE641" i="59"/>
  <c r="DW641" i="59"/>
  <c r="DO641" i="59"/>
  <c r="DG641" i="59"/>
  <c r="CY641" i="59"/>
  <c r="CQ641" i="59"/>
  <c r="CI641" i="59"/>
  <c r="CA641" i="59"/>
  <c r="BS641" i="59"/>
  <c r="BK641" i="59"/>
  <c r="BC641" i="59"/>
  <c r="AU641" i="59"/>
  <c r="AM641" i="59"/>
  <c r="AE641" i="59"/>
  <c r="W641" i="59"/>
  <c r="IQ641" i="59"/>
  <c r="ET641" i="59"/>
  <c r="ED641" i="59"/>
  <c r="DN641" i="59"/>
  <c r="CX641" i="59"/>
  <c r="CH641" i="59"/>
  <c r="BR641" i="59"/>
  <c r="BB641" i="59"/>
  <c r="AL641" i="59"/>
  <c r="V641" i="59"/>
  <c r="EP641" i="59"/>
  <c r="DJ641" i="59"/>
  <c r="CD641" i="59"/>
  <c r="AX641" i="59"/>
  <c r="II641" i="59"/>
  <c r="DV641" i="59"/>
  <c r="CP641" i="59"/>
  <c r="BJ641" i="59"/>
  <c r="AD641" i="59"/>
  <c r="IU641" i="59"/>
  <c r="EH641" i="59"/>
  <c r="DR641" i="59"/>
  <c r="DB641" i="59"/>
  <c r="CL641" i="59"/>
  <c r="BV641" i="59"/>
  <c r="BF641" i="59"/>
  <c r="AP641" i="59"/>
  <c r="Z641" i="59"/>
  <c r="IM641" i="59"/>
  <c r="DZ641" i="59"/>
  <c r="CT641" i="59"/>
  <c r="BN641" i="59"/>
  <c r="AH641" i="59"/>
  <c r="IY641" i="59"/>
  <c r="EL641" i="59"/>
  <c r="DF641" i="59"/>
  <c r="BZ641" i="59"/>
  <c r="AT641" i="59"/>
  <c r="ID638" i="59"/>
  <c r="IG638" i="59"/>
  <c r="IE638" i="59"/>
  <c r="IC638" i="59"/>
  <c r="IF638"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V637" i="59"/>
  <c r="IN637" i="59"/>
  <c r="EQ637" i="59"/>
  <c r="EI637" i="59"/>
  <c r="EA637" i="59"/>
  <c r="DS637" i="59"/>
  <c r="DK637" i="59"/>
  <c r="DC637" i="59"/>
  <c r="CU637" i="59"/>
  <c r="CM637" i="59"/>
  <c r="CE637" i="59"/>
  <c r="BW637" i="59"/>
  <c r="BO637" i="59"/>
  <c r="BG637" i="59"/>
  <c r="AY637" i="59"/>
  <c r="AQ637" i="59"/>
  <c r="AI637" i="59"/>
  <c r="AA637"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IZ637" i="59"/>
  <c r="IR637" i="59"/>
  <c r="IJ637" i="59"/>
  <c r="EU637" i="59"/>
  <c r="EM637" i="59"/>
  <c r="EE637" i="59"/>
  <c r="DW637" i="59"/>
  <c r="DO637" i="59"/>
  <c r="DG637" i="59"/>
  <c r="CY637" i="59"/>
  <c r="CQ637" i="59"/>
  <c r="CI637" i="59"/>
  <c r="CA637" i="59"/>
  <c r="BS637" i="59"/>
  <c r="BK637" i="59"/>
  <c r="BC637" i="59"/>
  <c r="AU637" i="59"/>
  <c r="AM637" i="59"/>
  <c r="AE637" i="59"/>
  <c r="W637" i="59"/>
  <c r="IM637" i="59"/>
  <c r="EP637" i="59"/>
  <c r="DZ637" i="59"/>
  <c r="DJ637" i="59"/>
  <c r="CT637" i="59"/>
  <c r="CD637" i="59"/>
  <c r="BN637" i="59"/>
  <c r="AX637" i="59"/>
  <c r="AH637" i="59"/>
  <c r="II637" i="59"/>
  <c r="DV637" i="59"/>
  <c r="CP637" i="59"/>
  <c r="BJ637" i="59"/>
  <c r="AD637" i="59"/>
  <c r="IU637" i="59"/>
  <c r="EH637" i="59"/>
  <c r="DB637" i="59"/>
  <c r="BV637" i="59"/>
  <c r="AP637" i="59"/>
  <c r="IQ637" i="59"/>
  <c r="ET637" i="59"/>
  <c r="ED637" i="59"/>
  <c r="DN637" i="59"/>
  <c r="CX637" i="59"/>
  <c r="CH637" i="59"/>
  <c r="BR637" i="59"/>
  <c r="BB637" i="59"/>
  <c r="AL637" i="59"/>
  <c r="V637" i="59"/>
  <c r="IY637" i="59"/>
  <c r="EL637" i="59"/>
  <c r="DF637" i="59"/>
  <c r="BZ637" i="59"/>
  <c r="AT637" i="59"/>
  <c r="DR637" i="59"/>
  <c r="CL637" i="59"/>
  <c r="BF637" i="59"/>
  <c r="Z637" i="59"/>
  <c r="P789" i="59"/>
  <c r="HZ635" i="59"/>
  <c r="EV633" i="59"/>
  <c r="FD633" i="59"/>
  <c r="FL633" i="59"/>
  <c r="FT633" i="59"/>
  <c r="GB633" i="59"/>
  <c r="GJ633" i="59"/>
  <c r="GR633" i="59"/>
  <c r="GZ633" i="59"/>
  <c r="HH633" i="59"/>
  <c r="HP633" i="59"/>
  <c r="HX633" i="59"/>
  <c r="HV633" i="59"/>
  <c r="JM633" i="59"/>
  <c r="EX633" i="59"/>
  <c r="FF633" i="59"/>
  <c r="FN633" i="59"/>
  <c r="FV633" i="59"/>
  <c r="GD633" i="59"/>
  <c r="GL633" i="59"/>
  <c r="GT633" i="59"/>
  <c r="HB633" i="59"/>
  <c r="HJ633" i="59"/>
  <c r="HR633" i="59"/>
  <c r="FB631" i="59"/>
  <c r="FR631" i="59"/>
  <c r="GH631" i="59"/>
  <c r="GX631" i="59"/>
  <c r="HN631" i="59"/>
  <c r="JJ631" i="59"/>
  <c r="FF631" i="59"/>
  <c r="FV631" i="59"/>
  <c r="GL631" i="59"/>
  <c r="HB631" i="59"/>
  <c r="HR631" i="59"/>
  <c r="FG632" i="59"/>
  <c r="GM632" i="59"/>
  <c r="FC635" i="59"/>
  <c r="FI635" i="59"/>
  <c r="FN635" i="59"/>
  <c r="FS635" i="59"/>
  <c r="FY635" i="59"/>
  <c r="GD635" i="59"/>
  <c r="GI635" i="59"/>
  <c r="GO635" i="59"/>
  <c r="GT635" i="59"/>
  <c r="GY635" i="59"/>
  <c r="HE635" i="59"/>
  <c r="HN635" i="59"/>
  <c r="HS635" i="59"/>
  <c r="JN633" i="59"/>
  <c r="JM631" i="59"/>
  <c r="EW633" i="59"/>
  <c r="EY633" i="59"/>
  <c r="FA633" i="59"/>
  <c r="FC633" i="59"/>
  <c r="FE633" i="59"/>
  <c r="FG633" i="59"/>
  <c r="FI633" i="59"/>
  <c r="FK633" i="59"/>
  <c r="FM633" i="59"/>
  <c r="FO633" i="59"/>
  <c r="FQ633" i="59"/>
  <c r="FS633" i="59"/>
  <c r="FU633" i="59"/>
  <c r="FW633" i="59"/>
  <c r="FY633" i="59"/>
  <c r="GA633" i="59"/>
  <c r="GC633" i="59"/>
  <c r="GE633" i="59"/>
  <c r="GG633" i="59"/>
  <c r="GI633" i="59"/>
  <c r="GK633" i="59"/>
  <c r="GM633" i="59"/>
  <c r="GO633" i="59"/>
  <c r="GQ633" i="59"/>
  <c r="GS633" i="59"/>
  <c r="GU633" i="59"/>
  <c r="GW633" i="59"/>
  <c r="GY633" i="59"/>
  <c r="HA633" i="59"/>
  <c r="HC633" i="59"/>
  <c r="HE633" i="59"/>
  <c r="HG633" i="59"/>
  <c r="HI633" i="59"/>
  <c r="HK633" i="59"/>
  <c r="HM633" i="59"/>
  <c r="HO633" i="59"/>
  <c r="HQ633" i="59"/>
  <c r="HS633" i="59"/>
  <c r="HU633" i="59"/>
  <c r="HW633" i="59"/>
  <c r="HY633" i="59"/>
  <c r="IA633" i="59"/>
  <c r="JJ633" i="59"/>
  <c r="EW631" i="59"/>
  <c r="FA631" i="59"/>
  <c r="FE631" i="59"/>
  <c r="FI631" i="59"/>
  <c r="FM631" i="59"/>
  <c r="FQ631" i="59"/>
  <c r="FU631" i="59"/>
  <c r="FY631" i="59"/>
  <c r="GC631" i="59"/>
  <c r="GG631" i="59"/>
  <c r="GK631" i="59"/>
  <c r="GO631" i="59"/>
  <c r="GS631" i="59"/>
  <c r="GW631" i="59"/>
  <c r="HA631" i="59"/>
  <c r="HE631" i="59"/>
  <c r="HI631" i="59"/>
  <c r="HM631" i="59"/>
  <c r="HQ631" i="59"/>
  <c r="HU631" i="59"/>
  <c r="HY631" i="59"/>
  <c r="JI631" i="59"/>
  <c r="FL630" i="59"/>
  <c r="K632" i="59"/>
  <c r="L632" i="59" s="1"/>
  <c r="K630" i="59"/>
  <c r="L630" i="59" s="1"/>
  <c r="DB635" i="59"/>
  <c r="CZ635" i="59"/>
  <c r="CX635" i="59"/>
  <c r="CV635" i="59"/>
  <c r="CT635" i="59"/>
  <c r="BX635" i="59"/>
  <c r="BV635" i="59"/>
  <c r="BT635" i="59"/>
  <c r="DA635" i="59"/>
  <c r="CY635" i="59"/>
  <c r="CW635" i="59"/>
  <c r="CU635" i="59"/>
  <c r="CS635" i="59"/>
  <c r="BW635" i="59"/>
  <c r="BU635" i="59"/>
  <c r="DA634" i="59"/>
  <c r="CY634" i="59"/>
  <c r="CW634" i="59"/>
  <c r="CU634" i="59"/>
  <c r="CS634" i="59"/>
  <c r="BW634" i="59"/>
  <c r="BU634" i="59"/>
  <c r="DB634" i="59"/>
  <c r="CZ634" i="59"/>
  <c r="CX634" i="59"/>
  <c r="CV634" i="59"/>
  <c r="CT634" i="59"/>
  <c r="BX634" i="59"/>
  <c r="BV634" i="59"/>
  <c r="BT634" i="59"/>
  <c r="DB633" i="59"/>
  <c r="CZ633" i="59"/>
  <c r="CX633" i="59"/>
  <c r="CV633" i="59"/>
  <c r="CT633" i="59"/>
  <c r="BX633" i="59"/>
  <c r="BV633" i="59"/>
  <c r="BT633" i="59"/>
  <c r="DA633" i="59"/>
  <c r="CY633" i="59"/>
  <c r="CW633" i="59"/>
  <c r="CU633" i="59"/>
  <c r="CS633" i="59"/>
  <c r="BW633" i="59"/>
  <c r="BU633" i="59"/>
  <c r="DA632" i="59"/>
  <c r="CY632" i="59"/>
  <c r="CW632" i="59"/>
  <c r="CU632" i="59"/>
  <c r="CS632" i="59"/>
  <c r="BW632" i="59"/>
  <c r="BU632" i="59"/>
  <c r="DB632" i="59"/>
  <c r="CZ632" i="59"/>
  <c r="CX632" i="59"/>
  <c r="CV632" i="59"/>
  <c r="CT632" i="59"/>
  <c r="BX632" i="59"/>
  <c r="BV632" i="59"/>
  <c r="BT632" i="59"/>
  <c r="FK632" i="59"/>
  <c r="GA632" i="59"/>
  <c r="GQ632" i="59"/>
  <c r="HG632" i="59"/>
  <c r="HW632" i="59"/>
  <c r="DB631" i="59"/>
  <c r="CZ631" i="59"/>
  <c r="CX631" i="59"/>
  <c r="CV631" i="59"/>
  <c r="CT631" i="59"/>
  <c r="BX631" i="59"/>
  <c r="BV631" i="59"/>
  <c r="BT631" i="59"/>
  <c r="DA631" i="59"/>
  <c r="CY631" i="59"/>
  <c r="CW631" i="59"/>
  <c r="CU631" i="59"/>
  <c r="CS631" i="59"/>
  <c r="BW631" i="59"/>
  <c r="BU631" i="59"/>
  <c r="DA630" i="59"/>
  <c r="CY630" i="59"/>
  <c r="CW630" i="59"/>
  <c r="CU630" i="59"/>
  <c r="CS630" i="59"/>
  <c r="BW630" i="59"/>
  <c r="BU630" i="59"/>
  <c r="DB630" i="59"/>
  <c r="CZ630" i="59"/>
  <c r="CX630" i="59"/>
  <c r="CV630" i="59"/>
  <c r="CT630" i="59"/>
  <c r="BX630" i="59"/>
  <c r="BV630" i="59"/>
  <c r="BT630" i="59"/>
  <c r="JA635" i="59"/>
  <c r="IY635" i="59"/>
  <c r="IW635" i="59"/>
  <c r="IU635" i="59"/>
  <c r="IS635" i="59"/>
  <c r="IQ635" i="59"/>
  <c r="IO635" i="59"/>
  <c r="IM635" i="59"/>
  <c r="IK635" i="59"/>
  <c r="II635" i="59"/>
  <c r="IG635" i="59"/>
  <c r="IE635" i="59"/>
  <c r="IC635" i="59"/>
  <c r="ET635" i="59"/>
  <c r="ER635" i="59"/>
  <c r="EP635" i="59"/>
  <c r="EN635" i="59"/>
  <c r="EL635" i="59"/>
  <c r="EJ635" i="59"/>
  <c r="EH635" i="59"/>
  <c r="EF635" i="59"/>
  <c r="ED635" i="59"/>
  <c r="EB635" i="59"/>
  <c r="DZ635" i="59"/>
  <c r="DX635" i="59"/>
  <c r="DV635" i="59"/>
  <c r="DT635" i="59"/>
  <c r="DR635" i="59"/>
  <c r="DP635" i="59"/>
  <c r="DN635" i="59"/>
  <c r="DL635" i="59"/>
  <c r="DJ635" i="59"/>
  <c r="DH635" i="59"/>
  <c r="DF635" i="59"/>
  <c r="DD635" i="59"/>
  <c r="CR635" i="59"/>
  <c r="CP635" i="59"/>
  <c r="CN635" i="59"/>
  <c r="CL635" i="59"/>
  <c r="CJ635" i="59"/>
  <c r="CH635" i="59"/>
  <c r="CF635" i="59"/>
  <c r="CD635" i="59"/>
  <c r="CB635" i="59"/>
  <c r="BZ635" i="59"/>
  <c r="BR635" i="59"/>
  <c r="BP635" i="59"/>
  <c r="BN635" i="59"/>
  <c r="BL635" i="59"/>
  <c r="BJ635" i="59"/>
  <c r="BH635" i="59"/>
  <c r="BF635" i="59"/>
  <c r="BD635" i="59"/>
  <c r="BB635" i="59"/>
  <c r="AZ635" i="59"/>
  <c r="AX635" i="59"/>
  <c r="AV635" i="59"/>
  <c r="AT635" i="59"/>
  <c r="AR635" i="59"/>
  <c r="AP635" i="59"/>
  <c r="AN635" i="59"/>
  <c r="AL635" i="59"/>
  <c r="AJ635" i="59"/>
  <c r="AH635" i="59"/>
  <c r="AF635" i="59"/>
  <c r="AD635" i="59"/>
  <c r="AB635" i="59"/>
  <c r="Z635" i="59"/>
  <c r="X635" i="59"/>
  <c r="V635" i="59"/>
  <c r="IZ635" i="59"/>
  <c r="IX635" i="59"/>
  <c r="IV635" i="59"/>
  <c r="IT635" i="59"/>
  <c r="IR635" i="59"/>
  <c r="IP635" i="59"/>
  <c r="IN635" i="59"/>
  <c r="IL635" i="59"/>
  <c r="IJ635" i="59"/>
  <c r="IH635" i="59"/>
  <c r="IF635" i="59"/>
  <c r="ID635" i="59"/>
  <c r="EU635" i="59"/>
  <c r="ES635" i="59"/>
  <c r="EQ635" i="59"/>
  <c r="EO635" i="59"/>
  <c r="EM635" i="59"/>
  <c r="EK635" i="59"/>
  <c r="EI635" i="59"/>
  <c r="EG635" i="59"/>
  <c r="EE635" i="59"/>
  <c r="EC635" i="59"/>
  <c r="EA635" i="59"/>
  <c r="DY635" i="59"/>
  <c r="DW635" i="59"/>
  <c r="DU635" i="59"/>
  <c r="DS635" i="59"/>
  <c r="DQ635" i="59"/>
  <c r="DO635" i="59"/>
  <c r="DM635" i="59"/>
  <c r="DK635" i="59"/>
  <c r="DI635" i="59"/>
  <c r="DG635" i="59"/>
  <c r="DE635" i="59"/>
  <c r="DC635" i="59"/>
  <c r="CQ635" i="59"/>
  <c r="CO635" i="59"/>
  <c r="CM635" i="59"/>
  <c r="CK635" i="59"/>
  <c r="CI635" i="59"/>
  <c r="CG635" i="59"/>
  <c r="CE635" i="59"/>
  <c r="CC635" i="59"/>
  <c r="CA635" i="59"/>
  <c r="BY635" i="59"/>
  <c r="BS635" i="59"/>
  <c r="BQ635" i="59"/>
  <c r="BO635" i="59"/>
  <c r="BM635" i="59"/>
  <c r="BK635" i="59"/>
  <c r="BI635" i="59"/>
  <c r="BG635" i="59"/>
  <c r="BE635" i="59"/>
  <c r="BC635" i="59"/>
  <c r="BA635" i="59"/>
  <c r="AY635" i="59"/>
  <c r="AW635" i="59"/>
  <c r="AU635" i="59"/>
  <c r="AS635" i="59"/>
  <c r="AQ635" i="59"/>
  <c r="AO635" i="59"/>
  <c r="AM635" i="59"/>
  <c r="AK635" i="59"/>
  <c r="AI635" i="59"/>
  <c r="AG635" i="59"/>
  <c r="AE635" i="59"/>
  <c r="AC635" i="59"/>
  <c r="AA635" i="59"/>
  <c r="Y635" i="59"/>
  <c r="W635" i="59"/>
  <c r="IZ634" i="59"/>
  <c r="IX634" i="59"/>
  <c r="IV634" i="59"/>
  <c r="IT634" i="59"/>
  <c r="IR634" i="59"/>
  <c r="IP634" i="59"/>
  <c r="IN634" i="59"/>
  <c r="IL634" i="59"/>
  <c r="IJ634" i="59"/>
  <c r="IH634" i="59"/>
  <c r="IF634" i="59"/>
  <c r="ID634" i="59"/>
  <c r="EU634" i="59"/>
  <c r="ES634" i="59"/>
  <c r="EQ634" i="59"/>
  <c r="EO634" i="59"/>
  <c r="EM634" i="59"/>
  <c r="EK634" i="59"/>
  <c r="EI634" i="59"/>
  <c r="EG634" i="59"/>
  <c r="EE634" i="59"/>
  <c r="EC634" i="59"/>
  <c r="EA634" i="59"/>
  <c r="DY634" i="59"/>
  <c r="DW634" i="59"/>
  <c r="DU634" i="59"/>
  <c r="DS634" i="59"/>
  <c r="DQ634" i="59"/>
  <c r="DO634" i="59"/>
  <c r="DM634" i="59"/>
  <c r="DK634" i="59"/>
  <c r="DI634" i="59"/>
  <c r="DG634" i="59"/>
  <c r="DE634" i="59"/>
  <c r="DC634" i="59"/>
  <c r="CQ634" i="59"/>
  <c r="CO634" i="59"/>
  <c r="CM634" i="59"/>
  <c r="CK634" i="59"/>
  <c r="CI634" i="59"/>
  <c r="CG634" i="59"/>
  <c r="CE634" i="59"/>
  <c r="CC634" i="59"/>
  <c r="CA634" i="59"/>
  <c r="BY634" i="59"/>
  <c r="BS634" i="59"/>
  <c r="BQ634" i="59"/>
  <c r="BO634" i="59"/>
  <c r="BM634" i="59"/>
  <c r="BK634" i="59"/>
  <c r="BI634" i="59"/>
  <c r="BG634" i="59"/>
  <c r="BE634" i="59"/>
  <c r="BC634" i="59"/>
  <c r="BA634" i="59"/>
  <c r="AY634" i="59"/>
  <c r="AW634" i="59"/>
  <c r="AU634" i="59"/>
  <c r="AS634" i="59"/>
  <c r="AQ634" i="59"/>
  <c r="AO634" i="59"/>
  <c r="AM634" i="59"/>
  <c r="AK634" i="59"/>
  <c r="AI634" i="59"/>
  <c r="AG634" i="59"/>
  <c r="AE634" i="59"/>
  <c r="AC634" i="59"/>
  <c r="AA634" i="59"/>
  <c r="Y634" i="59"/>
  <c r="W634" i="59"/>
  <c r="JA634" i="59"/>
  <c r="IY634" i="59"/>
  <c r="IW634" i="59"/>
  <c r="IU634" i="59"/>
  <c r="IS634" i="59"/>
  <c r="IQ634" i="59"/>
  <c r="IO634" i="59"/>
  <c r="IM634" i="59"/>
  <c r="IK634" i="59"/>
  <c r="II634" i="59"/>
  <c r="IG634" i="59"/>
  <c r="IE634" i="59"/>
  <c r="IC634" i="59"/>
  <c r="ET634" i="59"/>
  <c r="ER634" i="59"/>
  <c r="EP634" i="59"/>
  <c r="EN634" i="59"/>
  <c r="EL634" i="59"/>
  <c r="EJ634" i="59"/>
  <c r="EH634" i="59"/>
  <c r="EF634" i="59"/>
  <c r="ED634" i="59"/>
  <c r="EB634" i="59"/>
  <c r="DZ634" i="59"/>
  <c r="DX634" i="59"/>
  <c r="DV634" i="59"/>
  <c r="DT634" i="59"/>
  <c r="DR634" i="59"/>
  <c r="DP634" i="59"/>
  <c r="DN634" i="59"/>
  <c r="DL634" i="59"/>
  <c r="DJ634" i="59"/>
  <c r="DH634" i="59"/>
  <c r="DF634" i="59"/>
  <c r="DD634" i="59"/>
  <c r="CR634" i="59"/>
  <c r="CP634" i="59"/>
  <c r="CN634" i="59"/>
  <c r="CL634" i="59"/>
  <c r="CJ634" i="59"/>
  <c r="CH634" i="59"/>
  <c r="CF634" i="59"/>
  <c r="CD634" i="59"/>
  <c r="CB634" i="59"/>
  <c r="BZ634" i="59"/>
  <c r="BR634" i="59"/>
  <c r="BP634" i="59"/>
  <c r="BN634" i="59"/>
  <c r="BL634" i="59"/>
  <c r="BJ634" i="59"/>
  <c r="BH634" i="59"/>
  <c r="BF634" i="59"/>
  <c r="BD634" i="59"/>
  <c r="BB634" i="59"/>
  <c r="AZ634" i="59"/>
  <c r="AX634" i="59"/>
  <c r="AV634" i="59"/>
  <c r="AT634" i="59"/>
  <c r="AR634" i="59"/>
  <c r="AP634" i="59"/>
  <c r="AN634" i="59"/>
  <c r="AL634" i="59"/>
  <c r="AJ634" i="59"/>
  <c r="AH634" i="59"/>
  <c r="AF634" i="59"/>
  <c r="AD634" i="59"/>
  <c r="AB634" i="59"/>
  <c r="Z634" i="59"/>
  <c r="X634" i="59"/>
  <c r="V634" i="59"/>
  <c r="JA633" i="59"/>
  <c r="IY633" i="59"/>
  <c r="IW633" i="59"/>
  <c r="IU633" i="59"/>
  <c r="IS633" i="59"/>
  <c r="IQ633" i="59"/>
  <c r="IO633" i="59"/>
  <c r="IM633" i="59"/>
  <c r="IK633" i="59"/>
  <c r="II633" i="59"/>
  <c r="IG633" i="59"/>
  <c r="IE633" i="59"/>
  <c r="IC633" i="59"/>
  <c r="ET633" i="59"/>
  <c r="ER633" i="59"/>
  <c r="EP633" i="59"/>
  <c r="EN633" i="59"/>
  <c r="EL633" i="59"/>
  <c r="EJ633" i="59"/>
  <c r="EH633" i="59"/>
  <c r="EF633" i="59"/>
  <c r="ED633" i="59"/>
  <c r="EB633" i="59"/>
  <c r="DZ633" i="59"/>
  <c r="DX633" i="59"/>
  <c r="DV633" i="59"/>
  <c r="DT633" i="59"/>
  <c r="DR633" i="59"/>
  <c r="DP633" i="59"/>
  <c r="DN633" i="59"/>
  <c r="DL633" i="59"/>
  <c r="DJ633" i="59"/>
  <c r="DH633" i="59"/>
  <c r="DF633" i="59"/>
  <c r="DD633" i="59"/>
  <c r="CR633" i="59"/>
  <c r="CP633" i="59"/>
  <c r="CN633" i="59"/>
  <c r="CL633" i="59"/>
  <c r="CJ633" i="59"/>
  <c r="CH633" i="59"/>
  <c r="CF633" i="59"/>
  <c r="CD633" i="59"/>
  <c r="CB633" i="59"/>
  <c r="BZ633" i="59"/>
  <c r="BR633" i="59"/>
  <c r="BP633" i="59"/>
  <c r="BN633" i="59"/>
  <c r="BL633" i="59"/>
  <c r="BJ633" i="59"/>
  <c r="BH633" i="59"/>
  <c r="BF633" i="59"/>
  <c r="BD633" i="59"/>
  <c r="BB633" i="59"/>
  <c r="AZ633" i="59"/>
  <c r="AX633" i="59"/>
  <c r="AV633" i="59"/>
  <c r="AT633" i="59"/>
  <c r="AR633" i="59"/>
  <c r="AP633" i="59"/>
  <c r="AN633" i="59"/>
  <c r="AL633" i="59"/>
  <c r="AJ633" i="59"/>
  <c r="AH633" i="59"/>
  <c r="AF633" i="59"/>
  <c r="AD633" i="59"/>
  <c r="AB633" i="59"/>
  <c r="Z633" i="59"/>
  <c r="X633" i="59"/>
  <c r="V633" i="59"/>
  <c r="IZ633" i="59"/>
  <c r="IX633" i="59"/>
  <c r="IV633" i="59"/>
  <c r="IT633" i="59"/>
  <c r="IR633" i="59"/>
  <c r="IP633" i="59"/>
  <c r="IN633" i="59"/>
  <c r="IL633" i="59"/>
  <c r="IJ633" i="59"/>
  <c r="IH633" i="59"/>
  <c r="IF633" i="59"/>
  <c r="ID633" i="59"/>
  <c r="EU633" i="59"/>
  <c r="ES633" i="59"/>
  <c r="EQ633" i="59"/>
  <c r="EO633" i="59"/>
  <c r="EM633" i="59"/>
  <c r="EK633" i="59"/>
  <c r="EI633" i="59"/>
  <c r="EG633" i="59"/>
  <c r="EE633" i="59"/>
  <c r="EC633" i="59"/>
  <c r="EA633" i="59"/>
  <c r="DY633" i="59"/>
  <c r="DW633" i="59"/>
  <c r="DU633" i="59"/>
  <c r="DS633" i="59"/>
  <c r="DQ633" i="59"/>
  <c r="DO633" i="59"/>
  <c r="DM633" i="59"/>
  <c r="DK633" i="59"/>
  <c r="DI633" i="59"/>
  <c r="DG633" i="59"/>
  <c r="DE633" i="59"/>
  <c r="DC633" i="59"/>
  <c r="CQ633" i="59"/>
  <c r="CO633" i="59"/>
  <c r="CM633" i="59"/>
  <c r="CK633" i="59"/>
  <c r="CI633" i="59"/>
  <c r="CG633" i="59"/>
  <c r="CE633" i="59"/>
  <c r="CC633" i="59"/>
  <c r="CA633" i="59"/>
  <c r="BY633" i="59"/>
  <c r="BS633" i="59"/>
  <c r="BQ633" i="59"/>
  <c r="BO633" i="59"/>
  <c r="BM633" i="59"/>
  <c r="BK633" i="59"/>
  <c r="BI633" i="59"/>
  <c r="BG633" i="59"/>
  <c r="BE633" i="59"/>
  <c r="BC633" i="59"/>
  <c r="BA633" i="59"/>
  <c r="AY633" i="59"/>
  <c r="AW633" i="59"/>
  <c r="AU633" i="59"/>
  <c r="AS633" i="59"/>
  <c r="AQ633" i="59"/>
  <c r="AO633" i="59"/>
  <c r="AM633" i="59"/>
  <c r="AK633" i="59"/>
  <c r="AI633" i="59"/>
  <c r="AG633" i="59"/>
  <c r="AE633" i="59"/>
  <c r="AC633" i="59"/>
  <c r="AA633" i="59"/>
  <c r="Y633" i="59"/>
  <c r="W633" i="59"/>
  <c r="IZ632" i="59"/>
  <c r="IX632" i="59"/>
  <c r="IV632" i="59"/>
  <c r="IT632" i="59"/>
  <c r="IR632" i="59"/>
  <c r="IP632" i="59"/>
  <c r="IN632" i="59"/>
  <c r="IL632" i="59"/>
  <c r="IJ632" i="59"/>
  <c r="IH632" i="59"/>
  <c r="IF632" i="59"/>
  <c r="ID632" i="59"/>
  <c r="EU632" i="59"/>
  <c r="ES632" i="59"/>
  <c r="EQ632" i="59"/>
  <c r="EO632" i="59"/>
  <c r="EM632" i="59"/>
  <c r="EK632" i="59"/>
  <c r="EI632" i="59"/>
  <c r="EG632" i="59"/>
  <c r="EE632" i="59"/>
  <c r="EC632" i="59"/>
  <c r="EA632" i="59"/>
  <c r="DY632" i="59"/>
  <c r="DW632" i="59"/>
  <c r="DU632" i="59"/>
  <c r="DS632" i="59"/>
  <c r="DQ632" i="59"/>
  <c r="DO632" i="59"/>
  <c r="DM632" i="59"/>
  <c r="DK632" i="59"/>
  <c r="DI632" i="59"/>
  <c r="DG632" i="59"/>
  <c r="DE632" i="59"/>
  <c r="DC632" i="59"/>
  <c r="CQ632" i="59"/>
  <c r="CO632" i="59"/>
  <c r="CM632" i="59"/>
  <c r="CK632" i="59"/>
  <c r="CI632" i="59"/>
  <c r="CG632" i="59"/>
  <c r="CE632" i="59"/>
  <c r="CC632" i="59"/>
  <c r="CA632" i="59"/>
  <c r="BY632" i="59"/>
  <c r="BS632" i="59"/>
  <c r="BQ632" i="59"/>
  <c r="BO632" i="59"/>
  <c r="BM632" i="59"/>
  <c r="BK632" i="59"/>
  <c r="BI632" i="59"/>
  <c r="BG632" i="59"/>
  <c r="BE632" i="59"/>
  <c r="BC632" i="59"/>
  <c r="BA632" i="59"/>
  <c r="AY632" i="59"/>
  <c r="AW632" i="59"/>
  <c r="AU632" i="59"/>
  <c r="AS632" i="59"/>
  <c r="AQ632" i="59"/>
  <c r="AO632" i="59"/>
  <c r="AM632" i="59"/>
  <c r="AK632" i="59"/>
  <c r="AI632" i="59"/>
  <c r="AG632" i="59"/>
  <c r="AE632" i="59"/>
  <c r="AC632" i="59"/>
  <c r="AA632" i="59"/>
  <c r="Y632" i="59"/>
  <c r="W632" i="59"/>
  <c r="JA632" i="59"/>
  <c r="IY632" i="59"/>
  <c r="IW632" i="59"/>
  <c r="IU632" i="59"/>
  <c r="IS632" i="59"/>
  <c r="IQ632" i="59"/>
  <c r="IO632" i="59"/>
  <c r="IM632" i="59"/>
  <c r="IK632" i="59"/>
  <c r="II632" i="59"/>
  <c r="IG632" i="59"/>
  <c r="IE632" i="59"/>
  <c r="IC632" i="59"/>
  <c r="ET632" i="59"/>
  <c r="ER632" i="59"/>
  <c r="EN632" i="59"/>
  <c r="EJ632" i="59"/>
  <c r="EF632" i="59"/>
  <c r="EB632" i="59"/>
  <c r="DX632" i="59"/>
  <c r="DT632" i="59"/>
  <c r="DP632" i="59"/>
  <c r="DL632" i="59"/>
  <c r="DH632" i="59"/>
  <c r="DD632" i="59"/>
  <c r="CP632" i="59"/>
  <c r="CL632" i="59"/>
  <c r="CH632" i="59"/>
  <c r="CD632" i="59"/>
  <c r="BZ632" i="59"/>
  <c r="BR632" i="59"/>
  <c r="BN632" i="59"/>
  <c r="BJ632" i="59"/>
  <c r="BF632" i="59"/>
  <c r="BB632" i="59"/>
  <c r="AX632" i="59"/>
  <c r="AT632" i="59"/>
  <c r="AP632" i="59"/>
  <c r="AL632" i="59"/>
  <c r="AH632" i="59"/>
  <c r="AD632" i="59"/>
  <c r="Z632" i="59"/>
  <c r="V632" i="59"/>
  <c r="X632" i="59"/>
  <c r="EP632" i="59"/>
  <c r="EL632" i="59"/>
  <c r="EH632" i="59"/>
  <c r="ED632" i="59"/>
  <c r="DZ632" i="59"/>
  <c r="DV632" i="59"/>
  <c r="DR632" i="59"/>
  <c r="DN632" i="59"/>
  <c r="DJ632" i="59"/>
  <c r="DF632" i="59"/>
  <c r="CR632" i="59"/>
  <c r="CN632" i="59"/>
  <c r="CJ632" i="59"/>
  <c r="CF632" i="59"/>
  <c r="CB632" i="59"/>
  <c r="BP632" i="59"/>
  <c r="BL632" i="59"/>
  <c r="BH632" i="59"/>
  <c r="BD632" i="59"/>
  <c r="AZ632" i="59"/>
  <c r="AV632" i="59"/>
  <c r="AR632" i="59"/>
  <c r="AN632" i="59"/>
  <c r="AJ632" i="59"/>
  <c r="AF632" i="59"/>
  <c r="AB632" i="59"/>
  <c r="A632" i="59"/>
  <c r="JA631" i="59"/>
  <c r="IY631" i="59"/>
  <c r="IW631" i="59"/>
  <c r="IU631" i="59"/>
  <c r="IS631" i="59"/>
  <c r="IQ631" i="59"/>
  <c r="IO631" i="59"/>
  <c r="IM631" i="59"/>
  <c r="IK631" i="59"/>
  <c r="II631" i="59"/>
  <c r="IG631" i="59"/>
  <c r="IE631" i="59"/>
  <c r="IC631" i="59"/>
  <c r="ET631" i="59"/>
  <c r="ER631" i="59"/>
  <c r="EP631" i="59"/>
  <c r="EN631" i="59"/>
  <c r="EL631" i="59"/>
  <c r="EJ631" i="59"/>
  <c r="EH631" i="59"/>
  <c r="EF631" i="59"/>
  <c r="ED631" i="59"/>
  <c r="EB631" i="59"/>
  <c r="DZ631" i="59"/>
  <c r="DX631" i="59"/>
  <c r="DV631" i="59"/>
  <c r="DT631" i="59"/>
  <c r="DR631" i="59"/>
  <c r="DP631" i="59"/>
  <c r="DN631" i="59"/>
  <c r="DL631" i="59"/>
  <c r="DJ631" i="59"/>
  <c r="DH631" i="59"/>
  <c r="DF631" i="59"/>
  <c r="DD631" i="59"/>
  <c r="CR631" i="59"/>
  <c r="CP631" i="59"/>
  <c r="CN631" i="59"/>
  <c r="CL631" i="59"/>
  <c r="CJ631" i="59"/>
  <c r="CH631" i="59"/>
  <c r="CF631" i="59"/>
  <c r="CD631" i="59"/>
  <c r="CB631" i="59"/>
  <c r="BZ631" i="59"/>
  <c r="BR631" i="59"/>
  <c r="BP631" i="59"/>
  <c r="BN631" i="59"/>
  <c r="BL631" i="59"/>
  <c r="BJ631" i="59"/>
  <c r="BH631" i="59"/>
  <c r="BF631" i="59"/>
  <c r="BD631" i="59"/>
  <c r="BB631" i="59"/>
  <c r="AZ631" i="59"/>
  <c r="AX631" i="59"/>
  <c r="AV631" i="59"/>
  <c r="AT631" i="59"/>
  <c r="AR631" i="59"/>
  <c r="AP631" i="59"/>
  <c r="AN631" i="59"/>
  <c r="AL631" i="59"/>
  <c r="AJ631" i="59"/>
  <c r="AH631" i="59"/>
  <c r="AF631" i="59"/>
  <c r="AD631" i="59"/>
  <c r="AB631" i="59"/>
  <c r="Z631" i="59"/>
  <c r="X631" i="59"/>
  <c r="V631" i="59"/>
  <c r="DW631" i="59"/>
  <c r="DS631" i="59"/>
  <c r="DO631" i="59"/>
  <c r="DK631" i="59"/>
  <c r="DG631" i="59"/>
  <c r="DC631" i="59"/>
  <c r="CO631" i="59"/>
  <c r="CK631" i="59"/>
  <c r="CG631" i="59"/>
  <c r="CC631" i="59"/>
  <c r="BY631" i="59"/>
  <c r="BQ631" i="59"/>
  <c r="BM631" i="59"/>
  <c r="BI631" i="59"/>
  <c r="BE631" i="59"/>
  <c r="IZ631" i="59"/>
  <c r="IX631" i="59"/>
  <c r="IV631" i="59"/>
  <c r="IT631" i="59"/>
  <c r="IR631" i="59"/>
  <c r="IP631" i="59"/>
  <c r="IN631" i="59"/>
  <c r="IL631" i="59"/>
  <c r="IJ631" i="59"/>
  <c r="IH631" i="59"/>
  <c r="IF631" i="59"/>
  <c r="ID631" i="59"/>
  <c r="EU631" i="59"/>
  <c r="ES631" i="59"/>
  <c r="EQ631" i="59"/>
  <c r="EO631" i="59"/>
  <c r="EM631" i="59"/>
  <c r="EK631" i="59"/>
  <c r="EI631" i="59"/>
  <c r="EG631" i="59"/>
  <c r="EE631" i="59"/>
  <c r="EC631" i="59"/>
  <c r="EA631" i="59"/>
  <c r="DY631" i="59"/>
  <c r="DU631" i="59"/>
  <c r="DQ631" i="59"/>
  <c r="DM631" i="59"/>
  <c r="DI631" i="59"/>
  <c r="DE631" i="59"/>
  <c r="CQ631" i="59"/>
  <c r="CM631" i="59"/>
  <c r="CI631" i="59"/>
  <c r="CE631" i="59"/>
  <c r="CA631" i="59"/>
  <c r="BS631" i="59"/>
  <c r="BO631" i="59"/>
  <c r="BK631" i="59"/>
  <c r="BG631" i="59"/>
  <c r="BC631" i="59"/>
  <c r="AU631" i="59"/>
  <c r="AI631" i="59"/>
  <c r="AA631" i="59"/>
  <c r="BA631" i="59"/>
  <c r="AW631" i="59"/>
  <c r="AS631" i="59"/>
  <c r="AO631" i="59"/>
  <c r="AK631" i="59"/>
  <c r="AG631" i="59"/>
  <c r="AC631" i="59"/>
  <c r="Y631" i="59"/>
  <c r="AY631" i="59"/>
  <c r="AQ631" i="59"/>
  <c r="AM631" i="59"/>
  <c r="AE631" i="59"/>
  <c r="W631" i="59"/>
  <c r="IZ630" i="59"/>
  <c r="IX630" i="59"/>
  <c r="IV630" i="59"/>
  <c r="IT630" i="59"/>
  <c r="IR630" i="59"/>
  <c r="IP630" i="59"/>
  <c r="IN630" i="59"/>
  <c r="IL630" i="59"/>
  <c r="IJ630" i="59"/>
  <c r="IH630" i="59"/>
  <c r="IF630" i="59"/>
  <c r="ID630" i="59"/>
  <c r="EU630" i="59"/>
  <c r="ES630" i="59"/>
  <c r="EQ630" i="59"/>
  <c r="EO630" i="59"/>
  <c r="EM630" i="59"/>
  <c r="EK630" i="59"/>
  <c r="EI630" i="59"/>
  <c r="EG630" i="59"/>
  <c r="EE630" i="59"/>
  <c r="EC630" i="59"/>
  <c r="EA630" i="59"/>
  <c r="DY630" i="59"/>
  <c r="DW630" i="59"/>
  <c r="DU630" i="59"/>
  <c r="DS630" i="59"/>
  <c r="DQ630" i="59"/>
  <c r="DO630" i="59"/>
  <c r="DM630" i="59"/>
  <c r="DK630" i="59"/>
  <c r="DI630" i="59"/>
  <c r="DG630" i="59"/>
  <c r="DE630" i="59"/>
  <c r="DC630" i="59"/>
  <c r="CQ630" i="59"/>
  <c r="CO630" i="59"/>
  <c r="CM630" i="59"/>
  <c r="CK630" i="59"/>
  <c r="CI630" i="59"/>
  <c r="CG630" i="59"/>
  <c r="CE630" i="59"/>
  <c r="CC630" i="59"/>
  <c r="CA630" i="59"/>
  <c r="BY630" i="59"/>
  <c r="BS630" i="59"/>
  <c r="BQ630" i="59"/>
  <c r="BM630" i="59"/>
  <c r="BI630" i="59"/>
  <c r="BC630" i="59"/>
  <c r="AY630" i="59"/>
  <c r="AU630" i="59"/>
  <c r="AQ630" i="59"/>
  <c r="AK630" i="59"/>
  <c r="AE630" i="59"/>
  <c r="Y630" i="59"/>
  <c r="JA630" i="59"/>
  <c r="IY630" i="59"/>
  <c r="IW630" i="59"/>
  <c r="IU630" i="59"/>
  <c r="IS630" i="59"/>
  <c r="IQ630" i="59"/>
  <c r="IO630" i="59"/>
  <c r="IM630" i="59"/>
  <c r="IK630" i="59"/>
  <c r="II630" i="59"/>
  <c r="IG630" i="59"/>
  <c r="IE630" i="59"/>
  <c r="IC630" i="59"/>
  <c r="ET630" i="59"/>
  <c r="ER630" i="59"/>
  <c r="EP630" i="59"/>
  <c r="EN630" i="59"/>
  <c r="EL630" i="59"/>
  <c r="EJ630" i="59"/>
  <c r="EH630" i="59"/>
  <c r="EF630" i="59"/>
  <c r="ED630" i="59"/>
  <c r="EB630" i="59"/>
  <c r="DZ630" i="59"/>
  <c r="DX630" i="59"/>
  <c r="DV630" i="59"/>
  <c r="DT630" i="59"/>
  <c r="DR630" i="59"/>
  <c r="DP630" i="59"/>
  <c r="DN630" i="59"/>
  <c r="DL630" i="59"/>
  <c r="DJ630" i="59"/>
  <c r="DH630" i="59"/>
  <c r="DF630" i="59"/>
  <c r="DD630" i="59"/>
  <c r="CR630" i="59"/>
  <c r="CP630" i="59"/>
  <c r="CN630" i="59"/>
  <c r="CL630" i="59"/>
  <c r="CJ630" i="59"/>
  <c r="CH630" i="59"/>
  <c r="CF630" i="59"/>
  <c r="CD630" i="59"/>
  <c r="CB630" i="59"/>
  <c r="BZ630" i="59"/>
  <c r="BR630" i="59"/>
  <c r="BP630" i="59"/>
  <c r="BN630" i="59"/>
  <c r="BL630" i="59"/>
  <c r="BJ630" i="59"/>
  <c r="BH630" i="59"/>
  <c r="BF630" i="59"/>
  <c r="BD630" i="59"/>
  <c r="BB630" i="59"/>
  <c r="AZ630" i="59"/>
  <c r="AX630" i="59"/>
  <c r="AV630" i="59"/>
  <c r="AT630" i="59"/>
  <c r="AR630" i="59"/>
  <c r="AP630" i="59"/>
  <c r="AN630" i="59"/>
  <c r="AL630" i="59"/>
  <c r="AJ630" i="59"/>
  <c r="AH630" i="59"/>
  <c r="AF630" i="59"/>
  <c r="AD630" i="59"/>
  <c r="AB630" i="59"/>
  <c r="Z630" i="59"/>
  <c r="X630" i="59"/>
  <c r="V630" i="59"/>
  <c r="BO630" i="59"/>
  <c r="BK630" i="59"/>
  <c r="BG630" i="59"/>
  <c r="BE630" i="59"/>
  <c r="BA630" i="59"/>
  <c r="AW630" i="59"/>
  <c r="AS630" i="59"/>
  <c r="AO630" i="59"/>
  <c r="AM630" i="59"/>
  <c r="AI630" i="59"/>
  <c r="AG630" i="59"/>
  <c r="AC630" i="59"/>
  <c r="AA630" i="59"/>
  <c r="W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K727"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27" i="59" l="1"/>
  <c r="K731" i="59"/>
  <c r="H726" i="59"/>
  <c r="J730" i="59"/>
  <c r="K704" i="59"/>
  <c r="M679" i="59"/>
  <c r="Q679" i="59" s="1"/>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O810" i="59"/>
  <c r="J802"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7" i="8"/>
  <c r="F944" i="59" s="1"/>
  <c r="E127" i="8"/>
  <c r="E944" i="59" s="1"/>
  <c r="D127" i="8"/>
  <c r="D944" i="59" s="1"/>
  <c r="C127" i="8"/>
  <c r="C944" i="59" s="1"/>
  <c r="B127" i="8"/>
  <c r="B944" i="59" s="1"/>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8" i="36"/>
  <c r="O188" i="36"/>
  <c r="O186" i="36"/>
  <c r="P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4" i="11"/>
  <c r="K1727" i="59" s="1"/>
  <c r="K352" i="11"/>
  <c r="K1725" i="59" s="1"/>
  <c r="J1522" i="59"/>
  <c r="I580" i="59"/>
  <c r="A337" i="59"/>
  <c r="J35" i="59"/>
  <c r="J149" i="11"/>
  <c r="C45" i="55"/>
  <c r="C33" i="57"/>
  <c r="E17" i="54"/>
  <c r="C31" i="55" s="1"/>
  <c r="A1" i="47"/>
  <c r="I30" i="7"/>
  <c r="I36" i="59" s="1"/>
  <c r="K36" i="59" s="1"/>
  <c r="H8" i="50"/>
  <c r="F14" i="49" s="1"/>
  <c r="A3" i="48" s="1"/>
  <c r="B845" i="59" l="1"/>
  <c r="L140" i="11" l="1"/>
  <c r="L1513" i="59" s="1"/>
  <c r="G304" i="11" l="1"/>
  <c r="I267" i="11"/>
  <c r="L232" i="11"/>
  <c r="I211" i="11"/>
  <c r="K212" i="11" s="1"/>
  <c r="J156" i="11"/>
  <c r="I80" i="11"/>
  <c r="J55" i="11"/>
  <c r="O78" i="11" l="1"/>
  <c r="O1451" i="59" s="1"/>
  <c r="P78" i="11"/>
  <c r="P1451" i="59" s="1"/>
  <c r="P1545" i="59"/>
  <c r="P165" i="11"/>
  <c r="P1538" i="59" s="1"/>
  <c r="O165" i="11"/>
  <c r="O1538" i="59" s="1"/>
  <c r="O1545" i="59"/>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A104" i="11"/>
  <c r="U62" i="15"/>
  <c r="A62" i="15"/>
  <c r="W40" i="15"/>
  <c r="O40" i="15"/>
  <c r="E37" i="15"/>
  <c r="E36" i="15"/>
  <c r="S38" i="15"/>
  <c r="P38" i="15"/>
  <c r="M38" i="15"/>
  <c r="J38" i="15"/>
  <c r="G38" i="15"/>
  <c r="S33" i="15"/>
  <c r="P33" i="15"/>
  <c r="M33" i="15"/>
  <c r="J33" i="15"/>
  <c r="G33" i="15"/>
  <c r="N372" i="59" l="1"/>
  <c r="C110" i="8"/>
  <c r="B110" i="8"/>
  <c r="F81" i="8"/>
  <c r="J81" i="8"/>
  <c r="D52" i="8"/>
  <c r="H52" i="8"/>
  <c r="B52" i="8"/>
  <c r="D110" i="8"/>
  <c r="G81" i="8"/>
  <c r="E52" i="8"/>
  <c r="E110" i="8"/>
  <c r="H81" i="8"/>
  <c r="F52" i="8"/>
  <c r="F110" i="8"/>
  <c r="E81" i="8"/>
  <c r="I81" i="8"/>
  <c r="C52" i="8"/>
  <c r="G52" i="8"/>
  <c r="K52" i="8"/>
  <c r="C81" i="8"/>
  <c r="K81" i="8"/>
  <c r="I52" i="8"/>
  <c r="D81" i="8"/>
  <c r="B81" i="8"/>
  <c r="J52" i="8"/>
  <c r="F112" i="8"/>
  <c r="F929" i="59" s="1"/>
  <c r="B112" i="8"/>
  <c r="B929" i="59" s="1"/>
  <c r="E112" i="8"/>
  <c r="E929" i="59" s="1"/>
  <c r="C112" i="8"/>
  <c r="C929" i="59" s="1"/>
  <c r="D112" i="8"/>
  <c r="D929" i="59" s="1"/>
  <c r="D113" i="8"/>
  <c r="D930" i="59" s="1"/>
  <c r="C113" i="8"/>
  <c r="C930" i="59" s="1"/>
  <c r="F113" i="8"/>
  <c r="F930" i="59" s="1"/>
  <c r="B113" i="8"/>
  <c r="B930" i="59" s="1"/>
  <c r="E113" i="8"/>
  <c r="E930" i="59" s="1"/>
  <c r="F116" i="8"/>
  <c r="F933" i="59" s="1"/>
  <c r="B116" i="8"/>
  <c r="B933" i="59" s="1"/>
  <c r="C116" i="8"/>
  <c r="C933" i="59" s="1"/>
  <c r="E116" i="8"/>
  <c r="E933" i="59" s="1"/>
  <c r="D116" i="8"/>
  <c r="D933" i="59" s="1"/>
  <c r="D111" i="8"/>
  <c r="D928" i="59" s="1"/>
  <c r="C111" i="8"/>
  <c r="C928" i="59" s="1"/>
  <c r="F111" i="8"/>
  <c r="F928" i="59" s="1"/>
  <c r="B111" i="8"/>
  <c r="B928" i="59" s="1"/>
  <c r="E111" i="8"/>
  <c r="B23" i="8"/>
  <c r="B840" i="59" s="1"/>
  <c r="B25" i="8"/>
  <c r="B842" i="59" s="1"/>
  <c r="B24" i="8"/>
  <c r="B841" i="59" s="1"/>
  <c r="B29" i="8"/>
  <c r="B26" i="8"/>
  <c r="B843" i="59" s="1"/>
  <c r="B846" i="59" l="1"/>
  <c r="E119" i="8"/>
  <c r="E936" i="59" s="1"/>
  <c r="E928" i="59"/>
  <c r="B927" i="59"/>
  <c r="C927" i="59"/>
  <c r="F927" i="59"/>
  <c r="D927" i="59"/>
  <c r="E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8" i="8"/>
  <c r="K915" i="59" s="1"/>
  <c r="J98" i="8"/>
  <c r="J915" i="59" s="1"/>
  <c r="I98" i="8"/>
  <c r="I915" i="59" s="1"/>
  <c r="H98" i="8"/>
  <c r="H915" i="59" s="1"/>
  <c r="G98" i="8"/>
  <c r="G915" i="59" s="1"/>
  <c r="F98" i="8"/>
  <c r="F915" i="59" s="1"/>
  <c r="E98" i="8"/>
  <c r="E915" i="59" s="1"/>
  <c r="D98" i="8"/>
  <c r="D915" i="59" s="1"/>
  <c r="C98" i="8"/>
  <c r="C915"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B69" i="8"/>
  <c r="B886" i="59" s="1"/>
  <c r="C69" i="8"/>
  <c r="C886" i="59" s="1"/>
  <c r="D69" i="8"/>
  <c r="D886" i="59" s="1"/>
  <c r="E69" i="8"/>
  <c r="E886" i="59" s="1"/>
  <c r="F69" i="8"/>
  <c r="F886" i="59" s="1"/>
  <c r="G69" i="8"/>
  <c r="G886" i="59" s="1"/>
  <c r="H69" i="8"/>
  <c r="H886" i="59" s="1"/>
  <c r="I69" i="8"/>
  <c r="I886" i="59" s="1"/>
  <c r="J69" i="8"/>
  <c r="J886" i="59" s="1"/>
  <c r="K69" i="8"/>
  <c r="K886"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D40" i="8"/>
  <c r="D857" i="59" s="1"/>
  <c r="E40" i="8"/>
  <c r="E857" i="59" s="1"/>
  <c r="F40" i="8"/>
  <c r="F857" i="59" s="1"/>
  <c r="G40" i="8"/>
  <c r="G857" i="59" s="1"/>
  <c r="H40" i="8"/>
  <c r="H857" i="59" s="1"/>
  <c r="I40" i="8"/>
  <c r="I857" i="59" s="1"/>
  <c r="J40" i="8"/>
  <c r="J857" i="59" s="1"/>
  <c r="K40" i="8"/>
  <c r="K857"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6" i="36" l="1"/>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B98" i="8"/>
  <c r="B915" i="59" s="1"/>
  <c r="C40" i="8"/>
  <c r="C857" i="59" s="1"/>
  <c r="N40" i="3"/>
  <c r="C29" i="8"/>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846" i="59" l="1"/>
  <c r="I846" i="59"/>
  <c r="E846" i="59"/>
  <c r="D34" i="51"/>
  <c r="J846" i="59"/>
  <c r="H846" i="59"/>
  <c r="E14" i="51"/>
  <c r="D846" i="59"/>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E34" i="51"/>
  <c r="K846" i="59"/>
  <c r="H14" i="51"/>
  <c r="G846" i="59"/>
  <c r="D14" i="51"/>
  <c r="C846" i="59"/>
  <c r="S130" i="15"/>
  <c r="F115" i="15"/>
  <c r="F114" i="15"/>
  <c r="F113" i="15"/>
  <c r="C135" i="55"/>
  <c r="L59" i="49" s="1"/>
  <c r="F37" i="15"/>
  <c r="F435" i="59" s="1"/>
  <c r="F36" i="15"/>
  <c r="F434" i="59" s="1"/>
  <c r="F35" i="15"/>
  <c r="F433" i="59" s="1"/>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845" i="59"/>
  <c r="B58" i="8"/>
  <c r="C58" i="8"/>
  <c r="D58" i="8"/>
  <c r="E58" i="8"/>
  <c r="F58" i="8"/>
  <c r="F875" i="59" s="1"/>
  <c r="G58" i="8"/>
  <c r="G875" i="59" s="1"/>
  <c r="H58" i="8"/>
  <c r="H875" i="59" s="1"/>
  <c r="I58" i="8"/>
  <c r="I875" i="59" s="1"/>
  <c r="J58" i="8"/>
  <c r="J875" i="59" s="1"/>
  <c r="K58" i="8"/>
  <c r="K875" i="59" s="1"/>
  <c r="B87" i="8"/>
  <c r="B904" i="59" s="1"/>
  <c r="C87" i="8"/>
  <c r="C904" i="59" s="1"/>
  <c r="D87" i="8"/>
  <c r="D904" i="59" s="1"/>
  <c r="E87" i="8"/>
  <c r="E904" i="59" s="1"/>
  <c r="F87" i="8"/>
  <c r="F904" i="59" s="1"/>
  <c r="G87" i="8"/>
  <c r="G904" i="59" s="1"/>
  <c r="H87" i="8"/>
  <c r="H904" i="59" s="1"/>
  <c r="I87" i="8"/>
  <c r="I904" i="59" s="1"/>
  <c r="J87" i="8"/>
  <c r="J904" i="59" s="1"/>
  <c r="K87" i="8"/>
  <c r="K904" i="59" s="1"/>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H34" i="51" l="1"/>
  <c r="D875" i="59"/>
  <c r="C34" i="51"/>
  <c r="G34" i="51"/>
  <c r="C875" i="59"/>
  <c r="C14" i="51"/>
  <c r="I34" i="51"/>
  <c r="E875" i="59"/>
  <c r="F34" i="51"/>
  <c r="B875" i="59"/>
  <c r="I14" i="51"/>
  <c r="F14" i="51"/>
  <c r="G14" i="51"/>
  <c r="J149" i="15"/>
  <c r="J151" i="15" s="1"/>
  <c r="E3" i="51"/>
  <c r="C55" i="51" s="1"/>
  <c r="H326" i="11"/>
  <c r="H1699" i="59" s="1"/>
  <c r="F47" i="15"/>
  <c r="J326" i="11"/>
  <c r="J1699" i="59" s="1"/>
  <c r="I1625" i="59"/>
  <c r="P1001" i="59"/>
  <c r="I390" i="59"/>
  <c r="F1012" i="59"/>
  <c r="P46" i="6"/>
  <c r="P996" i="59" s="1"/>
  <c r="K353" i="11"/>
  <c r="K1726" i="59" s="1"/>
  <c r="O626" i="59"/>
  <c r="M626" i="59"/>
  <c r="O36" i="59"/>
  <c r="W1" i="15"/>
  <c r="A399" i="59"/>
  <c r="W399" i="59" s="1"/>
  <c r="T1" i="36"/>
  <c r="A621" i="59"/>
  <c r="T621"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B831" i="59" l="1"/>
  <c r="Q14" i="36"/>
  <c r="Q13" i="36"/>
  <c r="Q15" i="36"/>
  <c r="E62" i="50"/>
  <c r="D15" i="51"/>
  <c r="D55" i="51"/>
  <c r="G35" i="51"/>
  <c r="E35" i="51"/>
  <c r="L326" i="11"/>
  <c r="L1699" i="59"/>
  <c r="F15" i="51"/>
  <c r="E55" i="51"/>
  <c r="C15" i="51"/>
  <c r="F55" i="51"/>
  <c r="D35" i="51"/>
  <c r="H35" i="51"/>
  <c r="H15" i="51"/>
  <c r="G15" i="51"/>
  <c r="I15" i="51"/>
  <c r="C35" i="51"/>
  <c r="I35" i="51"/>
  <c r="H55" i="51"/>
  <c r="O16" i="51"/>
  <c r="O17" i="51"/>
  <c r="F35" i="51"/>
  <c r="G55" i="51"/>
  <c r="E15" i="51"/>
  <c r="P381" i="59"/>
  <c r="P382" i="59"/>
  <c r="I391" i="59"/>
  <c r="L1626" i="59"/>
  <c r="I1626" i="59"/>
  <c r="I62" i="50"/>
  <c r="G62" i="50"/>
  <c r="K62" i="50"/>
  <c r="H54" i="6"/>
  <c r="H1004" i="59" s="1"/>
  <c r="F1004" i="59"/>
  <c r="H66" i="6"/>
  <c r="H1016" i="59" s="1"/>
  <c r="F1016" i="59"/>
  <c r="F998" i="59"/>
  <c r="H51" i="6"/>
  <c r="H1001" i="59" s="1"/>
  <c r="F1001" i="59"/>
  <c r="H65" i="6"/>
  <c r="H1015" i="59" s="1"/>
  <c r="F1015" i="59"/>
  <c r="H67" i="6"/>
  <c r="H1017" i="59" s="1"/>
  <c r="F1017" i="59"/>
  <c r="H52" i="6"/>
  <c r="H1002" i="59" s="1"/>
  <c r="F1002" i="59"/>
  <c r="N68" i="6"/>
  <c r="N1018" i="59" s="1"/>
  <c r="L1018" i="59"/>
  <c r="N61" i="6"/>
  <c r="N1011" i="59" s="1"/>
  <c r="L1011" i="59"/>
  <c r="N65" i="6"/>
  <c r="N1015" i="59" s="1"/>
  <c r="L1015" i="59"/>
  <c r="N66" i="6"/>
  <c r="N1016" i="59" s="1"/>
  <c r="L1016" i="59"/>
  <c r="N51" i="6"/>
  <c r="N1001" i="59" s="1"/>
  <c r="L1001" i="59"/>
  <c r="N44" i="6"/>
  <c r="N994" i="59" s="1"/>
  <c r="L994" i="59"/>
  <c r="I58" i="6"/>
  <c r="I1008" i="59" s="1"/>
  <c r="G1008" i="59"/>
  <c r="N43" i="6"/>
  <c r="N993" i="59" s="1"/>
  <c r="L993" i="59"/>
  <c r="N46" i="6"/>
  <c r="N996" i="59" s="1"/>
  <c r="L996" i="59"/>
  <c r="I57" i="6"/>
  <c r="I1007" i="59" s="1"/>
  <c r="G1007" i="59"/>
  <c r="N67" i="6"/>
  <c r="N1017" i="59" s="1"/>
  <c r="L1017" i="59"/>
  <c r="N45" i="6"/>
  <c r="N995" i="59" s="1"/>
  <c r="L995" i="59"/>
  <c r="N47" i="6"/>
  <c r="N997" i="59" s="1"/>
  <c r="L997" i="59"/>
  <c r="N54" i="6"/>
  <c r="N1004" i="59" s="1"/>
  <c r="L1004" i="59"/>
  <c r="I59" i="6"/>
  <c r="I1009" i="59" s="1"/>
  <c r="G1009" i="59"/>
  <c r="N52" i="6"/>
  <c r="N1002" i="59" s="1"/>
  <c r="L1002" i="59"/>
  <c r="N59" i="6"/>
  <c r="N1009" i="59" s="1"/>
  <c r="L1009" i="59"/>
  <c r="N57" i="6"/>
  <c r="N1007" i="59" s="1"/>
  <c r="L1007" i="59"/>
  <c r="N53" i="6"/>
  <c r="N1003" i="59" s="1"/>
  <c r="L1003" i="59"/>
  <c r="N64" i="6"/>
  <c r="N1014" i="59" s="1"/>
  <c r="L1014" i="59"/>
  <c r="N58" i="6"/>
  <c r="N1008" i="59" s="1"/>
  <c r="L1008" i="59"/>
  <c r="N60" i="6"/>
  <c r="N1010" i="59" s="1"/>
  <c r="L1010" i="59"/>
  <c r="I60" i="6"/>
  <c r="I1010" i="59" s="1"/>
  <c r="G1010" i="59"/>
  <c r="I61" i="6"/>
  <c r="I1011" i="59" s="1"/>
  <c r="G1011" i="59"/>
  <c r="Q667" i="59"/>
  <c r="Q639" i="59"/>
  <c r="Q646" i="59"/>
  <c r="Q661" i="59"/>
  <c r="Q659" i="59"/>
  <c r="Q647" i="59"/>
  <c r="Q643" i="59"/>
  <c r="Q635" i="59"/>
  <c r="Q642" i="59"/>
  <c r="Q657" i="59"/>
  <c r="Q662" i="59"/>
  <c r="Q658" i="59"/>
  <c r="Q630" i="59"/>
  <c r="Q660" i="59"/>
  <c r="Q652" i="59"/>
  <c r="Q644" i="59"/>
  <c r="Q636" i="59"/>
  <c r="Q653" i="59"/>
  <c r="Q665" i="59"/>
  <c r="Q649" i="59"/>
  <c r="Q654" i="59"/>
  <c r="Q637" i="59"/>
  <c r="Q651" i="59"/>
  <c r="Q631" i="59"/>
  <c r="Q663" i="59"/>
  <c r="Q655" i="59"/>
  <c r="Q666" i="59"/>
  <c r="Q650" i="59"/>
  <c r="Q634" i="59"/>
  <c r="Q641" i="59"/>
  <c r="Q645" i="59"/>
  <c r="Q664" i="59"/>
  <c r="Q656" i="59"/>
  <c r="Q648" i="59"/>
  <c r="Q640" i="59"/>
  <c r="Q632" i="59"/>
  <c r="Q633" i="59"/>
  <c r="Q638" i="59"/>
  <c r="I60" i="36"/>
  <c r="I62" i="36" s="1"/>
  <c r="H8" i="53" s="1"/>
  <c r="I8" i="53" s="1"/>
  <c r="J18" i="50"/>
  <c r="F56" i="54"/>
  <c r="D39" i="55"/>
  <c r="I58" i="59"/>
  <c r="I57" i="59" s="1"/>
  <c r="I51" i="7"/>
  <c r="C52" i="50"/>
  <c r="C101" i="8"/>
  <c r="F101" i="8"/>
  <c r="B101" i="8"/>
  <c r="D101" i="8"/>
  <c r="E101" i="8"/>
  <c r="D18" i="50"/>
  <c r="C38" i="50"/>
  <c r="M86" i="36"/>
  <c r="I68" i="6"/>
  <c r="I1018" i="59" s="1"/>
  <c r="I53" i="6"/>
  <c r="I1003" i="59" s="1"/>
  <c r="I64" i="6"/>
  <c r="I1014" i="59" s="1"/>
  <c r="N69" i="6"/>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845" i="59"/>
  <c r="M116" i="36"/>
  <c r="P51" i="7" s="1"/>
  <c r="H118" i="36"/>
  <c r="G860" i="59" l="1"/>
  <c r="C860" i="59"/>
  <c r="F860" i="59"/>
  <c r="C918" i="59"/>
  <c r="I831" i="59"/>
  <c r="F831" i="59"/>
  <c r="J831" i="59"/>
  <c r="E860" i="59"/>
  <c r="E889" i="59"/>
  <c r="D831" i="59"/>
  <c r="D918" i="59"/>
  <c r="E918" i="59"/>
  <c r="H889" i="59"/>
  <c r="J889" i="59"/>
  <c r="H831" i="59"/>
  <c r="B918" i="59"/>
  <c r="D860" i="59"/>
  <c r="E831" i="59"/>
  <c r="I889" i="59"/>
  <c r="B889" i="59"/>
  <c r="F889" i="59"/>
  <c r="K889" i="59"/>
  <c r="G889" i="59"/>
  <c r="G831" i="59"/>
  <c r="D889" i="59"/>
  <c r="C889" i="59"/>
  <c r="H860" i="59"/>
  <c r="K860" i="59"/>
  <c r="C831" i="59"/>
  <c r="B860" i="59"/>
  <c r="J860" i="59"/>
  <c r="I860" i="59"/>
  <c r="K831" i="59"/>
  <c r="F918" i="59"/>
  <c r="O19" i="51"/>
  <c r="O23" i="51" s="1"/>
  <c r="O25" i="51" s="1"/>
  <c r="O31" i="51" s="1"/>
  <c r="P383" i="59"/>
  <c r="I998" i="59"/>
  <c r="N1019" i="59"/>
  <c r="M60" i="36"/>
  <c r="F441" i="59" s="1"/>
  <c r="F1019" i="59"/>
  <c r="I62" i="6"/>
  <c r="H50" i="6"/>
  <c r="H1000" i="59" s="1"/>
  <c r="F1000" i="59"/>
  <c r="F1005" i="59" s="1"/>
  <c r="N62" i="6"/>
  <c r="N48" i="6"/>
  <c r="I1019" i="59"/>
  <c r="N1012" i="59"/>
  <c r="I1012" i="59"/>
  <c r="N998"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I69" i="6"/>
  <c r="L50" i="6"/>
  <c r="G50" i="6"/>
  <c r="I48" i="6"/>
  <c r="I7" i="53"/>
  <c r="I13" i="53" s="1"/>
  <c r="E7" i="53"/>
  <c r="K73" i="8"/>
  <c r="C53" i="50"/>
  <c r="D13" i="50"/>
  <c r="H46" i="7"/>
  <c r="H52" i="59" s="1"/>
  <c r="H45" i="7"/>
  <c r="H51" i="59" s="1"/>
  <c r="F43" i="15"/>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845" i="59"/>
  <c r="M118" i="36"/>
  <c r="F442" i="59" s="1"/>
  <c r="H120" i="36"/>
  <c r="M120" i="36" s="1"/>
  <c r="P172" i="36" l="1"/>
  <c r="P792" i="59"/>
  <c r="B837" i="59"/>
  <c r="B49" i="8"/>
  <c r="B866" i="59" s="1"/>
  <c r="I49" i="8"/>
  <c r="I866" i="59" s="1"/>
  <c r="H78" i="8"/>
  <c r="H895" i="59" s="1"/>
  <c r="I78" i="8"/>
  <c r="I895" i="59" s="1"/>
  <c r="K33" i="11"/>
  <c r="K1406" i="59" s="1"/>
  <c r="L35" i="11"/>
  <c r="L1408" i="59" s="1"/>
  <c r="C74" i="8"/>
  <c r="C891" i="59" s="1"/>
  <c r="C890" i="59"/>
  <c r="K7" i="8"/>
  <c r="B833" i="59"/>
  <c r="I45" i="8"/>
  <c r="I862" i="59" s="1"/>
  <c r="I861" i="59"/>
  <c r="K45" i="8"/>
  <c r="K862" i="59" s="1"/>
  <c r="K861" i="59"/>
  <c r="B45" i="8"/>
  <c r="B862" i="59" s="1"/>
  <c r="B861" i="59"/>
  <c r="D45" i="8"/>
  <c r="D862" i="59" s="1"/>
  <c r="D861" i="59"/>
  <c r="J74" i="8"/>
  <c r="J891" i="59" s="1"/>
  <c r="J890" i="59"/>
  <c r="G45" i="8"/>
  <c r="G862" i="59" s="1"/>
  <c r="G861" i="59"/>
  <c r="H74" i="8"/>
  <c r="H891" i="59" s="1"/>
  <c r="H890" i="59"/>
  <c r="E16" i="8"/>
  <c r="E833" i="59" s="1"/>
  <c r="E832" i="59"/>
  <c r="G74" i="8"/>
  <c r="G891" i="59" s="1"/>
  <c r="G890" i="59"/>
  <c r="H16" i="8"/>
  <c r="H833" i="59" s="1"/>
  <c r="H832" i="59"/>
  <c r="C16" i="8"/>
  <c r="C833" i="59" s="1"/>
  <c r="C832" i="59"/>
  <c r="B74" i="8"/>
  <c r="B891" i="59" s="1"/>
  <c r="B890" i="59"/>
  <c r="J16" i="8"/>
  <c r="J833" i="59" s="1"/>
  <c r="J832" i="59"/>
  <c r="K16" i="8"/>
  <c r="K833" i="59" s="1"/>
  <c r="K832" i="59"/>
  <c r="D16" i="8"/>
  <c r="D832" i="59"/>
  <c r="I16" i="8"/>
  <c r="I833" i="59" s="1"/>
  <c r="I832" i="59"/>
  <c r="E45" i="8"/>
  <c r="E861" i="59"/>
  <c r="E74" i="8"/>
  <c r="E891" i="59" s="1"/>
  <c r="E890" i="59"/>
  <c r="I74" i="8"/>
  <c r="I891" i="59" s="1"/>
  <c r="I890" i="59"/>
  <c r="G16" i="8"/>
  <c r="G833" i="59" s="1"/>
  <c r="G832" i="59"/>
  <c r="P143" i="7"/>
  <c r="P149" i="59" s="1"/>
  <c r="K74" i="8"/>
  <c r="K891" i="59" s="1"/>
  <c r="K890" i="59"/>
  <c r="F103" i="8"/>
  <c r="F920" i="59" s="1"/>
  <c r="F919" i="59"/>
  <c r="C103" i="8"/>
  <c r="C919" i="59"/>
  <c r="E103" i="8"/>
  <c r="E920" i="59" s="1"/>
  <c r="E919" i="59"/>
  <c r="F16" i="8"/>
  <c r="F833" i="59" s="1"/>
  <c r="F832" i="59"/>
  <c r="H45" i="8"/>
  <c r="H862" i="59" s="1"/>
  <c r="H861" i="59"/>
  <c r="D74" i="8"/>
  <c r="D891" i="59" s="1"/>
  <c r="D890" i="59"/>
  <c r="F45" i="8"/>
  <c r="F862" i="59" s="1"/>
  <c r="F861" i="59"/>
  <c r="J45" i="8"/>
  <c r="J862" i="59" s="1"/>
  <c r="J861" i="59"/>
  <c r="F74" i="8"/>
  <c r="F891" i="59" s="1"/>
  <c r="F890" i="59"/>
  <c r="C45" i="8"/>
  <c r="C862" i="59" s="1"/>
  <c r="C861" i="59"/>
  <c r="B103" i="8"/>
  <c r="B919" i="59"/>
  <c r="D103" i="8"/>
  <c r="D920" i="59" s="1"/>
  <c r="D919" i="59"/>
  <c r="K35" i="11"/>
  <c r="K1408" i="59" s="1"/>
  <c r="L33" i="11"/>
  <c r="L1406" i="59" s="1"/>
  <c r="P144" i="7"/>
  <c r="P150" i="59" s="1"/>
  <c r="K34" i="11"/>
  <c r="K1407" i="59" s="1"/>
  <c r="L34" i="11"/>
  <c r="L1407" i="59" s="1"/>
  <c r="F1021" i="59"/>
  <c r="I50" i="6"/>
  <c r="G1000" i="59"/>
  <c r="N50" i="6"/>
  <c r="L1000" i="59"/>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845" i="59"/>
  <c r="G132" i="15"/>
  <c r="C68" i="50" l="1"/>
  <c r="P178" i="36"/>
  <c r="E78" i="8"/>
  <c r="E895" i="59" s="1"/>
  <c r="G49" i="8"/>
  <c r="G866" i="59" s="1"/>
  <c r="C920" i="59"/>
  <c r="C107" i="8"/>
  <c r="C924" i="59" s="1"/>
  <c r="J20" i="8"/>
  <c r="J837" i="59" s="1"/>
  <c r="D78" i="8"/>
  <c r="D895" i="59" s="1"/>
  <c r="E107" i="8"/>
  <c r="E924" i="59" s="1"/>
  <c r="C78" i="8"/>
  <c r="C895" i="59" s="1"/>
  <c r="K49" i="8"/>
  <c r="K866" i="59" s="1"/>
  <c r="J78" i="8"/>
  <c r="J895" i="59" s="1"/>
  <c r="I20" i="8"/>
  <c r="I837" i="59" s="1"/>
  <c r="F107" i="8"/>
  <c r="F924" i="59" s="1"/>
  <c r="N173" i="36"/>
  <c r="N174" i="36"/>
  <c r="E862" i="59"/>
  <c r="E49" i="8"/>
  <c r="E866" i="59" s="1"/>
  <c r="D833" i="59"/>
  <c r="D20" i="8"/>
  <c r="D837" i="59" s="1"/>
  <c r="C20" i="8"/>
  <c r="C837" i="59" s="1"/>
  <c r="F20" i="8"/>
  <c r="F837" i="59" s="1"/>
  <c r="K78" i="8"/>
  <c r="K895" i="59" s="1"/>
  <c r="C49" i="8"/>
  <c r="C866" i="59" s="1"/>
  <c r="F49" i="8"/>
  <c r="F866" i="59" s="1"/>
  <c r="K20" i="8"/>
  <c r="K837" i="59" s="1"/>
  <c r="J49" i="8"/>
  <c r="J866" i="59" s="1"/>
  <c r="E20" i="8"/>
  <c r="E837" i="59" s="1"/>
  <c r="B920" i="59"/>
  <c r="B107" i="8"/>
  <c r="B924" i="59" s="1"/>
  <c r="D107" i="8"/>
  <c r="D924" i="59" s="1"/>
  <c r="G78" i="8"/>
  <c r="G895" i="59" s="1"/>
  <c r="H20" i="8"/>
  <c r="H837" i="59" s="1"/>
  <c r="D49" i="8"/>
  <c r="D866" i="59" s="1"/>
  <c r="F78" i="8"/>
  <c r="F895" i="59" s="1"/>
  <c r="P798" i="59"/>
  <c r="N799" i="59" s="1"/>
  <c r="N793" i="59"/>
  <c r="N794" i="59"/>
  <c r="G20" i="8"/>
  <c r="G837" i="59" s="1"/>
  <c r="B78" i="8"/>
  <c r="B895" i="59" s="1"/>
  <c r="H49" i="8"/>
  <c r="H866" i="59" s="1"/>
  <c r="P30" i="11"/>
  <c r="P1403" i="59" s="1"/>
  <c r="O30" i="11"/>
  <c r="O1403" i="59" s="1"/>
  <c r="O1746" i="59" s="1"/>
  <c r="O1379" i="59" s="1"/>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C19" i="50"/>
  <c r="H19" i="50"/>
  <c r="K19" i="53"/>
  <c r="I39" i="53" s="1"/>
  <c r="K38" i="53" s="1"/>
  <c r="D16" i="48"/>
  <c r="P1746" i="59"/>
  <c r="P1379" i="59" s="1"/>
  <c r="P373" i="11"/>
  <c r="P377" i="11" s="1"/>
  <c r="F54" i="54"/>
  <c r="D33" i="55" s="1"/>
  <c r="D35" i="55" s="1"/>
  <c r="C34" i="57"/>
  <c r="I44" i="57" s="1"/>
  <c r="J156" i="15"/>
  <c r="H845" i="59"/>
  <c r="P812" i="59" l="1"/>
  <c r="F119" i="15"/>
  <c r="F518" i="59"/>
  <c r="B19" i="8"/>
  <c r="F120" i="15"/>
  <c r="F517" i="59"/>
  <c r="N179" i="36"/>
  <c r="O373" i="11"/>
  <c r="O6" i="11" s="1"/>
  <c r="I68" i="50"/>
  <c r="E68" i="50"/>
  <c r="G68" i="50"/>
  <c r="K68" i="50"/>
  <c r="R30" i="11"/>
  <c r="P49" i="6"/>
  <c r="J558" i="59"/>
  <c r="J160" i="15"/>
  <c r="J161" i="15" s="1"/>
  <c r="J559" i="59" s="1"/>
  <c r="J561" i="59" s="1"/>
  <c r="J563" i="59" s="1"/>
  <c r="J565" i="59" s="1"/>
  <c r="J567" i="59" s="1"/>
  <c r="K13" i="53"/>
  <c r="B21" i="8"/>
  <c r="K21" i="53"/>
  <c r="K30" i="53" s="1"/>
  <c r="K34" i="53" s="1"/>
  <c r="P192" i="36"/>
  <c r="I66" i="50"/>
  <c r="I70" i="50" s="1"/>
  <c r="I72" i="50" s="1"/>
  <c r="K66" i="50"/>
  <c r="P1750" i="59"/>
  <c r="G66" i="50"/>
  <c r="G70" i="50" s="1"/>
  <c r="G72" i="50" s="1"/>
  <c r="E66" i="50"/>
  <c r="E70" i="50" s="1"/>
  <c r="E72" i="50" s="1"/>
  <c r="C72" i="50"/>
  <c r="F79" i="8"/>
  <c r="P6" i="11"/>
  <c r="I845" i="59"/>
  <c r="F77" i="8" l="1"/>
  <c r="F894" i="59" s="1"/>
  <c r="D106" i="8"/>
  <c r="D923" i="59" s="1"/>
  <c r="E48" i="8"/>
  <c r="E865" i="59" s="1"/>
  <c r="C48" i="8"/>
  <c r="C865" i="59" s="1"/>
  <c r="D77" i="8"/>
  <c r="D894" i="59" s="1"/>
  <c r="F48" i="8"/>
  <c r="F865" i="59" s="1"/>
  <c r="B48" i="8"/>
  <c r="K48" i="8"/>
  <c r="K865" i="59" s="1"/>
  <c r="K77" i="8"/>
  <c r="K894" i="59" s="1"/>
  <c r="H19" i="8"/>
  <c r="H836" i="59" s="1"/>
  <c r="J77" i="8"/>
  <c r="J894" i="59" s="1"/>
  <c r="I19" i="8"/>
  <c r="I836" i="59" s="1"/>
  <c r="B836" i="59"/>
  <c r="E106" i="8"/>
  <c r="E923" i="59" s="1"/>
  <c r="B106" i="8"/>
  <c r="B923" i="59" s="1"/>
  <c r="J48" i="8"/>
  <c r="J865" i="59" s="1"/>
  <c r="H77" i="8"/>
  <c r="H894" i="59" s="1"/>
  <c r="E19" i="8"/>
  <c r="E836" i="59" s="1"/>
  <c r="K19" i="8"/>
  <c r="K836" i="59" s="1"/>
  <c r="G48" i="8"/>
  <c r="G865" i="59" s="1"/>
  <c r="H48" i="8"/>
  <c r="H865" i="59" s="1"/>
  <c r="E77" i="8"/>
  <c r="E894" i="59" s="1"/>
  <c r="F19" i="8"/>
  <c r="F836" i="59" s="1"/>
  <c r="D48" i="8"/>
  <c r="D865" i="59" s="1"/>
  <c r="C106" i="8"/>
  <c r="C923" i="59" s="1"/>
  <c r="I48" i="8"/>
  <c r="I865" i="59" s="1"/>
  <c r="G19" i="8"/>
  <c r="G836" i="59" s="1"/>
  <c r="J19" i="8"/>
  <c r="J836" i="59" s="1"/>
  <c r="B77" i="8"/>
  <c r="B894" i="59" s="1"/>
  <c r="D19" i="8"/>
  <c r="D836" i="59" s="1"/>
  <c r="C19" i="8"/>
  <c r="C836" i="59" s="1"/>
  <c r="I77" i="8"/>
  <c r="I894" i="59" s="1"/>
  <c r="F106" i="8"/>
  <c r="F923" i="59" s="1"/>
  <c r="C77" i="8"/>
  <c r="C894" i="59" s="1"/>
  <c r="G77" i="8"/>
  <c r="G894" i="59" s="1"/>
  <c r="K70" i="50"/>
  <c r="K72" i="50" s="1"/>
  <c r="J571" i="59"/>
  <c r="E497" i="59" s="1"/>
  <c r="M569" i="59"/>
  <c r="J163" i="15"/>
  <c r="J165" i="15" s="1"/>
  <c r="J167" i="15" s="1"/>
  <c r="J169" i="15" s="1"/>
  <c r="B838" i="59"/>
  <c r="B35" i="8"/>
  <c r="B852" i="59" s="1"/>
  <c r="G160" i="15"/>
  <c r="C79" i="8"/>
  <c r="D21" i="8"/>
  <c r="J50" i="8"/>
  <c r="D79" i="8"/>
  <c r="D50" i="8"/>
  <c r="G50" i="8"/>
  <c r="E21" i="8"/>
  <c r="I79" i="8"/>
  <c r="I80" i="8" s="1"/>
  <c r="I897" i="59" s="1"/>
  <c r="G21" i="8"/>
  <c r="H21" i="8"/>
  <c r="B79" i="8"/>
  <c r="C108" i="8"/>
  <c r="K79" i="8"/>
  <c r="I21" i="8"/>
  <c r="E50" i="8"/>
  <c r="C21" i="8"/>
  <c r="F50" i="8"/>
  <c r="K50" i="8"/>
  <c r="J79" i="8"/>
  <c r="H79" i="8"/>
  <c r="B22" i="8"/>
  <c r="B839" i="59" s="1"/>
  <c r="B50" i="8"/>
  <c r="F108" i="8"/>
  <c r="D108" i="8"/>
  <c r="G558" i="59"/>
  <c r="C13" i="51"/>
  <c r="I50" i="8"/>
  <c r="H50" i="8"/>
  <c r="J21" i="8"/>
  <c r="F21" i="8"/>
  <c r="G79" i="8"/>
  <c r="K21" i="8"/>
  <c r="E79" i="8"/>
  <c r="B108" i="8"/>
  <c r="E108" i="8"/>
  <c r="E925" i="59" s="1"/>
  <c r="C50" i="8"/>
  <c r="E76" i="50"/>
  <c r="E73" i="50" s="1"/>
  <c r="I76" i="50"/>
  <c r="I73" i="50" s="1"/>
  <c r="K76" i="50"/>
  <c r="K73" i="50" s="1"/>
  <c r="G76" i="50"/>
  <c r="G73" i="50" s="1"/>
  <c r="K80" i="8"/>
  <c r="K897" i="59" s="1"/>
  <c r="F80" i="8"/>
  <c r="F897" i="59" s="1"/>
  <c r="F896" i="59"/>
  <c r="E13" i="51"/>
  <c r="J845" i="59"/>
  <c r="F54" i="51" l="1"/>
  <c r="E54" i="51"/>
  <c r="D54" i="51"/>
  <c r="C54" i="51"/>
  <c r="G54" i="51"/>
  <c r="H54" i="51"/>
  <c r="B865" i="59"/>
  <c r="F93" i="8"/>
  <c r="F910" i="59" s="1"/>
  <c r="M171" i="15"/>
  <c r="J173" i="15"/>
  <c r="G33" i="51"/>
  <c r="C64" i="8"/>
  <c r="C881" i="59" s="1"/>
  <c r="B109" i="8"/>
  <c r="B118" i="8" s="1"/>
  <c r="B935" i="59" s="1"/>
  <c r="B122" i="8"/>
  <c r="B939" i="59" s="1"/>
  <c r="K838" i="59"/>
  <c r="K35" i="8"/>
  <c r="K852" i="59" s="1"/>
  <c r="F838" i="59"/>
  <c r="F35" i="8"/>
  <c r="F852" i="59" s="1"/>
  <c r="H867" i="59"/>
  <c r="H64" i="8"/>
  <c r="H881" i="59" s="1"/>
  <c r="E109" i="8"/>
  <c r="E118" i="8" s="1"/>
  <c r="E935" i="59" s="1"/>
  <c r="E122" i="8"/>
  <c r="E939" i="59" s="1"/>
  <c r="E896" i="59"/>
  <c r="E93" i="8"/>
  <c r="E910" i="59" s="1"/>
  <c r="G80" i="8"/>
  <c r="G897" i="59" s="1"/>
  <c r="G93" i="8"/>
  <c r="G910" i="59" s="1"/>
  <c r="J838" i="59"/>
  <c r="J35" i="8"/>
  <c r="J852" i="59" s="1"/>
  <c r="I867" i="59"/>
  <c r="I64" i="8"/>
  <c r="I881" i="59" s="1"/>
  <c r="F109" i="8"/>
  <c r="F118" i="8" s="1"/>
  <c r="F935" i="59" s="1"/>
  <c r="F122" i="8"/>
  <c r="F939" i="59" s="1"/>
  <c r="J896" i="59"/>
  <c r="J93" i="8"/>
  <c r="J910" i="59" s="1"/>
  <c r="F867" i="59"/>
  <c r="F64" i="8"/>
  <c r="F881" i="59" s="1"/>
  <c r="E867" i="59"/>
  <c r="E64" i="8"/>
  <c r="E881" i="59" s="1"/>
  <c r="K896" i="59"/>
  <c r="K93" i="8"/>
  <c r="K910" i="59" s="1"/>
  <c r="B80" i="8"/>
  <c r="B897" i="59" s="1"/>
  <c r="B93" i="8"/>
  <c r="B910" i="59" s="1"/>
  <c r="G838" i="59"/>
  <c r="G35" i="8"/>
  <c r="G852" i="59" s="1"/>
  <c r="E838" i="59"/>
  <c r="E35" i="8"/>
  <c r="E852" i="59" s="1"/>
  <c r="D867" i="59"/>
  <c r="D64" i="8"/>
  <c r="D881" i="59" s="1"/>
  <c r="J867" i="59"/>
  <c r="J64" i="8"/>
  <c r="J881" i="59" s="1"/>
  <c r="C80" i="8"/>
  <c r="C897" i="59" s="1"/>
  <c r="C93" i="8"/>
  <c r="C910" i="59" s="1"/>
  <c r="D925" i="59"/>
  <c r="D122" i="8"/>
  <c r="D939" i="59" s="1"/>
  <c r="B867" i="59"/>
  <c r="B64" i="8"/>
  <c r="B881" i="59" s="1"/>
  <c r="H80" i="8"/>
  <c r="H897" i="59" s="1"/>
  <c r="H93" i="8"/>
  <c r="H910" i="59" s="1"/>
  <c r="K867" i="59"/>
  <c r="K64" i="8"/>
  <c r="K881" i="59" s="1"/>
  <c r="C838" i="59"/>
  <c r="C35" i="8"/>
  <c r="C852" i="59" s="1"/>
  <c r="I838" i="59"/>
  <c r="I35" i="8"/>
  <c r="I852" i="59" s="1"/>
  <c r="C925" i="59"/>
  <c r="C122" i="8"/>
  <c r="C939" i="59" s="1"/>
  <c r="H838" i="59"/>
  <c r="H35" i="8"/>
  <c r="H852" i="59" s="1"/>
  <c r="I896" i="59"/>
  <c r="I93" i="8"/>
  <c r="I910" i="59" s="1"/>
  <c r="G867" i="59"/>
  <c r="G64" i="8"/>
  <c r="G881" i="59" s="1"/>
  <c r="D896" i="59"/>
  <c r="D93" i="8"/>
  <c r="D910" i="59" s="1"/>
  <c r="D838" i="59"/>
  <c r="D35" i="8"/>
  <c r="D852" i="59" s="1"/>
  <c r="H22" i="8"/>
  <c r="H839" i="59" s="1"/>
  <c r="E22" i="8"/>
  <c r="E839" i="59" s="1"/>
  <c r="G53" i="51"/>
  <c r="F51" i="8"/>
  <c r="F868" i="59" s="1"/>
  <c r="G22" i="8"/>
  <c r="G839" i="59" s="1"/>
  <c r="H33" i="51"/>
  <c r="H896" i="59"/>
  <c r="K51" i="8"/>
  <c r="K868" i="59" s="1"/>
  <c r="F33" i="51"/>
  <c r="D22" i="8"/>
  <c r="D839" i="59" s="1"/>
  <c r="C22" i="8"/>
  <c r="C839" i="59" s="1"/>
  <c r="D53" i="51"/>
  <c r="I22" i="8"/>
  <c r="I839" i="59" s="1"/>
  <c r="D109" i="8"/>
  <c r="D118" i="8" s="1"/>
  <c r="D935" i="59" s="1"/>
  <c r="D80" i="8"/>
  <c r="D897" i="59" s="1"/>
  <c r="I33" i="51"/>
  <c r="C896" i="59"/>
  <c r="J51" i="8"/>
  <c r="J868" i="59" s="1"/>
  <c r="F53" i="51"/>
  <c r="D51" i="8"/>
  <c r="D868" i="59" s="1"/>
  <c r="F925" i="59"/>
  <c r="B896" i="59"/>
  <c r="E80" i="8"/>
  <c r="E897" i="59" s="1"/>
  <c r="J80" i="8"/>
  <c r="J897" i="59" s="1"/>
  <c r="F22" i="8"/>
  <c r="F839" i="59" s="1"/>
  <c r="C109" i="8"/>
  <c r="C118" i="8" s="1"/>
  <c r="C935" i="59" s="1"/>
  <c r="I13" i="51"/>
  <c r="H53" i="51"/>
  <c r="B51" i="8"/>
  <c r="B868" i="59" s="1"/>
  <c r="D13" i="51"/>
  <c r="G51" i="8"/>
  <c r="G868" i="59" s="1"/>
  <c r="C33" i="51"/>
  <c r="B925" i="59"/>
  <c r="E51" i="8"/>
  <c r="E868" i="59" s="1"/>
  <c r="C53" i="51"/>
  <c r="H13" i="51"/>
  <c r="F13" i="51"/>
  <c r="D33" i="51"/>
  <c r="K22" i="8"/>
  <c r="K839" i="59" s="1"/>
  <c r="G896" i="59"/>
  <c r="J22" i="8"/>
  <c r="J839" i="59" s="1"/>
  <c r="I51" i="8"/>
  <c r="I868" i="59" s="1"/>
  <c r="H51" i="8"/>
  <c r="H868" i="59" s="1"/>
  <c r="C867" i="59"/>
  <c r="E33" i="51"/>
  <c r="C51" i="8"/>
  <c r="C868" i="59" s="1"/>
  <c r="E53" i="51"/>
  <c r="G13" i="51"/>
  <c r="E926" i="59"/>
  <c r="F926" i="59"/>
  <c r="K845" i="59"/>
  <c r="E99" i="15" l="1"/>
  <c r="C21" i="51"/>
  <c r="M61" i="49"/>
  <c r="P61" i="49" s="1"/>
  <c r="J7" i="7"/>
  <c r="J13" i="59" s="1"/>
  <c r="L44" i="3"/>
  <c r="L45" i="3"/>
  <c r="B926" i="59"/>
  <c r="D926" i="59"/>
  <c r="C926" i="59"/>
  <c r="B874" i="59"/>
  <c r="N45" i="3" l="1"/>
  <c r="L381" i="59"/>
  <c r="N381" i="59" s="1"/>
  <c r="C41" i="51"/>
  <c r="D41" i="51" s="1"/>
  <c r="E41" i="51" s="1"/>
  <c r="C22" i="51"/>
  <c r="C42" i="51" s="1"/>
  <c r="D42" i="51" s="1"/>
  <c r="E42" i="51" s="1"/>
  <c r="D21" i="51"/>
  <c r="L380" i="59"/>
  <c r="N380" i="59" s="1"/>
  <c r="N44" i="3"/>
  <c r="C874" i="59"/>
  <c r="E21" i="51" l="1"/>
  <c r="D22" i="51"/>
  <c r="D874" i="59"/>
  <c r="F21" i="51" l="1"/>
  <c r="E22" i="51"/>
  <c r="E874" i="59"/>
  <c r="F22" i="51" l="1"/>
  <c r="G21" i="51"/>
  <c r="F874" i="59"/>
  <c r="H21" i="51" l="1"/>
  <c r="G22" i="51"/>
  <c r="G874" i="59"/>
  <c r="I21" i="51" l="1"/>
  <c r="I22" i="51" s="1"/>
  <c r="H22" i="51"/>
  <c r="H874" i="59"/>
  <c r="I874" i="59" l="1"/>
  <c r="J874" i="59" l="1"/>
  <c r="K874" i="59" l="1"/>
  <c r="B86" i="8" l="1"/>
  <c r="B903" i="59" s="1"/>
  <c r="C86" i="8" l="1"/>
  <c r="C903" i="59" s="1"/>
  <c r="D86" i="8" l="1"/>
  <c r="D903" i="59" s="1"/>
  <c r="E86" i="8" l="1"/>
  <c r="E903" i="59" s="1"/>
  <c r="F86" i="8" l="1"/>
  <c r="F903" i="59" s="1"/>
  <c r="G86" i="8" l="1"/>
  <c r="G903" i="59" s="1"/>
  <c r="H86" i="8" l="1"/>
  <c r="H903" i="59" s="1"/>
  <c r="I86" i="8" l="1"/>
  <c r="I903" i="59" s="1"/>
  <c r="J86" i="8" l="1"/>
  <c r="J903" i="59" s="1"/>
  <c r="K86" i="8" l="1"/>
  <c r="K903" i="59" s="1"/>
  <c r="B115" i="8" l="1"/>
  <c r="B30" i="8"/>
  <c r="C23" i="8"/>
  <c r="C840" i="59" s="1"/>
  <c r="D23" i="8"/>
  <c r="E23" i="8"/>
  <c r="E840" i="59" s="1"/>
  <c r="F23" i="8"/>
  <c r="F840" i="59" s="1"/>
  <c r="G23" i="8"/>
  <c r="G840" i="59" s="1"/>
  <c r="H23" i="8"/>
  <c r="I23" i="8"/>
  <c r="I840" i="59" s="1"/>
  <c r="J23" i="8"/>
  <c r="J840" i="59" s="1"/>
  <c r="K23" i="8"/>
  <c r="K840" i="59" s="1"/>
  <c r="D30" i="8"/>
  <c r="B33" i="8"/>
  <c r="B850" i="59" s="1"/>
  <c r="B869" i="59"/>
  <c r="C869" i="59"/>
  <c r="D869" i="59"/>
  <c r="E869" i="59"/>
  <c r="F869" i="59"/>
  <c r="G869" i="59"/>
  <c r="H869" i="59"/>
  <c r="I869" i="59"/>
  <c r="J869" i="59"/>
  <c r="D59" i="8"/>
  <c r="E59" i="8"/>
  <c r="B60" i="8"/>
  <c r="B877" i="59" s="1"/>
  <c r="C60" i="8"/>
  <c r="C877" i="59" s="1"/>
  <c r="H61" i="8"/>
  <c r="H878" i="59" s="1"/>
  <c r="I61" i="8"/>
  <c r="I878" i="59" s="1"/>
  <c r="B898" i="59"/>
  <c r="C898" i="59"/>
  <c r="D898" i="59"/>
  <c r="E898" i="59"/>
  <c r="F898" i="59"/>
  <c r="G898" i="59"/>
  <c r="H898" i="59"/>
  <c r="I898" i="59"/>
  <c r="J898" i="59"/>
  <c r="K898" i="59"/>
  <c r="D88" i="8"/>
  <c r="D905" i="59" s="1"/>
  <c r="E88" i="8"/>
  <c r="E905" i="59" s="1"/>
  <c r="E14" i="52" l="1"/>
  <c r="H840" i="59"/>
  <c r="E10" i="52"/>
  <c r="D840" i="59"/>
  <c r="K869" i="59"/>
  <c r="C115" i="8"/>
  <c r="B932" i="59"/>
  <c r="B117" i="8"/>
  <c r="B934" i="59" s="1"/>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115" i="8" l="1"/>
  <c r="C932" i="59"/>
  <c r="C117" i="8"/>
  <c r="C934" i="59" s="1"/>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115" i="8" l="1"/>
  <c r="D932" i="59"/>
  <c r="D117" i="8"/>
  <c r="D934" i="59" s="1"/>
  <c r="D17" i="51"/>
  <c r="D18" i="51" s="1"/>
  <c r="D20" i="51" s="1"/>
  <c r="D24" i="51" s="1"/>
  <c r="K7" i="51" s="1"/>
  <c r="E10" i="51"/>
  <c r="E36" i="8"/>
  <c r="F10" i="51" l="1"/>
  <c r="E853" i="59"/>
  <c r="F115" i="8"/>
  <c r="E932" i="59"/>
  <c r="E117" i="8"/>
  <c r="E934" i="59" s="1"/>
  <c r="E17" i="51"/>
  <c r="E18" i="51" s="1"/>
  <c r="E20" i="51" s="1"/>
  <c r="E24" i="51" s="1"/>
  <c r="K8" i="51" s="1"/>
  <c r="F17" i="51"/>
  <c r="F18" i="51" s="1"/>
  <c r="F20" i="51" s="1"/>
  <c r="F24" i="51" s="1"/>
  <c r="K9"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I853" i="59"/>
  <c r="C37" i="51"/>
  <c r="C38" i="51" s="1"/>
  <c r="C40" i="51" s="1"/>
  <c r="C44" i="51" s="1"/>
  <c r="K13" i="51" s="1"/>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<sst xmlns="http://schemas.openxmlformats.org/spreadsheetml/2006/main" count="12908" uniqueCount="4623">
  <si>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</si>
  <si>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</si>
  <si>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</si>
  <si>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</si>
  <si>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</si>
  <si>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</si>
  <si>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</si>
  <si>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</si>
  <si>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</si>
  <si>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</si>
  <si>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</si>
  <si>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</si>
  <si>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</si>
  <si>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</si>
  <si>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</si>
  <si>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</si>
  <si>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</si>
  <si>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</si>
  <si>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</si>
  <si>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</si>
  <si>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</si>
  <si>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</si>
  <si>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</si>
  <si>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</si>
  <si>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</si>
  <si>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</si>
  <si>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</si>
  <si>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</si>
  <si>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</si>
  <si>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</si>
  <si>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</si>
  <si>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</si>
  <si>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</si>
  <si>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</si>
  <si>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</si>
  <si>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</si>
  <si>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</si>
  <si>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</si>
  <si>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</si>
  <si>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</si>
  <si>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</si>
  <si>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</si>
  <si>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</si>
  <si>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</si>
  <si>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</si>
  <si>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</si>
  <si>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</si>
  <si>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</si>
  <si>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</si>
  <si>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</si>
  <si>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</si>
  <si>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</si>
  <si>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</si>
  <si>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</si>
  <si>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</si>
  <si>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</si>
  <si>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</si>
  <si>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</si>
  <si>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</si>
  <si>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</si>
  <si>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</si>
  <si>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</si>
  <si>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</si>
  <si>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</si>
  <si>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</si>
  <si>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</si>
  <si>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</si>
  <si>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</si>
  <si>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</si>
  <si>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</si>
  <si>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</si>
  <si>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</si>
  <si>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</si>
  <si>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</si>
  <si>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</si>
  <si>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</si>
  <si>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</si>
  <si>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</si>
  <si>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</si>
  <si>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</si>
  <si>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</si>
  <si>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</si>
  <si>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</si>
  <si>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</si>
  <si>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</si>
  <si>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</si>
  <si>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</si>
  <si>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</si>
  <si>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</si>
  <si>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</si>
  <si>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</si>
  <si>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</si>
  <si>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</si>
  <si>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</si>
  <si>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</si>
  <si>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</si>
  <si>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</si>
  <si>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</si>
  <si>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</si>
  <si>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</si>
  <si>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</si>
  <si>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</si>
  <si>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</si>
  <si>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</si>
  <si>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</si>
  <si>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</si>
  <si>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</si>
  <si>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</si>
  <si>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</si>
  <si>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</si>
  <si>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</si>
  <si>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</si>
  <si>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</si>
  <si>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</si>
  <si>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</si>
  <si>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</si>
  <si>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</si>
  <si>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</si>
  <si>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</si>
  <si>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</si>
  <si>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</si>
  <si>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</si>
  <si>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</si>
  <si>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</si>
  <si>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</si>
  <si>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</si>
  <si>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</si>
  <si>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</si>
  <si>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</si>
  <si>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</si>
  <si>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</si>
  <si>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</si>
  <si>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</si>
  <si>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</si>
  <si>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</si>
  <si>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</si>
  <si>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</si>
  <si>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</si>
  <si>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</si>
  <si>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</si>
  <si>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</si>
  <si>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</si>
  <si>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</si>
  <si>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</si>
  <si>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</si>
  <si>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</si>
  <si>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</si>
  <si>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</si>
  <si>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</si>
  <si>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</si>
  <si>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</si>
  <si>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</si>
  <si>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</si>
  <si>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</si>
  <si>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</si>
  <si>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</si>
  <si>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</si>
  <si>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</si>
  <si>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</si>
  <si>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</si>
  <si>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</si>
  <si>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</si>
  <si>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</si>
  <si>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</si>
  <si>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</si>
  <si>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</si>
  <si>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</si>
  <si>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</si>
  <si>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</si>
  <si>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</si>
  <si>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</si>
  <si>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</si>
  <si>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</si>
  <si>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</si>
  <si>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</si>
  <si>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</si>
  <si>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</si>
  <si>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</si>
  <si>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</si>
  <si>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</si>
  <si>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</si>
  <si>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</si>
  <si>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</si>
  <si>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</si>
  <si>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</si>
  <si>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</si>
  <si>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</si>
  <si>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</si>
  <si>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</si>
  <si>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</si>
  <si>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</si>
  <si>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</si>
  <si>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</si>
  <si>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</si>
  <si>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</si>
  <si>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</si>
  <si>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</si>
  <si>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</si>
  <si>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</si>
  <si>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</si>
  <si>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</si>
  <si>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</si>
  <si>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</si>
  <si>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</si>
  <si>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</si>
  <si>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</si>
  <si>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</si>
  <si>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</si>
  <si>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</si>
  <si>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</si>
  <si>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</si>
  <si>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</si>
  <si>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</si>
  <si>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</si>
  <si>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</si>
  <si>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</si>
  <si>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</si>
  <si>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</si>
  <si>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</si>
  <si>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</si>
  <si>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</si>
  <si>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</si>
  <si>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</si>
  <si>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</si>
  <si>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</si>
  <si>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</si>
  <si>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</si>
  <si>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</si>
  <si>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</si>
  <si>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</si>
  <si>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</si>
  <si>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</si>
  <si>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</si>
  <si>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</si>
  <si>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</si>
  <si>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</si>
  <si>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</si>
  <si>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</si>
  <si>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</si>
  <si>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</si>
  <si>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</si>
  <si>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</si>
  <si>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</si>
  <si>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</si>
  <si>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</si>
  <si>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</si>
  <si>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</si>
  <si>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</si>
  <si>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</si>
  <si>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</si>
  <si>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</si>
  <si>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</si>
  <si>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</si>
  <si>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</si>
  <si>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</si>
  <si>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</si>
  <si>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</si>
  <si>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</si>
  <si>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</si>
  <si>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</si>
  <si>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</si>
  <si>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</si>
  <si>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</si>
  <si>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</si>
  <si>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</si>
  <si>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</si>
  <si>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</si>
  <si>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</si>
  <si>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</si>
  <si>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</si>
  <si>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</si>
  <si>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</si>
  <si>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</si>
  <si>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</si>
  <si>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</si>
  <si>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</si>
  <si>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</si>
  <si>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</si>
  <si>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</si>
  <si>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</si>
  <si>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</si>
  <si>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</si>
  <si>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</si>
  <si>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</si>
  <si>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</si>
  <si>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</si>
  <si>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</si>
  <si>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</si>
  <si>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</si>
  <si>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</si>
  <si>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</si>
  <si>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</si>
  <si>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</si>
  <si>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</si>
  <si>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</si>
  <si>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</si>
  <si>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</si>
  <si>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</si>
  <si>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</si>
  <si>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</si>
  <si>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</si>
  <si>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</si>
  <si>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</si>
  <si>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</si>
  <si>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</si>
  <si>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</si>
  <si>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</si>
  <si>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</si>
  <si>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</si>
  <si>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</si>
  <si>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</si>
  <si>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</si>
  <si>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</si>
  <si>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</si>
  <si>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</si>
  <si>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</si>
  <si>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</si>
  <si>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</si>
  <si>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</si>
  <si>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</si>
  <si>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</si>
  <si>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</si>
  <si>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</si>
  <si>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</si>
  <si>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</si>
  <si>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</si>
  <si>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</si>
  <si>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</si>
  <si>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</si>
  <si>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</si>
  <si>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</si>
  <si>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</si>
  <si>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</si>
  <si>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</si>
  <si>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</si>
  <si>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</si>
  <si>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</si>
  <si>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</si>
  <si>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</si>
  <si>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</si>
  <si>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</si>
  <si>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</si>
  <si>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</si>
  <si>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</si>
  <si>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</si>
  <si>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</si>
  <si>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</si>
  <si>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</si>
  <si>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</si>
  <si>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</si>
  <si>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</si>
  <si>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</si>
  <si>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</si>
  <si>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</si>
  <si>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</si>
  <si>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</si>
  <si>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</si>
  <si>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</si>
  <si>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</si>
  <si>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</si>
  <si>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</si>
  <si>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</si>
  <si>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</si>
  <si>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</si>
  <si>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</si>
  <si>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</si>
  <si>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</si>
  <si>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</si>
  <si>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</si>
  <si>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</si>
  <si>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</si>
  <si>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</si>
  <si>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</si>
  <si>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</si>
  <si>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</si>
  <si>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</si>
  <si>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</si>
  <si>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</si>
  <si>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</si>
  <si>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</si>
  <si>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</si>
  <si>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</si>
  <si>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</si>
  <si>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</si>
  <si>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</si>
  <si>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</si>
  <si>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</si>
  <si>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</si>
  <si>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</si>
  <si>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</si>
  <si>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</si>
  <si>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</si>
  <si>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</si>
  <si>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</si>
  <si>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</si>
  <si>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</si>
  <si>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</si>
  <si>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</si>
  <si>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</si>
  <si>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</si>
  <si>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</si>
  <si>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</si>
  <si>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</si>
  <si>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</si>
  <si>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</si>
  <si>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</si>
  <si>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</si>
  <si>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</si>
  <si>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</si>
  <si>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</si>
  <si>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</si>
  <si>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</si>
  <si>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</si>
  <si>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</si>
  <si>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</si>
  <si>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</si>
  <si>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</si>
  <si>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</si>
  <si>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</si>
  <si>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</si>
  <si>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</si>
  <si>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</si>
  <si>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</si>
  <si>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</si>
  <si>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</si>
  <si>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</si>
  <si>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</si>
  <si>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</si>
  <si>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</si>
  <si>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</si>
  <si>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</si>
  <si>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</si>
  <si>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</si>
  <si>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</si>
  <si>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</si>
  <si>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</si>
  <si>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</si>
  <si>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</si>
  <si>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</si>
  <si>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</si>
  <si>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</si>
  <si>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</si>
  <si>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</si>
  <si>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</si>
  <si>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</si>
  <si>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</si>
  <si>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</si>
  <si>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</si>
  <si>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</si>
  <si>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</si>
  <si>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</si>
  <si>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</si>
  <si>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</si>
  <si>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</si>
  <si>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</si>
  <si>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</si>
  <si>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</si>
  <si>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</si>
  <si>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</si>
  <si>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</si>
  <si>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</si>
  <si>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</si>
  <si>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</si>
  <si>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</si>
  <si>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</si>
  <si>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</si>
  <si>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</si>
  <si>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</si>
  <si>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</si>
  <si>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</si>
  <si>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</si>
  <si>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</si>
  <si>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</si>
  <si>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</si>
  <si>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</si>
  <si>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</si>
  <si>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</si>
  <si>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</si>
  <si>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</si>
  <si>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</si>
  <si>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</si>
  <si>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</si>
  <si>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</si>
  <si>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</si>
  <si>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</si>
  <si>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</si>
  <si>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</si>
  <si>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</si>
  <si>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</si>
  <si>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</si>
  <si>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</si>
  <si>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</si>
  <si>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</si>
  <si>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</si>
  <si>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</si>
  <si>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</si>
  <si>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</si>
  <si>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</si>
  <si>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</si>
  <si>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</si>
  <si>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</si>
  <si>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</si>
  <si>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</si>
  <si>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</si>
  <si>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</si>
  <si>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</si>
  <si>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</si>
  <si>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</si>
  <si>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</si>
  <si>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</si>
  <si>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</si>
  <si>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</si>
  <si>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</si>
  <si>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</si>
  <si>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</si>
  <si>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</si>
  <si>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</si>
  <si>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</si>
  <si>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</si>
  <si>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</si>
  <si>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</si>
  <si>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</si>
  <si>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</si>
  <si>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</si>
  <si>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</si>
  <si>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</si>
  <si>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</si>
  <si>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</si>
  <si>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</si>
  <si>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</si>
  <si>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</si>
  <si>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</si>
  <si>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</si>
  <si>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</si>
  <si>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</si>
  <si>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</si>
  <si>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</si>
  <si>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</si>
  <si>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</si>
  <si>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</si>
  <si>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</si>
  <si>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</si>
  <si>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</si>
  <si>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</si>
  <si>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</si>
  <si>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</si>
  <si>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</si>
  <si>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</si>
  <si>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</si>
  <si>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</si>
  <si>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</si>
  <si>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</si>
  <si>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</si>
  <si>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</si>
  <si>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</si>
  <si>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</si>
  <si>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</si>
  <si>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</si>
  <si>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</si>
  <si>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</si>
  <si>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</si>
  <si>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</si>
  <si>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</si>
  <si>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</si>
  <si>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</si>
  <si>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</si>
  <si>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</si>
  <si>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</si>
  <si>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</si>
  <si>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</si>
  <si>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</si>
  <si>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</si>
  <si>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</si>
  <si>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</si>
  <si>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</si>
  <si>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</si>
  <si>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</si>
  <si>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</si>
  <si>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</si>
  <si>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</si>
  <si>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</si>
  <si>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</si>
  <si>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</si>
  <si>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</si>
  <si>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</si>
  <si>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</si>
  <si>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</si>
  <si>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</si>
  <si>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</si>
  <si>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</si>
  <si>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</si>
  <si>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</si>
  <si>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</si>
  <si>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</si>
  <si>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</si>
  <si>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</si>
  <si>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</si>
  <si>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</si>
  <si>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</si>
  <si>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</si>
  <si>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</si>
  <si>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</si>
  <si>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</si>
  <si>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</si>
  <si>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</si>
  <si>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</si>
  <si>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</si>
  <si>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</si>
  <si>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</si>
  <si>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</si>
  <si>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</si>
  <si>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</si>
  <si>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</si>
  <si>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</si>
  <si>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</si>
  <si>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</si>
  <si>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</si>
  <si>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</si>
  <si>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</si>
  <si>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</si>
  <si>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</si>
  <si>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</si>
  <si>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</si>
  <si>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</si>
  <si>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</si>
  <si>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</si>
  <si>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</si>
  <si>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</si>
  <si>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</si>
  <si>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</si>
  <si>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</si>
  <si>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</si>
  <si>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</si>
  <si>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</si>
  <si>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</si>
  <si>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</si>
  <si>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</si>
  <si>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</si>
  <si>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</si>
  <si>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</si>
  <si>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</si>
  <si>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</si>
  <si>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</si>
  <si>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</si>
  <si>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</si>
  <si>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</si>
  <si>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</si>
  <si>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</si>
  <si>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</si>
  <si>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</si>
  <si>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</si>
  <si>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</si>
  <si>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</si>
  <si>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</si>
  <si>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</si>
  <si>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</si>
  <si>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</si>
  <si>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</si>
  <si>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</si>
  <si>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</si>
  <si>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</si>
  <si>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</si>
  <si>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</si>
  <si>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</si>
  <si>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</si>
  <si>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</si>
  <si>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</si>
  <si>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</si>
  <si>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</si>
  <si>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</si>
  <si>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</si>
  <si>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</si>
  <si>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</si>
  <si>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</si>
  <si>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</si>
  <si>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</si>
  <si>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</si>
  <si>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</si>
  <si>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</si>
  <si>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</si>
  <si>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</si>
  <si>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</si>
  <si>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</si>
  <si>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</si>
  <si>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</si>
  <si>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</si>
  <si>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</si>
  <si>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</si>
  <si>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</si>
  <si>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</si>
  <si>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</si>
  <si>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</si>
  <si>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</si>
  <si>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</si>
  <si>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</si>
  <si>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</si>
  <si>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</si>
  <si>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</si>
  <si>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</si>
  <si>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</si>
  <si>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</si>
  <si>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</si>
  <si>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</si>
  <si>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</si>
  <si>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</si>
  <si>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</si>
  <si>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</si>
  <si>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</si>
  <si>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</si>
  <si>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</si>
  <si>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</si>
  <si>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</si>
  <si>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</si>
  <si>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</si>
  <si>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</si>
  <si>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</si>
  <si>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</si>
  <si>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</si>
  <si>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</si>
  <si>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</si>
  <si>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</si>
  <si>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</si>
  <si>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</si>
  <si>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</si>
  <si>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</si>
  <si>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</si>
  <si>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</si>
  <si>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</si>
  <si>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</si>
  <si>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</si>
  <si>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</si>
  <si>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</si>
  <si>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</si>
  <si>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</si>
  <si>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</si>
  <si>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</si>
  <si>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</si>
  <si>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</si>
  <si>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</si>
  <si>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</si>
  <si>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</si>
  <si>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</si>
  <si>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</si>
  <si>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</si>
  <si>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</si>
  <si>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</si>
  <si>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</si>
  <si>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</si>
  <si>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</si>
  <si>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</si>
  <si>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</si>
  <si>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</si>
  <si>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</si>
  <si>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</si>
  <si>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</si>
  <si>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</si>
  <si>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</si>
  <si>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</si>
  <si>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</si>
  <si>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</si>
  <si>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</si>
  <si>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</si>
  <si>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</si>
  <si>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</si>
  <si>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</si>
  <si>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</si>
  <si>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</si>
  <si>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</si>
  <si>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</si>
  <si>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</si>
  <si>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</si>
  <si>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</si>
  <si>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</si>
  <si>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</si>
  <si>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</si>
  <si>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</si>
  <si>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</si>
  <si>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</si>
  <si>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</si>
  <si>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</si>
  <si>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</si>
  <si>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</si>
  <si>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</si>
  <si>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</si>
  <si>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</si>
  <si>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</si>
  <si>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</si>
  <si>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</si>
  <si>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</si>
  <si>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</si>
  <si>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</si>
  <si>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</si>
  <si>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</si>
  <si>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</si>
  <si>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</si>
  <si>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</si>
  <si>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</si>
  <si>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</si>
  <si>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</si>
  <si>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</si>
  <si>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</si>
  <si>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</si>
  <si>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</si>
  <si>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</si>
  <si>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</si>
  <si>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</si>
  <si>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</si>
  <si>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</si>
  <si>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</si>
  <si>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</si>
  <si>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</si>
  <si>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</si>
  <si>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</si>
  <si>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</si>
  <si>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</si>
  <si>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</si>
  <si>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</si>
  <si>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</si>
  <si>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</si>
  <si>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</si>
  <si>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</si>
  <si>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</si>
  <si>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</si>
  <si>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</si>
  <si>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</si>
  <si>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</si>
  <si>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</si>
  <si>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</si>
  <si>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</si>
  <si>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</si>
  <si>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</si>
  <si>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</si>
  <si>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</si>
  <si>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</si>
  <si>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</si>
  <si>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</si>
  <si>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</si>
  <si>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</si>
  <si>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</si>
  <si>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</si>
  <si>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</si>
  <si>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</si>
  <si>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</si>
  <si>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</si>
  <si>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</si>
  <si>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</si>
  <si>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</si>
  <si>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</si>
  <si>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</si>
  <si>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</si>
  <si>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</si>
  <si>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</si>
  <si>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</si>
  <si>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</si>
  <si>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</si>
  <si>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</si>
  <si>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</si>
  <si>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</si>
  <si>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</si>
  <si>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</si>
  <si>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</si>
  <si>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</si>
  <si>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</si>
  <si>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</si>
  <si>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</si>
  <si>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</si>
  <si>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</si>
  <si>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</si>
  <si>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</si>
  <si>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</si>
  <si>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</si>
  <si>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</si>
  <si>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</si>
  <si>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</si>
  <si>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</si>
  <si>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</si>
  <si>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</si>
  <si>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</si>
  <si>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</si>
  <si>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</si>
  <si>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</si>
  <si>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</si>
  <si>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</si>
  <si>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</si>
  <si>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</si>
  <si>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</si>
  <si>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</si>
  <si>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</si>
  <si>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</si>
  <si>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</si>
  <si>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</si>
  <si>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</si>
  <si>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</si>
  <si>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</si>
  <si>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</si>
  <si>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</si>
  <si>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</si>
  <si>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</si>
  <si>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</si>
  <si>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</si>
  <si>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</si>
  <si>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</si>
  <si>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</si>
  <si>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</si>
  <si>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</si>
  <si>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</si>
  <si>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</si>
  <si>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</si>
  <si>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</si>
  <si>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</si>
  <si>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</si>
  <si>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</si>
  <si>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</si>
  <si>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</si>
  <si>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</si>
  <si>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</si>
  <si>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</si>
  <si>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</si>
  <si>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</si>
  <si>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</si>
  <si>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</si>
  <si>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</si>
  <si>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</si>
  <si>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</si>
  <si>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</si>
  <si>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</si>
  <si>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</si>
  <si>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</si>
  <si>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</si>
  <si>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</si>
  <si>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</si>
  <si>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</si>
  <si>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</si>
  <si>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</si>
  <si>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</si>
  <si>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</si>
  <si>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</si>
  <si>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</si>
  <si>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</si>
  <si>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</si>
  <si>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</si>
  <si>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</si>
  <si>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</si>
  <si>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</si>
  <si>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</si>
  <si>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</si>
  <si>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</si>
  <si>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</si>
  <si>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</si>
  <si>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</si>
  <si>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</si>
  <si>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</si>
  <si>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</si>
  <si>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</si>
  <si>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</si>
  <si>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</si>
  <si>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</si>
  <si>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</si>
  <si>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</si>
  <si>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</si>
  <si>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</si>
  <si>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</si>
  <si>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</si>
  <si>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</si>
  <si>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</si>
  <si>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</si>
  <si>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</si>
  <si>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</si>
  <si>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</si>
  <si>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</si>
  <si>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</si>
  <si>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</si>
  <si>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</si>
  <si>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</si>
  <si>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</si>
  <si>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</si>
  <si>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</si>
  <si>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</si>
  <si>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</si>
  <si>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</si>
  <si>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</si>
  <si>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</si>
  <si>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</si>
  <si>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</si>
  <si>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</si>
  <si>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</si>
  <si>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</si>
  <si>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</si>
  <si>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</si>
  <si>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</si>
  <si>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</si>
  <si>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</si>
  <si>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</si>
  <si>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</si>
  <si>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</si>
  <si>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</si>
  <si>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</si>
  <si>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</si>
  <si>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</si>
  <si>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</si>
  <si>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</si>
  <si>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</si>
  <si>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</si>
  <si>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</si>
  <si>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</si>
  <si>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</si>
  <si>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</si>
  <si>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</si>
  <si>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</si>
  <si>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</si>
  <si>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</si>
  <si>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</si>
  <si>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</si>
  <si>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</si>
  <si>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</si>
  <si>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</si>
  <si>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</si>
  <si>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</si>
  <si>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</si>
  <si>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</si>
  <si>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</si>
  <si>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</si>
  <si>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</si>
  <si>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</si>
  <si>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</si>
  <si>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</si>
  <si>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</si>
  <si>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</si>
  <si>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</si>
  <si>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</si>
  <si>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</si>
  <si>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</si>
  <si>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</si>
  <si>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</si>
  <si>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</si>
  <si>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</si>
  <si>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</si>
  <si>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</si>
  <si>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</si>
  <si>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</si>
  <si>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</si>
  <si>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</si>
  <si>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</si>
  <si>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</si>
  <si>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</si>
  <si>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</si>
  <si>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</si>
  <si>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</si>
  <si>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</si>
  <si>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</si>
  <si>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</si>
  <si>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</si>
  <si>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</si>
  <si>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</si>
  <si>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</si>
  <si>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</si>
  <si>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</si>
  <si>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</si>
  <si>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</si>
  <si>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</si>
  <si>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</si>
  <si>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</si>
  <si>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</si>
  <si>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</si>
  <si>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</si>
  <si>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</si>
  <si>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</si>
  <si>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</si>
  <si>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</si>
  <si>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</si>
  <si>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</si>
  <si>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</si>
  <si>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</si>
  <si>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</si>
  <si>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</si>
  <si>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</si>
  <si>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</si>
  <si>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</si>
  <si>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</si>
  <si>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</si>
  <si>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</si>
  <si>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</si>
  <si>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</si>
  <si>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</si>
  <si>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</si>
  <si>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</si>
  <si>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</si>
  <si>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</si>
  <si>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</si>
  <si>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</si>
  <si>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</si>
  <si>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</si>
  <si>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</si>
  <si>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</si>
  <si>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</si>
  <si>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</si>
  <si>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</si>
  <si>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</si>
  <si>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</si>
  <si>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</si>
  <si>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</si>
  <si>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</si>
  <si>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</si>
  <si>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</si>
  <si>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</si>
  <si>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</si>
  <si>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</si>
  <si>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</si>
  <si>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</si>
  <si>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</si>
  <si>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</si>
  <si>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</si>
  <si>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</si>
  <si>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</si>
  <si>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</si>
  <si>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</si>
  <si>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</si>
  <si>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</si>
  <si>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</si>
  <si>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</si>
  <si>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</si>
  <si>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</si>
  <si>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</si>
  <si>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</si>
  <si>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</si>
  <si>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</si>
  <si>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</si>
  <si>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</si>
  <si>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</si>
  <si>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</si>
  <si>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</si>
  <si>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</si>
  <si>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</si>
  <si>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</si>
  <si>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</si>
  <si>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</si>
  <si>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</si>
  <si>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</si>
  <si>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</si>
  <si>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</si>
  <si>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</si>
  <si>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</si>
  <si>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</si>
  <si>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</si>
  <si>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</si>
  <si>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</si>
  <si>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</si>
  <si>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</si>
  <si>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</si>
  <si>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</si>
  <si>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</si>
  <si>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</si>
  <si>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</si>
  <si>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</si>
  <si>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</si>
  <si>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</si>
  <si>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</si>
  <si>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</si>
  <si>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</si>
  <si>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</si>
  <si>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</si>
  <si>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</si>
  <si>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</si>
  <si>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</si>
  <si>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</si>
  <si>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</si>
  <si>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</si>
  <si>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</si>
  <si>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</si>
  <si>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</si>
  <si>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</si>
  <si>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</si>
  <si>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</si>
  <si>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</si>
  <si>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</si>
  <si>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</si>
  <si>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</si>
  <si>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</si>
  <si>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</si>
  <si>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</si>
  <si>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</si>
  <si>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</si>
  <si>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</si>
  <si>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</si>
  <si>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</si>
  <si>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</si>
  <si>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</si>
  <si>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</si>
  <si>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</si>
  <si>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</si>
  <si>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</si>
  <si>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</si>
  <si>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</si>
  <si>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</si>
  <si>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</si>
  <si>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</si>
  <si>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</si>
  <si>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</si>
  <si>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</si>
  <si>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</si>
  <si>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</si>
  <si>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</si>
  <si>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</si>
  <si>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</si>
  <si>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</si>
  <si>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</si>
  <si>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</si>
  <si>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</si>
  <si>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</si>
  <si>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</si>
  <si>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</si>
  <si>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</si>
  <si>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</si>
  <si>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</si>
  <si>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</si>
  <si>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</si>
  <si>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</si>
  <si>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</si>
  <si>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</si>
  <si>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</si>
  <si>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</si>
  <si>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</si>
  <si>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</si>
  <si>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</si>
  <si>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</si>
  <si>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</si>
  <si>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</si>
  <si>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</si>
  <si>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</si>
  <si>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</si>
  <si>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</si>
  <si>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</si>
  <si>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</si>
  <si>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</si>
  <si>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</si>
  <si>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</si>
  <si>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</si>
  <si>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</si>
  <si>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</si>
  <si>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</si>
  <si>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</si>
  <si>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</si>
  <si>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</si>
  <si>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</si>
  <si>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</si>
  <si>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</si>
  <si>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</si>
  <si>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</si>
  <si>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</si>
  <si>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</si>
  <si>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</si>
  <si>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</si>
  <si>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</si>
  <si>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</si>
  <si>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</si>
  <si>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</si>
  <si>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</si>
  <si>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</si>
  <si>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</si>
  <si>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</si>
  <si>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</si>
  <si>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</si>
  <si>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</si>
  <si>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</si>
  <si>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</si>
  <si>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</si>
  <si>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</si>
  <si>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</si>
  <si>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</si>
  <si>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</si>
  <si>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</si>
  <si>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</si>
  <si>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</si>
  <si>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</si>
  <si>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</si>
  <si>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</si>
  <si>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</si>
  <si>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</si>
  <si>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</si>
  <si>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</si>
  <si>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</si>
  <si>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</si>
  <si>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</si>
  <si>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</si>
  <si>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</si>
  <si>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</si>
  <si>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</si>
  <si>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</si>
  <si>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</si>
  <si>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</si>
  <si>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</si>
  <si>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</si>
  <si>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</si>
  <si>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</si>
  <si>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</si>
  <si>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</si>
  <si>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</si>
  <si>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</si>
  <si>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</si>
  <si>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</si>
  <si>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</si>
  <si>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</si>
  <si>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</si>
  <si>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</si>
  <si>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</si>
  <si>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</si>
  <si>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</si>
  <si>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</si>
  <si>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</si>
  <si>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</si>
  <si>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</si>
  <si>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</si>
  <si>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</si>
  <si>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</si>
  <si>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</si>
  <si>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</si>
  <si>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</si>
  <si>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</si>
  <si>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</si>
  <si>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</si>
  <si>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</si>
  <si>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</si>
  <si>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</si>
  <si>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</si>
  <si>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</si>
  <si>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</si>
  <si>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</si>
  <si>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</si>
  <si>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</si>
  <si>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</si>
  <si>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</si>
  <si>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</si>
  <si>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</si>
  <si>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</si>
  <si>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</si>
  <si>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</si>
  <si>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</si>
  <si>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</si>
  <si>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</si>
  <si>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</si>
  <si>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</si>
  <si>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</si>
  <si>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</si>
  <si>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</si>
  <si>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</si>
  <si>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</si>
  <si>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</si>
  <si>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</si>
  <si>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</si>
  <si>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</si>
  <si>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</si>
  <si>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</si>
  <si>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</si>
  <si>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</si>
  <si>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</si>
  <si>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</si>
  <si>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</si>
  <si>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</si>
  <si>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</si>
  <si>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</si>
  <si>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</si>
  <si>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</si>
  <si>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</si>
  <si>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</si>
  <si>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</si>
  <si>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</si>
  <si>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</si>
  <si>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</si>
  <si>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</si>
  <si>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</si>
  <si>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</si>
  <si>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</si>
  <si>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</si>
  <si>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</si>
  <si>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</si>
  <si>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</si>
  <si>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</si>
  <si>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</si>
  <si>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</si>
  <si>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</si>
  <si>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</si>
  <si>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</si>
  <si>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</si>
  <si>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</si>
  <si>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</si>
  <si>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</si>
  <si>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</si>
  <si>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</si>
  <si>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</si>
  <si>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</si>
  <si>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</si>
  <si>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</si>
  <si>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</si>
  <si>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</si>
  <si>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</si>
  <si>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</si>
  <si>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</si>
  <si>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</si>
  <si>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</si>
  <si>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</si>
  <si>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</si>
  <si>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</si>
  <si>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</si>
  <si>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</si>
  <si>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</si>
  <si>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</si>
  <si>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</si>
  <si>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</si>
  <si>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</si>
  <si>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</si>
  <si>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</si>
  <si>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</si>
  <si>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</si>
  <si>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</si>
  <si>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</si>
  <si>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</si>
  <si>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</si>
  <si>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</si>
  <si>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</si>
  <si>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</si>
  <si>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</si>
  <si>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</si>
  <si>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</si>
  <si>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</si>
  <si>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</si>
  <si>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</si>
  <si>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</si>
  <si>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</si>
  <si>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</si>
  <si>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</si>
  <si>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</si>
  <si>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</si>
  <si>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</si>
  <si>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</si>
  <si>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</si>
  <si>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</si>
  <si>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</si>
  <si>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</si>
  <si>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</si>
  <si>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</si>
  <si>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</si>
  <si>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</si>
  <si>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</si>
  <si>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</si>
  <si>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</si>
  <si>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</si>
  <si>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</si>
  <si>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</si>
  <si>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</si>
  <si>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</si>
  <si>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</si>
  <si>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</si>
  <si>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</si>
  <si>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</si>
  <si>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</si>
  <si>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</si>
  <si>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</si>
  <si>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</si>
  <si>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</si>
  <si>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</si>
  <si>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</si>
  <si>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</si>
  <si>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</si>
  <si>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</si>
  <si>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</si>
  <si>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</si>
  <si>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</si>
  <si>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</si>
  <si>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</si>
  <si>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</si>
  <si>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</si>
  <si>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</si>
  <si>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</si>
  <si>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</si>
  <si>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</si>
  <si>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</si>
  <si>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</si>
  <si>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</si>
  <si>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</si>
  <si>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</si>
  <si>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</si>
  <si>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</si>
  <si>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</si>
  <si>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</si>
  <si>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</si>
  <si>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</si>
  <si>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</si>
  <si>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</si>
  <si>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</si>
  <si>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</si>
  <si>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</si>
  <si>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</si>
  <si>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</si>
  <si>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</si>
  <si>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</si>
  <si>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</si>
  <si>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</si>
  <si>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</si>
  <si>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</si>
  <si>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</si>
  <si>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</si>
  <si>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</si>
  <si>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</si>
  <si>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</si>
  <si>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</si>
  <si>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</si>
  <si>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</si>
  <si>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</si>
  <si>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</si>
  <si>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</si>
  <si>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</si>
  <si>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</si>
  <si>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</si>
  <si>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</si>
  <si>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</si>
  <si>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</si>
  <si>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</si>
  <si>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</si>
  <si>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</si>
  <si>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</si>
  <si>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</si>
  <si>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</si>
  <si>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</si>
  <si>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</si>
  <si>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</si>
  <si>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</si>
  <si>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</si>
  <si>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</si>
  <si>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</si>
  <si>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</si>
  <si>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</si>
  <si>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</si>
  <si>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</si>
  <si>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</si>
  <si>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</si>
  <si>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</si>
  <si>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</si>
  <si>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</si>
  <si>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</si>
  <si>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</si>
  <si>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</si>
  <si>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</si>
  <si>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</si>
  <si>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</si>
  <si>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</si>
  <si>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</si>
  <si>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</si>
  <si>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</si>
  <si>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</si>
  <si>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</si>
  <si>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</si>
  <si>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</si>
  <si>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</si>
  <si>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</si>
  <si>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</si>
  <si>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</si>
  <si>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</si>
  <si>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</si>
  <si>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</si>
  <si>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</si>
  <si>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</si>
  <si>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</si>
  <si>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</si>
  <si>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</si>
  <si>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</si>
  <si>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</si>
  <si>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</si>
  <si>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</si>
  <si>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</si>
  <si>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</si>
  <si>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</si>
  <si>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</si>
  <si>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</si>
  <si>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</si>
  <si>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</si>
  <si>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</si>
  <si>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</si>
  <si>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</si>
  <si>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</si>
  <si>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</si>
  <si>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</si>
  <si>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</si>
  <si>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</si>
  <si>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</si>
  <si>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</si>
  <si>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</si>
  <si>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</si>
  <si>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</si>
  <si>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</si>
  <si>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</si>
  <si>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</si>
  <si>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</si>
  <si>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</si>
  <si>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</si>
  <si>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</si>
  <si>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</si>
  <si>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</si>
  <si>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</si>
  <si>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</si>
  <si>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</si>
  <si>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</si>
  <si>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</si>
  <si>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</si>
  <si>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</si>
  <si>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</si>
  <si>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</si>
  <si>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</si>
  <si>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</si>
  <si>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</si>
  <si>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</si>
  <si>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</si>
  <si>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</si>
  <si>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</si>
  <si>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</si>
  <si>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</si>
  <si>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</si>
  <si>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</si>
  <si>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</si>
  <si>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</si>
  <si>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</si>
  <si>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</si>
  <si>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</si>
  <si>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</si>
  <si>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</si>
  <si>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</si>
  <si>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</si>
  <si>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</si>
  <si>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</si>
  <si>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</si>
  <si>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</si>
  <si>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</si>
  <si>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</si>
  <si>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</si>
  <si>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</si>
  <si>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</si>
  <si>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</si>
  <si>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</si>
  <si>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</si>
  <si>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</si>
  <si>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</si>
  <si>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</si>
  <si>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</si>
  <si>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</si>
  <si>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</si>
  <si>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</si>
  <si>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</si>
  <si>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</si>
  <si>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</si>
  <si>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</si>
  <si>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</si>
  <si>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</si>
  <si>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</si>
  <si>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</si>
  <si>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</si>
  <si>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</si>
  <si>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</si>
  <si>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</si>
  <si>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</si>
  <si>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</si>
  <si>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</si>
  <si>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</si>
  <si>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</si>
  <si>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</si>
  <si>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</si>
  <si>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</si>
  <si>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</si>
  <si>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</si>
  <si>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</si>
  <si>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</si>
  <si>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</si>
  <si>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</si>
  <si>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</si>
  <si>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</si>
  <si>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</si>
  <si>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</si>
  <si>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</si>
  <si>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</si>
  <si>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</si>
  <si>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</si>
  <si>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</si>
  <si>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</si>
  <si>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</si>
  <si>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</si>
  <si>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</si>
  <si>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</si>
  <si>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</si>
  <si>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</si>
  <si>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</si>
  <si>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</si>
  <si>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</si>
  <si>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</si>
  <si>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</si>
  <si>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</si>
  <si>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</si>
  <si>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</si>
  <si>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</si>
  <si>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</si>
  <si>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</si>
  <si>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</si>
  <si>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</si>
  <si>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</si>
  <si>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</si>
  <si>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</si>
  <si>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</si>
  <si>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</si>
  <si>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</si>
  <si>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</si>
  <si>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</si>
  <si>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</si>
  <si>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</si>
  <si>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</si>
  <si>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</si>
  <si>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</si>
  <si>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</si>
  <si>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</si>
  <si>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</si>
  <si>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</si>
  <si>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</si>
  <si>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</si>
  <si>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</si>
  <si>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</si>
  <si>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</si>
  <si>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</si>
  <si>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</si>
  <si>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</si>
  <si>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</si>
  <si>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</si>
  <si>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</si>
  <si>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</si>
  <si>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</si>
  <si>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</si>
  <si>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</si>
  <si>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</si>
  <si>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</si>
  <si>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</si>
  <si>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</si>
  <si>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</si>
  <si>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</si>
  <si>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</si>
  <si>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</si>
  <si>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</si>
  <si>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</si>
  <si>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</si>
  <si>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</si>
  <si>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</si>
  <si>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</si>
  <si>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</si>
  <si>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</si>
  <si>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</si>
  <si>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</si>
  <si>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</si>
  <si>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</si>
  <si>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</si>
  <si>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</si>
  <si>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</si>
  <si>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</si>
  <si>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</si>
  <si>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</si>
  <si>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</si>
  <si>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</si>
  <si>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</si>
  <si>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</si>
  <si>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</si>
  <si>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</si>
  <si>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</si>
  <si>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</si>
  <si>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</si>
  <si>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</si>
  <si>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</si>
  <si>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</si>
  <si>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</si>
  <si>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</si>
  <si>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</si>
  <si>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</si>
  <si>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</si>
  <si>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</si>
  <si>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</si>
  <si>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</si>
  <si>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</si>
  <si>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</si>
  <si>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</si>
  <si>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</si>
  <si>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</si>
  <si>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</si>
  <si>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</si>
  <si>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</si>
  <si>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</si>
  <si>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</si>
  <si>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</si>
  <si>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</si>
  <si>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</si>
  <si>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</si>
  <si>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</si>
  <si>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</si>
  <si>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</si>
  <si>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</si>
  <si>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</si>
  <si>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</si>
  <si>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</si>
  <si>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</si>
  <si>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</si>
  <si>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</si>
  <si>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</si>
  <si>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</si>
  <si>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</si>
  <si>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</si>
  <si>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</si>
  <si>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</si>
  <si>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</si>
  <si>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</si>
  <si>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</si>
  <si>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</si>
  <si>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</si>
  <si>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</si>
  <si>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</si>
  <si>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</si>
  <si>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</si>
  <si>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</si>
  <si>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</si>
  <si>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</si>
  <si>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</si>
  <si>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</si>
  <si>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</si>
  <si>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</si>
  <si>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</si>
  <si>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</si>
  <si>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</si>
  <si>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</si>
  <si>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</si>
  <si>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</si>
  <si>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</si>
  <si>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</si>
  <si>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</si>
  <si>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</si>
  <si>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</si>
  <si>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</si>
  <si>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</si>
  <si>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</si>
  <si>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</si>
  <si>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</si>
  <si>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</si>
  <si>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</si>
  <si>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</si>
  <si>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</si>
  <si>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</si>
  <si>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</si>
  <si>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</si>
  <si>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</si>
  <si>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</si>
  <si>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</si>
  <si>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</si>
  <si>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</si>
  <si>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</si>
  <si>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</si>
  <si>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</si>
  <si>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</si>
  <si>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</si>
  <si>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</si>
  <si>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</si>
  <si>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</si>
  <si>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</si>
  <si>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</si>
  <si>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</si>
  <si>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</si>
  <si>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</si>
  <si>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</si>
  <si>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</si>
  <si>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</si>
  <si>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</si>
  <si>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</si>
  <si>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</si>
  <si>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</si>
  <si>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</si>
  <si>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</si>
  <si>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</si>
  <si>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</si>
  <si>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</si>
  <si>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</si>
  <si>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</si>
  <si>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</si>
  <si>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</si>
  <si>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</si>
  <si>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</si>
  <si>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</si>
  <si>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</si>
  <si>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</si>
  <si>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</si>
  <si>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</si>
  <si>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</si>
  <si>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</si>
  <si>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</si>
  <si>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</si>
  <si>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</si>
  <si>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</si>
  <si>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</si>
  <si>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</si>
  <si>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</si>
  <si>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</si>
  <si>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</si>
  <si>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</si>
  <si>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</si>
  <si>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</si>
  <si>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</si>
  <si>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</si>
  <si>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</si>
  <si>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</si>
  <si>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</si>
  <si>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</si>
  <si>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</si>
  <si>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</si>
  <si>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</si>
  <si>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</si>
  <si>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</si>
  <si>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</si>
  <si>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</si>
  <si>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</si>
  <si>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</si>
  <si>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</si>
  <si>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</si>
  <si>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</si>
  <si>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</si>
  <si>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</si>
  <si>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</si>
  <si>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</si>
  <si>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</si>
  <si>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</si>
  <si>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</si>
  <si>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</si>
  <si>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</si>
  <si>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</si>
  <si>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</si>
  <si>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</si>
  <si>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</si>
  <si>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</si>
  <si>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</si>
  <si>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</si>
  <si>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</si>
  <si>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</si>
  <si>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</si>
  <si>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</si>
  <si>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</si>
  <si>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</si>
  <si>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</si>
  <si>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</si>
  <si>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</si>
  <si>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</si>
  <si>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</si>
  <si>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</si>
  <si>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</si>
  <si>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</si>
  <si>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</si>
  <si>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</si>
  <si>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</si>
  <si>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</si>
  <si>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</si>
  <si>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</si>
  <si>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</si>
  <si>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</si>
  <si>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</si>
  <si>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</si>
  <si>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</si>
  <si>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</si>
  <si>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</si>
  <si>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</si>
  <si>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</si>
  <si>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</si>
  <si>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</si>
  <si>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</si>
  <si>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</si>
  <si>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</si>
  <si>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</si>
  <si>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</si>
  <si>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</si>
  <si>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</si>
  <si>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</si>
  <si>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</si>
  <si>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</si>
  <si>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</si>
  <si>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</si>
  <si>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</si>
  <si>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</si>
  <si>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</si>
  <si>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</si>
  <si>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</si>
  <si>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</si>
  <si>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</si>
  <si>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</si>
  <si>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</si>
  <si>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</si>
  <si>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</si>
  <si>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</si>
  <si>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</si>
  <si>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</si>
  <si>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</si>
  <si>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</si>
  <si>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</si>
  <si>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</si>
  <si>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</si>
  <si>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</si>
  <si>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</si>
  <si>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</si>
  <si>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</si>
  <si>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</si>
  <si>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</si>
  <si>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</si>
  <si>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</si>
  <si>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</si>
  <si>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</si>
  <si>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</si>
  <si>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</si>
  <si>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</si>
  <si>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</si>
  <si>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</si>
  <si>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</si>
  <si>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</si>
  <si>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</si>
  <si>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</si>
  <si>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</si>
  <si>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</si>
  <si>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</si>
  <si>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</si>
  <si>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</si>
  <si>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</si>
  <si>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</si>
  <si>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</si>
  <si>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</si>
  <si>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</si>
  <si>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</si>
  <si>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</si>
  <si>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</si>
  <si>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</si>
  <si>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</si>
  <si>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</si>
  <si>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</si>
  <si>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</si>
  <si>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</si>
  <si>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</si>
  <si>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</si>
  <si>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</si>
  <si>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</si>
  <si>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</si>
  <si>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</si>
  <si>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</si>
  <si>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</si>
  <si>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</si>
  <si>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</si>
  <si>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</si>
  <si>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</si>
  <si>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</si>
  <si>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</si>
  <si>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</si>
  <si>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</si>
  <si>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</si>
  <si>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</si>
  <si>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</si>
  <si>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</si>
  <si>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</si>
  <si>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</si>
  <si>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</si>
  <si>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</si>
  <si>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</si>
  <si>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</si>
  <si>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</si>
  <si>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</si>
  <si>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</si>
  <si>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</si>
  <si>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</si>
  <si>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</si>
  <si>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</si>
  <si>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</si>
  <si>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</si>
  <si>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</si>
  <si>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</si>
  <si>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</si>
  <si>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</si>
  <si>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</si>
  <si>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</si>
  <si>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</si>
  <si>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</si>
  <si>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</si>
  <si>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</si>
  <si>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</si>
  <si>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</si>
  <si>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</si>
  <si>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</si>
  <si>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</si>
  <si>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</si>
  <si>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</si>
  <si>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</si>
  <si>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</si>
  <si>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</si>
  <si>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</si>
  <si>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</si>
  <si>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</si>
  <si>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</si>
  <si>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</si>
  <si>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</si>
  <si>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</si>
  <si>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</si>
  <si>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</si>
  <si>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</si>
  <si>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</si>
  <si>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</si>
  <si>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</si>
  <si>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</si>
  <si>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</si>
  <si>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</si>
  <si>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</si>
  <si>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</si>
  <si>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</si>
  <si>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</si>
  <si>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</si>
  <si>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</si>
  <si>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</si>
  <si>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</si>
  <si>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</si>
  <si>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</si>
  <si>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</si>
  <si>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</si>
  <si>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</si>
  <si>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</si>
  <si>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</si>
  <si>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</si>
  <si>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</si>
  <si>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</si>
  <si>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</si>
  <si>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</si>
  <si>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</si>
  <si>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</si>
  <si>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</si>
  <si>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</si>
  <si>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</si>
  <si>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</si>
  <si>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</si>
  <si>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</si>
  <si>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</si>
  <si>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</si>
  <si>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</si>
  <si>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</si>
  <si>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</si>
  <si>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</si>
  <si>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</si>
  <si>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</si>
  <si>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</si>
  <si>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</si>
  <si>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</si>
  <si>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</si>
  <si>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</si>
  <si>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</si>
  <si>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</si>
  <si>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</si>
  <si>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</si>
  <si>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</si>
  <si>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</si>
  <si>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</si>
  <si>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</si>
  <si>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</si>
  <si>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</si>
  <si>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</si>
  <si>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</si>
  <si>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</si>
  <si>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</si>
  <si>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</si>
  <si>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</si>
  <si>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</si>
  <si>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</si>
  <si>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</si>
  <si>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</si>
  <si>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</si>
  <si>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</si>
  <si>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</si>
  <si>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</si>
  <si>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</si>
  <si>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</si>
  <si>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</si>
  <si>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</si>
  <si>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</si>
  <si>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</si>
  <si>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</si>
  <si>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</si>
  <si>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</si>
  <si>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</si>
  <si>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</si>
  <si>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</si>
  <si>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</si>
  <si>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</si>
  <si>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</si>
  <si>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</si>
  <si>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</si>
  <si>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</si>
  <si>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</si>
  <si>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</si>
  <si>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</si>
  <si>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</si>
  <si>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</si>
  <si>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</si>
  <si>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</si>
  <si>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</si>
  <si>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</si>
  <si>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</si>
  <si>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</si>
  <si>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</si>
  <si>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</si>
  <si>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</si>
  <si>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</si>
  <si>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</si>
  <si>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</si>
  <si>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</si>
  <si>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</si>
  <si>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</si>
  <si>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</si>
  <si>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</si>
  <si>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</si>
  <si>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</si>
  <si>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</si>
  <si>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</si>
  <si>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</si>
  <si>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</si>
  <si>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</si>
  <si>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</si>
  <si>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</si>
  <si>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</si>
  <si>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</si>
  <si>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</si>
  <si>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</si>
  <si>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</si>
  <si>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</si>
  <si>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</si>
  <si>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</si>
  <si>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</si>
  <si>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</si>
  <si>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</si>
  <si>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</si>
  <si>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</si>
  <si>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</si>
  <si>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</si>
  <si>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</si>
  <si>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</si>
  <si>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</si>
  <si>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</si>
  <si>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</si>
  <si>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</si>
  <si>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</si>
  <si>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</si>
  <si>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</si>
  <si>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</si>
  <si>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</si>
  <si>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</si>
  <si>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</si>
  <si>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</si>
  <si>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</si>
  <si>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</si>
  <si>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</si>
  <si>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</si>
  <si>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</si>
  <si>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</si>
  <si>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</si>
  <si>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</si>
  <si>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</si>
  <si>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</si>
  <si>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</si>
  <si>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</si>
  <si>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</si>
  <si>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</si>
  <si>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</si>
  <si>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</si>
  <si>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</si>
  <si>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</si>
  <si>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</si>
  <si>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</si>
  <si>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</si>
  <si>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</si>
  <si>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</si>
  <si>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</si>
  <si>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</si>
  <si>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</si>
  <si>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</si>
  <si>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</si>
  <si>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</si>
  <si>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</si>
  <si>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</si>
  <si>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</si>
  <si>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</si>
  <si>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</si>
  <si>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</si>
  <si>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</si>
  <si>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</si>
  <si>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</si>
  <si>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</si>
  <si>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</si>
  <si>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</si>
  <si>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</si>
  <si>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</si>
  <si>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</si>
  <si>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</si>
  <si>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</si>
  <si>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</si>
  <si>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</si>
  <si>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</si>
  <si>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</si>
  <si>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</si>
  <si>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</si>
  <si>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</si>
  <si>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</si>
  <si>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</si>
  <si>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</si>
  <si>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</si>
  <si>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</si>
  <si>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</si>
  <si>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</si>
  <si>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</si>
  <si>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</si>
  <si>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</si>
  <si>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</si>
  <si>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</si>
  <si>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</si>
  <si>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</si>
  <si>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</si>
  <si>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</si>
  <si>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</si>
  <si>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</si>
  <si>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</si>
  <si>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</si>
  <si>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</si>
  <si>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</si>
  <si>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</si>
  <si>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</si>
  <si>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</si>
  <si>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</si>
  <si>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</si>
  <si>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</si>
  <si>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</si>
  <si>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</si>
  <si>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</si>
  <si>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</si>
  <si>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</si>
  <si>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</si>
  <si>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</si>
  <si>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</si>
  <si>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</si>
  <si>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</si>
  <si>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</si>
  <si>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</si>
  <si>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</si>
  <si>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</si>
  <si>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</si>
  <si>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</si>
  <si>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</si>
  <si>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</si>
  <si>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</si>
  <si>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</si>
  <si>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</si>
  <si>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</si>
  <si>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</si>
  <si>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</si>
  <si>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</si>
  <si>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</si>
  <si>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</si>
  <si>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</si>
  <si>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</si>
  <si>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</si>
  <si>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</si>
  <si>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</si>
  <si>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</si>
  <si>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</si>
  <si>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</si>
  <si>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</si>
  <si>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</si>
  <si>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</si>
  <si>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</si>
  <si>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</si>
  <si>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</si>
  <si>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</si>
  <si>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</si>
  <si>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</si>
  <si>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</si>
  <si>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</si>
  <si>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</si>
  <si>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</si>
  <si>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</si>
  <si>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</si>
  <si>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</si>
  <si>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</si>
  <si>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</si>
  <si>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</si>
  <si>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</si>
  <si>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</si>
  <si>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</si>
  <si>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</si>
  <si>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</si>
  <si>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</si>
  <si>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</si>
  <si>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</si>
  <si>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</si>
  <si>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</si>
  <si>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</si>
  <si>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</si>
  <si>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</si>
  <si>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</si>
  <si>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</si>
  <si>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</si>
  <si>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</si>
  <si>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</si>
  <si>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</si>
  <si>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</si>
  <si>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</si>
  <si>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</si>
  <si>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</si>
  <si>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</si>
  <si>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</si>
  <si>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</si>
  <si>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</si>
  <si>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</si>
  <si>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</si>
  <si>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</si>
  <si>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</si>
  <si>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</si>
  <si>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</si>
  <si>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</si>
  <si>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</si>
  <si>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</si>
  <si>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</si>
  <si>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</si>
  <si>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</si>
  <si>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</si>
  <si>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</si>
  <si>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</si>
  <si>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</si>
  <si>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</si>
  <si>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</si>
  <si>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</si>
  <si>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</si>
  <si>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</si>
  <si>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</si>
  <si>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</si>
  <si>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</si>
  <si>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</si>
  <si>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</si>
  <si>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</si>
  <si>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</si>
  <si>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</si>
  <si>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</si>
  <si>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</si>
  <si>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</si>
  <si>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</si>
  <si>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</si>
  <si>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</si>
  <si>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</si>
  <si>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</si>
  <si>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</si>
  <si>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</si>
  <si>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</si>
  <si>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</si>
  <si>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</si>
  <si>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</si>
  <si>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</si>
  <si>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</si>
  <si>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</si>
  <si>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</si>
  <si>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</si>
  <si>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</si>
  <si>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</si>
  <si>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</si>
  <si>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</si>
  <si>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</si>
  <si>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</si>
  <si>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</si>
  <si>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</si>
  <si>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</si>
  <si>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</si>
  <si>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</si>
  <si>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</si>
  <si>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</si>
  <si>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</si>
  <si>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</si>
  <si>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</si>
  <si>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</si>
  <si>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</si>
  <si>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</si>
  <si>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</si>
  <si>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</si>
  <si>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</si>
  <si>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</si>
  <si>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</si>
  <si>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</si>
  <si>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</si>
  <si>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</si>
  <si>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</si>
  <si>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</si>
  <si>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</si>
  <si>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</si>
  <si>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</si>
  <si>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</si>
  <si>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</si>
  <si>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</si>
  <si>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</si>
  <si>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</si>
  <si>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</si>
  <si>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</si>
  <si>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</si>
  <si>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</si>
  <si>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</si>
  <si>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</si>
  <si>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</si>
  <si>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</si>
  <si>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</si>
  <si>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</si>
  <si>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</si>
  <si>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</si>
  <si>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</si>
  <si>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</si>
  <si>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</si>
  <si>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</si>
  <si>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</si>
  <si>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</si>
  <si>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</si>
  <si>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</si>
  <si>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</si>
  <si>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</si>
  <si>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</si>
  <si>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</si>
  <si>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</si>
  <si>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</si>
  <si>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</si>
  <si>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</si>
  <si>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</si>
  <si>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</si>
  <si>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</si>
  <si>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</si>
  <si>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</si>
  <si>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</si>
  <si>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</si>
  <si>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</si>
  <si>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</si>
  <si>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</si>
  <si>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</si>
  <si>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</si>
  <si>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</si>
  <si>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</si>
  <si>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</si>
  <si>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</si>
  <si>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</si>
  <si>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</si>
  <si>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</si>
  <si>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</si>
  <si>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</si>
  <si>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</si>
  <si>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</si>
  <si>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</si>
  <si>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</si>
  <si>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</si>
  <si>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</si>
  <si>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</si>
  <si>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</si>
  <si>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</si>
  <si>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</si>
  <si>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</si>
  <si>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</si>
  <si>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</si>
  <si>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</si>
  <si>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</si>
  <si>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</si>
  <si>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</si>
  <si>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</si>
  <si>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</si>
  <si>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</si>
  <si>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</si>
  <si>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</si>
  <si>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</si>
  <si>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</si>
  <si>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</si>
  <si>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</si>
  <si>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</si>
  <si>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</si>
  <si>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</si>
  <si>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</si>
  <si>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</si>
  <si>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</si>
  <si>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</si>
  <si>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</si>
  <si>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</si>
  <si>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</si>
  <si>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</si>
  <si>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</si>
  <si>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</si>
  <si>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</si>
  <si>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</si>
  <si>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</si>
  <si>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</si>
  <si>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</si>
  <si>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</si>
  <si>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</si>
  <si>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</si>
  <si>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</si>
  <si>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</si>
  <si>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</si>
  <si>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</si>
  <si>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</si>
  <si>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</si>
  <si>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</si>
  <si>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</si>
  <si>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</si>
  <si>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</si>
  <si>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</si>
  <si>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</si>
  <si>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</si>
  <si>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</si>
  <si>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</si>
  <si>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</si>
  <si>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</si>
  <si>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</si>
  <si>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</si>
  <si>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</si>
  <si>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</si>
  <si>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</si>
  <si>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</si>
  <si>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</si>
  <si>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</si>
  <si>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</si>
  <si>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</si>
  <si>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</si>
  <si>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</si>
  <si>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</si>
  <si>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</si>
  <si>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</si>
  <si>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</si>
  <si>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</si>
  <si>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</si>
  <si>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</si>
  <si>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</si>
  <si>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</si>
  <si>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</si>
  <si>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</si>
  <si>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</si>
  <si>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</si>
  <si>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</si>
  <si>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</si>
  <si>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</si>
  <si>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</si>
  <si>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</si>
  <si>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</si>
  <si>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</si>
  <si>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</si>
  <si>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</si>
  <si>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</si>
  <si>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</si>
  <si>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</si>
  <si>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</si>
  <si>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</si>
  <si>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</si>
  <si>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</si>
  <si>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</si>
  <si>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</si>
  <si>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</si>
  <si>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</si>
  <si>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</si>
  <si>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</si>
  <si>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</si>
  <si>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</si>
  <si>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</si>
  <si>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</si>
  <si>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</si>
  <si>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</si>
  <si>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</si>
  <si>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</si>
  <si>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</si>
  <si>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</si>
  <si>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</si>
  <si>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</si>
  <si>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</si>
  <si>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</si>
  <si>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</si>
  <si>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</si>
  <si>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</si>
  <si>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</si>
  <si>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</si>
  <si>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</si>
  <si>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</si>
  <si>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</si>
  <si>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</si>
  <si>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</si>
  <si>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</si>
  <si>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</si>
  <si>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</si>
  <si>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</si>
  <si>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</si>
  <si>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</si>
  <si>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</si>
  <si>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</si>
  <si>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</si>
  <si>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</si>
  <si>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</si>
  <si>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</si>
  <si>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</si>
  <si>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</si>
  <si>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</si>
  <si>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</si>
  <si>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</si>
  <si>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</si>
  <si>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</si>
  <si>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</si>
  <si>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</si>
  <si>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</si>
  <si>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</si>
  <si>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</si>
  <si>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</si>
  <si>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</si>
  <si>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</si>
  <si>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</si>
  <si>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</si>
  <si>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</si>
  <si>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</si>
  <si>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</si>
  <si>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</si>
  <si>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</si>
  <si>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</si>
  <si>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</si>
  <si>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</si>
  <si>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</si>
  <si>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</si>
  <si>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</si>
  <si>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</si>
  <si>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</si>
  <si>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</si>
  <si>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</si>
  <si>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</si>
  <si>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</si>
  <si>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</si>
  <si>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</si>
  <si>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</si>
  <si>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</si>
  <si>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</si>
  <si>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</si>
  <si>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</si>
  <si>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</si>
  <si>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</si>
  <si>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</si>
  <si>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</si>
  <si>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</si>
  <si>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</si>
  <si>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</si>
  <si>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</si>
  <si>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</si>
  <si>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</si>
  <si>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</si>
  <si>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</si>
  <si>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</si>
  <si>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</si>
  <si>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</si>
  <si>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</si>
  <si>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</si>
  <si>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</si>
  <si>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</si>
  <si>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</si>
  <si>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</si>
  <si>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</si>
  <si>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</si>
  <si>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</si>
  <si>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</si>
  <si>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</si>
  <si>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</si>
  <si>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</si>
  <si>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</si>
  <si>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</si>
  <si>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</si>
  <si>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</si>
  <si>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</si>
  <si>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</si>
  <si>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</si>
  <si>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</si>
  <si>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</si>
  <si>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</si>
  <si>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</si>
  <si>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</si>
  <si>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</si>
  <si>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</si>
  <si>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</si>
  <si>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</si>
  <si>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</si>
  <si>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</si>
  <si>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</si>
  <si>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</si>
  <si>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</si>
  <si>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</si>
  <si>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</si>
  <si>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</si>
  <si>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</si>
  <si>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</si>
  <si>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</si>
  <si>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</si>
  <si>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</si>
  <si>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</si>
  <si>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</si>
  <si>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</si>
  <si>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</si>
  <si>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</si>
  <si>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</si>
  <si>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</si>
  <si>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</si>
  <si>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</si>
  <si>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</si>
  <si>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</si>
  <si>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</si>
  <si>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</si>
  <si>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</si>
  <si>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</si>
  <si>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</si>
  <si>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</si>
  <si>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</si>
  <si>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</si>
  <si>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</si>
  <si>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</si>
  <si>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</si>
  <si>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</si>
  <si>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</si>
  <si>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</si>
  <si>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</si>
  <si>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</si>
  <si>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</si>
  <si>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</si>
  <si>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</si>
  <si>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</si>
  <si>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</si>
  <si>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</si>
  <si>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</si>
  <si>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</si>
  <si>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</si>
  <si>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</si>
  <si>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</si>
  <si>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</si>
  <si>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</si>
  <si>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</si>
  <si>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</si>
  <si>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</si>
  <si>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</si>
  <si>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</si>
  <si>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</si>
  <si>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</si>
  <si>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</si>
  <si>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</si>
  <si>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</si>
  <si>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</si>
  <si>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</si>
  <si>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</si>
  <si>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</si>
  <si>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</si>
  <si>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</si>
  <si>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</si>
  <si>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</si>
  <si>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</si>
  <si>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</si>
  <si>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</si>
  <si>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</si>
  <si>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</si>
  <si>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</si>
  <si>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</si>
  <si>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</si>
  <si>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</si>
  <si>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</si>
  <si>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</si>
  <si>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</si>
  <si>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</si>
  <si>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</si>
  <si>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</si>
  <si>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</si>
  <si>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</si>
  <si>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</si>
  <si>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</si>
  <si>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</si>
  <si>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</si>
  <si>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</si>
  <si>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</si>
  <si>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</si>
  <si>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</si>
  <si>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</si>
  <si>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</si>
  <si>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</si>
  <si>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</si>
  <si>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</si>
  <si>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</si>
  <si>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</si>
  <si>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</si>
  <si>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</si>
  <si>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</si>
  <si>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</si>
  <si>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</si>
  <si>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</si>
  <si>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</si>
  <si>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</si>
  <si>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</si>
  <si>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</si>
  <si>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</si>
  <si>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</si>
  <si>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</si>
  <si>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</si>
  <si>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</si>
  <si>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</si>
  <si>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</si>
  <si>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</si>
  <si>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</si>
  <si>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</si>
  <si>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</si>
  <si>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</si>
  <si>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</si>
  <si>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</si>
  <si>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</si>
  <si>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</si>
  <si>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</si>
  <si>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</si>
  <si>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</si>
  <si>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</si>
  <si>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</si>
  <si>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</si>
  <si>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</si>
  <si>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</si>
  <si>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</si>
  <si>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</si>
  <si>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</si>
  <si>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</si>
  <si>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</si>
  <si>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</si>
  <si>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</si>
  <si>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</si>
  <si>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</si>
  <si>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</si>
  <si>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</si>
  <si>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</si>
  <si>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</si>
  <si>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</si>
  <si>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</si>
  <si>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</si>
  <si>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</si>
  <si>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</si>
  <si>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</si>
  <si>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</si>
  <si>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</si>
  <si>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</si>
  <si>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</si>
  <si>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</si>
  <si>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</si>
  <si>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</si>
  <si>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</si>
  <si>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</si>
  <si>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</si>
  <si>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</si>
  <si>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</si>
  <si>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</si>
  <si>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</si>
  <si>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</si>
  <si>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</si>
  <si>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</si>
  <si>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</si>
  <si>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</si>
  <si>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</si>
  <si>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</si>
  <si>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</si>
  <si>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</si>
  <si>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</si>
  <si>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</si>
  <si>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</si>
  <si>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</si>
  <si>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</si>
  <si>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</si>
  <si>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</si>
  <si>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</si>
  <si>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</si>
  <si>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</si>
  <si>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</si>
  <si>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</si>
  <si>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</si>
  <si>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</si>
  <si>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</si>
  <si>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</si>
  <si>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</si>
  <si>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</si>
  <si>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</si>
  <si>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</si>
  <si>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</si>
  <si>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</si>
  <si>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</si>
  <si>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</si>
  <si>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</si>
  <si>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</si>
  <si>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</si>
  <si>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</si>
  <si>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</si>
  <si>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</si>
  <si>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</si>
  <si>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</si>
  <si>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</si>
  <si>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</si>
  <si>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</si>
  <si>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</si>
  <si>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</si>
  <si>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</si>
  <si>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</si>
  <si>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</si>
  <si>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</si>
  <si>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</si>
  <si>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</si>
  <si>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</si>
  <si>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</si>
  <si>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</si>
  <si>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</si>
  <si>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</si>
  <si>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</si>
  <si>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</si>
  <si>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</si>
  <si>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</si>
  <si>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</si>
  <si>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</si>
  <si>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</si>
  <si>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</si>
  <si>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</si>
  <si>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</si>
  <si>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</si>
  <si>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</si>
  <si>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</si>
  <si>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</si>
  <si>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</si>
  <si>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</si>
  <si>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</si>
  <si>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</si>
  <si>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</si>
  <si>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</si>
  <si>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</si>
  <si>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</si>
  <si>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</si>
  <si>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</si>
  <si>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</si>
  <si>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</si>
  <si>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</si>
  <si>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</si>
  <si>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</si>
  <si>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</si>
  <si>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</si>
  <si>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</si>
  <si>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</si>
  <si>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</si>
  <si>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</si>
  <si>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</si>
  <si>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</si>
  <si>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</si>
  <si>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</si>
  <si>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</si>
  <si>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</si>
  <si>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</si>
  <si>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</si>
  <si>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</si>
  <si>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</si>
  <si>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</si>
  <si>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</si>
  <si>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</si>
  <si>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</si>
  <si>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</si>
  <si>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</si>
  <si>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</si>
  <si>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</si>
  <si>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</si>
  <si>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</si>
  <si>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</si>
  <si>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</si>
  <si>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</si>
  <si>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</si>
  <si>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</si>
  <si>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</si>
  <si>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</si>
  <si>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</si>
  <si>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</si>
  <si>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</si>
  <si>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</si>
  <si>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</si>
  <si>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</si>
  <si>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</si>
  <si>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</si>
  <si>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</si>
  <si>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</si>
  <si>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</si>
  <si>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</si>
  <si>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</si>
  <si>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</si>
  <si>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</si>
  <si>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</si>
  <si>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</si>
  <si>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</si>
  <si>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</si>
  <si>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</si>
  <si>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</si>
  <si>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</si>
  <si>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</si>
  <si>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</si>
  <si>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</si>
  <si>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</si>
  <si>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</si>
  <si>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</si>
  <si>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</si>
  <si>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</si>
  <si>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</si>
  <si>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</si>
  <si>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</si>
  <si>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</si>
  <si>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</si>
  <si>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</si>
  <si>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</si>
  <si>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</si>
  <si>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</si>
  <si>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</si>
  <si>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</si>
  <si>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</si>
  <si>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</si>
  <si>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</si>
  <si>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</si>
  <si>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</si>
  <si>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</si>
  <si>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</si>
  <si>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</si>
  <si>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</si>
  <si>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</si>
  <si>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</si>
  <si>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</si>
  <si>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</si>
  <si>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</si>
  <si>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</si>
  <si>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</si>
  <si>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</si>
  <si>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</si>
  <si>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</si>
  <si>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</si>
  <si>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</si>
  <si>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</si>
  <si>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</si>
  <si>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</si>
  <si>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</si>
  <si>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</si>
  <si>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</si>
  <si>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</si>
  <si>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</si>
  <si>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</si>
  <si>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</si>
  <si>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</si>
  <si>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</si>
  <si>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</si>
  <si>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</si>
  <si>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</si>
  <si>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</si>
  <si>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</si>
  <si>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</si>
  <si>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</si>
  <si>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</si>
  <si>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</si>
  <si>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</si>
  <si>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</si>
  <si>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</si>
  <si>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</si>
  <si>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</si>
  <si>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</si>
  <si>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</si>
  <si>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</si>
  <si>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</si>
  <si>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</si>
  <si>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</si>
  <si>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</si>
  <si>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</si>
  <si>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</si>
  <si>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</si>
  <si>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</si>
  <si>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</si>
  <si>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</si>
  <si>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</si>
  <si>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</si>
  <si>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</si>
  <si>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</si>
  <si>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</si>
  <si>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</si>
  <si>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</si>
  <si>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</si>
  <si>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</si>
  <si>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</si>
  <si>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</si>
  <si>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</si>
  <si>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</si>
  <si>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</si>
  <si>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</si>
  <si>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</si>
  <si>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</si>
  <si>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</si>
  <si>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</si>
  <si>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</si>
  <si>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</si>
  <si>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</si>
  <si>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</si>
  <si>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</si>
  <si>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</si>
  <si>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</si>
  <si>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</si>
  <si>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</si>
  <si>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</si>
  <si>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</si>
  <si>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</si>
  <si>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</si>
  <si>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</si>
  <si>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</si>
  <si>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</si>
  <si>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</si>
  <si>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</si>
  <si>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</si>
  <si>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</si>
  <si>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</si>
  <si>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</si>
  <si>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</si>
  <si>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</si>
  <si>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</si>
  <si>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</si>
  <si>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</si>
  <si>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</si>
  <si>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</si>
  <si>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</si>
  <si>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</si>
  <si>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</si>
  <si>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</si>
  <si>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</si>
  <si>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</si>
  <si>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</si>
  <si>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</si>
  <si>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</si>
  <si>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</si>
  <si>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</si>
  <si>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</si>
  <si>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</si>
  <si>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</si>
  <si>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</si>
  <si>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</si>
  <si>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</si>
  <si>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</si>
  <si>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</si>
  <si>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</si>
  <si>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</si>
  <si>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</si>
  <si>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</si>
  <si>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</si>
  <si>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</si>
  <si>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</si>
  <si>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</si>
  <si>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</si>
  <si>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</si>
  <si>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</si>
  <si>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</si>
  <si>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</si>
  <si>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</si>
  <si>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</si>
  <si>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</si>
  <si>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</si>
  <si>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</si>
  <si>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</si>
  <si>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</si>
  <si>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</si>
  <si>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</si>
  <si>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</si>
  <si>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</si>
  <si>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</si>
  <si>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</si>
  <si>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</si>
  <si>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</si>
  <si>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</si>
  <si>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</si>
  <si>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</si>
  <si>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</si>
  <si>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</si>
  <si>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</si>
  <si>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</si>
  <si>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</si>
  <si>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</si>
  <si>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</si>
  <si>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</si>
  <si>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</si>
  <si>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</si>
  <si>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</si>
  <si>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</si>
  <si>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</si>
  <si>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</si>
  <si>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</si>
  <si>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</si>
  <si>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</si>
  <si>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</si>
  <si>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</si>
  <si>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</si>
  <si>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</si>
  <si>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</si>
  <si>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</si>
  <si>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</si>
  <si>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</si>
  <si>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</si>
  <si>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</si>
  <si>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</si>
  <si>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</si>
  <si>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</si>
  <si>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</si>
  <si>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</si>
  <si>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</si>
  <si>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</si>
  <si>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</si>
  <si>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</si>
  <si>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</si>
  <si>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</si>
  <si>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</si>
  <si>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</si>
  <si>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</si>
  <si>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</si>
  <si>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</si>
  <si>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</si>
  <si>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</si>
  <si>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</si>
  <si>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</si>
  <si>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</si>
  <si>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</si>
  <si>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</si>
  <si>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</si>
  <si>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</si>
  <si>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</si>
  <si>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</si>
  <si>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</si>
  <si>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</si>
  <si>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</si>
  <si>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</si>
  <si>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</si>
  <si>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</si>
  <si>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</si>
  <si>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</si>
  <si>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</si>
  <si>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</si>
  <si>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</si>
  <si>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</si>
  <si>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</si>
  <si>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</si>
  <si>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</si>
  <si>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</si>
  <si>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</si>
  <si>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</si>
  <si>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</si>
  <si>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</si>
  <si>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</si>
  <si>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</si>
  <si>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</si>
  <si>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</si>
  <si>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</si>
  <si>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</si>
  <si>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</si>
  <si>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</si>
  <si>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</si>
  <si>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</si>
  <si>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</si>
  <si>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</si>
  <si>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</si>
  <si>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</si>
  <si>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</si>
  <si>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</si>
  <si>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</si>
  <si>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</si>
  <si>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</si>
  <si>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</si>
  <si>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</si>
  <si>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</si>
  <si>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</si>
  <si>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</si>
  <si>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</si>
  <si>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</si>
  <si>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</si>
  <si>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</si>
  <si>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</si>
  <si>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</si>
  <si>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</si>
  <si>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</si>
  <si>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</si>
  <si>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</si>
  <si>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</si>
  <si>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</si>
  <si>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</si>
  <si>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</si>
  <si>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</si>
  <si>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</si>
  <si>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</si>
  <si>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</si>
  <si>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</si>
  <si>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</si>
  <si>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</si>
  <si>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</si>
  <si>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</si>
  <si>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</si>
  <si>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</si>
  <si>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</si>
  <si>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</si>
  <si>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</si>
  <si>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</si>
  <si>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</si>
  <si>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</si>
  <si>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</si>
  <si>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</si>
  <si>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</si>
  <si>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</si>
  <si>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</si>
  <si>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</si>
  <si>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</si>
  <si>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</si>
  <si>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</si>
  <si>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</si>
  <si>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</si>
  <si>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</si>
  <si>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</si>
  <si>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</si>
  <si>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</si>
  <si>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</si>
  <si>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</si>
  <si>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</si>
  <si>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</si>
  <si>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</si>
  <si>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</si>
  <si>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</si>
  <si>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</si>
  <si>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</si>
  <si>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</si>
  <si>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</si>
  <si>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</si>
  <si>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</si>
  <si>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</si>
  <si>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</si>
  <si>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</si>
  <si>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</si>
  <si>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</si>
  <si>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</si>
  <si>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</si>
  <si>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</si>
  <si>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</si>
  <si>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</si>
  <si>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</si>
  <si>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</si>
  <si>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</si>
  <si>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</si>
  <si>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</si>
  <si>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</si>
  <si>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</si>
  <si>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</si>
  <si>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</si>
  <si>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</si>
  <si>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</si>
  <si>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</si>
  <si>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</si>
  <si>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</si>
  <si>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</si>
  <si>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</si>
  <si>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</si>
  <si>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</si>
  <si>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</si>
  <si>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</si>
  <si>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</si>
  <si>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</si>
  <si>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</si>
  <si>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</si>
  <si>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</si>
  <si>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</si>
  <si>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</si>
  <si>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</si>
  <si>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</si>
  <si>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</si>
  <si>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</si>
  <si>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</si>
  <si>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</si>
  <si>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</si>
  <si>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</si>
  <si>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</si>
  <si>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</si>
  <si>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</si>
  <si>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</si>
  <si>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</si>
  <si>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</si>
  <si>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</si>
  <si>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</si>
  <si>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</si>
  <si>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</si>
  <si>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</si>
  <si>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</si>
  <si>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</si>
  <si>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</si>
  <si>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</si>
  <si>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</si>
  <si>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</si>
  <si>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</si>
  <si>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</si>
  <si>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</si>
  <si>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</si>
  <si>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</si>
  <si>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</si>
  <si>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</si>
  <si>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</si>
  <si>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</si>
  <si>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</si>
  <si>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</si>
  <si>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</si>
  <si>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</si>
  <si>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</si>
  <si>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</si>
  <si>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</si>
  <si>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</si>
  <si>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</si>
  <si>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</si>
  <si>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</si>
  <si>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</si>
  <si>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</si>
  <si>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</si>
  <si>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</si>
  <si>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</si>
  <si>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</si>
  <si>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</si>
  <si>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</si>
  <si>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</si>
  <si>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</si>
  <si>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</si>
  <si>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</si>
  <si>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</si>
  <si>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</si>
  <si>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</si>
  <si>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</si>
  <si>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</si>
  <si>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</si>
  <si>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</si>
  <si>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</si>
  <si>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</si>
  <si>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</si>
  <si>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</si>
  <si>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</si>
  <si>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</si>
  <si>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</si>
  <si>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</si>
  <si>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</si>
  <si>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</si>
  <si>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</si>
  <si>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</si>
  <si>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</si>
  <si>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</si>
  <si>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</si>
  <si>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</si>
  <si>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</si>
  <si>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</si>
  <si>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</si>
  <si>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</si>
  <si>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</si>
  <si>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</si>
  <si>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</si>
  <si>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</si>
  <si>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</si>
  <si>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</si>
  <si>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</si>
  <si>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</si>
  <si>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</si>
  <si>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</si>
  <si>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</si>
  <si>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</si>
  <si>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</si>
  <si>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</si>
  <si>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</si>
  <si>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</si>
  <si>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</si>
  <si>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</si>
  <si>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</si>
  <si>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</si>
  <si>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</si>
  <si>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</si>
  <si>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</si>
  <si>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</si>
  <si>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</si>
  <si>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</si>
  <si>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</si>
  <si>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</si>
  <si>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</si>
  <si>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</si>
  <si>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</si>
  <si>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</si>
  <si>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</si>
  <si>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</si>
  <si>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</si>
  <si>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</si>
  <si>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</si>
  <si>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</si>
  <si>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</si>
  <si>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</si>
  <si>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</si>
  <si>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</si>
  <si>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</si>
  <si>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</si>
  <si>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</si>
  <si>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</si>
  <si>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</si>
  <si>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</si>
  <si>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</si>
  <si>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</si>
  <si>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</si>
  <si>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</si>
  <si>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</si>
  <si>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</si>
  <si>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</si>
  <si>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</si>
  <si>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</si>
  <si>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</si>
  <si>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</si>
  <si>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</si>
  <si>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</si>
  <si>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</si>
  <si>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</si>
  <si>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</si>
  <si>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</si>
  <si>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</si>
  <si>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</si>
  <si>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</si>
  <si>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</si>
  <si>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</si>
  <si>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</si>
  <si>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</si>
  <si>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</si>
  <si>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</si>
  <si>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</si>
  <si>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</si>
  <si>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</si>
  <si>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</si>
  <si>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</si>
  <si>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</si>
  <si>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</si>
  <si>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</si>
  <si>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</si>
  <si>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</si>
  <si>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</si>
  <si>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</si>
  <si>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</si>
  <si>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</si>
  <si>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</si>
  <si>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</si>
  <si>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</si>
  <si>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</si>
  <si>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</si>
  <si>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</si>
  <si>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</si>
  <si>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</si>
  <si>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</si>
  <si>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</si>
  <si>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</si>
  <si>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</si>
  <si>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</si>
  <si>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</si>
  <si>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</si>
  <si>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</si>
  <si>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</si>
  <si>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</si>
  <si>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</si>
  <si>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</si>
  <si>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</si>
  <si>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</si>
  <si>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</si>
  <si>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</si>
  <si>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</si>
  <si>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</si>
  <si>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</si>
  <si>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</si>
  <si>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</si>
  <si>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</si>
  <si>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</si>
  <si>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</si>
  <si>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</si>
  <si>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</si>
  <si>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</si>
  <si>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</si>
  <si>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</si>
  <si>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</si>
  <si>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</si>
  <si>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</si>
  <si>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</si>
  <si>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</si>
  <si>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</si>
  <si>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</si>
  <si>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</si>
  <si>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</si>
  <si>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</si>
  <si>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</si>
  <si>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</si>
  <si>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</si>
  <si>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</si>
  <si>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</si>
  <si>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</si>
  <si>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</si>
  <si>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</si>
  <si>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</si>
  <si>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</si>
  <si>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</si>
  <si>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</si>
  <si>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</si>
  <si>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</si>
  <si>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</si>
  <si>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</si>
  <si>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</si>
  <si>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</si>
  <si>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</si>
  <si>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</si>
  <si>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</si>
  <si>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</si>
  <si>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</si>
  <si>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</si>
  <si>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</si>
  <si>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</si>
  <si>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</si>
  <si>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</si>
  <si>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</si>
  <si>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</si>
  <si>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</si>
  <si>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</si>
  <si>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</si>
  <si>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</si>
  <si>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</si>
  <si>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</si>
  <si>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</si>
  <si>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</si>
  <si>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</si>
  <si>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</si>
  <si>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</si>
  <si>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</si>
  <si>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</si>
  <si>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</si>
  <si>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</si>
  <si>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</si>
  <si>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</si>
  <si>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</si>
  <si>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</si>
  <si>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</si>
  <si>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</si>
  <si>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</si>
  <si>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</si>
  <si>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</si>
  <si>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</si>
  <si>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</si>
  <si>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</si>
  <si>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</si>
  <si>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</si>
  <si>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</si>
  <si>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</si>
  <si>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</si>
  <si>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</si>
  <si>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</si>
  <si>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</si>
  <si>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</si>
  <si>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</si>
  <si>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</si>
  <si>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</si>
  <si>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</si>
  <si>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</si>
  <si>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</si>
  <si>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</si>
  <si>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</si>
  <si>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</si>
  <si>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</si>
  <si>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</si>
  <si>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</si>
  <si>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</si>
  <si>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</si>
  <si>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</si>
  <si>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</si>
  <si>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</si>
  <si>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</si>
  <si>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</si>
  <si>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</si>
  <si>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</si>
  <si>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</si>
  <si>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</si>
  <si>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</si>
  <si>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</si>
  <si>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</si>
  <si>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</si>
  <si>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</si>
  <si>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</si>
  <si>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</si>
  <si>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</si>
  <si>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</si>
  <si>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</si>
  <si>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</si>
  <si>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</si>
  <si>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</si>
  <si>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</si>
  <si>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</si>
  <si>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</si>
  <si>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</si>
  <si>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</si>
  <si>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</si>
  <si>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</si>
  <si>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</si>
  <si>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</si>
  <si>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</si>
  <si>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</si>
  <si>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</si>
  <si>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</si>
  <si>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</si>
  <si>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</si>
  <si>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</si>
  <si>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</si>
  <si>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</si>
  <si>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</si>
  <si>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</si>
  <si>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</si>
  <si>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</si>
  <si>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</si>
  <si>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</si>
  <si>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</si>
  <si>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</si>
  <si>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</si>
  <si>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</si>
  <si>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</si>
  <si>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</si>
  <si>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</si>
  <si>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</si>
  <si>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</si>
  <si>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</si>
  <si>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</si>
  <si>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</si>
  <si>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</si>
  <si>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</si>
  <si>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</si>
  <si>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</si>
  <si>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</si>
  <si>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</si>
  <si>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</si>
  <si>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</si>
  <si>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</si>
  <si>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</si>
  <si>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</si>
  <si>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</si>
  <si>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</si>
  <si>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</si>
  <si>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</si>
  <si>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</si>
  <si>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</si>
  <si>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</si>
  <si>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</si>
  <si>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</si>
  <si>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</si>
  <si>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</si>
  <si>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</si>
  <si>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</si>
  <si>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</si>
  <si>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</si>
  <si>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</si>
  <si>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</si>
  <si>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</si>
  <si>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</si>
  <si>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</si>
  <si>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</si>
  <si>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</si>
  <si>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</si>
  <si>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</si>
  <si>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</si>
  <si>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</si>
  <si>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</si>
  <si>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</si>
  <si>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</si>
  <si>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</si>
  <si>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</si>
  <si>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</si>
  <si>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</si>
  <si>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</si>
  <si>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</si>
  <si>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</si>
  <si>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</si>
  <si>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</si>
  <si>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</si>
  <si>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</si>
  <si>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</si>
  <si>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</si>
  <si>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</si>
  <si>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</si>
  <si>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</si>
  <si>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</si>
  <si>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</si>
  <si>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</si>
  <si>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</si>
  <si>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</si>
  <si>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</si>
  <si>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</si>
  <si>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</si>
  <si>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</si>
  <si>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</si>
  <si>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</si>
  <si>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</si>
  <si>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</si>
  <si>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</si>
  <si>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</si>
  <si>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</si>
  <si>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</si>
  <si>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</si>
  <si>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</si>
  <si>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</si>
  <si>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</si>
  <si>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</si>
  <si>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</si>
  <si>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</si>
  <si>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</si>
  <si>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</si>
  <si>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</si>
  <si>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</si>
  <si>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</si>
  <si>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</si>
  <si>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</si>
  <si>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</si>
  <si>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</si>
  <si>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</si>
  <si>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</si>
  <si>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</si>
  <si>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</si>
  <si>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</si>
  <si>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</si>
  <si>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</si>
  <si>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</si>
  <si>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</si>
  <si>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</si>
  <si>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</si>
  <si>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</si>
  <si>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</si>
  <si>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</si>
  <si>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</si>
  <si>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</si>
  <si>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</si>
  <si>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</si>
  <si>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</si>
  <si>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</si>
  <si>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</si>
  <si>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</si>
  <si>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</si>
  <si>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</si>
  <si>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</si>
  <si>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</si>
  <si>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</si>
  <si>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</si>
  <si>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</si>
  <si>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</si>
  <si>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</si>
  <si>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</si>
  <si>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</si>
  <si>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</si>
  <si>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</si>
  <si>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</si>
  <si>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</si>
  <si>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</si>
  <si>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</si>
  <si>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</si>
  <si>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</si>
  <si>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</si>
  <si>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</si>
  <si>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</si>
  <si>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</si>
  <si>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</si>
  <si>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</si>
  <si>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</si>
  <si>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</si>
  <si>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</si>
  <si>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</si>
  <si>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</si>
  <si>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</si>
  <si>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</si>
  <si>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</si>
  <si>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</si>
  <si>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</si>
  <si>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</si>
  <si>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</si>
  <si>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</si>
  <si>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</si>
  <si>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</si>
  <si>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</si>
  <si>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</si>
  <si>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</si>
  <si>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</si>
  <si>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</si>
  <si>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</si>
  <si>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</si>
  <si>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</si>
  <si>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</si>
  <si>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</si>
  <si>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</si>
  <si>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</si>
  <si>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</si>
  <si>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</si>
  <si>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</si>
  <si>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</si>
  <si>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</si>
  <si>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</si>
  <si>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</si>
  <si>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</si>
  <si>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</si>
  <si>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</si>
  <si>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</si>
  <si>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</si>
  <si>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</si>
  <si>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</si>
  <si>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</si>
  <si>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</si>
  <si>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</si>
  <si>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</si>
  <si>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</si>
  <si>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</si>
  <si>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</si>
  <si>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</si>
  <si>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</si>
  <si>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</si>
  <si>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</si>
  <si>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</si>
  <si>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</si>
  <si>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</si>
  <si>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</si>
  <si>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</si>
  <si>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</si>
  <si>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</si>
  <si>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</si>
  <si>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</si>
  <si>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</si>
  <si>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</si>
  <si>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</si>
  <si>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</si>
  <si>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</si>
  <si>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</si>
  <si>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</si>
  <si>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</si>
  <si>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</si>
  <si>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</si>
  <si>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</si>
  <si>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</si>
  <si>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</si>
  <si>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</si>
  <si>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</si>
  <si>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</si>
  <si>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</si>
  <si>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</si>
  <si>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</si>
  <si>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</si>
  <si>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</si>
  <si>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</si>
  <si>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</si>
  <si>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</si>
  <si>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</si>
  <si>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</si>
  <si>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</si>
  <si>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</si>
  <si>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</si>
  <si>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</si>
  <si>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</si>
  <si>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</si>
  <si>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</si>
  <si>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</si>
  <si>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</si>
  <si>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</si>
  <si>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</si>
  <si>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</si>
  <si>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</si>
  <si>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</si>
  <si>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</si>
  <si>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</si>
  <si>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</si>
  <si>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</si>
  <si>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</si>
  <si>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</si>
  <si>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</si>
  <si>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</si>
  <si>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</si>
  <si>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</si>
  <si>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</si>
  <si>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</si>
  <si>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</si>
  <si>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</si>
  <si>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</si>
  <si>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</si>
  <si>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</si>
  <si>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</si>
  <si>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</si>
  <si>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</si>
  <si>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</si>
  <si>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</si>
  <si>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</si>
  <si>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</si>
  <si>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</si>
  <si>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</si>
  <si>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</si>
  <si>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</si>
  <si>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</si>
  <si>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</si>
  <si>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</si>
  <si>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</si>
  <si>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</si>
  <si>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</si>
  <si>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</si>
  <si>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</si>
  <si>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</si>
  <si>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</si>
  <si>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</si>
  <si>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</si>
  <si>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</si>
  <si>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</si>
  <si>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</si>
  <si>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</si>
  <si>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</si>
  <si>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</si>
  <si>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</si>
  <si>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</si>
  <si>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</si>
  <si>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</si>
  <si>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</si>
  <si>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</si>
  <si>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</si>
  <si>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</si>
  <si>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</si>
  <si>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</si>
  <si>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</si>
  <si>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</si>
  <si>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</si>
  <si>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</si>
  <si>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</si>
  <si>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</si>
  <si>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</si>
  <si>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</si>
  <si>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</si>
  <si>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</si>
  <si>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</si>
  <si>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</si>
  <si>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</si>
  <si>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</si>
  <si>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</si>
  <si>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</si>
  <si>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</si>
  <si>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</si>
  <si>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</si>
  <si>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</si>
  <si>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</si>
  <si>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</si>
  <si>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</si>
  <si>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</si>
  <si>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</si>
  <si>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</si>
  <si>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</si>
  <si>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</si>
  <si>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</si>
  <si>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</si>
  <si>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</si>
  <si>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</si>
  <si>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</si>
  <si>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</si>
  <si>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</si>
  <si>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</si>
  <si>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</si>
  <si>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</si>
  <si>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</si>
  <si>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</si>
  <si>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</si>
  <si>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</si>
  <si>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</si>
  <si>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</si>
  <si>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</si>
  <si>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</si>
  <si>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</si>
  <si>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</si>
  <si>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</si>
  <si>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</si>
  <si>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</si>
  <si>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</si>
  <si>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</si>
  <si>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</si>
  <si>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</si>
  <si>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</si>
  <si>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</si>
  <si>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</si>
  <si>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</si>
  <si>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</si>
  <si>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</si>
  <si>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</si>
  <si>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</si>
  <si>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</si>
  <si>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</si>
  <si>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</si>
  <si>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</si>
  <si>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</si>
  <si>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</si>
  <si>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</si>
  <si>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</si>
  <si>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</si>
  <si>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</si>
  <si>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</si>
  <si>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</si>
  <si>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</si>
  <si>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</si>
  <si>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</si>
  <si>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</si>
  <si>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</si>
  <si>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</si>
  <si>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</si>
  <si>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</si>
  <si>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</si>
  <si>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</si>
  <si>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</si>
  <si>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</si>
  <si>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</si>
  <si>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</si>
  <si>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</si>
  <si>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</si>
  <si>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</si>
  <si>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</si>
  <si>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</si>
  <si>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</si>
  <si>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</si>
  <si>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</si>
  <si>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</si>
  <si>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</si>
  <si>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</si>
  <si>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</si>
  <si>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</si>
  <si>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</si>
  <si>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</si>
  <si>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</si>
  <si>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</si>
  <si>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</si>
  <si>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</si>
  <si>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</si>
  <si>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</si>
  <si>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</si>
  <si>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</si>
  <si>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</si>
  <si>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</si>
  <si>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</si>
  <si>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</si>
  <si>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</si>
  <si>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</si>
  <si>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</si>
  <si>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</si>
  <si>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</si>
  <si>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</si>
  <si>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</si>
  <si>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</si>
  <si>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</si>
  <si>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</si>
  <si>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</si>
  <si>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</si>
  <si>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</si>
  <si>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</si>
  <si>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</si>
  <si>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</si>
  <si>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</si>
  <si>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</si>
  <si>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</si>
  <si>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</si>
  <si>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</si>
  <si>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</si>
  <si>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</si>
  <si>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</si>
  <si>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</si>
  <si>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</si>
  <si>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</si>
  <si>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</si>
  <si>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</si>
  <si>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</si>
  <si>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</si>
  <si>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</si>
  <si>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</si>
  <si>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</si>
  <si>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</si>
  <si>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</si>
  <si>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</si>
  <si>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</si>
  <si>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</si>
  <si>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</si>
  <si>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</si>
  <si>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</si>
  <si>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</si>
  <si>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</si>
  <si>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</si>
  <si>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</si>
  <si>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</si>
  <si>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</si>
  <si>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</si>
  <si>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</si>
  <si>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</si>
  <si>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</si>
  <si>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</si>
  <si>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</si>
  <si>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</si>
  <si>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</si>
  <si>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</si>
  <si>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</si>
  <si>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</si>
  <si>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</si>
  <si>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</si>
  <si>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</si>
  <si>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</si>
  <si>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</si>
  <si>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</si>
  <si>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</si>
  <si>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</si>
  <si>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</si>
  <si>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</si>
  <si>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</si>
  <si>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</si>
  <si>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</si>
  <si>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</si>
  <si>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</si>
  <si>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</si>
  <si>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</si>
  <si>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</si>
  <si>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</si>
  <si>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</si>
  <si>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</si>
  <si>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</si>
  <si>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</si>
  <si>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</si>
  <si>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</si>
  <si>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</si>
  <si>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</si>
  <si>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</si>
  <si>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</si>
  <si>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</si>
  <si>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</si>
  <si>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</si>
  <si>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</si>
  <si>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</si>
  <si>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</si>
  <si>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</si>
  <si>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</si>
  <si>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</si>
  <si>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</si>
  <si>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</si>
  <si>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</si>
  <si>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</si>
  <si>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</si>
  <si>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</si>
  <si>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</si>
  <si>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</si>
  <si>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</si>
  <si>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</si>
  <si>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</si>
  <si>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</si>
  <si>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</si>
  <si>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</si>
  <si>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</si>
  <si>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</si>
  <si>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</si>
  <si>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</si>
  <si>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</si>
  <si>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</si>
  <si>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</si>
  <si>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</si>
  <si>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</si>
  <si>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</si>
  <si>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</si>
  <si>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</si>
  <si>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</si>
  <si>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</si>
  <si>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</si>
  <si>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</si>
  <si>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</si>
  <si>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</si>
  <si>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</si>
  <si>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</si>
  <si>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</si>
  <si>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</si>
  <si>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</si>
  <si>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</si>
  <si>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</si>
  <si>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</si>
  <si>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</si>
  <si>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</si>
  <si>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</si>
  <si>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</si>
  <si>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</si>
  <si>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</si>
  <si>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</si>
  <si>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</si>
  <si>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</si>
  <si>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</si>
  <si>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</si>
  <si>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</si>
  <si>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</si>
  <si>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</si>
  <si>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</si>
  <si>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</si>
  <si>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</si>
  <si>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</si>
  <si>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</si>
  <si>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</si>
  <si>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</si>
  <si>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</si>
  <si>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</si>
  <si>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</si>
  <si>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</si>
  <si>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</si>
  <si>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Mark E. English</t>
  </si>
  <si>
    <t>President of General Partner</t>
  </si>
  <si>
    <t>Local Gov't fee backup</t>
  </si>
  <si>
    <t>Competitive Round</t>
  </si>
  <si>
    <t>President</t>
  </si>
  <si>
    <t>P.O. Box 71330 (624 Skyland Blvd. East, Suite D)</t>
  </si>
  <si>
    <t>Tuscaloosa</t>
  </si>
  <si>
    <t>mark@nahpa.org</t>
  </si>
  <si>
    <t>The Cove at York</t>
  </si>
  <si>
    <t>Parcel 0C0180 007000 (N. Houston Lake Rd.)</t>
  </si>
  <si>
    <t>813 N. Houston Lake Rd.</t>
  </si>
  <si>
    <t>Lat. 32.642250, Long. -83.690119</t>
  </si>
  <si>
    <t>201.09</t>
  </si>
  <si>
    <t>Within City Limits</t>
  </si>
  <si>
    <t>John R. Harley</t>
  </si>
  <si>
    <t>Mayor</t>
  </si>
  <si>
    <t>www.centervillega.org</t>
  </si>
  <si>
    <t>300 E. Church Street</t>
  </si>
  <si>
    <t>City of Centerville</t>
  </si>
  <si>
    <t>cityclerk@centerville.mgacoxmail.com</t>
  </si>
  <si>
    <t>1 National Aff. Housing Pres. Ass, Inc.</t>
  </si>
  <si>
    <t>2 NAHPA Development, LLC</t>
  </si>
  <si>
    <t>The Cove at York, LP</t>
  </si>
  <si>
    <t>624 Skyland Blvd East, Suite D</t>
  </si>
  <si>
    <t>NAHPA 2015 GA, Inc.</t>
  </si>
  <si>
    <t>NAHPA Development, LLC</t>
  </si>
  <si>
    <t>Vantage Development, LLC</t>
  </si>
  <si>
    <t>Lowell R. Barron, II</t>
  </si>
  <si>
    <t>1544 S. Main Street</t>
  </si>
  <si>
    <t>Fyffe</t>
  </si>
  <si>
    <t>lbarron@thevantagegroup.biz</t>
  </si>
  <si>
    <t>Fyffe Construction Company, Inc.</t>
  </si>
  <si>
    <t xml:space="preserve">Fyffe </t>
  </si>
  <si>
    <t>Vantage Management, LLC</t>
  </si>
  <si>
    <t>Balch &amp; Bingham, LLP</t>
  </si>
  <si>
    <t>Matt Aiken</t>
  </si>
  <si>
    <t>1901 Sixth Avenue North</t>
  </si>
  <si>
    <t>Partner</t>
  </si>
  <si>
    <t>Birmingham</t>
  </si>
  <si>
    <t>maiken@balch.com</t>
  </si>
  <si>
    <t>Cone &amp; Smith, PC</t>
  </si>
  <si>
    <t>David Smith</t>
  </si>
  <si>
    <t>3421 Rainbow Parkway</t>
  </si>
  <si>
    <t>Principal, CPA</t>
  </si>
  <si>
    <t>Rainbow City</t>
  </si>
  <si>
    <t>dsmith@coneandsmith.com</t>
  </si>
  <si>
    <t>Wallace Architects, LLC</t>
  </si>
  <si>
    <t>Mike Kleffner</t>
  </si>
  <si>
    <t>3615 West Broadway, Suite B</t>
  </si>
  <si>
    <t>Architect</t>
  </si>
  <si>
    <t>Sedalia</t>
  </si>
  <si>
    <t>mikek@wallacearchitects.com</t>
  </si>
  <si>
    <t>For Profit</t>
  </si>
  <si>
    <t>The Managing GP, NAHPA 2015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t>
  </si>
  <si>
    <t>Local Licenses</t>
  </si>
  <si>
    <t>2014 DCA Middle Region</t>
  </si>
  <si>
    <t>3+ Story</t>
  </si>
  <si>
    <t>Electric Heat Pump</t>
  </si>
  <si>
    <t>Agree</t>
  </si>
  <si>
    <t>Ongoing game/movie night hosted by management staff</t>
  </si>
  <si>
    <t>John Wall and Associates</t>
  </si>
  <si>
    <t>9 to 11 months</t>
  </si>
  <si>
    <t>Contract/Option</t>
  </si>
  <si>
    <t>Flint Energies</t>
  </si>
  <si>
    <t>We will not be using gas as a utility.  The units will be all electric</t>
  </si>
  <si>
    <t>Covered Porch</t>
  </si>
  <si>
    <t>On-site laundry</t>
  </si>
  <si>
    <t>Covered pavillion with picnic area and BBQ grills</t>
  </si>
  <si>
    <t>National Affordable Housing Preservation Associates, Inc.</t>
  </si>
  <si>
    <t>Thomson Middle School</t>
  </si>
  <si>
    <t>US Post Office</t>
  </si>
  <si>
    <t>Centerville United Methodist Church</t>
  </si>
  <si>
    <t>Earth Craft House Multifamily</t>
  </si>
  <si>
    <t>N/a</t>
  </si>
  <si>
    <t>Houston County - 676</t>
  </si>
  <si>
    <t>Eagle Springs Elementary - 0100</t>
  </si>
  <si>
    <t>PK-05</t>
  </si>
  <si>
    <t>Thomson Middle School - 0204</t>
  </si>
  <si>
    <t>06, 07, 08</t>
  </si>
  <si>
    <t>Northside High School - 2052</t>
  </si>
  <si>
    <t>09, 10, 11, 12</t>
  </si>
  <si>
    <t>United Consulting</t>
  </si>
  <si>
    <t>All required documents are complete and included in application</t>
  </si>
  <si>
    <t>Houston Home Journal</t>
  </si>
  <si>
    <t>Schools in the area are above the state average.</t>
  </si>
  <si>
    <t>42 Equity Partners - TBD</t>
  </si>
  <si>
    <t>Amortizing</t>
  </si>
  <si>
    <t>Other (Cable/Internet)</t>
  </si>
  <si>
    <t>Other (C.B./Unit cleaning)</t>
  </si>
  <si>
    <t>&lt;Yr 1 operational insurance premium paid up front&gt;</t>
  </si>
  <si>
    <t>State Boost</t>
  </si>
  <si>
    <t>The Vinings at Oxford</t>
  </si>
  <si>
    <t>3 National Aff. Housing Pres. Assoc. Inc.</t>
  </si>
  <si>
    <t>4 NAHPA Development, LLC</t>
  </si>
  <si>
    <t>Other (Employee benefits/taxes)</t>
  </si>
  <si>
    <t>5 Vantage Development, LLC</t>
  </si>
  <si>
    <t>The Grove at Oakmont</t>
  </si>
  <si>
    <t>6 Lowell R. Barron, II</t>
  </si>
  <si>
    <t>7 Vantage Development, LLC</t>
  </si>
  <si>
    <t>The Pines at Westdale</t>
  </si>
  <si>
    <t>8 Lowell R. Barron, II</t>
  </si>
  <si>
    <t>www.nahpa.org</t>
  </si>
  <si>
    <t>To Be Determined - 42 Equity Partners</t>
  </si>
  <si>
    <t>1140 Avenue of the Americas, 9th Floor</t>
  </si>
  <si>
    <t>New York</t>
  </si>
  <si>
    <t>www.42equity.com</t>
  </si>
  <si>
    <t>Michael Haynes</t>
  </si>
  <si>
    <t>Managing Director</t>
  </si>
  <si>
    <t>m.haynes@42equity.com</t>
  </si>
  <si>
    <t>To Be Determined - Sugar Creek Capital</t>
  </si>
  <si>
    <t>17 W. Lockwood Avenue</t>
  </si>
  <si>
    <t>St. Louis</t>
  </si>
  <si>
    <t>www.sugarcreekcapital.com</t>
  </si>
  <si>
    <t>Chris Hite</t>
  </si>
  <si>
    <t>chite@sugarcreekcapital.com</t>
  </si>
  <si>
    <t>www.thevantagegroup.biz</t>
  </si>
  <si>
    <t>The proposed development consits of 96 units targeting families.</t>
  </si>
  <si>
    <t>The managing agent will provide one onsite social and recreational program overseen by the project manager.</t>
  </si>
  <si>
    <t>No waiver is requested because no waiver is needed.</t>
  </si>
  <si>
    <t>The proposed development was presented and discussed during the regular council meeting.  The local government officials and citizens were pleased to hear of the potential development coming to their area.</t>
  </si>
  <si>
    <t>This project is new construction, not a rehabilitation</t>
  </si>
  <si>
    <t>The applicant is not a CHDO nor competing under the CHDO set-aside.</t>
  </si>
  <si>
    <t>The proposed project is a new construction on vacant land; therefore, there will not be displacement of tenants.  The required Relaction Survey has been completed and is located in Tab 24.</t>
  </si>
  <si>
    <t>20 units (21%) will be set aside to be criteria 2.A; there is no PBRA Contract.</t>
  </si>
  <si>
    <t>There are no undesirable amenities near the site and there are 3 desirable amenities within 1 mile of the proposed site.  Please note that the 2015 Desirable/Undesirable Site Certification will only include bonus points for amenities located less than 1.0 mile, while the QAP states that the amenity is to be within 1.0 miles from the proposed site.</t>
  </si>
  <si>
    <t>AIA, NCARB, LEED AP - BD&amp;C</t>
  </si>
  <si>
    <t>Proposed site is situated in a stable community as outlined by above criteria.  There is not a tract 9999.99 listed for Houston County on the FFIEC website.</t>
  </si>
  <si>
    <t>The applicant agrees to extend the compliance period at least 5 years.</t>
  </si>
  <si>
    <t>The applicant agrees to accept Section 811 Rental Assistance should it become available.</t>
  </si>
  <si>
    <t>The number of jobs for this area is 6056; meanwhile, the total percentage of workers whom have to travel over 10 miles to their place of work is 65.5%</t>
  </si>
  <si>
    <t>The charette will be held after tax credit award announcements are made.</t>
  </si>
  <si>
    <t>www.balch.com</t>
  </si>
  <si>
    <t>www.wallacearchitects.com</t>
  </si>
  <si>
    <t>The Managing GP, NAHPA 2015 GA, Inc., and NAHPA Development, LLC are both owned by National Affordable Housing Preservation Associates, Inc. a 501(c)3. Vantage Development, LLC (consultant), Fyffe Construction Company, Inc. (contractor) and Vantage Management, LLC (management agent) are all owned by Lowell R. Barron, II.</t>
  </si>
  <si>
    <t>C&amp;S Bank - TBD</t>
  </si>
  <si>
    <t>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43: Additional Documentation.</t>
  </si>
  <si>
    <t xml:space="preserve">The owner has agreed to pay trash; therefore, it is not listed in the allowance schedule above. </t>
  </si>
  <si>
    <t>Harry Walls Environmental Consulting</t>
  </si>
  <si>
    <t xml:space="preserve">Property is zoned R-3 (Multi-family Residential) as evidenced by the letter included in Tab 10. Item C. 5) above is answered no because it is not a HOME deal. </t>
  </si>
  <si>
    <t>There was not a pre-application determination for this development; however, the General Partner and Developer entities were deemed to be qualified without conditions on a separate development (The Vinings at Oxford) submitted in March.</t>
  </si>
  <si>
    <t>The Entity listed above is a nonprofit corporatoin with no stock (shareholders) but is governed by a Board of Directors; therefore, item E was answered "No".</t>
  </si>
  <si>
    <t xml:space="preserve">Houston Lake Road and Robins AFB are the two contributing noise factors for this site. </t>
  </si>
  <si>
    <t>&lt;5%</t>
  </si>
  <si>
    <t xml:space="preserve">Please note that the City of Centerville has never received an allocation/award of tax credits. </t>
  </si>
  <si>
    <t xml:space="preserve">The market analyst points out in the study (included in Tab 05) that the demand for the project is strong, the rents and bedroom mix is good and the proposed development's value should be perceived as very good.  The affordability is good. Please note that the City of Centerville has never received an allocation/award of tax credits. </t>
  </si>
  <si>
    <t>Sugar Creek Capital - TBD (Incl. 1% Fed)</t>
  </si>
  <si>
    <t>Other (Resumes, financials, previous qualification determination)</t>
  </si>
  <si>
    <t xml:space="preserve">     The Cove at York will be located on a +/-17.699 acre site within the city limits of Centerville in Houston County, Georgia. The site is convenient to numerous desirable 
amenities and activities while maintaining a peaceful atmosphere. The site is in an area of larger lot single-family homes and vacant land.  The site is well-located with regard to neighborhood amenities, both point eligible and non-point eligible.  The Cove will maintain the community’s character and provide much needed affordable housing to the community.   The proposal is for 96 apartment homes comprised of 18 one-bedroom units, 54 two-bedroom units and 24 three-bedroom units.  The Cove will provide decent, safe, attractive, well-located affordable housing for low to moderate income families in the Centerville area. 
     The Cove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Cove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Cove at York will engage South Face of Atlanta to provide guidance and certification for the EarthCraft Multifamily Program.  The development’s design will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The Cove will be owned and developed by affiliates of NAHPA, Inc, a 501c3 non-profit.  The construction and management of The Cove will be performed by Fyffe Construction Company, Inc. and Vantage Management, LLC, respectively, and both companies are owned by Lowell R. Barron, II. By offering amiable amenities, engaging activities, and affordable rents The Cove at York will meet a critical need for the citizens of  Centerville and Houston County.
</t>
  </si>
  <si>
    <t>President of GP</t>
  </si>
  <si>
    <t>In regards to application related matters, please also contact Jay Ronca, Vice President of Development Consultant, at 404-788-7162 or jronca@thevantagegroup.biz
Owners commit to the extension of the cancellation option for 5 years. We expect the placed in service date to be 12/31/2017.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 Lowell R. Barron II, have any ownership in this deal or The Vinings at Oxford.</t>
  </si>
  <si>
    <t>www.fyffeconstruction.com</t>
  </si>
  <si>
    <t>Commitment letters from all sources listed above are listed in the application, Tab 1, Feasibility.</t>
  </si>
  <si>
    <t>*To all Applicants: Real estate taxes shown in Operating Budget should be prior to any tax abatement.  Please provide methodology for real estate tax calculation. 
**To all Applicants: Please provide methodology for insurance calculation.
Backup documentation for property tax and insurance are inlcuded in the application, Tab 1, Feasibility.  Please note these are 3-story walk-up buildings.</t>
  </si>
  <si>
    <t>There are no DCA tax credit projects inside a 2-mile radius of the proposed project for years 2013 or 2014.  The market analyst points out in the study (included in Tab 05) that the proposed site is  located in a suitable neighborhood with a strong demand for the proposed development.  It is also stated in the market study that the proposed bedroom mix is good for the market, the proposed development's value should be perceived as very good, and the affordability is good. Please also note that the City of Centerville has never received a LIHTC development.</t>
  </si>
  <si>
    <t>This project does not have HOME Funds thus items H, I, and J. were not completed.  Please note that there are wetlands present on the backside of the property but development activity will not disturb the wetland/stream, nor will it encroach on the buffer zones.</t>
  </si>
  <si>
    <t>No identity of interest exists between Seller and Purchaser.  The entity with site control via assignment, and the applicant, are one in the same.</t>
  </si>
  <si>
    <t>A. is N/A because this proposal is new construction.</t>
  </si>
  <si>
    <t>2015-009</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</si>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</sst>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u/>
      <sz val="11"/>
      <color theme="10"/>
      <name val="Calibri"/>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55973">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5"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47" fillId="0" borderId="0" applyNumberFormat="0" applyFill="0" applyBorder="0" applyAlignment="0" applyProtection="0"/>
    <xf numFmtId="43" fontId="148" fillId="0" borderId="0" applyFont="0" applyFill="0" applyBorder="0" applyAlignment="0" applyProtection="0"/>
    <xf numFmtId="44" fontId="33" fillId="0" borderId="0" applyFont="0" applyFill="0" applyBorder="0" applyAlignment="0" applyProtection="0"/>
    <xf numFmtId="15" fontId="149" fillId="0" borderId="102" applyFont="0" applyFill="0" applyBorder="0" applyProtection="0">
      <alignment horizontal="center"/>
      <protection locked="0"/>
    </xf>
    <xf numFmtId="179" fontId="150" fillId="0" borderId="0" applyFont="0" applyFill="0" applyBorder="0" applyAlignment="0" applyProtection="0"/>
    <xf numFmtId="38" fontId="149" fillId="0" borderId="0" applyFill="0" applyBorder="0" applyAlignment="0" applyProtection="0"/>
    <xf numFmtId="180" fontId="151" fillId="0" borderId="0" applyFill="0" applyBorder="0" applyAlignment="0" applyProtection="0">
      <alignment horizontal="right"/>
    </xf>
    <xf numFmtId="37" fontId="152" fillId="0" borderId="102" applyNumberFormat="0" applyFont="0" applyFill="0" applyAlignment="0" applyProtection="0">
      <alignment horizontal="center" vertical="center"/>
    </xf>
    <xf numFmtId="37" fontId="153" fillId="0" borderId="0"/>
    <xf numFmtId="0" fontId="5" fillId="0" borderId="0"/>
    <xf numFmtId="0" fontId="5" fillId="0" borderId="0"/>
    <xf numFmtId="0" fontId="154" fillId="0" borderId="0" applyNumberFormat="0" applyFill="0" applyBorder="0" applyAlignment="0" applyProtection="0"/>
    <xf numFmtId="37" fontId="155" fillId="0" borderId="0" applyFill="0" applyBorder="0" applyAlignment="0" applyProtection="0"/>
    <xf numFmtId="9" fontId="148" fillId="0" borderId="0" applyFont="0" applyFill="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3" fillId="0" borderId="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3" fillId="0" borderId="0"/>
    <xf numFmtId="0" fontId="7" fillId="0" borderId="85">
      <alignment horizontal="left" vertical="center"/>
    </xf>
    <xf numFmtId="0" fontId="3" fillId="0" borderId="0"/>
    <xf numFmtId="0" fontId="200" fillId="0" borderId="0" applyNumberFormat="0" applyFill="0" applyBorder="0" applyAlignment="0" applyProtection="0">
      <alignment vertical="top"/>
      <protection locked="0"/>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10" fontId="6" fillId="3" borderId="89" applyNumberFormat="0" applyBorder="0" applyAlignment="0" applyProtection="0"/>
    <xf numFmtId="0" fontId="5" fillId="0" borderId="0"/>
    <xf numFmtId="0" fontId="5" fillId="0" borderId="0"/>
    <xf numFmtId="0" fontId="5" fillId="0" borderId="0"/>
    <xf numFmtId="0" fontId="3" fillId="0" borderId="0"/>
    <xf numFmtId="0" fontId="5"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5"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5"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3"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10" fontId="6" fillId="3" borderId="89" applyNumberFormat="0" applyBorder="0" applyAlignment="0" applyProtection="0"/>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3" fillId="0" borderId="0"/>
    <xf numFmtId="0" fontId="3" fillId="0" borderId="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10" fontId="6" fillId="3" borderId="89" applyNumberFormat="0" applyBorder="0" applyAlignment="0" applyProtection="0"/>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0" fontId="3"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3" fillId="0" borderId="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3" fillId="0" borderId="0"/>
    <xf numFmtId="10" fontId="6" fillId="3" borderId="89" applyNumberFormat="0" applyBorder="0" applyAlignment="0" applyProtection="0"/>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3" fillId="0" borderId="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10" fontId="6" fillId="3" borderId="89" applyNumberFormat="0" applyBorder="0" applyAlignment="0" applyProtection="0"/>
    <xf numFmtId="10" fontId="6" fillId="3" borderId="89" applyNumberFormat="0" applyBorder="0" applyAlignment="0" applyProtection="0"/>
    <xf numFmtId="0" fontId="7" fillId="0" borderId="85">
      <alignment horizontal="left" vertical="center"/>
    </xf>
    <xf numFmtId="0" fontId="7" fillId="0" borderId="85">
      <alignment horizontal="left" vertical="center"/>
    </xf>
    <xf numFmtId="10" fontId="6" fillId="3" borderId="89" applyNumberFormat="0" applyBorder="0" applyAlignment="0" applyProtection="0"/>
    <xf numFmtId="0" fontId="7" fillId="0" borderId="85">
      <alignment horizontal="left" vertical="center"/>
    </xf>
    <xf numFmtId="0" fontId="5" fillId="0" borderId="0"/>
    <xf numFmtId="0" fontId="2" fillId="0" borderId="0"/>
    <xf numFmtId="0" fontId="1" fillId="0" borderId="0"/>
    <xf numFmtId="0" fontId="1" fillId="0" borderId="0"/>
  </cellStyleXfs>
  <cellXfs count="3202">
    <xf numFmtId="0" fontId="0" fillId="0" borderId="0" xfId="0"/>
    <xf numFmtId="0" fontId="14" fillId="0" borderId="0" xfId="0" applyFont="1" applyFill="1" applyAlignment="1" applyProtection="1">
      <alignment vertical="center"/>
    </xf>
    <xf numFmtId="0" fontId="10" fillId="0" borderId="0" xfId="0" applyFont="1" applyFill="1" applyAlignment="1" applyProtection="1">
      <alignment horizontal="center"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14" fillId="0" borderId="0" xfId="0" applyFont="1" applyFill="1" applyBorder="1" applyAlignment="1" applyProtection="1">
      <alignment horizontal="lef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9" fontId="14" fillId="0" borderId="0" xfId="10" applyFont="1" applyFill="1" applyBorder="1" applyProtection="1"/>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7"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26" fillId="0" borderId="0" xfId="0" applyFont="1" applyFill="1" applyAlignment="1" applyProtection="1">
      <alignment horizontal="right"/>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23" fillId="0" borderId="0" xfId="0" applyFont="1" applyFill="1" applyBorder="1" applyAlignment="1" applyProtection="1">
      <alignment horizontal="center" vertical="center"/>
    </xf>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7"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7" fillId="0" borderId="0" xfId="0" applyFont="1" applyFill="1" applyAlignment="1" applyProtection="1">
      <alignment horizontal="left" vertical="center"/>
    </xf>
    <xf numFmtId="0" fontId="14" fillId="0" borderId="0" xfId="0" applyFont="1" applyFill="1" applyAlignment="1" applyProtection="1">
      <alignment horizontal="center"/>
    </xf>
    <xf numFmtId="0" fontId="26" fillId="0" borderId="0" xfId="0" applyFont="1" applyFill="1" applyProtection="1"/>
    <xf numFmtId="0" fontId="16" fillId="0" borderId="0" xfId="0" applyFont="1" applyFill="1" applyBorder="1" applyAlignment="1" applyProtection="1">
      <alignment horizontal="right" vertical="center"/>
    </xf>
    <xf numFmtId="38" fontId="10" fillId="0" borderId="3" xfId="0" applyNumberFormat="1" applyFont="1" applyFill="1" applyBorder="1" applyAlignment="1" applyProtection="1">
      <alignment horizontal="center"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30" fillId="0" borderId="0" xfId="0" applyFont="1" applyFill="1" applyProtection="1"/>
    <xf numFmtId="0" fontId="10" fillId="0" borderId="4" xfId="0" applyFont="1" applyFill="1" applyBorder="1" applyAlignment="1" applyProtection="1">
      <alignment horizontal="center" vertical="center"/>
    </xf>
    <xf numFmtId="0" fontId="10" fillId="0" borderId="12" xfId="0" applyFont="1" applyFill="1" applyBorder="1" applyAlignment="1" applyProtection="1">
      <alignment horizont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30" fillId="0" borderId="0" xfId="0" applyFont="1" applyFill="1" applyAlignment="1" applyProtection="1">
      <alignment vertical="center"/>
    </xf>
    <xf numFmtId="0" fontId="30" fillId="0" borderId="0" xfId="0" applyFont="1" applyProtection="1"/>
    <xf numFmtId="0" fontId="10" fillId="0" borderId="0" xfId="0" applyFont="1" applyFill="1" applyAlignment="1" applyProtection="1">
      <alignment horizontal="center" wrapText="1"/>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3"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9" fillId="0" borderId="0" xfId="0" applyFont="1" applyFill="1" applyAlignment="1" applyProtection="1">
      <alignment horizontal="center" vertical="center"/>
    </xf>
    <xf numFmtId="0" fontId="15" fillId="0" borderId="0" xfId="0" applyFont="1" applyFill="1" applyAlignment="1" applyProtection="1">
      <alignment vertical="center"/>
    </xf>
    <xf numFmtId="0" fontId="20" fillId="0" borderId="0" xfId="0" applyFont="1" applyFill="1" applyAlignment="1" applyProtection="1">
      <alignment horizontal="center"/>
    </xf>
    <xf numFmtId="0" fontId="49" fillId="0" borderId="0" xfId="0" applyFont="1" applyFill="1" applyProtection="1"/>
    <xf numFmtId="0" fontId="22" fillId="0" borderId="0" xfId="0" applyFont="1" applyFill="1" applyBorder="1" applyAlignment="1" applyProtection="1"/>
    <xf numFmtId="0" fontId="22" fillId="0" borderId="0" xfId="0" applyFont="1" applyFill="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9" fillId="0" borderId="0" xfId="0" applyFont="1" applyAlignment="1" applyProtection="1">
      <alignment horizontal="left"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0" fontId="9" fillId="0" borderId="0" xfId="0" applyFont="1" applyAlignment="1" applyProtection="1">
      <alignment horizontal="center"/>
    </xf>
    <xf numFmtId="164" fontId="14" fillId="0" borderId="0" xfId="1" applyNumberFormat="1" applyFont="1" applyFill="1" applyBorder="1" applyAlignment="1" applyProtection="1">
      <alignment vertical="center"/>
    </xf>
    <xf numFmtId="0" fontId="28" fillId="0" borderId="0" xfId="0" applyFont="1" applyFill="1" applyAlignment="1" applyProtection="1">
      <alignment horizontal="right"/>
    </xf>
    <xf numFmtId="0" fontId="5" fillId="0" borderId="0" xfId="0" applyFont="1" applyAlignment="1" applyProtection="1">
      <alignment horizontal="center"/>
    </xf>
    <xf numFmtId="0" fontId="29"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164" fontId="15" fillId="0" borderId="12" xfId="1" applyNumberFormat="1" applyFont="1" applyFill="1" applyBorder="1" applyAlignment="1" applyProtection="1">
      <alignment horizontal="center" vertical="center"/>
    </xf>
    <xf numFmtId="164" fontId="15" fillId="0" borderId="14" xfId="1" applyNumberFormat="1" applyFont="1" applyFill="1" applyBorder="1" applyAlignment="1" applyProtection="1">
      <alignment horizontal="center" vertical="center"/>
    </xf>
    <xf numFmtId="0" fontId="32" fillId="0" borderId="0" xfId="0" applyFont="1" applyFill="1" applyProtection="1"/>
    <xf numFmtId="0" fontId="7" fillId="0" borderId="0" xfId="0" applyFont="1" applyFill="1" applyProtection="1"/>
    <xf numFmtId="0" fontId="31"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0" fillId="0" borderId="0" xfId="0" applyBorder="1" applyAlignment="1" applyProtection="1"/>
    <xf numFmtId="0" fontId="38"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10" fillId="0" borderId="0" xfId="0" applyFont="1" applyFill="1" applyBorder="1" applyAlignment="1" applyProtection="1">
      <alignment horizontal="left" vertical="top" wrapText="1"/>
    </xf>
    <xf numFmtId="0" fontId="9" fillId="0" borderId="0" xfId="0" applyFont="1" applyFill="1" applyAlignment="1" applyProtection="1">
      <alignment horizontal="right" vertical="top"/>
    </xf>
    <xf numFmtId="0" fontId="0" fillId="0" borderId="0" xfId="0" applyAlignment="1" applyProtection="1">
      <alignment vertical="center" wrapText="1"/>
    </xf>
    <xf numFmtId="38" fontId="14" fillId="0" borderId="3" xfId="0" applyNumberFormat="1" applyFont="1" applyFill="1" applyBorder="1" applyAlignment="1" applyProtection="1">
      <alignment horizontal="center" vertical="center"/>
    </xf>
    <xf numFmtId="0" fontId="10" fillId="0" borderId="0" xfId="0" applyFont="1" applyAlignment="1" applyProtection="1">
      <alignment horizontal="center" vertical="center"/>
    </xf>
    <xf numFmtId="0" fontId="30"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8" fillId="0" borderId="0" xfId="0" applyFont="1" applyFill="1" applyAlignment="1" applyProtection="1">
      <alignment vertical="center"/>
    </xf>
    <xf numFmtId="0" fontId="47" fillId="0" borderId="0" xfId="0" applyFont="1" applyFill="1" applyAlignment="1" applyProtection="1">
      <alignment vertical="center"/>
    </xf>
    <xf numFmtId="38" fontId="47" fillId="0" borderId="0" xfId="0" applyNumberFormat="1" applyFont="1" applyFill="1" applyAlignment="1" applyProtection="1">
      <alignment horizontal="center" vertical="center"/>
    </xf>
    <xf numFmtId="38" fontId="28" fillId="0" borderId="15" xfId="0" applyNumberFormat="1" applyFont="1" applyFill="1" applyBorder="1" applyAlignment="1" applyProtection="1">
      <alignment horizontal="center" vertical="center"/>
    </xf>
    <xf numFmtId="0" fontId="39"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12" fillId="0" borderId="0" xfId="0" applyFont="1" applyFill="1" applyAlignment="1" applyProtection="1">
      <alignment horizontal="center" vertical="center" wrapText="1"/>
    </xf>
    <xf numFmtId="0" fontId="6" fillId="0" borderId="0" xfId="0" applyFont="1" applyFill="1" applyAlignment="1" applyProtection="1">
      <alignment horizontal="right" vertical="top"/>
    </xf>
    <xf numFmtId="164" fontId="14" fillId="0" borderId="3" xfId="1" applyNumberFormat="1" applyFont="1" applyFill="1" applyBorder="1" applyAlignment="1" applyProtection="1">
      <alignment vertical="center"/>
    </xf>
    <xf numFmtId="164" fontId="15" fillId="0" borderId="0" xfId="1" applyNumberFormat="1" applyFont="1" applyFill="1" applyBorder="1" applyAlignment="1" applyProtection="1">
      <alignment horizontal="center" vertical="center"/>
    </xf>
    <xf numFmtId="0" fontId="32"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9" fillId="0" borderId="0" xfId="0" applyFont="1" applyBorder="1" applyProtection="1"/>
    <xf numFmtId="0" fontId="14" fillId="0" borderId="0" xfId="0" applyFont="1" applyProtection="1"/>
    <xf numFmtId="0" fontId="12" fillId="0" borderId="0" xfId="0" applyFont="1" applyFill="1" applyAlignment="1" applyProtection="1">
      <alignment vertical="center"/>
    </xf>
    <xf numFmtId="0" fontId="51" fillId="0" borderId="0" xfId="0" applyFont="1" applyAlignment="1" applyProtection="1"/>
    <xf numFmtId="0" fontId="53" fillId="0" borderId="0" xfId="0" applyFont="1" applyFill="1" applyBorder="1" applyAlignment="1" applyProtection="1">
      <alignment horizontal="center"/>
    </xf>
    <xf numFmtId="0" fontId="55" fillId="0" borderId="0" xfId="0" applyFont="1" applyAlignment="1" applyProtection="1">
      <alignment vertical="center"/>
    </xf>
    <xf numFmtId="0" fontId="56" fillId="0" borderId="0" xfId="0" applyFont="1" applyFill="1" applyBorder="1" applyAlignment="1" applyProtection="1">
      <alignment horizontal="center" vertical="center"/>
    </xf>
    <xf numFmtId="0" fontId="52" fillId="0" borderId="0" xfId="0" applyFont="1" applyAlignment="1" applyProtection="1">
      <alignment vertical="center"/>
    </xf>
    <xf numFmtId="0" fontId="57" fillId="0" borderId="0" xfId="0" applyFont="1" applyAlignment="1" applyProtection="1">
      <alignment horizontal="center" vertical="center"/>
    </xf>
    <xf numFmtId="164" fontId="52" fillId="0" borderId="3" xfId="1"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10" fillId="0" borderId="10" xfId="0" applyFont="1" applyFill="1" applyBorder="1" applyAlignment="1" applyProtection="1">
      <alignment horizontal="center"/>
    </xf>
    <xf numFmtId="0" fontId="10" fillId="0" borderId="12" xfId="0" applyFont="1" applyFill="1" applyBorder="1" applyAlignment="1" applyProtection="1">
      <alignment horizontal="center" vertical="center"/>
    </xf>
    <xf numFmtId="0" fontId="10" fillId="0" borderId="13" xfId="0" applyFont="1" applyFill="1" applyBorder="1" applyAlignment="1" applyProtection="1">
      <alignment horizontal="center" wrapText="1"/>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6" fillId="0" borderId="13" xfId="0" applyFont="1" applyFill="1" applyBorder="1" applyAlignment="1" applyProtection="1">
      <alignment horizontal="left" vertical="center" wrapText="1"/>
    </xf>
    <xf numFmtId="0" fontId="0" fillId="0" borderId="0" xfId="0" applyFill="1" applyProtection="1"/>
    <xf numFmtId="177" fontId="14" fillId="0" borderId="0" xfId="0" applyNumberFormat="1" applyFont="1" applyAlignment="1" applyProtection="1">
      <alignment horizontal="center"/>
    </xf>
    <xf numFmtId="0" fontId="0" fillId="0" borderId="19" xfId="0" applyBorder="1" applyAlignment="1" applyProtection="1">
      <alignment horizontal="center"/>
    </xf>
    <xf numFmtId="177"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62" fillId="0" borderId="0" xfId="0" applyFont="1" applyAlignment="1" applyProtection="1">
      <alignment horizontal="center"/>
    </xf>
    <xf numFmtId="0" fontId="6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6" fillId="0" borderId="0" xfId="0" applyFont="1" applyFill="1" applyBorder="1" applyAlignment="1" applyProtection="1">
      <alignment horizontal="center" vertical="top"/>
    </xf>
    <xf numFmtId="0" fontId="9" fillId="0" borderId="0" xfId="0" applyFont="1" applyFill="1" applyBorder="1" applyAlignment="1" applyProtection="1">
      <alignment vertical="top"/>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2"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8" fillId="0" borderId="0" xfId="0" applyFont="1" applyFill="1" applyAlignment="1" applyProtection="1"/>
    <xf numFmtId="166" fontId="0" fillId="0" borderId="0" xfId="0" applyNumberFormat="1" applyAlignment="1" applyProtection="1">
      <alignment horizontal="center"/>
    </xf>
    <xf numFmtId="0" fontId="29"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8" fillId="0" borderId="0" xfId="0" applyFont="1" applyAlignment="1" applyProtection="1"/>
    <xf numFmtId="0" fontId="6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0" fillId="0" borderId="28" xfId="0" applyBorder="1" applyProtection="1"/>
    <xf numFmtId="0" fontId="14" fillId="0" borderId="29" xfId="0" applyFont="1" applyFill="1" applyBorder="1" applyProtection="1"/>
    <xf numFmtId="0" fontId="14" fillId="0" borderId="22" xfId="0" applyFont="1" applyFill="1" applyBorder="1" applyProtection="1"/>
    <xf numFmtId="0" fontId="0" fillId="0" borderId="30" xfId="0" applyBorder="1" applyProtection="1"/>
    <xf numFmtId="0" fontId="14" fillId="0" borderId="31" xfId="0" applyFont="1" applyFill="1" applyBorder="1" applyProtection="1"/>
    <xf numFmtId="0" fontId="14" fillId="0" borderId="17" xfId="0" applyFont="1" applyFill="1" applyBorder="1" applyProtection="1"/>
    <xf numFmtId="0" fontId="14" fillId="0" borderId="32" xfId="0" applyFont="1" applyFill="1" applyBorder="1" applyProtection="1"/>
    <xf numFmtId="0" fontId="0" fillId="0" borderId="33" xfId="0" applyBorder="1" applyProtection="1"/>
    <xf numFmtId="0" fontId="14" fillId="0" borderId="34" xfId="0" applyFont="1" applyFill="1" applyBorder="1" applyProtection="1"/>
    <xf numFmtId="0" fontId="14" fillId="0" borderId="18" xfId="0" applyFont="1" applyFill="1" applyBorder="1" applyProtection="1"/>
    <xf numFmtId="0" fontId="31"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6" fillId="0" borderId="0" xfId="0" applyNumberFormat="1" applyFont="1" applyAlignment="1" applyProtection="1">
      <alignment vertical="center"/>
    </xf>
    <xf numFmtId="8" fontId="36"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0" fontId="6" fillId="0" borderId="7" xfId="0" applyFont="1" applyFill="1" applyBorder="1" applyAlignment="1" applyProtection="1">
      <alignment vertical="center" wrapText="1"/>
    </xf>
    <xf numFmtId="38" fontId="10" fillId="0" borderId="0" xfId="0" applyNumberFormat="1" applyFont="1" applyFill="1" applyAlignment="1" applyProtection="1">
      <alignment horizontal="center" vertical="center"/>
    </xf>
    <xf numFmtId="0" fontId="63" fillId="0" borderId="0" xfId="0" applyFont="1" applyFill="1" applyBorder="1" applyAlignment="1" applyProtection="1">
      <alignment horizontal="left" vertical="center"/>
    </xf>
    <xf numFmtId="0" fontId="51" fillId="0" borderId="0" xfId="0" applyFont="1" applyFill="1" applyAlignment="1" applyProtection="1">
      <alignment vertical="center"/>
    </xf>
    <xf numFmtId="0" fontId="55" fillId="0" borderId="0" xfId="0" applyFont="1" applyProtection="1"/>
    <xf numFmtId="0" fontId="57" fillId="0" borderId="0" xfId="0" applyFont="1" applyAlignment="1" applyProtection="1">
      <alignment vertical="center"/>
    </xf>
    <xf numFmtId="0" fontId="57" fillId="0" borderId="0" xfId="0" applyFont="1" applyAlignment="1" applyProtection="1">
      <alignment horizontal="right" vertical="center"/>
    </xf>
    <xf numFmtId="0" fontId="57" fillId="0" borderId="0" xfId="0" applyFont="1" applyAlignment="1" applyProtection="1">
      <alignment horizontal="left" vertical="center"/>
    </xf>
    <xf numFmtId="0" fontId="57" fillId="0" borderId="0" xfId="0" applyFont="1" applyProtection="1"/>
    <xf numFmtId="0" fontId="58" fillId="0" borderId="0" xfId="0" applyFont="1" applyAlignment="1" applyProtection="1">
      <alignment vertical="center"/>
    </xf>
    <xf numFmtId="3" fontId="52" fillId="0" borderId="3" xfId="10" applyNumberFormat="1" applyFont="1" applyBorder="1" applyAlignment="1" applyProtection="1">
      <alignment horizontal="center" vertical="center"/>
    </xf>
    <xf numFmtId="0" fontId="57" fillId="0" borderId="0" xfId="0" applyFont="1" applyAlignment="1" applyProtection="1">
      <alignment horizontal="center"/>
    </xf>
    <xf numFmtId="0" fontId="52" fillId="0" borderId="0" xfId="0" applyFont="1" applyAlignment="1" applyProtection="1">
      <alignment vertical="center" wrapText="1"/>
    </xf>
    <xf numFmtId="0" fontId="52" fillId="0" borderId="0" xfId="0" applyFont="1" applyAlignment="1" applyProtection="1">
      <alignment horizontal="center"/>
    </xf>
    <xf numFmtId="0" fontId="52" fillId="0" borderId="0" xfId="0" applyFont="1" applyAlignment="1" applyProtection="1">
      <alignment horizontal="center" vertical="center"/>
    </xf>
    <xf numFmtId="3" fontId="52" fillId="0" borderId="0" xfId="10" applyNumberFormat="1" applyFont="1" applyBorder="1" applyAlignment="1" applyProtection="1">
      <alignment horizontal="center" vertical="center"/>
    </xf>
    <xf numFmtId="38" fontId="59" fillId="0" borderId="0" xfId="0" applyNumberFormat="1" applyFont="1" applyBorder="1" applyAlignment="1" applyProtection="1">
      <alignment horizontal="center" vertical="center"/>
    </xf>
    <xf numFmtId="38" fontId="52" fillId="0" borderId="0" xfId="0" applyNumberFormat="1" applyFont="1" applyBorder="1" applyAlignment="1" applyProtection="1">
      <alignment horizontal="center" vertical="center"/>
    </xf>
    <xf numFmtId="0" fontId="52" fillId="0" borderId="3" xfId="0" applyFont="1" applyBorder="1" applyAlignment="1" applyProtection="1">
      <alignment horizontal="center" vertical="center"/>
    </xf>
    <xf numFmtId="0" fontId="52" fillId="0" borderId="0" xfId="0" applyFont="1" applyProtection="1"/>
    <xf numFmtId="164" fontId="52" fillId="0" borderId="3" xfId="1" applyNumberFormat="1" applyFont="1" applyBorder="1" applyAlignment="1" applyProtection="1">
      <alignment horizontal="center" vertical="center"/>
    </xf>
    <xf numFmtId="9" fontId="52" fillId="0" borderId="3" xfId="10" applyFont="1" applyBorder="1" applyAlignment="1" applyProtection="1">
      <alignment horizontal="center" vertical="center"/>
    </xf>
    <xf numFmtId="0" fontId="52" fillId="0" borderId="3" xfId="0" applyNumberFormat="1" applyFont="1" applyBorder="1" applyAlignment="1" applyProtection="1">
      <alignment horizontal="center" vertical="center"/>
    </xf>
    <xf numFmtId="0" fontId="60" fillId="0" borderId="0" xfId="0" applyFont="1" applyBorder="1" applyAlignment="1" applyProtection="1">
      <alignment vertical="center"/>
    </xf>
    <xf numFmtId="0" fontId="60" fillId="0" borderId="3" xfId="0" applyFont="1" applyBorder="1" applyAlignment="1" applyProtection="1">
      <alignment horizontal="center" vertical="top" wrapText="1"/>
    </xf>
    <xf numFmtId="9" fontId="60" fillId="0" borderId="3" xfId="0" applyNumberFormat="1" applyFont="1" applyBorder="1" applyAlignment="1" applyProtection="1">
      <alignment horizontal="center" vertical="top" wrapText="1"/>
    </xf>
    <xf numFmtId="0" fontId="60" fillId="0" borderId="0" xfId="0" applyFont="1" applyBorder="1" applyAlignment="1" applyProtection="1">
      <alignment vertical="top" wrapText="1"/>
    </xf>
    <xf numFmtId="0" fontId="51" fillId="0" borderId="0" xfId="0" applyFont="1" applyFill="1" applyAlignment="1" applyProtection="1">
      <alignment horizontal="left" vertical="center"/>
    </xf>
    <xf numFmtId="0" fontId="32" fillId="0" borderId="0" xfId="0" applyFont="1" applyFill="1" applyAlignment="1" applyProtection="1">
      <alignment vertical="center"/>
    </xf>
    <xf numFmtId="3" fontId="32" fillId="0" borderId="0" xfId="0" applyNumberFormat="1" applyFont="1" applyFill="1" applyAlignment="1" applyProtection="1">
      <alignment horizontal="center"/>
    </xf>
    <xf numFmtId="0" fontId="52" fillId="0" borderId="0" xfId="0" applyFont="1" applyAlignment="1" applyProtection="1">
      <alignment horizontal="lef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vertical="center"/>
    </xf>
    <xf numFmtId="0" fontId="52" fillId="0" borderId="0" xfId="0" applyFont="1" applyFill="1" applyBorder="1" applyAlignment="1" applyProtection="1">
      <alignment horizontal="right" vertical="center"/>
    </xf>
    <xf numFmtId="0" fontId="55" fillId="0" borderId="0" xfId="0" applyFont="1" applyFill="1" applyAlignment="1" applyProtection="1">
      <alignment vertical="center"/>
    </xf>
    <xf numFmtId="0" fontId="63" fillId="5" borderId="3" xfId="0" applyFont="1" applyFill="1" applyBorder="1" applyAlignment="1" applyProtection="1">
      <alignment horizontal="center" vertical="center"/>
    </xf>
    <xf numFmtId="0" fontId="63" fillId="0" borderId="0" xfId="0" applyFont="1" applyFill="1" applyAlignment="1" applyProtection="1">
      <alignment vertical="center"/>
    </xf>
    <xf numFmtId="0" fontId="63" fillId="6" borderId="3" xfId="0" applyFont="1" applyFill="1" applyBorder="1" applyAlignment="1" applyProtection="1">
      <alignment horizontal="center" vertical="center"/>
    </xf>
    <xf numFmtId="0" fontId="55"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63" fillId="0" borderId="0" xfId="0" applyFont="1" applyFill="1" applyAlignment="1" applyProtection="1">
      <alignment horizontal="left" vertical="center"/>
    </xf>
    <xf numFmtId="0" fontId="55" fillId="0" borderId="0" xfId="0" applyFont="1" applyFill="1" applyBorder="1" applyAlignment="1" applyProtection="1">
      <alignment horizontal="right" vertical="center"/>
    </xf>
    <xf numFmtId="0" fontId="55" fillId="0" borderId="0" xfId="0" applyFont="1" applyFill="1" applyBorder="1" applyAlignment="1" applyProtection="1">
      <alignment horizontal="centerContinuous" vertical="center"/>
    </xf>
    <xf numFmtId="0" fontId="55" fillId="0" borderId="0" xfId="0" applyNumberFormat="1" applyFont="1" applyFill="1" applyBorder="1" applyAlignment="1" applyProtection="1">
      <alignment horizontal="center" vertical="center"/>
    </xf>
    <xf numFmtId="0" fontId="63" fillId="0" borderId="0" xfId="0" applyFont="1" applyFill="1" applyBorder="1" applyAlignment="1" applyProtection="1">
      <alignment vertical="center"/>
    </xf>
    <xf numFmtId="0" fontId="63" fillId="0" borderId="0" xfId="0" applyFont="1" applyFill="1" applyAlignment="1" applyProtection="1">
      <alignment horizontal="right" vertical="center"/>
    </xf>
    <xf numFmtId="0" fontId="55" fillId="0" borderId="0" xfId="0" applyFont="1" applyFill="1" applyAlignment="1" applyProtection="1">
      <alignment horizontal="right" vertical="center"/>
    </xf>
    <xf numFmtId="0" fontId="55" fillId="0" borderId="0" xfId="0" quotePrefix="1" applyFont="1" applyFill="1" applyBorder="1" applyAlignment="1" applyProtection="1">
      <alignment horizontal="center" vertical="center"/>
    </xf>
    <xf numFmtId="0" fontId="63" fillId="0" borderId="0" xfId="0" applyFont="1" applyFill="1" applyBorder="1" applyAlignment="1" applyProtection="1">
      <alignment horizontal="center"/>
    </xf>
    <xf numFmtId="0" fontId="61" fillId="0" borderId="0" xfId="0" applyFont="1" applyFill="1" applyAlignment="1" applyProtection="1">
      <alignment vertical="center"/>
    </xf>
    <xf numFmtId="0" fontId="55" fillId="0" borderId="0" xfId="0" applyFont="1" applyFill="1" applyProtection="1"/>
    <xf numFmtId="1" fontId="55" fillId="0" borderId="3" xfId="1" applyNumberFormat="1" applyFont="1" applyFill="1" applyBorder="1" applyAlignment="1" applyProtection="1">
      <alignment horizontal="center" vertical="center"/>
    </xf>
    <xf numFmtId="0" fontId="55" fillId="0" borderId="0" xfId="1" applyNumberFormat="1" applyFont="1" applyFill="1" applyBorder="1" applyAlignment="1" applyProtection="1">
      <alignment horizontal="left" vertical="center"/>
    </xf>
    <xf numFmtId="0" fontId="63" fillId="0" borderId="0" xfId="0" applyFont="1" applyFill="1" applyBorder="1" applyProtection="1"/>
    <xf numFmtId="3" fontId="55" fillId="0" borderId="3" xfId="1" applyNumberFormat="1" applyFont="1" applyFill="1" applyBorder="1" applyAlignment="1" applyProtection="1">
      <alignment horizontal="center" vertical="center"/>
    </xf>
    <xf numFmtId="0" fontId="55" fillId="0" borderId="0" xfId="0" applyFont="1" applyFill="1" applyBorder="1" applyAlignment="1" applyProtection="1"/>
    <xf numFmtId="0" fontId="63" fillId="0" borderId="0" xfId="0" applyFont="1" applyFill="1" applyBorder="1" applyAlignment="1" applyProtection="1"/>
    <xf numFmtId="0" fontId="55" fillId="0" borderId="0" xfId="0" applyFont="1" applyFill="1" applyBorder="1" applyAlignment="1" applyProtection="1">
      <alignment horizontal="right"/>
    </xf>
    <xf numFmtId="165" fontId="55" fillId="0" borderId="3" xfId="1" applyNumberFormat="1" applyFont="1" applyFill="1" applyBorder="1" applyAlignment="1" applyProtection="1">
      <alignment horizontal="center" vertical="center"/>
    </xf>
    <xf numFmtId="0" fontId="63" fillId="0" borderId="0" xfId="0" applyFont="1" applyFill="1" applyProtection="1"/>
    <xf numFmtId="166" fontId="63" fillId="0" borderId="0" xfId="10" applyNumberFormat="1" applyFont="1" applyFill="1" applyBorder="1" applyAlignment="1" applyProtection="1">
      <alignment horizontal="center" vertical="center"/>
    </xf>
    <xf numFmtId="0" fontId="55" fillId="0" borderId="5" xfId="0" applyFont="1" applyFill="1" applyBorder="1" applyAlignment="1" applyProtection="1">
      <alignment horizontal="center" vertical="center"/>
    </xf>
    <xf numFmtId="0" fontId="55" fillId="0" borderId="0" xfId="0" applyFont="1" applyAlignment="1" applyProtection="1">
      <alignment wrapText="1"/>
    </xf>
    <xf numFmtId="0" fontId="55" fillId="0" borderId="0" xfId="0" applyFont="1" applyAlignment="1" applyProtection="1">
      <alignment horizontal="left" wrapText="1"/>
    </xf>
    <xf numFmtId="0" fontId="55" fillId="0" borderId="0" xfId="0" applyFont="1" applyFill="1" applyBorder="1" applyAlignment="1" applyProtection="1">
      <alignment vertical="top"/>
    </xf>
    <xf numFmtId="9" fontId="55" fillId="0" borderId="3" xfId="1" applyNumberFormat="1" applyFont="1" applyFill="1" applyBorder="1" applyAlignment="1" applyProtection="1">
      <alignment horizontal="center" vertical="center"/>
    </xf>
    <xf numFmtId="0" fontId="55" fillId="0" borderId="11" xfId="0" applyFont="1" applyFill="1" applyBorder="1" applyAlignment="1" applyProtection="1">
      <alignment horizontal="left" vertical="center"/>
    </xf>
    <xf numFmtId="0" fontId="55" fillId="0" borderId="10" xfId="0" applyFont="1" applyFill="1" applyBorder="1" applyAlignment="1" applyProtection="1">
      <alignment horizontal="center" vertical="center"/>
    </xf>
    <xf numFmtId="0" fontId="55" fillId="0" borderId="8" xfId="0" applyFont="1" applyFill="1" applyBorder="1" applyAlignment="1" applyProtection="1">
      <alignment horizontal="left" vertical="center"/>
    </xf>
    <xf numFmtId="0" fontId="55" fillId="0" borderId="0" xfId="0" applyFont="1" applyAlignment="1" applyProtection="1">
      <alignment horizontal="center"/>
    </xf>
    <xf numFmtId="10" fontId="63" fillId="0" borderId="3" xfId="10" applyNumberFormat="1" applyFont="1" applyFill="1" applyBorder="1" applyAlignment="1" applyProtection="1">
      <alignment horizontal="center" vertical="center"/>
    </xf>
    <xf numFmtId="0" fontId="55" fillId="0" borderId="0" xfId="0" quotePrefix="1" applyFont="1" applyFill="1" applyBorder="1" applyAlignment="1" applyProtection="1">
      <alignment horizontal="left" vertical="center"/>
    </xf>
    <xf numFmtId="0" fontId="54" fillId="0" borderId="0" xfId="0" applyFont="1" applyFill="1" applyBorder="1" applyAlignment="1" applyProtection="1">
      <alignment vertical="center"/>
    </xf>
    <xf numFmtId="0" fontId="63" fillId="0" borderId="0" xfId="0" applyFont="1" applyFill="1" applyAlignment="1" applyProtection="1"/>
    <xf numFmtId="0" fontId="63" fillId="0" borderId="0" xfId="0" quotePrefix="1" applyFont="1" applyFill="1" applyAlignment="1" applyProtection="1">
      <alignment horizontal="center" vertical="center"/>
    </xf>
    <xf numFmtId="0" fontId="63" fillId="0" borderId="0" xfId="0" applyFont="1" applyFill="1" applyAlignment="1" applyProtection="1">
      <alignment horizontal="right"/>
    </xf>
    <xf numFmtId="0" fontId="63" fillId="0" borderId="0" xfId="0" quotePrefix="1" applyFont="1" applyFill="1" applyAlignment="1" applyProtection="1"/>
    <xf numFmtId="0" fontId="63" fillId="0" borderId="0" xfId="0" quotePrefix="1" applyFont="1" applyFill="1" applyAlignment="1" applyProtection="1">
      <alignment horizontal="right"/>
    </xf>
    <xf numFmtId="0" fontId="63" fillId="0" borderId="0" xfId="0" quotePrefix="1" applyFont="1" applyFill="1" applyBorder="1" applyAlignment="1" applyProtection="1">
      <alignment horizontal="center" vertical="center"/>
    </xf>
    <xf numFmtId="0" fontId="55" fillId="0" borderId="14" xfId="0" applyFont="1" applyFill="1" applyBorder="1" applyAlignment="1" applyProtection="1">
      <alignment vertical="center"/>
    </xf>
    <xf numFmtId="0" fontId="51" fillId="0" borderId="0" xfId="0" applyFont="1" applyFill="1" applyProtection="1"/>
    <xf numFmtId="0" fontId="54" fillId="0" borderId="0" xfId="0" applyFont="1" applyFill="1" applyAlignment="1" applyProtection="1">
      <alignment vertical="center"/>
    </xf>
    <xf numFmtId="0" fontId="54" fillId="0" borderId="0" xfId="0" applyFont="1" applyFill="1" applyAlignment="1" applyProtection="1">
      <alignment horizontal="center" vertical="center"/>
    </xf>
    <xf numFmtId="0" fontId="54" fillId="0" borderId="0" xfId="0" applyFont="1" applyFill="1" applyAlignment="1" applyProtection="1"/>
    <xf numFmtId="0" fontId="54" fillId="0" borderId="0" xfId="0" applyFont="1" applyFill="1" applyAlignment="1" applyProtection="1">
      <alignment horizontal="left" vertical="center"/>
    </xf>
    <xf numFmtId="0" fontId="54" fillId="0" borderId="0" xfId="0" quotePrefix="1" applyFont="1" applyFill="1" applyAlignment="1" applyProtection="1">
      <alignment horizontal="center" vertical="center"/>
    </xf>
    <xf numFmtId="164" fontId="55" fillId="0" borderId="0" xfId="1" applyNumberFormat="1" applyFont="1" applyFill="1" applyAlignment="1" applyProtection="1">
      <alignment vertical="center"/>
    </xf>
    <xf numFmtId="0" fontId="71" fillId="0" borderId="0" xfId="0" applyFont="1" applyFill="1" applyAlignment="1" applyProtection="1">
      <alignment horizontal="right" vertical="center"/>
    </xf>
    <xf numFmtId="164" fontId="63" fillId="0" borderId="0" xfId="1" applyNumberFormat="1" applyFont="1" applyFill="1" applyAlignment="1" applyProtection="1">
      <alignment horizontal="center" vertical="center"/>
    </xf>
    <xf numFmtId="164" fontId="55" fillId="0" borderId="0" xfId="1" applyNumberFormat="1" applyFont="1" applyFill="1" applyAlignment="1" applyProtection="1">
      <alignment horizontal="center" vertical="center"/>
    </xf>
    <xf numFmtId="164" fontId="71" fillId="0" borderId="0" xfId="1" applyNumberFormat="1" applyFont="1" applyFill="1" applyBorder="1" applyAlignment="1" applyProtection="1">
      <alignment horizontal="right" vertical="center"/>
    </xf>
    <xf numFmtId="10" fontId="55" fillId="0" borderId="0" xfId="0" applyNumberFormat="1" applyFont="1" applyFill="1" applyAlignment="1" applyProtection="1">
      <alignment horizontal="center"/>
    </xf>
    <xf numFmtId="164" fontId="55" fillId="0" borderId="0" xfId="1" applyNumberFormat="1" applyFont="1" applyFill="1" applyAlignment="1" applyProtection="1">
      <alignment horizontal="center"/>
    </xf>
    <xf numFmtId="0" fontId="55" fillId="0" borderId="0" xfId="0" applyFont="1" applyFill="1" applyAlignment="1" applyProtection="1">
      <alignment horizontal="left" vertical="top"/>
    </xf>
    <xf numFmtId="0" fontId="55" fillId="0" borderId="0" xfId="0" applyFont="1" applyBorder="1" applyAlignment="1" applyProtection="1">
      <alignment horizontal="left" vertical="top"/>
    </xf>
    <xf numFmtId="6" fontId="55" fillId="0" borderId="0" xfId="0" applyNumberFormat="1" applyFont="1" applyFill="1" applyBorder="1" applyAlignment="1" applyProtection="1">
      <alignment horizontal="center" vertical="center"/>
    </xf>
    <xf numFmtId="0" fontId="72" fillId="0" borderId="0" xfId="0" applyFont="1" applyFill="1" applyAlignment="1" applyProtection="1">
      <alignment horizontal="right" vertical="center"/>
    </xf>
    <xf numFmtId="164" fontId="55" fillId="0" borderId="0" xfId="1" applyNumberFormat="1" applyFont="1" applyFill="1" applyBorder="1" applyProtection="1"/>
    <xf numFmtId="164" fontId="55" fillId="0" borderId="0" xfId="1" applyNumberFormat="1" applyFont="1" applyFill="1" applyProtection="1"/>
    <xf numFmtId="0" fontId="71" fillId="0" borderId="0" xfId="0" applyFont="1" applyFill="1" applyAlignment="1" applyProtection="1">
      <alignment horizontal="center" vertical="center"/>
    </xf>
    <xf numFmtId="164" fontId="55" fillId="0" borderId="0" xfId="1" applyNumberFormat="1" applyFont="1" applyFill="1" applyBorder="1" applyAlignment="1" applyProtection="1">
      <alignment horizontal="left" vertical="center"/>
    </xf>
    <xf numFmtId="0" fontId="73" fillId="0" borderId="0" xfId="0" applyFont="1" applyFill="1" applyBorder="1" applyAlignment="1" applyProtection="1">
      <alignment horizontal="right" vertical="center"/>
    </xf>
    <xf numFmtId="0" fontId="55" fillId="0" borderId="0" xfId="0" quotePrefix="1" applyFont="1" applyFill="1" applyAlignment="1" applyProtection="1">
      <alignment horizontal="right" vertical="center"/>
    </xf>
    <xf numFmtId="0" fontId="65" fillId="0" borderId="7" xfId="0" applyFont="1" applyFill="1" applyBorder="1" applyAlignment="1" applyProtection="1">
      <alignment horizontal="left" vertical="center"/>
    </xf>
    <xf numFmtId="0" fontId="65" fillId="0" borderId="0" xfId="0" applyFont="1" applyFill="1" applyAlignment="1" applyProtection="1">
      <alignment vertical="center"/>
    </xf>
    <xf numFmtId="0" fontId="55" fillId="0" borderId="0" xfId="0" applyFont="1" applyFill="1" applyAlignment="1" applyProtection="1">
      <alignment horizontal="center"/>
    </xf>
    <xf numFmtId="10" fontId="55" fillId="0" borderId="3" xfId="0" applyNumberFormat="1" applyFont="1" applyFill="1" applyBorder="1" applyAlignment="1" applyProtection="1">
      <alignment horizontal="center" vertical="center"/>
    </xf>
    <xf numFmtId="0" fontId="55" fillId="0" borderId="0" xfId="0" applyFont="1" applyBorder="1" applyAlignment="1" applyProtection="1">
      <alignment vertical="center"/>
    </xf>
    <xf numFmtId="0" fontId="55" fillId="0" borderId="0" xfId="0" applyFont="1" applyFill="1" applyBorder="1" applyAlignment="1" applyProtection="1">
      <alignment vertical="center" wrapText="1"/>
    </xf>
    <xf numFmtId="0" fontId="55" fillId="0" borderId="0" xfId="0" applyFont="1" applyAlignment="1" applyProtection="1">
      <alignment horizontal="center" vertical="center"/>
    </xf>
    <xf numFmtId="0" fontId="65" fillId="0" borderId="0" xfId="0" applyFont="1" applyFill="1" applyAlignment="1" applyProtection="1">
      <alignment horizontal="left" vertical="center"/>
    </xf>
    <xf numFmtId="0" fontId="76" fillId="0" borderId="0" xfId="0" applyFont="1" applyFill="1" applyAlignment="1" applyProtection="1">
      <alignment horizontal="center" vertical="center"/>
    </xf>
    <xf numFmtId="0" fontId="14" fillId="0" borderId="0" xfId="0" applyFont="1" applyFill="1" applyAlignment="1" applyProtection="1">
      <alignment horizontal="centerContinuous" vertical="center"/>
    </xf>
    <xf numFmtId="0" fontId="29"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80" fillId="0" borderId="0" xfId="0" applyFont="1" applyFill="1" applyProtection="1"/>
    <xf numFmtId="0" fontId="81" fillId="0" borderId="0" xfId="0" applyFont="1" applyFill="1" applyProtection="1"/>
    <xf numFmtId="0" fontId="83"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2" fillId="0" borderId="0" xfId="9" applyFont="1" applyProtection="1"/>
    <xf numFmtId="0" fontId="52" fillId="0" borderId="0" xfId="9" applyFont="1" applyAlignment="1" applyProtection="1">
      <alignment horizontal="left"/>
    </xf>
    <xf numFmtId="0" fontId="84" fillId="0" borderId="0" xfId="9" applyFont="1" applyAlignment="1" applyProtection="1">
      <alignment horizontal="center"/>
    </xf>
    <xf numFmtId="0" fontId="51" fillId="0" borderId="0" xfId="0" applyFont="1"/>
    <xf numFmtId="0" fontId="85" fillId="0" borderId="0" xfId="0" applyFont="1" applyAlignment="1">
      <alignment horizontal="center"/>
    </xf>
    <xf numFmtId="0" fontId="85" fillId="0" borderId="0" xfId="0" applyFont="1" applyAlignment="1" applyProtection="1">
      <alignment horizontal="center" vertical="center"/>
    </xf>
    <xf numFmtId="9" fontId="52" fillId="0" borderId="0" xfId="10" applyFont="1" applyBorder="1" applyAlignment="1" applyProtection="1">
      <alignment horizontal="center" vertical="center"/>
    </xf>
    <xf numFmtId="0" fontId="16" fillId="0" borderId="0" xfId="0" applyFont="1" applyBorder="1" applyProtection="1"/>
    <xf numFmtId="1" fontId="52" fillId="0" borderId="3" xfId="10" applyNumberFormat="1" applyFont="1" applyBorder="1" applyAlignment="1" applyProtection="1">
      <alignment horizontal="center" vertical="center"/>
    </xf>
    <xf numFmtId="9" fontId="52" fillId="0" borderId="0" xfId="10" applyFont="1" applyBorder="1" applyAlignment="1" applyProtection="1">
      <alignment horizontal="left" vertical="center"/>
    </xf>
    <xf numFmtId="0" fontId="29" fillId="0" borderId="0" xfId="0" applyFont="1" applyAlignment="1" applyProtection="1">
      <alignment horizontal="right" vertical="center"/>
    </xf>
    <xf numFmtId="0" fontId="0" fillId="0" borderId="0" xfId="0" applyAlignment="1" applyProtection="1">
      <alignment horizontal="righ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52"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0" fontId="86" fillId="0" borderId="0" xfId="0" applyFont="1" applyFill="1" applyProtection="1"/>
    <xf numFmtId="0" fontId="52" fillId="0" borderId="0" xfId="0" applyFont="1" applyFill="1" applyAlignment="1" applyProtection="1">
      <alignment horizontal="left"/>
    </xf>
    <xf numFmtId="4" fontId="15" fillId="0" borderId="0" xfId="1" applyNumberFormat="1" applyFont="1" applyFill="1" applyAlignment="1" applyProtection="1">
      <alignment horizontal="center" vertical="center"/>
    </xf>
    <xf numFmtId="0" fontId="67" fillId="0" borderId="0" xfId="0" applyFont="1" applyFill="1" applyProtection="1"/>
    <xf numFmtId="0" fontId="81" fillId="0" borderId="0" xfId="0" applyFont="1" applyFill="1" applyBorder="1" applyAlignment="1" applyProtection="1">
      <alignment horizontal="center" vertical="center"/>
    </xf>
    <xf numFmtId="0" fontId="88" fillId="0" borderId="0" xfId="0" applyFont="1" applyFill="1" applyAlignment="1" applyProtection="1">
      <alignment vertical="center"/>
    </xf>
    <xf numFmtId="10" fontId="55" fillId="0" borderId="0" xfId="0" applyNumberFormat="1" applyFont="1" applyFill="1" applyBorder="1" applyAlignment="1" applyProtection="1">
      <alignment horizontal="center"/>
    </xf>
    <xf numFmtId="164" fontId="55" fillId="0" borderId="8" xfId="1" applyNumberFormat="1" applyFont="1" applyFill="1" applyBorder="1" applyAlignment="1" applyProtection="1">
      <alignment horizontal="center"/>
    </xf>
    <xf numFmtId="0" fontId="71" fillId="0" borderId="8" xfId="0" applyFont="1" applyFill="1" applyBorder="1" applyAlignment="1" applyProtection="1">
      <alignment horizontal="right" vertical="center"/>
    </xf>
    <xf numFmtId="0" fontId="52" fillId="0" borderId="0" xfId="0" applyFont="1" applyAlignment="1">
      <alignment horizontal="center"/>
    </xf>
    <xf numFmtId="166" fontId="55" fillId="0" borderId="0" xfId="0" applyNumberFormat="1" applyFont="1" applyFill="1" applyAlignment="1" applyProtection="1">
      <alignment horizontal="center" vertical="center"/>
    </xf>
    <xf numFmtId="0" fontId="55" fillId="0" borderId="0" xfId="0" applyFont="1" applyBorder="1" applyAlignment="1" applyProtection="1">
      <alignment horizontal="center" vertical="center"/>
    </xf>
    <xf numFmtId="0" fontId="85" fillId="0" borderId="0" xfId="0" applyFont="1" applyBorder="1" applyAlignment="1" applyProtection="1">
      <alignment horizontal="center" vertical="center"/>
    </xf>
    <xf numFmtId="9" fontId="51" fillId="0" borderId="0" xfId="0" applyNumberFormat="1" applyFont="1" applyFill="1" applyBorder="1" applyAlignment="1" applyProtection="1">
      <alignment horizontal="center" vertical="center"/>
    </xf>
    <xf numFmtId="9" fontId="51"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3" fontId="14" fillId="0" borderId="12" xfId="0" applyNumberFormat="1" applyFont="1" applyFill="1" applyBorder="1" applyAlignment="1" applyProtection="1">
      <alignment vertical="center"/>
    </xf>
    <xf numFmtId="0" fontId="9" fillId="0" borderId="0" xfId="0" applyFont="1" applyFill="1" applyAlignment="1" applyProtection="1"/>
    <xf numFmtId="0" fontId="32" fillId="0" borderId="0" xfId="0" applyFont="1" applyFill="1" applyBorder="1" applyProtection="1"/>
    <xf numFmtId="0" fontId="37" fillId="0" borderId="0" xfId="0" applyFont="1" applyAlignment="1" applyProtection="1">
      <alignment horizontal="center"/>
    </xf>
    <xf numFmtId="0" fontId="30" fillId="0" borderId="0" xfId="0" applyFont="1" applyAlignment="1" applyProtection="1">
      <alignment vertical="center"/>
    </xf>
    <xf numFmtId="0" fontId="51" fillId="0" borderId="46" xfId="0" applyFont="1" applyFill="1" applyBorder="1" applyAlignment="1" applyProtection="1">
      <alignment vertical="top"/>
    </xf>
    <xf numFmtId="0" fontId="16" fillId="0" borderId="0" xfId="0" applyFont="1" applyFill="1" applyProtection="1"/>
    <xf numFmtId="0" fontId="29"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14" fillId="0" borderId="0" xfId="0" applyFont="1" applyFill="1" applyBorder="1" applyAlignment="1" applyProtection="1">
      <alignment horizontal="center" vertical="top"/>
    </xf>
    <xf numFmtId="0" fontId="6" fillId="0" borderId="0" xfId="0" applyFont="1" applyFill="1" applyBorder="1" applyAlignment="1" applyProtection="1">
      <alignment horizontal="right"/>
    </xf>
    <xf numFmtId="0" fontId="5" fillId="0" borderId="0" xfId="0" applyFont="1" applyFill="1" applyAlignment="1" applyProtection="1">
      <alignment vertical="top"/>
    </xf>
    <xf numFmtId="0" fontId="6" fillId="0" borderId="0" xfId="0" applyFont="1" applyFill="1" applyBorder="1" applyProtection="1"/>
    <xf numFmtId="0" fontId="94" fillId="0" borderId="0" xfId="0" applyFont="1" applyFill="1" applyBorder="1" applyAlignment="1" applyProtection="1">
      <alignment vertical="center" wrapText="1"/>
    </xf>
    <xf numFmtId="0" fontId="94" fillId="0" borderId="0" xfId="0" applyFont="1" applyFill="1" applyAlignment="1" applyProtection="1">
      <alignment vertical="center"/>
    </xf>
    <xf numFmtId="0" fontId="95" fillId="0" borderId="0" xfId="0" applyFont="1" applyFill="1" applyAlignment="1" applyProtection="1">
      <alignment horizontal="center" vertical="center"/>
    </xf>
    <xf numFmtId="0" fontId="93" fillId="0" borderId="0" xfId="0" applyFont="1" applyFill="1" applyProtection="1"/>
    <xf numFmtId="3" fontId="96" fillId="0" borderId="0"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5" fillId="0" borderId="7" xfId="0" applyFont="1" applyFill="1" applyBorder="1" applyProtection="1"/>
    <xf numFmtId="0" fontId="99" fillId="0" borderId="0" xfId="0" applyFont="1" applyFill="1" applyAlignment="1" applyProtection="1">
      <alignment horizontal="center" vertical="center"/>
    </xf>
    <xf numFmtId="0" fontId="102" fillId="0" borderId="0" xfId="0" applyFont="1" applyFill="1" applyAlignment="1" applyProtection="1">
      <alignment vertical="top"/>
    </xf>
    <xf numFmtId="0" fontId="102" fillId="0" borderId="0" xfId="0" applyFont="1" applyFill="1" applyAlignment="1" applyProtection="1">
      <alignment vertical="center"/>
    </xf>
    <xf numFmtId="0" fontId="102"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0" fillId="0" borderId="0" xfId="0" applyAlignment="1" applyProtection="1"/>
    <xf numFmtId="0" fontId="6" fillId="0" borderId="0" xfId="0" applyFont="1" applyAlignment="1" applyProtection="1">
      <alignment horizontal="right"/>
    </xf>
    <xf numFmtId="0" fontId="6" fillId="0" borderId="0" xfId="0" applyFont="1" applyFill="1" applyAlignment="1" applyProtection="1">
      <alignment horizontal="left"/>
    </xf>
    <xf numFmtId="0" fontId="29"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18" fillId="0" borderId="0" xfId="0" applyFont="1" applyProtection="1"/>
    <xf numFmtId="0" fontId="6" fillId="0" borderId="0" xfId="0" applyFont="1" applyAlignment="1" applyProtection="1">
      <alignment horizontal="left" vertical="center"/>
    </xf>
    <xf numFmtId="0" fontId="6" fillId="0" borderId="0" xfId="0" applyFont="1" applyAlignment="1" applyProtection="1">
      <alignment horizont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 fillId="0" borderId="0" xfId="0" applyFont="1" applyAlignment="1" applyProtection="1">
      <alignment vertical="top"/>
    </xf>
    <xf numFmtId="0" fontId="29" fillId="0" borderId="0" xfId="0" applyFont="1" applyAlignment="1" applyProtection="1">
      <alignment horizontal="right" vertical="top"/>
    </xf>
    <xf numFmtId="0" fontId="104" fillId="0" borderId="0" xfId="0" applyFont="1" applyAlignment="1" applyProtection="1">
      <alignment horizontal="left"/>
    </xf>
    <xf numFmtId="0" fontId="6" fillId="0" borderId="0" xfId="0" applyFont="1" applyBorder="1" applyProtection="1"/>
    <xf numFmtId="0" fontId="16" fillId="0" borderId="0" xfId="0" applyFont="1" applyProtection="1"/>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38" fontId="28" fillId="0" borderId="0" xfId="0" applyNumberFormat="1" applyFont="1" applyFill="1" applyBorder="1" applyAlignment="1" applyProtection="1">
      <alignment horizontal="center" vertical="center"/>
    </xf>
    <xf numFmtId="0" fontId="6" fillId="0" borderId="0" xfId="0" applyFont="1" applyFill="1" applyAlignment="1" applyProtection="1">
      <alignment horizontal="right"/>
    </xf>
    <xf numFmtId="0" fontId="16" fillId="0" borderId="0" xfId="0" applyFont="1" applyAlignment="1" applyProtection="1">
      <alignment horizontal="center"/>
    </xf>
    <xf numFmtId="37" fontId="52" fillId="0" borderId="0" xfId="1" applyNumberFormat="1" applyFont="1" applyAlignment="1" applyProtection="1">
      <alignment horizontal="center"/>
    </xf>
    <xf numFmtId="0" fontId="50" fillId="0" borderId="7" xfId="0" applyFont="1" applyFill="1" applyBorder="1" applyAlignment="1" applyProtection="1">
      <alignment vertical="center"/>
    </xf>
    <xf numFmtId="0" fontId="50" fillId="0" borderId="0" xfId="0" applyFont="1" applyFill="1" applyAlignment="1" applyProtection="1">
      <alignment vertical="center"/>
    </xf>
    <xf numFmtId="0" fontId="39" fillId="0" borderId="0" xfId="0" applyFont="1" applyFill="1" applyAlignment="1" applyProtection="1">
      <alignment vertical="center"/>
    </xf>
    <xf numFmtId="0" fontId="99"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6"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6" fillId="0" borderId="0" xfId="0" applyFont="1" applyFill="1" applyAlignment="1" applyProtection="1">
      <alignment horizontal="center"/>
    </xf>
    <xf numFmtId="3" fontId="96" fillId="0" borderId="0" xfId="0" applyNumberFormat="1" applyFont="1" applyFill="1" applyAlignment="1" applyProtection="1">
      <alignment horizontal="center"/>
    </xf>
    <xf numFmtId="0" fontId="96"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6"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5" fillId="0" borderId="81" xfId="0" applyNumberFormat="1" applyFont="1" applyFill="1" applyBorder="1" applyAlignment="1" applyProtection="1">
      <alignment horizontal="center" vertical="center"/>
    </xf>
    <xf numFmtId="3" fontId="55" fillId="0" borderId="0" xfId="0" applyNumberFormat="1" applyFont="1" applyFill="1" applyAlignment="1" applyProtection="1">
      <alignment horizontal="center" vertical="center"/>
    </xf>
    <xf numFmtId="38" fontId="12" fillId="0" borderId="0" xfId="0" applyNumberFormat="1" applyFont="1" applyFill="1" applyAlignment="1" applyProtection="1">
      <alignment horizontal="center" vertical="center"/>
    </xf>
    <xf numFmtId="0" fontId="15" fillId="0" borderId="38" xfId="0" applyFont="1" applyFill="1" applyBorder="1" applyAlignment="1" applyProtection="1">
      <alignment horizontal="center" vertical="center"/>
    </xf>
    <xf numFmtId="0" fontId="6"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8"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Alignment="1" applyProtection="1">
      <alignment vertical="center"/>
    </xf>
    <xf numFmtId="0" fontId="5" fillId="0" borderId="0" xfId="0" applyFont="1" applyBorder="1" applyProtection="1"/>
    <xf numFmtId="10" fontId="14" fillId="0" borderId="3" xfId="0" applyNumberFormat="1" applyFont="1" applyFill="1" applyBorder="1" applyProtection="1"/>
    <xf numFmtId="0" fontId="50"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6"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wrapText="1"/>
    </xf>
    <xf numFmtId="0" fontId="97" fillId="0" borderId="0" xfId="0" applyFont="1" applyFill="1" applyAlignment="1" applyProtection="1">
      <alignment horizontal="center" vertical="center"/>
    </xf>
    <xf numFmtId="0" fontId="89" fillId="0" borderId="0" xfId="0" applyNumberFormat="1" applyFont="1" applyAlignment="1" applyProtection="1">
      <alignment horizontal="center" vertical="center" wrapText="1"/>
    </xf>
    <xf numFmtId="0" fontId="32" fillId="0" borderId="0" xfId="0" applyNumberFormat="1" applyFont="1" applyAlignment="1" applyProtection="1">
      <alignment horizontal="center" vertical="center" wrapText="1"/>
    </xf>
    <xf numFmtId="3" fontId="49" fillId="0" borderId="0" xfId="0" applyNumberFormat="1" applyFont="1" applyFill="1" applyBorder="1" applyAlignment="1" applyProtection="1">
      <alignment horizontal="center" vertical="center"/>
    </xf>
    <xf numFmtId="38" fontId="51" fillId="0" borderId="0" xfId="0" applyNumberFormat="1" applyFont="1" applyFill="1" applyBorder="1" applyAlignment="1" applyProtection="1">
      <alignment vertical="center"/>
    </xf>
    <xf numFmtId="0" fontId="6" fillId="0" borderId="0" xfId="0" applyFont="1" applyAlignment="1" applyProtection="1">
      <alignment horizontal="left"/>
    </xf>
    <xf numFmtId="0" fontId="59"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applyFont="1" applyAlignment="1" applyProtection="1">
      <alignment horizontal="righ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63" fillId="0" borderId="0" xfId="0" applyFont="1" applyFill="1" applyAlignment="1" applyProtection="1">
      <alignment horizontal="center" vertical="center"/>
    </xf>
    <xf numFmtId="0" fontId="55" fillId="0" borderId="88" xfId="0" applyFont="1" applyFill="1" applyBorder="1" applyAlignment="1" applyProtection="1">
      <alignment vertical="center"/>
    </xf>
    <xf numFmtId="0" fontId="55" fillId="0" borderId="0" xfId="0" quotePrefix="1" applyFont="1" applyFill="1" applyAlignment="1" applyProtection="1">
      <alignment vertical="center"/>
    </xf>
    <xf numFmtId="0" fontId="106" fillId="0" borderId="0" xfId="0" applyFont="1" applyProtection="1"/>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19" fillId="0" borderId="0" xfId="0" applyFont="1" applyFill="1" applyProtection="1"/>
    <xf numFmtId="0" fontId="119" fillId="0" borderId="0" xfId="0" applyFont="1" applyProtection="1"/>
    <xf numFmtId="0" fontId="120" fillId="0" borderId="0" xfId="0" applyFont="1" applyFill="1" applyProtection="1"/>
    <xf numFmtId="0" fontId="117" fillId="0" borderId="0" xfId="0" applyFont="1" applyFill="1" applyBorder="1" applyAlignment="1" applyProtection="1">
      <alignment vertical="top"/>
    </xf>
    <xf numFmtId="10" fontId="63" fillId="0" borderId="13" xfId="0" applyNumberFormat="1" applyFont="1" applyFill="1" applyBorder="1" applyAlignment="1" applyProtection="1">
      <alignment horizontal="center" vertical="center"/>
    </xf>
    <xf numFmtId="0" fontId="100" fillId="0" borderId="0" xfId="0" applyFont="1" applyFill="1" applyAlignment="1" applyProtection="1"/>
    <xf numFmtId="0" fontId="121" fillId="0" borderId="0" xfId="0" applyFont="1" applyFill="1" applyProtection="1"/>
    <xf numFmtId="0" fontId="109" fillId="0" borderId="0" xfId="0" applyFont="1" applyFill="1" applyBorder="1" applyAlignment="1" applyProtection="1">
      <alignment horizontal="left"/>
    </xf>
    <xf numFmtId="0" fontId="15" fillId="0" borderId="0" xfId="0" applyFont="1" applyFill="1" applyAlignment="1" applyProtection="1">
      <alignment horizontal="left"/>
    </xf>
    <xf numFmtId="0" fontId="57" fillId="0" borderId="0" xfId="9" applyFont="1" applyAlignment="1" applyProtection="1">
      <alignment horizontal="left"/>
    </xf>
    <xf numFmtId="0" fontId="6" fillId="0" borderId="13" xfId="0" applyFont="1" applyFill="1" applyBorder="1" applyAlignment="1" applyProtection="1">
      <alignment vertical="top" wrapText="1"/>
    </xf>
    <xf numFmtId="0" fontId="10" fillId="0" borderId="88" xfId="0" applyFont="1" applyFill="1" applyBorder="1" applyAlignment="1" applyProtection="1"/>
    <xf numFmtId="0" fontId="130" fillId="0" borderId="0" xfId="0" applyFont="1" applyFill="1" applyAlignment="1" applyProtection="1">
      <alignment vertical="center"/>
    </xf>
    <xf numFmtId="3" fontId="55" fillId="0" borderId="0" xfId="0" applyNumberFormat="1" applyFont="1" applyFill="1" applyAlignment="1" applyProtection="1">
      <alignment vertical="center"/>
    </xf>
    <xf numFmtId="3" fontId="55" fillId="0" borderId="0" xfId="0" applyNumberFormat="1" applyFont="1" applyFill="1" applyProtection="1"/>
    <xf numFmtId="0" fontId="6" fillId="0" borderId="0" xfId="0" applyFont="1" applyBorder="1" applyAlignment="1" applyProtection="1">
      <alignment vertical="center"/>
    </xf>
    <xf numFmtId="0" fontId="52" fillId="0" borderId="40" xfId="0" applyFont="1" applyFill="1" applyBorder="1" applyAlignment="1" applyProtection="1">
      <alignment vertical="center"/>
    </xf>
    <xf numFmtId="0" fontId="52" fillId="0" borderId="0"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0" fontId="131" fillId="0" borderId="0" xfId="6" applyFont="1" applyFill="1" applyBorder="1" applyAlignment="1" applyProtection="1">
      <alignment vertical="center"/>
    </xf>
    <xf numFmtId="0" fontId="77" fillId="0" borderId="0" xfId="0" applyFont="1" applyFill="1" applyBorder="1" applyAlignment="1" applyProtection="1">
      <alignment vertical="top"/>
    </xf>
    <xf numFmtId="0" fontId="55" fillId="0" borderId="0" xfId="0" applyFont="1" applyFill="1" applyAlignment="1" applyProtection="1">
      <alignment vertical="top"/>
    </xf>
    <xf numFmtId="0" fontId="72" fillId="0" borderId="85" xfId="0" applyFont="1" applyFill="1" applyBorder="1" applyAlignment="1" applyProtection="1">
      <alignment vertical="center"/>
    </xf>
    <xf numFmtId="0" fontId="72" fillId="0" borderId="85" xfId="0" applyFont="1" applyFill="1" applyBorder="1" applyAlignment="1" applyProtection="1">
      <alignment horizontal="center" vertical="center"/>
    </xf>
    <xf numFmtId="0" fontId="71" fillId="0" borderId="81" xfId="0" applyFont="1" applyFill="1" applyBorder="1" applyAlignment="1" applyProtection="1">
      <alignment horizontal="left" vertical="center"/>
    </xf>
    <xf numFmtId="0" fontId="52" fillId="0" borderId="0" xfId="0" applyFont="1" applyFill="1" applyBorder="1" applyAlignment="1" applyProtection="1">
      <alignment horizontal="left"/>
    </xf>
    <xf numFmtId="0" fontId="99" fillId="0" borderId="0" xfId="0" applyFont="1" applyFill="1" applyBorder="1" applyAlignment="1" applyProtection="1">
      <alignment vertical="center"/>
    </xf>
    <xf numFmtId="0" fontId="133" fillId="0" borderId="0" xfId="0" applyFont="1" applyFill="1" applyBorder="1" applyAlignment="1" applyProtection="1">
      <alignment horizontal="left" vertical="center"/>
    </xf>
    <xf numFmtId="171" fontId="61" fillId="0" borderId="88" xfId="0" applyNumberFormat="1" applyFont="1" applyFill="1" applyBorder="1" applyAlignment="1" applyProtection="1">
      <alignment horizontal="left" vertical="center"/>
    </xf>
    <xf numFmtId="0" fontId="61" fillId="0" borderId="13" xfId="0" applyFont="1" applyFill="1" applyBorder="1" applyAlignment="1" applyProtection="1">
      <alignment vertical="center"/>
    </xf>
    <xf numFmtId="0" fontId="72" fillId="0" borderId="83" xfId="0" applyFont="1" applyFill="1" applyBorder="1" applyAlignment="1" applyProtection="1">
      <alignment vertical="top"/>
    </xf>
    <xf numFmtId="0" fontId="72" fillId="0" borderId="84" xfId="0" applyFont="1" applyFill="1" applyBorder="1" applyAlignment="1" applyProtection="1">
      <alignment vertical="center"/>
    </xf>
    <xf numFmtId="0" fontId="133" fillId="0" borderId="0" xfId="0" applyFont="1" applyFill="1" applyAlignment="1" applyProtection="1">
      <alignment vertical="center"/>
    </xf>
    <xf numFmtId="0" fontId="105" fillId="0" borderId="0" xfId="0" applyFont="1" applyBorder="1" applyAlignment="1" applyProtection="1">
      <alignment horizontal="right" vertical="center"/>
    </xf>
    <xf numFmtId="0" fontId="133" fillId="0" borderId="89"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83" fillId="0" borderId="0" xfId="0" applyFont="1" applyFill="1" applyBorder="1" applyAlignment="1" applyProtection="1">
      <alignment horizontal="center" vertical="top"/>
    </xf>
    <xf numFmtId="0" fontId="15" fillId="0" borderId="0" xfId="0" applyFont="1" applyProtection="1"/>
    <xf numFmtId="0" fontId="129" fillId="0" borderId="0" xfId="0" applyFont="1" applyFill="1" applyAlignment="1" applyProtection="1">
      <alignment vertical="center"/>
    </xf>
    <xf numFmtId="0" fontId="62"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04" fillId="0" borderId="0" xfId="0" applyFont="1" applyFill="1" applyBorder="1" applyAlignment="1" applyProtection="1">
      <alignment horizontal="left" vertical="center"/>
    </xf>
    <xf numFmtId="0" fontId="29" fillId="0" borderId="0" xfId="0" applyFont="1" applyFill="1" applyAlignment="1" applyProtection="1">
      <alignment horizontal="center" vertical="top"/>
    </xf>
    <xf numFmtId="0" fontId="19" fillId="0" borderId="0" xfId="0" applyFont="1" applyFill="1" applyAlignment="1" applyProtection="1">
      <alignment vertical="top"/>
    </xf>
    <xf numFmtId="0" fontId="12" fillId="0" borderId="19" xfId="0" applyFont="1" applyFill="1" applyBorder="1" applyAlignment="1" applyProtection="1">
      <alignment horizontal="right" vertical="top"/>
    </xf>
    <xf numFmtId="0" fontId="5" fillId="0" borderId="19" xfId="0" applyFont="1" applyFill="1" applyBorder="1" applyAlignment="1" applyProtection="1">
      <alignment horizontal="center" vertical="top"/>
    </xf>
    <xf numFmtId="0" fontId="19" fillId="0" borderId="19" xfId="0" applyFont="1" applyFill="1" applyBorder="1" applyAlignment="1" applyProtection="1">
      <alignment vertical="top"/>
    </xf>
    <xf numFmtId="0" fontId="12" fillId="0" borderId="19" xfId="0" applyFont="1" applyFill="1" applyBorder="1" applyAlignment="1" applyProtection="1">
      <alignment horizontal="right" vertical="center"/>
    </xf>
    <xf numFmtId="0" fontId="19" fillId="0" borderId="19" xfId="0" applyFont="1" applyFill="1" applyBorder="1" applyProtection="1"/>
    <xf numFmtId="0" fontId="138" fillId="0" borderId="0" xfId="0" applyFont="1" applyFill="1" applyBorder="1" applyAlignment="1" applyProtection="1">
      <alignment horizontal="center" vertical="center"/>
    </xf>
    <xf numFmtId="0" fontId="129" fillId="0" borderId="0" xfId="0" applyFont="1" applyFill="1" applyAlignment="1" applyProtection="1">
      <alignment horizontal="left" vertical="top"/>
    </xf>
    <xf numFmtId="0" fontId="26" fillId="0" borderId="0" xfId="0" applyFont="1" applyFill="1" applyAlignment="1" applyProtection="1">
      <alignment horizontal="center"/>
    </xf>
    <xf numFmtId="0" fontId="140" fillId="0" borderId="0" xfId="0" applyFont="1" applyFill="1" applyBorder="1" applyAlignment="1" applyProtection="1">
      <alignment horizontal="left"/>
    </xf>
    <xf numFmtId="0" fontId="140" fillId="0" borderId="0" xfId="0" applyFont="1" applyFill="1" applyBorder="1" applyAlignment="1" applyProtection="1">
      <alignment horizontal="left" wrapText="1"/>
    </xf>
    <xf numFmtId="0" fontId="6" fillId="0" borderId="0" xfId="0" applyFont="1" applyFill="1" applyAlignment="1" applyProtection="1">
      <alignment horizontal="center"/>
    </xf>
    <xf numFmtId="0" fontId="52" fillId="0" borderId="0" xfId="0" applyFont="1" applyFill="1" applyAlignment="1" applyProtection="1">
      <alignment horizontal="right"/>
    </xf>
    <xf numFmtId="0" fontId="105" fillId="0" borderId="0" xfId="0" applyFont="1" applyAlignment="1" applyProtection="1">
      <alignment vertical="top"/>
    </xf>
    <xf numFmtId="0" fontId="52" fillId="0" borderId="0" xfId="0" applyFont="1" applyAlignment="1" applyProtection="1">
      <alignment horizontal="left"/>
    </xf>
    <xf numFmtId="0" fontId="63" fillId="16" borderId="89" xfId="0" applyFont="1" applyFill="1" applyBorder="1" applyAlignment="1" applyProtection="1">
      <alignment vertical="center"/>
    </xf>
    <xf numFmtId="0" fontId="5" fillId="0" borderId="0" xfId="0" applyFont="1" applyFill="1" applyBorder="1" applyAlignment="1" applyProtection="1">
      <alignment horizontal="center" vertical="top"/>
    </xf>
    <xf numFmtId="0" fontId="19" fillId="0" borderId="0" xfId="0" applyFont="1" applyFill="1" applyBorder="1" applyAlignment="1" applyProtection="1">
      <alignment vertical="top"/>
    </xf>
    <xf numFmtId="0" fontId="5" fillId="0" borderId="0" xfId="0" applyFont="1" applyFill="1" applyBorder="1" applyAlignment="1" applyProtection="1">
      <alignment horizontal="center"/>
    </xf>
    <xf numFmtId="0" fontId="10" fillId="0" borderId="87" xfId="0" applyFont="1" applyFill="1" applyBorder="1" applyAlignment="1" applyProtection="1">
      <alignment horizontal="center" vertical="center"/>
    </xf>
    <xf numFmtId="0" fontId="19" fillId="0" borderId="32" xfId="0" applyFont="1" applyFill="1" applyBorder="1" applyAlignment="1" applyProtection="1">
      <alignment vertical="top"/>
    </xf>
    <xf numFmtId="0" fontId="15" fillId="0" borderId="19" xfId="0" applyFont="1" applyFill="1" applyBorder="1" applyAlignment="1" applyProtection="1">
      <alignment horizontal="center"/>
    </xf>
    <xf numFmtId="0" fontId="19" fillId="0" borderId="32" xfId="0" applyFont="1" applyFill="1" applyBorder="1" applyProtection="1"/>
    <xf numFmtId="0" fontId="104" fillId="0" borderId="0" xfId="0" applyFont="1" applyFill="1" applyAlignment="1" applyProtection="1">
      <alignment horizontal="left" vertical="center"/>
    </xf>
    <xf numFmtId="3" fontId="12" fillId="0" borderId="89" xfId="0" applyNumberFormat="1" applyFont="1" applyFill="1" applyBorder="1" applyAlignment="1" applyProtection="1">
      <alignment horizontal="center" vertical="center"/>
    </xf>
    <xf numFmtId="0" fontId="105"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38" fontId="10" fillId="13" borderId="16" xfId="0" applyNumberFormat="1" applyFont="1" applyFill="1" applyBorder="1" applyAlignment="1" applyProtection="1">
      <alignment horizontal="center" vertical="center"/>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10" fillId="13" borderId="23" xfId="0" applyFont="1" applyFill="1" applyBorder="1" applyAlignment="1" applyProtection="1">
      <alignment horizontal="center" vertical="center" wrapText="1"/>
    </xf>
    <xf numFmtId="0" fontId="10" fillId="13" borderId="25" xfId="0" applyFont="1" applyFill="1" applyBorder="1" applyAlignment="1" applyProtection="1">
      <alignment horizontal="center" vertical="center" wrapText="1"/>
    </xf>
    <xf numFmtId="0" fontId="10" fillId="13" borderId="24" xfId="0" applyFont="1" applyFill="1" applyBorder="1" applyAlignment="1" applyProtection="1">
      <alignment horizontal="center" vertical="center" wrapText="1"/>
    </xf>
    <xf numFmtId="1" fontId="6" fillId="13" borderId="16" xfId="0" applyNumberFormat="1" applyFont="1" applyFill="1" applyBorder="1" applyAlignment="1" applyProtection="1">
      <alignment horizontal="center" vertical="center"/>
    </xf>
    <xf numFmtId="0" fontId="10" fillId="13" borderId="3"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89" xfId="0" applyFont="1" applyFill="1" applyBorder="1" applyAlignment="1" applyProtection="1">
      <alignment horizontal="center" vertical="center"/>
    </xf>
    <xf numFmtId="0" fontId="16" fillId="13" borderId="89" xfId="0" applyFont="1" applyFill="1" applyBorder="1" applyAlignment="1" applyProtection="1">
      <alignment horizontal="center" vertical="top"/>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0" fillId="13" borderId="89" xfId="0" applyFont="1" applyFill="1" applyBorder="1" applyAlignment="1" applyProtection="1">
      <alignment horizontal="center" vertical="center"/>
    </xf>
    <xf numFmtId="3" fontId="10" fillId="13" borderId="18" xfId="0" applyNumberFormat="1" applyFont="1" applyFill="1" applyBorder="1" applyAlignment="1" applyProtection="1">
      <alignment horizontal="center" vertical="center"/>
    </xf>
    <xf numFmtId="0" fontId="10" fillId="13" borderId="3" xfId="0" applyFont="1" applyFill="1" applyBorder="1" applyAlignment="1" applyProtection="1">
      <alignment horizontal="center" vertical="center" wrapText="1"/>
    </xf>
    <xf numFmtId="0" fontId="16" fillId="13" borderId="12"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9" xfId="0" applyFont="1" applyFill="1" applyBorder="1" applyAlignment="1" applyProtection="1">
      <alignment horizontal="center" vertical="center"/>
    </xf>
    <xf numFmtId="0" fontId="16" fillId="13" borderId="23" xfId="0" applyFont="1" applyFill="1" applyBorder="1" applyAlignment="1" applyProtection="1">
      <alignment horizontal="center" vertical="center"/>
    </xf>
    <xf numFmtId="0" fontId="16" fillId="13" borderId="34"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29" fillId="0" borderId="0" xfId="0" applyFont="1" applyFill="1" applyAlignment="1" applyProtection="1">
      <alignment horizontal="center" vertical="center"/>
    </xf>
    <xf numFmtId="38" fontId="12" fillId="0" borderId="89" xfId="0" applyNumberFormat="1" applyFont="1" applyFill="1" applyBorder="1" applyAlignment="1" applyProtection="1">
      <alignment horizontal="center" vertical="center"/>
    </xf>
    <xf numFmtId="0" fontId="115" fillId="0" borderId="0" xfId="0" applyFont="1" applyFill="1" applyAlignment="1" applyProtection="1">
      <alignment vertical="top"/>
    </xf>
    <xf numFmtId="174" fontId="55" fillId="0" borderId="12" xfId="10" applyNumberFormat="1" applyFont="1" applyFill="1" applyBorder="1" applyAlignment="1" applyProtection="1">
      <alignment vertical="center"/>
    </xf>
    <xf numFmtId="0" fontId="17" fillId="0" borderId="0" xfId="0" applyFont="1" applyFill="1" applyAlignment="1" applyProtection="1">
      <alignment vertical="center"/>
    </xf>
    <xf numFmtId="0" fontId="99" fillId="0" borderId="0" xfId="0" applyFont="1" applyFill="1" applyAlignment="1" applyProtection="1">
      <alignment horizontal="left" vertical="center"/>
    </xf>
    <xf numFmtId="0" fontId="52" fillId="0" borderId="7" xfId="0" applyFont="1" applyFill="1" applyBorder="1" applyAlignment="1" applyProtection="1">
      <alignment vertical="center"/>
    </xf>
    <xf numFmtId="0" fontId="142" fillId="0" borderId="0" xfId="0" applyFont="1" applyFill="1" applyBorder="1" applyAlignment="1" applyProtection="1"/>
    <xf numFmtId="0" fontId="142" fillId="0" borderId="0" xfId="0" applyFont="1" applyFill="1" applyBorder="1" applyAlignment="1" applyProtection="1">
      <alignment vertical="center"/>
    </xf>
    <xf numFmtId="0" fontId="5" fillId="0" borderId="0" xfId="13"/>
    <xf numFmtId="0" fontId="164" fillId="0" borderId="0" xfId="13" applyFont="1" applyAlignment="1">
      <alignment horizontal="center"/>
    </xf>
    <xf numFmtId="0" fontId="165" fillId="0" borderId="0" xfId="13" applyFont="1"/>
    <xf numFmtId="0" fontId="165" fillId="0" borderId="0" xfId="13" applyFont="1" applyAlignment="1">
      <alignment horizontal="center"/>
    </xf>
    <xf numFmtId="177" fontId="165" fillId="0" borderId="0" xfId="13" applyNumberFormat="1" applyFont="1" applyAlignment="1">
      <alignment horizontal="center"/>
    </xf>
    <xf numFmtId="0" fontId="165" fillId="0" borderId="0" xfId="13" applyFont="1" applyFill="1" applyAlignment="1">
      <alignment horizontal="center"/>
    </xf>
    <xf numFmtId="0" fontId="5" fillId="0" borderId="0" xfId="13" applyFont="1"/>
    <xf numFmtId="0" fontId="5" fillId="0" borderId="0" xfId="13" applyFont="1" applyBorder="1"/>
    <xf numFmtId="0" fontId="5" fillId="10" borderId="0" xfId="13" applyFont="1" applyFill="1"/>
    <xf numFmtId="0" fontId="5" fillId="10" borderId="0" xfId="13" applyFill="1"/>
    <xf numFmtId="0" fontId="5" fillId="0" borderId="0" xfId="13" applyBorder="1"/>
    <xf numFmtId="0" fontId="5" fillId="0" borderId="0" xfId="13" applyBorder="1" applyAlignment="1">
      <alignment horizontal="center"/>
    </xf>
    <xf numFmtId="0" fontId="10" fillId="0" borderId="0" xfId="13" applyFont="1" applyBorder="1"/>
    <xf numFmtId="0" fontId="5" fillId="0" borderId="0" xfId="13" applyFont="1" applyAlignment="1">
      <alignment horizontal="right"/>
    </xf>
    <xf numFmtId="3" fontId="5" fillId="0" borderId="0" xfId="13" applyNumberFormat="1" applyBorder="1" applyAlignment="1">
      <alignment horizontal="center"/>
    </xf>
    <xf numFmtId="0" fontId="5" fillId="0" borderId="0" xfId="13" applyFont="1" applyBorder="1" applyAlignment="1">
      <alignment horizontal="right"/>
    </xf>
    <xf numFmtId="0" fontId="6" fillId="0" borderId="0" xfId="13" applyFont="1" applyBorder="1"/>
    <xf numFmtId="0" fontId="106" fillId="0" borderId="0" xfId="13" applyFont="1"/>
    <xf numFmtId="0" fontId="57" fillId="0" borderId="0" xfId="0" applyFont="1" applyAlignment="1" applyProtection="1">
      <alignment horizontal="left" wrapText="1"/>
    </xf>
    <xf numFmtId="0" fontId="57" fillId="0" borderId="0" xfId="0" applyFont="1" applyFill="1" applyAlignment="1" applyProtection="1">
      <alignment horizontal="left" wrapText="1"/>
    </xf>
    <xf numFmtId="0" fontId="57" fillId="0" borderId="0" xfId="0" applyFont="1" applyAlignment="1" applyProtection="1">
      <alignment horizontal="center" wrapText="1"/>
    </xf>
    <xf numFmtId="0" fontId="57" fillId="0" borderId="0" xfId="0" applyFont="1" applyFill="1" applyProtection="1"/>
    <xf numFmtId="0" fontId="57" fillId="0" borderId="0" xfId="0" applyFont="1" applyFill="1" applyBorder="1" applyAlignment="1" applyProtection="1">
      <alignment horizontal="left"/>
    </xf>
    <xf numFmtId="0" fontId="52" fillId="0" borderId="0" xfId="9" applyFont="1" applyFill="1" applyAlignment="1" applyProtection="1">
      <alignment horizontal="left"/>
    </xf>
    <xf numFmtId="0" fontId="52" fillId="0" borderId="0" xfId="0" applyFont="1" applyBorder="1" applyAlignment="1" applyProtection="1">
      <alignment horizontal="left" vertical="center"/>
    </xf>
    <xf numFmtId="0" fontId="52" fillId="0" borderId="0" xfId="9" applyFont="1" applyFill="1" applyProtection="1"/>
    <xf numFmtId="0" fontId="52" fillId="0" borderId="0" xfId="0" applyFont="1"/>
    <xf numFmtId="0" fontId="98" fillId="0" borderId="0" xfId="0" applyFont="1" applyFill="1" applyAlignment="1" applyProtection="1"/>
    <xf numFmtId="0" fontId="52" fillId="0" borderId="0" xfId="0" applyFont="1" applyFill="1" applyBorder="1" applyAlignment="1" applyProtection="1">
      <alignment wrapText="1"/>
    </xf>
    <xf numFmtId="0" fontId="59" fillId="0" borderId="0" xfId="0" applyFont="1" applyFill="1" applyBorder="1" applyAlignment="1" applyProtection="1">
      <alignment horizontal="left"/>
    </xf>
    <xf numFmtId="0" fontId="59" fillId="0" borderId="0" xfId="0" applyFont="1" applyAlignment="1" applyProtection="1">
      <alignment horizontal="left" vertical="center"/>
    </xf>
    <xf numFmtId="0" fontId="52" fillId="0" borderId="0" xfId="0" quotePrefix="1" applyNumberFormat="1" applyFont="1" applyFill="1" applyProtection="1"/>
    <xf numFmtId="0" fontId="52" fillId="0" borderId="0" xfId="0" applyNumberFormat="1" applyFont="1" applyFill="1" applyAlignment="1" applyProtection="1">
      <alignment horizontal="center"/>
    </xf>
    <xf numFmtId="0" fontId="6" fillId="0" borderId="0" xfId="0" applyFont="1" applyFill="1" applyBorder="1" applyAlignment="1">
      <alignment horizontal="center"/>
    </xf>
    <xf numFmtId="0" fontId="6" fillId="0" borderId="0" xfId="0" applyFont="1" applyFill="1" applyAlignment="1">
      <alignment horizontal="center"/>
    </xf>
    <xf numFmtId="0" fontId="10" fillId="0" borderId="0" xfId="13" applyFont="1" applyAlignment="1">
      <alignment horizontal="centerContinuous"/>
    </xf>
    <xf numFmtId="0" fontId="5" fillId="0" borderId="0" xfId="13" applyFont="1" applyAlignment="1">
      <alignment horizontal="left"/>
    </xf>
    <xf numFmtId="5" fontId="5" fillId="0" borderId="0" xfId="13" applyNumberFormat="1" applyFont="1" applyAlignment="1">
      <alignment horizontal="right"/>
    </xf>
    <xf numFmtId="9" fontId="5" fillId="10" borderId="0" xfId="13" applyNumberFormat="1" applyFont="1" applyFill="1" applyAlignment="1">
      <alignment horizontal="right"/>
    </xf>
    <xf numFmtId="9" fontId="5" fillId="0" borderId="0" xfId="13" applyNumberFormat="1" applyFont="1" applyAlignment="1">
      <alignment horizontal="right"/>
    </xf>
    <xf numFmtId="1" fontId="5" fillId="0" borderId="0" xfId="13" applyNumberFormat="1" applyFont="1" applyAlignment="1">
      <alignment horizontal="right"/>
    </xf>
    <xf numFmtId="0" fontId="5" fillId="0" borderId="0" xfId="13" applyFont="1" applyFill="1"/>
    <xf numFmtId="181" fontId="5" fillId="10" borderId="0" xfId="13" applyNumberFormat="1" applyFont="1" applyFill="1" applyAlignment="1">
      <alignment horizontal="right"/>
    </xf>
    <xf numFmtId="181" fontId="5" fillId="0" borderId="0" xfId="13" applyNumberFormat="1" applyFont="1"/>
    <xf numFmtId="181" fontId="5" fillId="0" borderId="0" xfId="13" applyNumberFormat="1" applyFont="1" applyBorder="1"/>
    <xf numFmtId="167" fontId="5" fillId="0" borderId="0" xfId="13" applyNumberFormat="1" applyFont="1" applyAlignment="1">
      <alignment horizontal="left"/>
    </xf>
    <xf numFmtId="3" fontId="5" fillId="0" borderId="0" xfId="13" applyNumberFormat="1" applyFont="1" applyAlignment="1">
      <alignment horizontal="right"/>
    </xf>
    <xf numFmtId="0" fontId="5" fillId="10" borderId="0" xfId="13" applyFont="1" applyFill="1" applyAlignment="1">
      <alignment horizontal="right"/>
    </xf>
    <xf numFmtId="176" fontId="5" fillId="0" borderId="0" xfId="13" applyNumberFormat="1" applyFont="1" applyAlignment="1">
      <alignment horizontal="right"/>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81" fontId="5" fillId="10" borderId="0" xfId="13" applyNumberFormat="1" applyFont="1" applyFill="1"/>
    <xf numFmtId="0" fontId="5" fillId="0" borderId="38" xfId="13" applyFont="1" applyBorder="1" applyAlignment="1">
      <alignment horizontal="center"/>
    </xf>
    <xf numFmtId="1" fontId="5" fillId="0" borderId="38" xfId="13" applyNumberFormat="1" applyFill="1" applyBorder="1" applyAlignment="1">
      <alignment horizontal="center"/>
    </xf>
    <xf numFmtId="0" fontId="5" fillId="10" borderId="38" xfId="13" applyFill="1" applyBorder="1" applyAlignment="1">
      <alignment horizontal="center"/>
    </xf>
    <xf numFmtId="3" fontId="5" fillId="10" borderId="38" xfId="13" applyNumberFormat="1" applyFont="1" applyFill="1" applyBorder="1" applyAlignment="1">
      <alignment horizontal="center"/>
    </xf>
    <xf numFmtId="169" fontId="5" fillId="0" borderId="38" xfId="13" applyNumberFormat="1" applyFont="1" applyBorder="1" applyAlignment="1">
      <alignment horizontal="center"/>
    </xf>
    <xf numFmtId="1" fontId="5" fillId="0" borderId="38" xfId="13" applyNumberFormat="1" applyBorder="1" applyAlignment="1">
      <alignment horizontal="center"/>
    </xf>
    <xf numFmtId="0" fontId="5" fillId="10" borderId="38" xfId="13" applyFont="1" applyFill="1" applyBorder="1" applyAlignment="1">
      <alignment horizontal="center"/>
    </xf>
    <xf numFmtId="0" fontId="5" fillId="0" borderId="88" xfId="13" applyBorder="1"/>
    <xf numFmtId="0" fontId="5" fillId="0" borderId="84" xfId="13" applyBorder="1"/>
    <xf numFmtId="0" fontId="5" fillId="0" borderId="7" xfId="13" applyBorder="1"/>
    <xf numFmtId="0" fontId="5" fillId="0" borderId="8" xfId="13" applyBorder="1"/>
    <xf numFmtId="0" fontId="5" fillId="0" borderId="7" xfId="13" applyFont="1" applyBorder="1"/>
    <xf numFmtId="0" fontId="5" fillId="0" borderId="7" xfId="13" applyFont="1" applyFill="1" applyBorder="1"/>
    <xf numFmtId="0" fontId="5" fillId="0" borderId="9" xfId="13" applyBorder="1"/>
    <xf numFmtId="0" fontId="5" fillId="0" borderId="13" xfId="13" applyBorder="1"/>
    <xf numFmtId="0" fontId="5" fillId="0" borderId="14" xfId="13" applyBorder="1"/>
    <xf numFmtId="0" fontId="5" fillId="0" borderId="83" xfId="13" applyBorder="1"/>
    <xf numFmtId="0" fontId="5" fillId="0" borderId="25" xfId="13" applyFill="1" applyBorder="1" applyAlignment="1">
      <alignment horizontal="center"/>
    </xf>
    <xf numFmtId="0" fontId="15" fillId="0" borderId="7" xfId="13" applyFont="1" applyBorder="1"/>
    <xf numFmtId="0" fontId="172" fillId="0" borderId="0" xfId="13" applyFont="1" applyBorder="1" applyAlignment="1"/>
    <xf numFmtId="0" fontId="5" fillId="0" borderId="7" xfId="13" applyFont="1" applyBorder="1" applyAlignment="1">
      <alignment horizontal="left"/>
    </xf>
    <xf numFmtId="3" fontId="5" fillId="0" borderId="25" xfId="13" applyNumberFormat="1" applyBorder="1" applyAlignment="1">
      <alignment horizontal="center"/>
    </xf>
    <xf numFmtId="0" fontId="15" fillId="0" borderId="0" xfId="13" applyFont="1" applyBorder="1" applyAlignment="1"/>
    <xf numFmtId="0" fontId="18" fillId="0" borderId="8" xfId="13" applyFont="1" applyBorder="1" applyAlignment="1">
      <alignment horizontal="right"/>
    </xf>
    <xf numFmtId="0" fontId="5" fillId="0" borderId="7" xfId="13" applyFont="1" applyFill="1" applyBorder="1" applyAlignment="1">
      <alignment horizontal="left"/>
    </xf>
    <xf numFmtId="0" fontId="15" fillId="0" borderId="7" xfId="13" applyFont="1" applyBorder="1" applyAlignment="1">
      <alignment horizontal="left"/>
    </xf>
    <xf numFmtId="0" fontId="6" fillId="0" borderId="7" xfId="13" applyFont="1" applyBorder="1"/>
    <xf numFmtId="0" fontId="6" fillId="0" borderId="0" xfId="13" applyFont="1" applyFill="1" applyBorder="1"/>
    <xf numFmtId="0" fontId="5" fillId="0" borderId="7" xfId="13" applyFont="1" applyBorder="1" applyAlignment="1"/>
    <xf numFmtId="0" fontId="5" fillId="0" borderId="0" xfId="13" applyFont="1" applyBorder="1" applyAlignment="1"/>
    <xf numFmtId="0" fontId="5" fillId="0" borderId="0" xfId="13" applyFont="1" applyBorder="1" applyAlignment="1">
      <alignment horizontal="left" vertical="top"/>
    </xf>
    <xf numFmtId="0" fontId="5" fillId="0" borderId="25" xfId="13" applyFont="1" applyBorder="1" applyAlignment="1">
      <alignment horizontal="center"/>
    </xf>
    <xf numFmtId="0" fontId="5" fillId="10" borderId="25" xfId="13" applyFont="1" applyFill="1" applyBorder="1" applyAlignment="1">
      <alignment horizontal="center"/>
    </xf>
    <xf numFmtId="3" fontId="5" fillId="0" borderId="8" xfId="13" applyNumberFormat="1" applyBorder="1" applyAlignment="1">
      <alignment horizontal="center"/>
    </xf>
    <xf numFmtId="0" fontId="10" fillId="0" borderId="0" xfId="13" applyFont="1" applyBorder="1" applyAlignment="1">
      <alignment vertical="center"/>
    </xf>
    <xf numFmtId="0" fontId="97" fillId="0" borderId="0" xfId="0" applyFont="1" applyFill="1" applyAlignment="1" applyProtection="1">
      <alignment vertical="center"/>
    </xf>
    <xf numFmtId="0" fontId="172" fillId="0" borderId="0" xfId="0" applyFont="1" applyFill="1" applyAlignment="1" applyProtection="1">
      <alignment horizontal="center"/>
    </xf>
    <xf numFmtId="164" fontId="14" fillId="0" borderId="0" xfId="1" applyNumberFormat="1" applyFont="1" applyFill="1" applyBorder="1" applyAlignment="1" applyProtection="1">
      <alignment horizontal="right" vertical="center"/>
    </xf>
    <xf numFmtId="0" fontId="30" fillId="0" borderId="0" xfId="0" applyFont="1" applyFill="1" applyAlignment="1" applyProtection="1">
      <alignment horizontal="center" vertical="center" wrapText="1"/>
    </xf>
    <xf numFmtId="0" fontId="6" fillId="0" borderId="7" xfId="0" applyFont="1" applyFill="1" applyBorder="1" applyAlignment="1" applyProtection="1">
      <alignment vertical="center"/>
    </xf>
    <xf numFmtId="3" fontId="179" fillId="21" borderId="0" xfId="0" applyNumberFormat="1" applyFont="1" applyFill="1" applyBorder="1" applyAlignment="1">
      <alignment horizontal="center" vertical="top"/>
    </xf>
    <xf numFmtId="38" fontId="52" fillId="0" borderId="0" xfId="0" applyNumberFormat="1" applyFont="1" applyBorder="1" applyAlignment="1" applyProtection="1">
      <alignment horizontal="left" vertical="center"/>
    </xf>
    <xf numFmtId="3" fontId="52" fillId="0" borderId="0" xfId="0" applyNumberFormat="1" applyFont="1" applyAlignment="1" applyProtection="1">
      <alignment horizontal="center" vertical="center"/>
    </xf>
    <xf numFmtId="38" fontId="142" fillId="0" borderId="0" xfId="0" applyNumberFormat="1" applyFont="1" applyBorder="1" applyAlignment="1" applyProtection="1">
      <alignment horizontal="left" vertical="center"/>
    </xf>
    <xf numFmtId="0" fontId="52" fillId="0" borderId="13" xfId="0" applyFont="1" applyBorder="1" applyAlignment="1" applyProtection="1">
      <alignment vertical="center"/>
    </xf>
    <xf numFmtId="0" fontId="55" fillId="0" borderId="99" xfId="0" applyFont="1" applyBorder="1" applyAlignment="1" applyProtection="1">
      <alignment horizontal="center" vertical="center"/>
    </xf>
    <xf numFmtId="0" fontId="55" fillId="0" borderId="13" xfId="0" applyFont="1" applyBorder="1" applyAlignment="1" applyProtection="1">
      <alignment horizontal="center" vertical="center"/>
    </xf>
    <xf numFmtId="0" fontId="52" fillId="0" borderId="13" xfId="0" applyFont="1" applyBorder="1" applyAlignment="1" applyProtection="1">
      <alignment horizontal="center" vertical="center"/>
    </xf>
    <xf numFmtId="0" fontId="52" fillId="0" borderId="100" xfId="0" applyFont="1" applyBorder="1" applyAlignment="1" applyProtection="1">
      <alignment horizontal="center" vertical="center"/>
    </xf>
    <xf numFmtId="0" fontId="18" fillId="0" borderId="0" xfId="0" applyFont="1" applyFill="1" applyAlignment="1" applyProtection="1">
      <alignment horizontal="right" vertical="center"/>
    </xf>
    <xf numFmtId="0" fontId="5" fillId="0" borderId="5" xfId="0" applyFont="1" applyFill="1" applyBorder="1" applyAlignment="1" applyProtection="1">
      <alignment vertical="center"/>
    </xf>
    <xf numFmtId="164" fontId="5" fillId="0" borderId="5" xfId="1" applyNumberFormat="1" applyFont="1" applyFill="1" applyBorder="1" applyAlignment="1" applyProtection="1">
      <alignment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30" fillId="0" borderId="0" xfId="0" applyFont="1" applyFill="1" applyAlignment="1" applyProtection="1">
      <alignment vertical="center" wrapText="1"/>
    </xf>
    <xf numFmtId="0" fontId="61" fillId="0" borderId="0" xfId="0" applyFont="1" applyFill="1" applyAlignment="1" applyProtection="1">
      <alignment horizontal="right" vertical="center"/>
    </xf>
    <xf numFmtId="0" fontId="180" fillId="0" borderId="0" xfId="0" applyFont="1" applyFill="1" applyProtection="1"/>
    <xf numFmtId="0" fontId="185" fillId="0" borderId="0" xfId="0" applyFont="1" applyFill="1" applyAlignment="1" applyProtection="1">
      <alignment vertical="center"/>
    </xf>
    <xf numFmtId="0" fontId="183" fillId="0" borderId="19" xfId="0" applyFont="1" applyFill="1" applyBorder="1" applyAlignment="1" applyProtection="1">
      <alignment horizontal="right" vertical="top"/>
    </xf>
    <xf numFmtId="0" fontId="14" fillId="0" borderId="88" xfId="0" applyFont="1" applyFill="1" applyBorder="1" applyAlignment="1" applyProtection="1">
      <alignment horizontal="center" vertical="center"/>
    </xf>
    <xf numFmtId="0" fontId="52" fillId="0" borderId="0" xfId="0" applyFont="1" applyFill="1" applyBorder="1" applyAlignment="1" applyProtection="1">
      <alignment vertical="top" wrapText="1"/>
    </xf>
    <xf numFmtId="1" fontId="6" fillId="13" borderId="12" xfId="0" applyNumberFormat="1" applyFont="1" applyFill="1" applyBorder="1" applyAlignment="1" applyProtection="1">
      <alignment horizontal="center" vertical="center"/>
    </xf>
    <xf numFmtId="0" fontId="52" fillId="0" borderId="0" xfId="0" applyFont="1" applyFill="1" applyBorder="1" applyAlignment="1" applyProtection="1">
      <alignmen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59" fillId="0" borderId="0" xfId="0" applyFont="1" applyBorder="1" applyAlignment="1" applyProtection="1">
      <alignment wrapText="1"/>
    </xf>
    <xf numFmtId="10" fontId="52" fillId="0" borderId="0" xfId="0" applyNumberFormat="1" applyFont="1" applyBorder="1" applyAlignment="1" applyProtection="1">
      <alignment vertical="center"/>
    </xf>
    <xf numFmtId="0" fontId="20" fillId="0" borderId="0" xfId="0" applyFont="1" applyFill="1" applyBorder="1" applyAlignment="1" applyProtection="1"/>
    <xf numFmtId="10" fontId="16" fillId="0" borderId="16" xfId="0" applyNumberFormat="1" applyFont="1" applyFill="1" applyBorder="1" applyAlignment="1" applyProtection="1">
      <alignment horizontal="center" vertical="center"/>
    </xf>
    <xf numFmtId="10" fontId="16" fillId="0" borderId="18" xfId="0" applyNumberFormat="1" applyFont="1" applyFill="1" applyBorder="1" applyAlignment="1" applyProtection="1">
      <alignment horizontal="center" vertical="center"/>
    </xf>
    <xf numFmtId="10" fontId="16" fillId="0" borderId="12" xfId="0" applyNumberFormat="1" applyFont="1" applyFill="1" applyBorder="1" applyAlignment="1" applyProtection="1">
      <alignment horizontal="center" vertical="center"/>
    </xf>
    <xf numFmtId="0" fontId="104" fillId="0" borderId="0" xfId="0" applyFont="1" applyAlignment="1" applyProtection="1">
      <alignment horizontal="center"/>
    </xf>
    <xf numFmtId="0" fontId="88" fillId="0" borderId="0" xfId="0" applyFont="1" applyAlignment="1" applyProtection="1">
      <alignment horizontal="center" vertical="center"/>
    </xf>
    <xf numFmtId="0" fontId="0" fillId="0" borderId="0" xfId="0" applyAlignment="1" applyProtection="1">
      <alignment horizontal="center" vertical="center"/>
    </xf>
    <xf numFmtId="0" fontId="52" fillId="0" borderId="0" xfId="0" applyFont="1" applyBorder="1" applyAlignment="1" applyProtection="1">
      <alignment vertical="top"/>
    </xf>
    <xf numFmtId="0" fontId="52" fillId="0" borderId="0" xfId="0" applyFont="1" applyBorder="1" applyAlignment="1" applyProtection="1">
      <alignment horizontal="left" vertical="top"/>
    </xf>
    <xf numFmtId="0" fontId="52" fillId="0" borderId="0" xfId="0" applyFont="1" applyBorder="1" applyAlignment="1" applyProtection="1">
      <alignment horizontal="center" vertical="top"/>
    </xf>
    <xf numFmtId="0" fontId="52" fillId="0" borderId="0" xfId="0" applyFont="1" applyAlignment="1" applyProtection="1"/>
    <xf numFmtId="0" fontId="57" fillId="0" borderId="0" xfId="0" applyFont="1" applyAlignment="1" applyProtection="1">
      <alignment wrapText="1"/>
    </xf>
    <xf numFmtId="0" fontId="16" fillId="0" borderId="0" xfId="0" applyFont="1" applyAlignment="1" applyProtection="1">
      <alignment vertical="center"/>
    </xf>
    <xf numFmtId="0" fontId="113" fillId="0" borderId="0" xfId="0" applyFont="1" applyProtection="1"/>
    <xf numFmtId="0" fontId="105" fillId="0" borderId="0" xfId="0" applyFont="1" applyAlignment="1" applyProtection="1">
      <alignment horizontal="center" vertical="center"/>
    </xf>
    <xf numFmtId="0" fontId="0" fillId="0" borderId="0" xfId="0" applyBorder="1" applyAlignment="1" applyProtection="1">
      <alignment vertical="center"/>
    </xf>
    <xf numFmtId="0" fontId="10" fillId="0" borderId="89" xfId="0" applyFont="1" applyBorder="1" applyAlignment="1" applyProtection="1">
      <alignment horizontal="center" vertical="center"/>
    </xf>
    <xf numFmtId="0" fontId="5" fillId="0" borderId="89" xfId="0" applyFont="1" applyFill="1" applyBorder="1" applyAlignment="1" applyProtection="1">
      <alignment horizontal="center" vertical="center"/>
    </xf>
    <xf numFmtId="0" fontId="5" fillId="0" borderId="87" xfId="0" applyFont="1" applyFill="1" applyBorder="1" applyAlignment="1" applyProtection="1">
      <alignment horizontal="center" vertical="center"/>
    </xf>
    <xf numFmtId="0" fontId="16" fillId="13" borderId="105" xfId="0" applyFont="1" applyFill="1" applyBorder="1" applyAlignment="1" applyProtection="1">
      <alignment horizontal="center"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6" fillId="0" borderId="0" xfId="0" applyFont="1" applyFill="1" applyAlignment="1" applyProtection="1">
      <alignment horizontal="center" vertical="center"/>
    </xf>
    <xf numFmtId="0" fontId="22" fillId="0" borderId="0" xfId="0" quotePrefix="1" applyFont="1" applyFill="1" applyBorder="1" applyAlignment="1" applyProtection="1">
      <alignment horizontal="left" vertical="top"/>
    </xf>
    <xf numFmtId="0" fontId="52" fillId="0" borderId="0" xfId="0" applyFont="1" applyFill="1" applyAlignment="1" applyProtection="1">
      <alignment vertical="top"/>
    </xf>
    <xf numFmtId="0" fontId="105" fillId="0" borderId="0" xfId="0" applyFont="1" applyBorder="1" applyAlignment="1" applyProtection="1">
      <alignment vertical="top"/>
    </xf>
    <xf numFmtId="49" fontId="88" fillId="0" borderId="0" xfId="0" applyNumberFormat="1" applyFont="1" applyBorder="1" applyAlignment="1" applyProtection="1">
      <alignment horizontal="left"/>
    </xf>
    <xf numFmtId="0" fontId="88" fillId="0" borderId="0" xfId="0" applyFont="1" applyBorder="1" applyAlignment="1" applyProtection="1">
      <alignment horizontal="left"/>
    </xf>
    <xf numFmtId="0" fontId="12" fillId="0" borderId="0" xfId="0" applyFont="1" applyFill="1" applyBorder="1" applyAlignment="1" applyProtection="1">
      <alignment horizontal="right" vertical="top"/>
    </xf>
    <xf numFmtId="0" fontId="98" fillId="0" borderId="0" xfId="0" applyFont="1" applyFill="1" applyBorder="1" applyAlignment="1" applyProtection="1"/>
    <xf numFmtId="0" fontId="6" fillId="0" borderId="0" xfId="0" applyFont="1" applyFill="1" applyAlignment="1" applyProtection="1">
      <alignment horizontal="center" wrapText="1"/>
    </xf>
    <xf numFmtId="0" fontId="15" fillId="0" borderId="0" xfId="0" applyFont="1" applyFill="1" applyAlignment="1" applyProtection="1">
      <alignment horizontal="center"/>
    </xf>
    <xf numFmtId="0" fontId="15" fillId="0" borderId="0" xfId="0" applyFont="1" applyFill="1" applyAlignment="1" applyProtection="1">
      <alignment horizontal="center" vertical="center"/>
    </xf>
    <xf numFmtId="0" fontId="186"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86" fillId="0" borderId="0" xfId="0" applyFont="1" applyProtection="1"/>
    <xf numFmtId="0" fontId="110" fillId="0" borderId="0" xfId="0" applyFont="1" applyAlignment="1" applyProtection="1">
      <alignment horizontal="left"/>
    </xf>
    <xf numFmtId="0" fontId="118" fillId="0" borderId="0" xfId="0" applyFont="1" applyProtection="1"/>
    <xf numFmtId="0" fontId="109" fillId="0" borderId="0" xfId="0" applyFont="1" applyBorder="1" applyAlignment="1" applyProtection="1">
      <alignment horizontal="center" vertical="top"/>
    </xf>
    <xf numFmtId="0" fontId="106" fillId="0" borderId="0" xfId="0" applyFont="1" applyAlignment="1" applyProtection="1"/>
    <xf numFmtId="0" fontId="118" fillId="0" borderId="0" xfId="0" applyFont="1" applyAlignment="1" applyProtection="1">
      <alignment vertical="top"/>
    </xf>
    <xf numFmtId="0" fontId="109" fillId="0" borderId="0" xfId="0" applyFont="1" applyBorder="1" applyAlignment="1" applyProtection="1">
      <alignment horizontal="left" vertical="top"/>
    </xf>
    <xf numFmtId="0" fontId="109" fillId="0" borderId="0" xfId="0" applyFont="1" applyBorder="1" applyAlignment="1" applyProtection="1">
      <alignment vertical="top"/>
    </xf>
    <xf numFmtId="0" fontId="106" fillId="0" borderId="0" xfId="0" applyFont="1" applyAlignment="1" applyProtection="1">
      <alignment vertical="top"/>
    </xf>
    <xf numFmtId="0" fontId="107" fillId="0" borderId="0" xfId="0" applyFont="1" applyAlignment="1" applyProtection="1">
      <alignment vertical="top"/>
    </xf>
    <xf numFmtId="0" fontId="106" fillId="0" borderId="0" xfId="0" applyFont="1" applyBorder="1" applyAlignment="1" applyProtection="1">
      <alignment vertical="top" wrapText="1"/>
    </xf>
    <xf numFmtId="0" fontId="109" fillId="0" borderId="0" xfId="0" applyFont="1" applyAlignment="1" applyProtection="1"/>
    <xf numFmtId="0" fontId="106" fillId="0" borderId="0" xfId="0" applyFont="1" applyBorder="1" applyProtection="1"/>
    <xf numFmtId="0" fontId="109" fillId="0" borderId="0" xfId="0" applyFont="1" applyAlignment="1" applyProtection="1">
      <alignment horizontal="left"/>
    </xf>
    <xf numFmtId="0" fontId="109" fillId="0" borderId="0" xfId="0" applyFont="1" applyProtection="1"/>
    <xf numFmtId="0" fontId="10" fillId="0" borderId="23" xfId="0" applyFont="1" applyFill="1" applyBorder="1" applyAlignment="1" applyProtection="1">
      <alignment horizontal="center" vertical="center" wrapText="1"/>
    </xf>
    <xf numFmtId="0" fontId="12" fillId="0" borderId="25" xfId="0" applyFont="1" applyFill="1" applyBorder="1" applyAlignment="1" applyProtection="1">
      <alignment horizontal="center" vertical="center" wrapText="1"/>
    </xf>
    <xf numFmtId="4" fontId="6" fillId="13" borderId="16" xfId="0" applyNumberFormat="1" applyFont="1" applyFill="1" applyBorder="1" applyAlignment="1" applyProtection="1">
      <alignment horizontal="center" vertical="center" wrapText="1"/>
    </xf>
    <xf numFmtId="4" fontId="6" fillId="13" borderId="17" xfId="0" applyNumberFormat="1" applyFont="1" applyFill="1" applyBorder="1" applyAlignment="1" applyProtection="1">
      <alignment horizontal="center" vertical="center" wrapText="1"/>
    </xf>
    <xf numFmtId="4" fontId="6" fillId="13" borderId="18" xfId="0" applyNumberFormat="1" applyFont="1" applyFill="1" applyBorder="1" applyAlignment="1" applyProtection="1">
      <alignment horizontal="center" vertical="center" wrapText="1"/>
    </xf>
    <xf numFmtId="0" fontId="16" fillId="0" borderId="96" xfId="0" applyFont="1" applyBorder="1" applyAlignment="1" applyProtection="1">
      <alignment horizontal="center" vertical="top" wrapText="1"/>
    </xf>
    <xf numFmtId="0" fontId="19" fillId="0" borderId="8" xfId="0" applyFont="1" applyFill="1" applyBorder="1" applyAlignment="1" applyProtection="1">
      <alignment vertical="top"/>
    </xf>
    <xf numFmtId="0" fontId="15" fillId="0" borderId="0" xfId="0" applyFont="1" applyFill="1" applyBorder="1" applyAlignment="1" applyProtection="1">
      <alignment horizontal="center" vertical="top"/>
    </xf>
    <xf numFmtId="3" fontId="12" fillId="0" borderId="16" xfId="0" applyNumberFormat="1" applyFont="1" applyFill="1" applyBorder="1" applyAlignment="1" applyProtection="1">
      <alignment horizontal="center" vertical="center"/>
    </xf>
    <xf numFmtId="3" fontId="12" fillId="0" borderId="17" xfId="0" applyNumberFormat="1" applyFont="1" applyFill="1" applyBorder="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7"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3"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5"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16" xfId="1" applyNumberFormat="1" applyFont="1" applyFill="1" applyBorder="1" applyAlignment="1" applyProtection="1">
      <alignment horizontal="right" vertical="center"/>
    </xf>
    <xf numFmtId="38" fontId="5" fillId="0" borderId="22" xfId="1" applyNumberFormat="1" applyFont="1" applyFill="1" applyBorder="1" applyAlignment="1" applyProtection="1">
      <alignment horizontal="right" vertical="center"/>
    </xf>
    <xf numFmtId="38" fontId="5" fillId="0" borderId="17" xfId="1" applyNumberFormat="1" applyFont="1" applyFill="1" applyBorder="1" applyAlignment="1" applyProtection="1">
      <alignment horizontal="right" vertical="center"/>
    </xf>
    <xf numFmtId="38" fontId="5" fillId="0" borderId="18" xfId="1" applyNumberFormat="1" applyFont="1" applyFill="1" applyBorder="1" applyAlignment="1" applyProtection="1">
      <alignment horizontal="right" vertical="center"/>
    </xf>
    <xf numFmtId="38" fontId="52" fillId="0" borderId="0" xfId="1" applyNumberFormat="1" applyFont="1" applyFill="1" applyBorder="1" applyAlignment="1" applyProtection="1">
      <alignment horizontal="center" vertical="center"/>
    </xf>
    <xf numFmtId="38" fontId="14" fillId="0" borderId="0" xfId="0" applyNumberFormat="1" applyFont="1" applyFill="1" applyAlignment="1" applyProtection="1">
      <alignment vertical="center"/>
    </xf>
    <xf numFmtId="38" fontId="14" fillId="0" borderId="16" xfId="1" applyNumberFormat="1" applyFont="1" applyFill="1" applyBorder="1" applyAlignment="1" applyProtection="1">
      <alignment vertical="center"/>
    </xf>
    <xf numFmtId="38" fontId="14" fillId="0" borderId="17" xfId="1" applyNumberFormat="1" applyFont="1" applyFill="1" applyBorder="1" applyAlignment="1" applyProtection="1">
      <alignment vertical="center"/>
    </xf>
    <xf numFmtId="38" fontId="14" fillId="0" borderId="18" xfId="1" applyNumberFormat="1" applyFont="1" applyFill="1" applyBorder="1" applyAlignment="1" applyProtection="1">
      <alignment vertical="center"/>
    </xf>
    <xf numFmtId="38" fontId="14" fillId="0" borderId="3" xfId="1" applyNumberFormat="1" applyFont="1" applyFill="1" applyBorder="1" applyAlignment="1" applyProtection="1">
      <alignment vertical="center"/>
    </xf>
    <xf numFmtId="0" fontId="14" fillId="0" borderId="0" xfId="0" applyFont="1" applyFill="1" applyAlignment="1" applyProtection="1">
      <alignment vertical="center" wrapText="1"/>
    </xf>
    <xf numFmtId="38" fontId="14" fillId="0" borderId="89" xfId="1" applyNumberFormat="1" applyFont="1" applyFill="1" applyBorder="1" applyAlignment="1" applyProtection="1">
      <alignment horizontal="right" vertical="center"/>
    </xf>
    <xf numFmtId="0" fontId="188" fillId="0" borderId="0" xfId="0" applyFont="1" applyAlignment="1" applyProtection="1">
      <alignment horizontal="center"/>
    </xf>
    <xf numFmtId="3" fontId="18" fillId="0" borderId="19" xfId="0" applyNumberFormat="1" applyFont="1" applyFill="1" applyBorder="1" applyAlignment="1" applyProtection="1">
      <alignment horizontal="center"/>
    </xf>
    <xf numFmtId="0" fontId="18" fillId="0" borderId="0" xfId="0" applyFont="1" applyFill="1" applyAlignment="1" applyProtection="1">
      <alignment horizontal="center"/>
    </xf>
    <xf numFmtId="3" fontId="61" fillId="0" borderId="19" xfId="0" applyNumberFormat="1" applyFont="1" applyFill="1" applyBorder="1" applyAlignment="1" applyProtection="1">
      <alignment horizontal="center"/>
    </xf>
    <xf numFmtId="0" fontId="24" fillId="0" borderId="0" xfId="0" applyFont="1" applyFill="1" applyProtection="1"/>
    <xf numFmtId="0" fontId="63" fillId="0" borderId="0" xfId="0" quotePrefix="1" applyFont="1" applyFill="1" applyAlignment="1" applyProtection="1">
      <alignment vertical="top"/>
    </xf>
    <xf numFmtId="0" fontId="63" fillId="0" borderId="107" xfId="0" applyFont="1" applyFill="1" applyBorder="1" applyAlignment="1" applyProtection="1">
      <alignment vertical="top" wrapText="1"/>
    </xf>
    <xf numFmtId="0" fontId="55" fillId="0" borderId="27" xfId="0" applyFont="1" applyFill="1" applyBorder="1" applyAlignment="1" applyProtection="1">
      <alignment vertical="center"/>
    </xf>
    <xf numFmtId="0" fontId="63" fillId="0" borderId="20" xfId="0" applyFont="1" applyFill="1" applyBorder="1" applyAlignment="1" applyProtection="1">
      <alignment wrapText="1"/>
    </xf>
    <xf numFmtId="0" fontId="63" fillId="0" borderId="97" xfId="0" applyFont="1" applyFill="1" applyBorder="1" applyAlignment="1" applyProtection="1">
      <alignment vertical="top" wrapText="1"/>
    </xf>
    <xf numFmtId="0" fontId="51" fillId="0" borderId="0" xfId="0" applyFont="1" applyFill="1" applyAlignment="1" applyProtection="1">
      <alignment horizontal="right" vertical="center"/>
    </xf>
    <xf numFmtId="3" fontId="54" fillId="0" borderId="106" xfId="0" applyNumberFormat="1" applyFont="1" applyFill="1" applyBorder="1" applyAlignment="1" applyProtection="1">
      <alignment horizontal="center" vertical="center"/>
    </xf>
    <xf numFmtId="164" fontId="54"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vertical="center"/>
    </xf>
    <xf numFmtId="0" fontId="182" fillId="0" borderId="20" xfId="0" applyNumberFormat="1" applyFont="1" applyFill="1" applyBorder="1" applyAlignment="1" applyProtection="1">
      <alignment vertical="center" wrapText="1"/>
    </xf>
    <xf numFmtId="0" fontId="30" fillId="0" borderId="40" xfId="0" applyFont="1" applyFill="1" applyBorder="1" applyProtection="1"/>
    <xf numFmtId="0" fontId="30" fillId="0" borderId="41" xfId="0" applyFont="1" applyFill="1" applyBorder="1" applyProtection="1"/>
    <xf numFmtId="0" fontId="105" fillId="0" borderId="0" xfId="0" applyFont="1" applyFill="1" applyAlignment="1" applyProtection="1">
      <alignment vertical="center"/>
    </xf>
    <xf numFmtId="0" fontId="6" fillId="0" borderId="0" xfId="0" applyFont="1" applyAlignment="1" applyProtection="1">
      <alignment horizontal="left" vertical="top"/>
    </xf>
    <xf numFmtId="0" fontId="105" fillId="0" borderId="0" xfId="0" applyFont="1" applyFill="1" applyAlignment="1" applyProtection="1">
      <alignment horizontal="left" vertical="center"/>
    </xf>
    <xf numFmtId="0" fontId="6" fillId="0" borderId="0" xfId="0" applyFont="1" applyAlignment="1" applyProtection="1">
      <alignment vertical="top"/>
    </xf>
    <xf numFmtId="0" fontId="105" fillId="0" borderId="0" xfId="0" applyFont="1" applyFill="1" applyBorder="1" applyAlignment="1" applyProtection="1">
      <alignment horizontal="center"/>
    </xf>
    <xf numFmtId="10" fontId="11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10" fontId="104" fillId="0" borderId="0" xfId="0" applyNumberFormat="1" applyFont="1" applyFill="1" applyBorder="1" applyAlignment="1" applyProtection="1">
      <alignment horizontal="left" vertical="center"/>
    </xf>
    <xf numFmtId="0" fontId="104" fillId="0" borderId="0" xfId="0" applyFont="1" applyFill="1" applyAlignment="1" applyProtection="1">
      <alignment horizontal="left" vertical="top"/>
    </xf>
    <xf numFmtId="38" fontId="104"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9" fillId="0" borderId="18" xfId="0" applyNumberFormat="1" applyFont="1" applyFill="1" applyBorder="1" applyAlignment="1" applyProtection="1">
      <alignment horizontal="center" vertical="center"/>
    </xf>
    <xf numFmtId="0" fontId="16" fillId="0" borderId="0" xfId="0" applyFont="1" applyBorder="1" applyAlignment="1" applyProtection="1">
      <alignment vertical="center"/>
    </xf>
    <xf numFmtId="0" fontId="52" fillId="0" borderId="13" xfId="0" applyFont="1" applyBorder="1" applyAlignment="1" applyProtection="1">
      <alignment horizontal="justify"/>
    </xf>
    <xf numFmtId="0" fontId="6" fillId="0" borderId="13" xfId="0" applyFont="1" applyBorder="1" applyAlignment="1" applyProtection="1">
      <alignment wrapText="1"/>
    </xf>
    <xf numFmtId="0" fontId="189"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107" fillId="7" borderId="0" xfId="0" applyFont="1" applyFill="1" applyProtection="1"/>
    <xf numFmtId="0" fontId="141" fillId="0" borderId="0" xfId="0" applyFont="1" applyProtection="1"/>
    <xf numFmtId="182" fontId="10" fillId="0" borderId="3" xfId="0" applyNumberFormat="1" applyFont="1" applyFill="1" applyBorder="1" applyAlignment="1" applyProtection="1">
      <alignment horizontal="center" vertical="center"/>
    </xf>
    <xf numFmtId="0" fontId="113" fillId="0" borderId="0" xfId="0" applyFont="1" applyAlignment="1" applyProtection="1">
      <alignment vertical="center"/>
    </xf>
    <xf numFmtId="0" fontId="191" fillId="0" borderId="16" xfId="0" applyFont="1" applyFill="1" applyBorder="1" applyAlignment="1" applyProtection="1">
      <alignment horizontal="center" vertical="center"/>
    </xf>
    <xf numFmtId="0" fontId="191" fillId="0" borderId="17" xfId="0" applyFont="1" applyFill="1" applyBorder="1" applyAlignment="1" applyProtection="1">
      <alignment horizontal="center" vertical="center"/>
    </xf>
    <xf numFmtId="0" fontId="191" fillId="0" borderId="18" xfId="0" applyFont="1" applyFill="1" applyBorder="1" applyAlignment="1" applyProtection="1">
      <alignment horizontal="center" vertical="center"/>
    </xf>
    <xf numFmtId="0" fontId="130" fillId="0" borderId="16" xfId="0" applyFont="1" applyFill="1" applyBorder="1" applyAlignment="1" applyProtection="1">
      <alignment horizontal="center" vertical="center"/>
    </xf>
    <xf numFmtId="0" fontId="130" fillId="0" borderId="17" xfId="0" applyFont="1" applyFill="1" applyBorder="1" applyAlignment="1" applyProtection="1">
      <alignment horizontal="center" vertical="center"/>
    </xf>
    <xf numFmtId="0" fontId="130" fillId="0" borderId="18" xfId="0" applyFont="1" applyFill="1" applyBorder="1" applyAlignment="1" applyProtection="1">
      <alignment horizontal="center" vertical="center"/>
    </xf>
    <xf numFmtId="0" fontId="187" fillId="0" borderId="0" xfId="0" applyFont="1" applyFill="1" applyBorder="1" applyAlignment="1" applyProtection="1"/>
    <xf numFmtId="1" fontId="15" fillId="0" borderId="0" xfId="0" applyNumberFormat="1" applyFont="1" applyFill="1" applyBorder="1" applyAlignment="1" applyProtection="1">
      <alignment horizontal="center" vertical="center"/>
    </xf>
    <xf numFmtId="0" fontId="5" fillId="0" borderId="30" xfId="0" applyFont="1" applyBorder="1" applyProtection="1"/>
    <xf numFmtId="0" fontId="15" fillId="0" borderId="0" xfId="0" applyFont="1" applyFill="1" applyBorder="1" applyAlignment="1" applyProtection="1">
      <alignment horizontal="center"/>
    </xf>
    <xf numFmtId="0" fontId="12" fillId="0" borderId="0" xfId="0" applyFont="1" applyFill="1" applyAlignment="1" applyProtection="1"/>
    <xf numFmtId="0" fontId="28" fillId="0" borderId="0" xfId="1" applyNumberFormat="1" applyFont="1" applyFill="1" applyAlignment="1" applyProtection="1">
      <alignment horizontal="center"/>
    </xf>
    <xf numFmtId="0" fontId="28" fillId="0" borderId="0" xfId="1" applyNumberFormat="1" applyFont="1" applyFill="1" applyBorder="1" applyAlignment="1" applyProtection="1">
      <alignment horizontal="center"/>
    </xf>
    <xf numFmtId="164" fontId="14" fillId="0" borderId="84" xfId="1" applyNumberFormat="1" applyFont="1" applyFill="1" applyBorder="1" applyProtection="1"/>
    <xf numFmtId="39" fontId="14" fillId="0" borderId="8" xfId="1" applyNumberFormat="1" applyFont="1" applyFill="1" applyBorder="1" applyAlignment="1" applyProtection="1">
      <alignment horizontal="right"/>
    </xf>
    <xf numFmtId="0" fontId="187" fillId="0" borderId="44" xfId="0" applyFont="1" applyFill="1" applyBorder="1" applyAlignment="1" applyProtection="1"/>
    <xf numFmtId="0" fontId="187" fillId="0" borderId="19" xfId="0" applyFont="1" applyFill="1" applyBorder="1" applyAlignment="1" applyProtection="1">
      <alignment horizontal="center"/>
    </xf>
    <xf numFmtId="0" fontId="187" fillId="0" borderId="39" xfId="0" applyFont="1" applyFill="1" applyBorder="1" applyAlignment="1" applyProtection="1">
      <alignment horizontal="center"/>
    </xf>
    <xf numFmtId="0" fontId="98" fillId="0" borderId="40" xfId="0" applyFont="1" applyFill="1" applyBorder="1" applyAlignment="1" applyProtection="1"/>
    <xf numFmtId="0" fontId="30" fillId="0" borderId="0" xfId="0" applyFont="1" applyFill="1" applyBorder="1" applyAlignment="1" applyProtection="1">
      <alignment vertical="center"/>
    </xf>
    <xf numFmtId="0" fontId="30"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98" fillId="0" borderId="40" xfId="0" applyFont="1" applyFill="1" applyBorder="1" applyAlignment="1" applyProtection="1">
      <alignment vertical="center"/>
    </xf>
    <xf numFmtId="0" fontId="6" fillId="0" borderId="80" xfId="0" applyFont="1" applyFill="1" applyBorder="1" applyAlignment="1" applyProtection="1">
      <alignment horizontal="right" vertical="center"/>
    </xf>
    <xf numFmtId="3" fontId="6" fillId="0" borderId="21" xfId="0" applyNumberFormat="1" applyFont="1" applyFill="1" applyBorder="1" applyAlignment="1" applyProtection="1">
      <alignment horizontal="center" vertical="center"/>
    </xf>
    <xf numFmtId="3" fontId="6" fillId="0" borderId="77" xfId="0" applyNumberFormat="1" applyFont="1" applyFill="1" applyBorder="1" applyAlignment="1" applyProtection="1">
      <alignment horizontal="center" vertical="center"/>
    </xf>
    <xf numFmtId="10" fontId="104" fillId="0" borderId="38" xfId="0" applyNumberFormat="1" applyFont="1" applyFill="1" applyBorder="1" applyAlignment="1" applyProtection="1">
      <alignment horizontal="center" vertical="center" wrapText="1"/>
    </xf>
    <xf numFmtId="3" fontId="104" fillId="0" borderId="38" xfId="0" applyNumberFormat="1" applyFont="1" applyFill="1" applyBorder="1" applyAlignment="1" applyProtection="1">
      <alignment horizontal="center" vertical="center" wrapText="1"/>
    </xf>
    <xf numFmtId="0" fontId="16" fillId="0" borderId="0" xfId="0" applyFont="1" applyFill="1" applyAlignment="1" applyProtection="1">
      <alignment horizontal="left" vertical="top"/>
    </xf>
    <xf numFmtId="10" fontId="104" fillId="0" borderId="89" xfId="0" applyNumberFormat="1" applyFont="1" applyFill="1" applyBorder="1" applyAlignment="1" applyProtection="1">
      <alignment horizontal="center" vertical="center"/>
    </xf>
    <xf numFmtId="0" fontId="15" fillId="0" borderId="0" xfId="0" applyFont="1" applyFill="1" applyAlignment="1" applyProtection="1">
      <alignment vertical="top"/>
    </xf>
    <xf numFmtId="38" fontId="5" fillId="0" borderId="0" xfId="13" applyNumberFormat="1" applyFont="1" applyFill="1" applyAlignment="1">
      <alignment horizontal="right"/>
    </xf>
    <xf numFmtId="3" fontId="5" fillId="10" borderId="0" xfId="13" applyNumberFormat="1" applyFont="1" applyFill="1" applyAlignment="1">
      <alignment horizontal="right"/>
    </xf>
    <xf numFmtId="49" fontId="172" fillId="0" borderId="0" xfId="6" applyNumberFormat="1" applyFont="1" applyFill="1" applyAlignment="1" applyProtection="1">
      <alignment horizontal="left"/>
    </xf>
    <xf numFmtId="0" fontId="10" fillId="0" borderId="0" xfId="13" applyFont="1" applyFill="1" applyBorder="1" applyAlignment="1" applyProtection="1">
      <alignment horizontal="left" vertical="center"/>
    </xf>
    <xf numFmtId="0" fontId="5" fillId="0" borderId="59" xfId="13" applyBorder="1"/>
    <xf numFmtId="3" fontId="55" fillId="0" borderId="89" xfId="1" applyNumberFormat="1" applyFont="1" applyFill="1" applyBorder="1" applyAlignment="1" applyProtection="1">
      <alignment horizontal="center" vertical="center"/>
    </xf>
    <xf numFmtId="3" fontId="5" fillId="0" borderId="38" xfId="13" applyNumberFormat="1" applyFont="1" applyBorder="1" applyAlignment="1" applyProtection="1">
      <alignment vertical="center"/>
    </xf>
    <xf numFmtId="38" fontId="52" fillId="0" borderId="89" xfId="0" applyNumberFormat="1" applyFont="1" applyBorder="1" applyAlignment="1" applyProtection="1">
      <alignment horizontal="center" vertical="center"/>
    </xf>
    <xf numFmtId="3" fontId="52" fillId="0" borderId="89" xfId="10" applyNumberFormat="1" applyFont="1" applyBorder="1" applyAlignment="1" applyProtection="1">
      <alignment horizontal="center" vertical="center"/>
    </xf>
    <xf numFmtId="0" fontId="55" fillId="0" borderId="0" xfId="0" applyFont="1" applyFill="1" applyAlignment="1" applyProtection="1">
      <alignment wrapText="1"/>
    </xf>
    <xf numFmtId="3" fontId="145" fillId="0" borderId="0" xfId="13" quotePrefix="1" applyNumberFormat="1" applyFont="1" applyFill="1" applyAlignment="1" applyProtection="1">
      <alignment horizontal="left"/>
    </xf>
    <xf numFmtId="0" fontId="145" fillId="0" borderId="0" xfId="13" quotePrefix="1" applyFont="1" applyFill="1" applyAlignment="1" applyProtection="1">
      <alignment horizontal="left"/>
    </xf>
    <xf numFmtId="0" fontId="145" fillId="0" borderId="0" xfId="13" applyFont="1" applyFill="1" applyAlignment="1" applyProtection="1">
      <alignment horizontal="left"/>
    </xf>
    <xf numFmtId="4" fontId="145" fillId="0" borderId="0" xfId="13" applyNumberFormat="1" applyFont="1" applyFill="1" applyAlignment="1" applyProtection="1">
      <alignment horizontal="left"/>
    </xf>
    <xf numFmtId="0" fontId="5" fillId="0" borderId="0" xfId="13" applyFont="1" applyAlignment="1">
      <alignment horizontal="center"/>
    </xf>
    <xf numFmtId="0" fontId="5" fillId="0" borderId="0" xfId="13" applyFont="1" applyBorder="1" applyAlignment="1">
      <alignment horizontal="left"/>
    </xf>
    <xf numFmtId="0" fontId="198" fillId="0" borderId="0" xfId="13" applyFont="1" applyAlignment="1">
      <alignment horizontal="center" vertical="center"/>
    </xf>
    <xf numFmtId="0" fontId="145" fillId="0" borderId="0" xfId="13" applyFont="1" applyProtection="1"/>
    <xf numFmtId="0" fontId="145" fillId="7" borderId="0" xfId="13" applyFont="1" applyFill="1" applyProtection="1"/>
    <xf numFmtId="0" fontId="146" fillId="0" borderId="0" xfId="13" applyFont="1" applyProtection="1"/>
    <xf numFmtId="0" fontId="7" fillId="0" borderId="0" xfId="13" applyFont="1" applyProtection="1"/>
    <xf numFmtId="0" fontId="145" fillId="0" borderId="0" xfId="13" applyFont="1" applyAlignment="1" applyProtection="1">
      <alignment horizontal="center"/>
    </xf>
    <xf numFmtId="6" fontId="145" fillId="0" borderId="0" xfId="13" applyNumberFormat="1" applyFont="1" applyProtection="1"/>
    <xf numFmtId="0" fontId="145" fillId="0" borderId="0" xfId="13" quotePrefix="1" applyFont="1" applyProtection="1"/>
    <xf numFmtId="38" fontId="145" fillId="0" borderId="0" xfId="13" applyNumberFormat="1" applyFont="1" applyProtection="1"/>
    <xf numFmtId="0" fontId="145" fillId="0" borderId="0" xfId="13" applyFont="1" applyAlignment="1" applyProtection="1"/>
    <xf numFmtId="0" fontId="145" fillId="0" borderId="0" xfId="13" applyFont="1" applyAlignment="1" applyProtection="1">
      <alignment horizontal="justify" vertical="top" wrapText="1"/>
    </xf>
    <xf numFmtId="0" fontId="145" fillId="0" borderId="86" xfId="13" applyFont="1" applyBorder="1" applyProtection="1"/>
    <xf numFmtId="0" fontId="28" fillId="0" borderId="0" xfId="13" applyFont="1" applyAlignment="1" applyProtection="1">
      <alignment horizontal="centerContinuous"/>
    </xf>
    <xf numFmtId="0" fontId="11" fillId="0" borderId="0" xfId="13" applyFont="1" applyAlignment="1" applyProtection="1">
      <alignment horizontal="centerContinuous"/>
    </xf>
    <xf numFmtId="0" fontId="171" fillId="0" borderId="0" xfId="13" applyFont="1" applyAlignment="1" applyProtection="1">
      <alignment horizontal="centerContinuous"/>
    </xf>
    <xf numFmtId="0" fontId="11" fillId="0" borderId="0" xfId="13" applyFont="1" applyProtection="1"/>
    <xf numFmtId="0" fontId="28" fillId="0" borderId="0" xfId="13" applyFont="1" applyProtection="1"/>
    <xf numFmtId="175" fontId="11" fillId="0" borderId="0" xfId="13" applyNumberFormat="1" applyFont="1" applyAlignment="1" applyProtection="1">
      <alignment horizontal="left"/>
    </xf>
    <xf numFmtId="0" fontId="11" fillId="0" borderId="0" xfId="13" applyFont="1" applyAlignment="1" applyProtection="1">
      <alignment horizontal="left"/>
    </xf>
    <xf numFmtId="181"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69" fillId="0" borderId="0" xfId="13" applyFont="1" applyProtection="1"/>
    <xf numFmtId="0" fontId="11" fillId="0" borderId="0" xfId="13" applyFont="1" applyAlignment="1" applyProtection="1">
      <alignment horizontal="justify" vertical="top" wrapText="1"/>
    </xf>
    <xf numFmtId="0" fontId="11" fillId="0" borderId="0" xfId="13" applyFont="1" applyAlignment="1" applyProtection="1">
      <alignment vertical="top" wrapText="1"/>
    </xf>
    <xf numFmtId="0" fontId="11" fillId="0" borderId="0" xfId="13" applyFont="1" applyAlignment="1" applyProtection="1">
      <alignment horizontal="left" vertical="top" wrapText="1"/>
    </xf>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95" fillId="0" borderId="80" xfId="13" applyFont="1" applyBorder="1" applyAlignment="1" applyProtection="1">
      <alignment horizontal="center" vertical="center"/>
    </xf>
    <xf numFmtId="0" fontId="195" fillId="0" borderId="21" xfId="13" applyFont="1" applyBorder="1" applyAlignment="1" applyProtection="1">
      <alignment horizontal="center" vertical="center"/>
    </xf>
    <xf numFmtId="0" fontId="195" fillId="0" borderId="77"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60" xfId="13" applyFont="1" applyBorder="1" applyAlignment="1" applyProtection="1">
      <alignment horizontal="center" vertical="top"/>
    </xf>
    <xf numFmtId="0" fontId="169" fillId="0" borderId="0" xfId="13" applyFont="1" applyAlignment="1" applyProtection="1">
      <alignment vertical="center"/>
    </xf>
    <xf numFmtId="0" fontId="11" fillId="0" borderId="38" xfId="13" applyFont="1" applyBorder="1" applyAlignment="1" applyProtection="1">
      <alignment horizontal="center" vertical="top"/>
    </xf>
    <xf numFmtId="0" fontId="169" fillId="0" borderId="0" xfId="13" applyFont="1" applyAlignment="1" applyProtection="1">
      <alignment horizontal="left"/>
    </xf>
    <xf numFmtId="0" fontId="169" fillId="0" borderId="0" xfId="13" applyFont="1" applyAlignment="1" applyProtection="1">
      <alignment horizontal="left" vertical="top"/>
    </xf>
    <xf numFmtId="0" fontId="171" fillId="0" borderId="0" xfId="13" applyFont="1" applyAlignment="1" applyProtection="1">
      <alignment horizontal="left"/>
    </xf>
    <xf numFmtId="0" fontId="11" fillId="0" borderId="0" xfId="13" applyFont="1" applyFill="1" applyAlignment="1" applyProtection="1">
      <alignment horizontal="justify" vertical="top" wrapText="1"/>
    </xf>
    <xf numFmtId="0" fontId="160" fillId="10" borderId="0" xfId="13" applyFont="1" applyFill="1" applyAlignment="1" applyProtection="1">
      <alignment horizontal="left" vertical="top" wrapText="1"/>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6" xfId="13" applyFont="1" applyBorder="1" applyProtection="1"/>
    <xf numFmtId="0" fontId="196" fillId="0" borderId="0" xfId="13" applyFont="1" applyAlignment="1" applyProtection="1">
      <alignment horizontal="centerContinuous"/>
    </xf>
    <xf numFmtId="0" fontId="145" fillId="0" borderId="0" xfId="13" applyFont="1" applyAlignment="1" applyProtection="1">
      <alignment horizontal="centerContinuous"/>
    </xf>
    <xf numFmtId="0" fontId="7" fillId="18" borderId="0" xfId="13" applyFont="1" applyFill="1" applyProtection="1"/>
    <xf numFmtId="0" fontId="145" fillId="18" borderId="0" xfId="13" applyFont="1" applyFill="1" applyProtection="1"/>
    <xf numFmtId="177" fontId="145" fillId="18" borderId="0" xfId="13" applyNumberFormat="1" applyFont="1" applyFill="1" applyAlignment="1" applyProtection="1">
      <alignment horizontal="left"/>
    </xf>
    <xf numFmtId="14" fontId="145" fillId="10" borderId="0" xfId="13" applyNumberFormat="1" applyFont="1" applyFill="1" applyBorder="1" applyAlignment="1" applyProtection="1">
      <alignment horizontal="left"/>
    </xf>
    <xf numFmtId="0" fontId="145" fillId="0" borderId="0" xfId="13" applyFont="1" applyFill="1" applyProtection="1"/>
    <xf numFmtId="0" fontId="145" fillId="0" borderId="0" xfId="13" applyFont="1" applyFill="1" applyAlignment="1" applyProtection="1">
      <alignment horizontal="center"/>
    </xf>
    <xf numFmtId="0" fontId="7" fillId="0" borderId="0" xfId="13" applyFont="1" applyFill="1" applyProtection="1"/>
    <xf numFmtId="0" fontId="159" fillId="0" borderId="0" xfId="13" applyFont="1" applyProtection="1"/>
    <xf numFmtId="0" fontId="145" fillId="5" borderId="0" xfId="13" applyFont="1" applyFill="1" applyProtection="1"/>
    <xf numFmtId="0" fontId="173" fillId="0" borderId="0" xfId="13" applyFont="1" applyFill="1" applyAlignment="1" applyProtection="1">
      <alignment horizontal="center"/>
    </xf>
    <xf numFmtId="181" fontId="145" fillId="0" borderId="0" xfId="13" applyNumberFormat="1" applyFont="1" applyFill="1" applyAlignment="1" applyProtection="1">
      <alignment horizontal="left"/>
    </xf>
    <xf numFmtId="2" fontId="145"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5" fillId="0" borderId="0" xfId="13" applyNumberFormat="1" applyFont="1" applyFill="1" applyProtection="1"/>
    <xf numFmtId="181" fontId="145" fillId="0" borderId="0" xfId="13" applyNumberFormat="1" applyFont="1" applyProtection="1"/>
    <xf numFmtId="177" fontId="145" fillId="0" borderId="0" xfId="13" applyNumberFormat="1" applyFont="1" applyAlignment="1" applyProtection="1">
      <alignment horizontal="left"/>
    </xf>
    <xf numFmtId="0" fontId="7" fillId="0" borderId="0" xfId="13" applyFont="1" applyFill="1" applyAlignment="1" applyProtection="1">
      <alignment horizontal="centerContinuous"/>
    </xf>
    <xf numFmtId="0" fontId="145" fillId="0" borderId="0" xfId="13" applyFont="1" applyFill="1" applyAlignment="1" applyProtection="1">
      <alignment horizontal="centerContinuous"/>
    </xf>
    <xf numFmtId="0" fontId="156" fillId="0" borderId="0" xfId="13" applyFont="1" applyAlignment="1" applyProtection="1">
      <alignment horizontal="center" wrapText="1"/>
    </xf>
    <xf numFmtId="0" fontId="145" fillId="5" borderId="0" xfId="13" applyFont="1" applyFill="1" applyAlignment="1" applyProtection="1">
      <alignment horizontal="left"/>
    </xf>
    <xf numFmtId="5" fontId="145" fillId="5" borderId="0" xfId="13" applyNumberFormat="1" applyFont="1" applyFill="1" applyProtection="1"/>
    <xf numFmtId="0" fontId="145" fillId="5" borderId="0" xfId="13" applyFont="1" applyFill="1" applyAlignment="1" applyProtection="1">
      <alignment horizontal="center"/>
    </xf>
    <xf numFmtId="10" fontId="145" fillId="0" borderId="0" xfId="13" applyNumberFormat="1" applyFont="1" applyFill="1" applyAlignment="1" applyProtection="1">
      <alignment horizontal="right"/>
    </xf>
    <xf numFmtId="0" fontId="7" fillId="0" borderId="0" xfId="13" applyFont="1" applyAlignment="1" applyProtection="1">
      <alignment horizontal="right"/>
    </xf>
    <xf numFmtId="5" fontId="145" fillId="0" borderId="68" xfId="13" applyNumberFormat="1" applyFont="1" applyFill="1" applyBorder="1" applyProtection="1"/>
    <xf numFmtId="5" fontId="145" fillId="0" borderId="0" xfId="13" applyNumberFormat="1" applyFont="1" applyFill="1" applyBorder="1" applyProtection="1"/>
    <xf numFmtId="9" fontId="145" fillId="0" borderId="0" xfId="13" applyNumberFormat="1" applyFont="1" applyFill="1" applyProtection="1"/>
    <xf numFmtId="0" fontId="10" fillId="0" borderId="0" xfId="13" applyFont="1" applyProtection="1"/>
    <xf numFmtId="5" fontId="145" fillId="0" borderId="0" xfId="13" applyNumberFormat="1" applyFont="1" applyFill="1" applyProtection="1"/>
    <xf numFmtId="10" fontId="145" fillId="10" borderId="0" xfId="13" applyNumberFormat="1" applyFont="1" applyFill="1" applyProtection="1"/>
    <xf numFmtId="0" fontId="156" fillId="0" borderId="0" xfId="13" applyFont="1" applyFill="1" applyProtection="1"/>
    <xf numFmtId="0" fontId="145" fillId="0" borderId="0" xfId="13" applyNumberFormat="1" applyFont="1" applyFill="1" applyAlignment="1" applyProtection="1">
      <alignment horizontal="right"/>
    </xf>
    <xf numFmtId="9" fontId="145" fillId="0" borderId="0" xfId="13" applyNumberFormat="1" applyFont="1" applyProtection="1"/>
    <xf numFmtId="9" fontId="145" fillId="0" borderId="0" xfId="13" applyNumberFormat="1" applyFont="1" applyFill="1" applyAlignment="1" applyProtection="1">
      <alignment horizontal="right"/>
    </xf>
    <xf numFmtId="0" fontId="7" fillId="0" borderId="0" xfId="13" applyFont="1" applyAlignment="1" applyProtection="1">
      <alignment horizontal="centerContinuous"/>
    </xf>
    <xf numFmtId="0" fontId="156" fillId="0" borderId="0" xfId="13" applyFont="1" applyProtection="1"/>
    <xf numFmtId="0" fontId="156" fillId="0" borderId="80" xfId="13" applyFont="1" applyBorder="1" applyProtection="1"/>
    <xf numFmtId="165" fontId="145" fillId="5" borderId="77" xfId="13" applyNumberFormat="1" applyFont="1" applyFill="1" applyBorder="1" applyAlignment="1" applyProtection="1">
      <alignment horizontal="left"/>
    </xf>
    <xf numFmtId="165" fontId="145" fillId="0" borderId="0" xfId="13" applyNumberFormat="1" applyFont="1" applyAlignment="1" applyProtection="1">
      <alignment horizontal="left"/>
    </xf>
    <xf numFmtId="0" fontId="145" fillId="0" borderId="0" xfId="13" applyFont="1" applyFill="1" applyAlignment="1" applyProtection="1">
      <alignment vertical="center"/>
    </xf>
    <xf numFmtId="6" fontId="145" fillId="0" borderId="0" xfId="13" applyNumberFormat="1" applyFont="1" applyFill="1" applyAlignment="1" applyProtection="1">
      <alignment vertical="center"/>
    </xf>
    <xf numFmtId="165" fontId="145" fillId="0" borderId="0" xfId="13" applyNumberFormat="1" applyFont="1" applyAlignment="1" applyProtection="1">
      <alignment vertical="center"/>
    </xf>
    <xf numFmtId="6" fontId="145" fillId="0" borderId="0" xfId="13" quotePrefix="1" applyNumberFormat="1" applyFont="1" applyFill="1" applyAlignment="1" applyProtection="1">
      <alignment vertical="center"/>
    </xf>
    <xf numFmtId="165" fontId="145" fillId="5" borderId="0" xfId="13" quotePrefix="1" applyNumberFormat="1" applyFont="1" applyFill="1" applyAlignment="1" applyProtection="1">
      <alignment vertical="center"/>
    </xf>
    <xf numFmtId="165" fontId="145" fillId="0" borderId="0" xfId="13" quotePrefix="1" applyNumberFormat="1" applyFont="1" applyFill="1" applyAlignment="1" applyProtection="1">
      <alignment vertical="center"/>
    </xf>
    <xf numFmtId="0" fontId="145" fillId="0" borderId="88" xfId="13" applyFont="1" applyFill="1" applyBorder="1" applyAlignment="1" applyProtection="1">
      <alignment vertical="center"/>
    </xf>
    <xf numFmtId="6" fontId="145" fillId="0" borderId="88" xfId="13" applyNumberFormat="1" applyFont="1" applyFill="1" applyBorder="1" applyAlignment="1" applyProtection="1">
      <alignment vertical="center"/>
    </xf>
    <xf numFmtId="6" fontId="145" fillId="0" borderId="0" xfId="13" applyNumberFormat="1" applyFont="1" applyFill="1" applyBorder="1" applyAlignment="1" applyProtection="1">
      <alignment vertical="center"/>
    </xf>
    <xf numFmtId="165" fontId="145" fillId="5" borderId="0" xfId="13" applyNumberFormat="1" applyFont="1" applyFill="1" applyAlignment="1" applyProtection="1">
      <alignment vertical="center"/>
    </xf>
    <xf numFmtId="0" fontId="145" fillId="0" borderId="0" xfId="13" applyFont="1" applyAlignment="1" applyProtection="1">
      <alignment vertical="center"/>
    </xf>
    <xf numFmtId="0" fontId="145"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45" fillId="0" borderId="13" xfId="13" applyFont="1" applyFill="1" applyBorder="1" applyAlignment="1" applyProtection="1">
      <alignment vertical="center"/>
    </xf>
    <xf numFmtId="0" fontId="7" fillId="0" borderId="88" xfId="13" applyFont="1" applyFill="1" applyBorder="1" applyAlignment="1" applyProtection="1">
      <alignment vertical="center"/>
    </xf>
    <xf numFmtId="6" fontId="7" fillId="0" borderId="88"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45" fillId="0" borderId="0" xfId="13" applyNumberFormat="1" applyFont="1" applyFill="1" applyAlignment="1" applyProtection="1">
      <alignment horizontal="right" vertical="center"/>
    </xf>
    <xf numFmtId="5" fontId="145" fillId="0" borderId="0" xfId="13" applyNumberFormat="1" applyFont="1" applyFill="1" applyAlignment="1" applyProtection="1">
      <alignment vertical="center"/>
    </xf>
    <xf numFmtId="0" fontId="156" fillId="0" borderId="0" xfId="13" applyFont="1" applyFill="1" applyAlignment="1" applyProtection="1">
      <alignment vertical="center"/>
    </xf>
    <xf numFmtId="5" fontId="145" fillId="0" borderId="0" xfId="13" applyNumberFormat="1" applyFont="1" applyAlignment="1" applyProtection="1">
      <alignment vertical="center"/>
    </xf>
    <xf numFmtId="9" fontId="145" fillId="0" borderId="15" xfId="13" applyNumberFormat="1" applyFont="1" applyBorder="1" applyAlignment="1" applyProtection="1">
      <alignment horizontal="center" vertical="center"/>
    </xf>
    <xf numFmtId="0" fontId="28" fillId="0" borderId="0" xfId="13" applyNumberFormat="1" applyFont="1" applyProtection="1"/>
    <xf numFmtId="6" fontId="28" fillId="10" borderId="0" xfId="1" applyNumberFormat="1" applyFont="1" applyFill="1" applyAlignment="1" applyProtection="1">
      <alignment horizontal="right"/>
    </xf>
    <xf numFmtId="0" fontId="11" fillId="0" borderId="0" xfId="13" applyFont="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8" fillId="0" borderId="0" xfId="1" applyNumberFormat="1" applyFont="1" applyProtection="1"/>
    <xf numFmtId="165" fontId="28"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8" fillId="0" borderId="0" xfId="13" applyFont="1" applyAlignment="1" applyProtection="1">
      <alignment horizontal="right"/>
    </xf>
    <xf numFmtId="6" fontId="11" fillId="0" borderId="0" xfId="13" applyNumberFormat="1" applyFont="1" applyProtection="1"/>
    <xf numFmtId="0" fontId="160"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6" fontId="11" fillId="0" borderId="0" xfId="0" applyNumberFormat="1" applyFont="1" applyFill="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6" fontId="11" fillId="0" borderId="0" xfId="13" applyNumberFormat="1" applyFont="1" applyFill="1" applyProtection="1"/>
    <xf numFmtId="0" fontId="11" fillId="0" borderId="0" xfId="13" applyFont="1" applyAlignment="1" applyProtection="1">
      <alignment vertical="center"/>
    </xf>
    <xf numFmtId="0" fontId="11" fillId="0" borderId="81" xfId="13" applyFont="1" applyBorder="1" applyAlignment="1" applyProtection="1">
      <alignment vertical="center"/>
    </xf>
    <xf numFmtId="0" fontId="11" fillId="0" borderId="85" xfId="13" applyFont="1" applyBorder="1" applyAlignment="1" applyProtection="1">
      <alignment vertical="center"/>
    </xf>
    <xf numFmtId="0" fontId="28" fillId="0" borderId="85" xfId="13" applyFont="1" applyBorder="1" applyAlignment="1" applyProtection="1">
      <alignment horizontal="right" vertical="center"/>
    </xf>
    <xf numFmtId="0" fontId="5" fillId="0" borderId="0" xfId="13" applyFont="1" applyProtection="1"/>
    <xf numFmtId="0" fontId="199" fillId="0" borderId="0" xfId="13" applyFont="1" applyProtection="1"/>
    <xf numFmtId="0" fontId="22" fillId="0" borderId="0" xfId="13" applyFont="1" applyProtection="1"/>
    <xf numFmtId="0" fontId="184" fillId="0" borderId="0" xfId="13" applyFont="1" applyProtection="1"/>
    <xf numFmtId="0" fontId="62" fillId="0" borderId="0" xfId="13" applyFont="1" applyAlignment="1" applyProtection="1">
      <alignment horizontal="center" vertical="top"/>
    </xf>
    <xf numFmtId="0" fontId="12" fillId="0" borderId="13" xfId="13" applyFont="1" applyBorder="1" applyAlignment="1" applyProtection="1">
      <alignment horizontal="left" wrapText="1"/>
    </xf>
    <xf numFmtId="0" fontId="15" fillId="0" borderId="0" xfId="13" applyFont="1" applyAlignment="1" applyProtection="1">
      <alignment horizontal="center" wrapText="1"/>
    </xf>
    <xf numFmtId="0" fontId="12" fillId="0" borderId="59" xfId="13" applyFont="1" applyBorder="1" applyAlignment="1" applyProtection="1">
      <alignment horizontal="center" wrapText="1"/>
    </xf>
    <xf numFmtId="0" fontId="5" fillId="0" borderId="0" xfId="13" applyFont="1" applyAlignment="1" applyProtection="1">
      <alignment horizontal="center" vertical="center"/>
    </xf>
    <xf numFmtId="3" fontId="5" fillId="10" borderId="38" xfId="13" applyNumberFormat="1" applyFont="1" applyFill="1" applyBorder="1" applyAlignment="1" applyProtection="1">
      <alignment horizontal="center" vertical="center"/>
    </xf>
    <xf numFmtId="0" fontId="168" fillId="0" borderId="0" xfId="13" applyFont="1" applyAlignment="1" applyProtection="1">
      <alignment horizontal="center" vertical="center"/>
    </xf>
    <xf numFmtId="3" fontId="5" fillId="0" borderId="0" xfId="13" applyNumberFormat="1" applyFont="1" applyAlignment="1" applyProtection="1">
      <alignment horizontal="center" vertical="center"/>
    </xf>
    <xf numFmtId="3" fontId="168" fillId="0" borderId="38" xfId="13" applyNumberFormat="1" applyFont="1" applyBorder="1" applyAlignment="1" applyProtection="1">
      <alignment vertical="center"/>
    </xf>
    <xf numFmtId="0" fontId="5" fillId="0" borderId="13" xfId="13" applyFont="1" applyBorder="1" applyAlignment="1" applyProtection="1">
      <alignment vertical="center"/>
    </xf>
    <xf numFmtId="3" fontId="5" fillId="10" borderId="50" xfId="13" applyNumberFormat="1" applyFont="1" applyFill="1" applyBorder="1" applyAlignment="1" applyProtection="1">
      <alignment horizontal="center" vertical="center"/>
    </xf>
    <xf numFmtId="0" fontId="168" fillId="0" borderId="13" xfId="13" applyFont="1" applyBorder="1" applyAlignment="1" applyProtection="1">
      <alignment horizontal="center" vertical="center"/>
    </xf>
    <xf numFmtId="3" fontId="5" fillId="0" borderId="13" xfId="13" applyNumberFormat="1" applyFont="1" applyBorder="1" applyAlignment="1" applyProtection="1">
      <alignment horizontal="center" vertical="center"/>
    </xf>
    <xf numFmtId="0" fontId="25" fillId="0" borderId="0" xfId="13" applyFont="1" applyAlignment="1" applyProtection="1">
      <alignment vertical="center"/>
    </xf>
    <xf numFmtId="0" fontId="5" fillId="0" borderId="88" xfId="13" applyFont="1" applyBorder="1" applyProtection="1"/>
    <xf numFmtId="0" fontId="5" fillId="0" borderId="0" xfId="13" applyFont="1" applyAlignment="1" applyProtection="1">
      <alignment horizontal="center"/>
    </xf>
    <xf numFmtId="0" fontId="10" fillId="0" borderId="0" xfId="13" applyFont="1" applyAlignment="1" applyProtection="1">
      <alignment vertical="center"/>
    </xf>
    <xf numFmtId="3" fontId="5" fillId="0" borderId="15" xfId="13" applyNumberFormat="1" applyFont="1" applyFill="1" applyBorder="1" applyAlignment="1" applyProtection="1">
      <alignment horizontal="center" vertical="center"/>
    </xf>
    <xf numFmtId="3" fontId="5" fillId="0" borderId="38" xfId="13" applyNumberFormat="1" applyFont="1" applyBorder="1" applyAlignment="1" applyProtection="1">
      <alignment horizontal="center" vertical="center"/>
    </xf>
    <xf numFmtId="0" fontId="18" fillId="0" borderId="0" xfId="13" applyFont="1" applyAlignment="1" applyProtection="1">
      <alignment horizontal="left"/>
    </xf>
    <xf numFmtId="0" fontId="18" fillId="0" borderId="0" xfId="13" applyFont="1" applyAlignment="1" applyProtection="1">
      <alignment vertical="center"/>
    </xf>
    <xf numFmtId="0" fontId="5" fillId="10" borderId="38" xfId="13" applyFont="1" applyFill="1" applyBorder="1" applyAlignment="1" applyProtection="1">
      <alignment vertical="center"/>
    </xf>
    <xf numFmtId="0" fontId="24" fillId="0" borderId="0" xfId="13" applyFont="1" applyProtection="1"/>
    <xf numFmtId="166" fontId="5" fillId="0" borderId="89" xfId="13" applyNumberFormat="1" applyFont="1" applyBorder="1" applyAlignment="1" applyProtection="1">
      <alignment vertical="center"/>
    </xf>
    <xf numFmtId="0" fontId="5" fillId="0" borderId="0" xfId="13" applyFont="1" applyBorder="1" applyAlignment="1" applyProtection="1">
      <alignment vertical="center"/>
    </xf>
    <xf numFmtId="0" fontId="167" fillId="0" borderId="0" xfId="13" applyFont="1" applyAlignment="1" applyProtection="1">
      <alignment vertical="center"/>
    </xf>
    <xf numFmtId="3" fontId="168" fillId="10" borderId="38" xfId="13" applyNumberFormat="1" applyFont="1" applyFill="1" applyBorder="1" applyAlignment="1" applyProtection="1">
      <alignment vertical="center"/>
    </xf>
    <xf numFmtId="0" fontId="167" fillId="0" borderId="0" xfId="13" applyFont="1" applyProtection="1"/>
    <xf numFmtId="3" fontId="168" fillId="0" borderId="0" xfId="13" applyNumberFormat="1" applyFont="1" applyProtection="1"/>
    <xf numFmtId="3" fontId="10" fillId="0" borderId="89" xfId="13" applyNumberFormat="1" applyFont="1" applyBorder="1" applyAlignment="1" applyProtection="1">
      <alignment vertical="center"/>
    </xf>
    <xf numFmtId="3" fontId="5" fillId="0" borderId="0" xfId="13" applyNumberFormat="1" applyFont="1" applyProtection="1"/>
    <xf numFmtId="0" fontId="18" fillId="0" borderId="0" xfId="13" applyFont="1" applyAlignment="1" applyProtection="1">
      <alignment vertical="center" wrapText="1"/>
    </xf>
    <xf numFmtId="3" fontId="5" fillId="0" borderId="89" xfId="13" applyNumberFormat="1" applyFont="1" applyFill="1" applyBorder="1" applyAlignment="1" applyProtection="1">
      <alignment vertical="center"/>
    </xf>
    <xf numFmtId="0" fontId="184" fillId="0" borderId="0" xfId="13" applyFont="1" applyAlignment="1" applyProtection="1">
      <alignment vertical="center"/>
    </xf>
    <xf numFmtId="0" fontId="7" fillId="0" borderId="0" xfId="13" applyFont="1" applyAlignment="1" applyProtection="1">
      <alignment vertical="center"/>
    </xf>
    <xf numFmtId="3" fontId="7" fillId="20" borderId="15" xfId="13" applyNumberFormat="1" applyFont="1" applyFill="1" applyBorder="1" applyAlignment="1" applyProtection="1">
      <alignment vertical="center"/>
    </xf>
    <xf numFmtId="3" fontId="197" fillId="0" borderId="89" xfId="13" applyNumberFormat="1" applyFont="1" applyFill="1" applyBorder="1" applyAlignment="1" applyProtection="1">
      <alignment vertical="center"/>
    </xf>
    <xf numFmtId="0" fontId="18" fillId="0" borderId="0" xfId="13" applyFont="1" applyAlignment="1" applyProtection="1">
      <alignment horizontal="left" vertical="center" wrapText="1"/>
    </xf>
    <xf numFmtId="3" fontId="5" fillId="0" borderId="0" xfId="13" applyNumberFormat="1" applyFont="1" applyAlignment="1" applyProtection="1">
      <alignment vertical="center"/>
    </xf>
    <xf numFmtId="0" fontId="25" fillId="0" borderId="89" xfId="13" applyFont="1" applyBorder="1" applyAlignment="1" applyProtection="1">
      <alignment horizontal="center" vertical="center" wrapText="1"/>
    </xf>
    <xf numFmtId="0" fontId="15" fillId="0" borderId="53" xfId="13" applyFont="1" applyBorder="1" applyAlignment="1" applyProtection="1">
      <alignment horizontal="center" vertical="center"/>
    </xf>
    <xf numFmtId="0" fontId="18" fillId="0" borderId="0" xfId="13" applyFont="1" applyAlignment="1" applyProtection="1"/>
    <xf numFmtId="0" fontId="62"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10" borderId="85" xfId="13" applyFont="1" applyFill="1" applyBorder="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20" xfId="13" applyFont="1" applyBorder="1" applyAlignment="1" applyProtection="1">
      <alignment horizontal="center"/>
    </xf>
    <xf numFmtId="0" fontId="10" fillId="0" borderId="59" xfId="13" applyFont="1" applyBorder="1" applyAlignment="1" applyProtection="1">
      <alignment horizontal="center"/>
    </xf>
    <xf numFmtId="0" fontId="10" fillId="0" borderId="88" xfId="13" applyFont="1" applyBorder="1" applyAlignment="1" applyProtection="1">
      <alignment horizontal="center"/>
    </xf>
    <xf numFmtId="0" fontId="10" fillId="10" borderId="20" xfId="13" applyFont="1" applyFill="1" applyBorder="1" applyAlignment="1" applyProtection="1">
      <alignment horizontal="center"/>
    </xf>
    <xf numFmtId="0" fontId="10" fillId="10" borderId="59" xfId="13" applyFont="1" applyFill="1" applyBorder="1" applyAlignment="1" applyProtection="1">
      <alignment horizontal="center"/>
    </xf>
    <xf numFmtId="38" fontId="10" fillId="0" borderId="88" xfId="13" applyNumberFormat="1"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10" borderId="13" xfId="13" applyFont="1" applyFill="1" applyBorder="1" applyAlignment="1" applyProtection="1">
      <alignment horizontal="center" vertical="top" wrapText="1"/>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181" fontId="10" fillId="10" borderId="0" xfId="13" applyNumberFormat="1" applyFont="1" applyFill="1" applyAlignment="1" applyProtection="1">
      <alignment horizontal="left"/>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10" fontId="10" fillId="0" borderId="13" xfId="13" applyNumberFormat="1" applyFont="1" applyBorder="1" applyAlignment="1" applyProtection="1">
      <alignment horizontal="left"/>
    </xf>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4" fontId="10" fillId="10" borderId="0" xfId="13" applyNumberFormat="1" applyFont="1" applyFill="1" applyAlignment="1" applyProtection="1">
      <alignment horizontal="left"/>
    </xf>
    <xf numFmtId="181" fontId="10" fillId="0" borderId="0" xfId="13" applyNumberFormat="1" applyFont="1" applyProtection="1"/>
    <xf numFmtId="0" fontId="10" fillId="10" borderId="0" xfId="13" applyFont="1" applyFill="1" applyAlignment="1" applyProtection="1">
      <alignment horizontal="left"/>
    </xf>
    <xf numFmtId="181" fontId="5" fillId="0" borderId="0" xfId="13" applyNumberFormat="1" applyFont="1" applyAlignment="1" applyProtection="1">
      <alignment horizontal="left"/>
    </xf>
    <xf numFmtId="181" fontId="12" fillId="0" borderId="0" xfId="0" applyNumberFormat="1" applyFont="1" applyAlignment="1" applyProtection="1">
      <alignment wrapText="1"/>
    </xf>
    <xf numFmtId="0" fontId="5" fillId="0" borderId="0" xfId="13" quotePrefix="1" applyFont="1" applyProtection="1"/>
    <xf numFmtId="0" fontId="10" fillId="10" borderId="13" xfId="13" applyFont="1" applyFill="1" applyBorder="1" applyAlignment="1" applyProtection="1">
      <alignment horizontal="left"/>
    </xf>
    <xf numFmtId="38" fontId="10" fillId="0" borderId="13" xfId="13" applyNumberFormat="1" applyFont="1" applyBorder="1" applyAlignment="1" applyProtection="1">
      <alignment horizontal="left"/>
    </xf>
    <xf numFmtId="181" fontId="10" fillId="0" borderId="0" xfId="13" quotePrefix="1" applyNumberFormat="1" applyFont="1" applyFill="1" applyProtection="1"/>
    <xf numFmtId="0" fontId="5" fillId="0" borderId="0" xfId="13" applyFont="1" applyBorder="1" applyAlignment="1" applyProtection="1">
      <alignment horizontal="left"/>
    </xf>
    <xf numFmtId="181" fontId="10" fillId="0" borderId="0" xfId="13" applyNumberFormat="1" applyFont="1" applyFill="1" applyProtection="1"/>
    <xf numFmtId="181"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1" fontId="10" fillId="0" borderId="0" xfId="13" applyNumberFormat="1" applyFont="1" applyAlignment="1" applyProtection="1">
      <alignment horizontal="left"/>
    </xf>
    <xf numFmtId="0" fontId="5" fillId="0" borderId="0" xfId="13" applyFont="1" applyBorder="1" applyProtection="1"/>
    <xf numFmtId="0" fontId="176" fillId="0" borderId="0" xfId="13" applyFont="1" applyProtection="1"/>
    <xf numFmtId="3" fontId="175" fillId="0" borderId="0" xfId="13" applyNumberFormat="1"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13" fillId="10" borderId="13" xfId="13" applyNumberFormat="1" applyFont="1" applyFill="1" applyBorder="1" applyAlignment="1" applyProtection="1">
      <alignment horizontal="center"/>
    </xf>
    <xf numFmtId="0" fontId="31" fillId="0" borderId="0" xfId="13" applyFont="1" applyProtection="1"/>
    <xf numFmtId="0" fontId="5" fillId="0" borderId="0" xfId="13" quotePrefix="1" applyFont="1" applyAlignment="1" applyProtection="1">
      <alignment horizontal="center" vertical="top"/>
    </xf>
    <xf numFmtId="181"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0" fontId="5" fillId="0" borderId="0" xfId="13" applyFont="1" applyAlignment="1" applyProtection="1">
      <alignment horizontal="justify" vertical="top" wrapText="1"/>
    </xf>
    <xf numFmtId="3" fontId="55" fillId="0" borderId="16" xfId="1" applyNumberFormat="1" applyFont="1" applyFill="1" applyBorder="1" applyAlignment="1" applyProtection="1">
      <alignment horizontal="center" vertical="center"/>
    </xf>
    <xf numFmtId="3" fontId="55" fillId="0" borderId="18" xfId="1" applyNumberFormat="1" applyFont="1" applyFill="1" applyBorder="1" applyAlignment="1" applyProtection="1">
      <alignment horizontal="center" vertical="center"/>
    </xf>
    <xf numFmtId="0" fontId="55" fillId="0" borderId="108" xfId="0" applyFont="1" applyFill="1" applyBorder="1" applyAlignment="1" applyProtection="1">
      <alignment horizontal="center" vertical="top" wrapText="1"/>
    </xf>
    <xf numFmtId="0" fontId="55" fillId="0" borderId="7" xfId="0" applyFont="1" applyFill="1" applyBorder="1" applyAlignment="1" applyProtection="1">
      <alignment wrapText="1"/>
    </xf>
    <xf numFmtId="0" fontId="52" fillId="0" borderId="0" xfId="0" applyFont="1" applyFill="1" applyAlignment="1" applyProtection="1">
      <alignment horizontal="right" vertical="center"/>
    </xf>
    <xf numFmtId="0" fontId="52" fillId="0" borderId="0" xfId="0" applyFont="1" applyAlignment="1" applyProtection="1">
      <alignment horizontal="justify" vertical="center"/>
    </xf>
    <xf numFmtId="0" fontId="181" fillId="0" borderId="0" xfId="0" applyFont="1" applyFill="1" applyAlignment="1" applyProtection="1">
      <alignment horizontal="center" vertical="center"/>
    </xf>
    <xf numFmtId="37" fontId="6" fillId="0" borderId="0" xfId="0" applyNumberFormat="1"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52" fillId="0" borderId="0" xfId="0" applyNumberFormat="1" applyFont="1" applyFill="1" applyAlignment="1" applyProtection="1">
      <alignment horizontal="center" vertical="center"/>
    </xf>
    <xf numFmtId="0" fontId="52" fillId="0" borderId="0" xfId="0" applyFont="1" applyBorder="1" applyAlignment="1" applyProtection="1">
      <alignment horizontal="justify" vertical="center"/>
    </xf>
    <xf numFmtId="37" fontId="181" fillId="0" borderId="0" xfId="0" applyNumberFormat="1" applyFont="1" applyFill="1" applyAlignment="1" applyProtection="1">
      <alignment horizontal="center" vertical="center"/>
    </xf>
    <xf numFmtId="166" fontId="16" fillId="13" borderId="17" xfId="0"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top"/>
    </xf>
    <xf numFmtId="3" fontId="10" fillId="13" borderId="17" xfId="0" applyNumberFormat="1" applyFont="1" applyFill="1" applyBorder="1" applyAlignment="1" applyProtection="1">
      <alignment horizontal="center" vertical="center"/>
    </xf>
    <xf numFmtId="3" fontId="10" fillId="13" borderId="16" xfId="0" applyNumberFormat="1" applyFont="1" applyFill="1" applyBorder="1" applyAlignment="1" applyProtection="1">
      <alignment horizontal="center" vertical="center"/>
    </xf>
    <xf numFmtId="38" fontId="10" fillId="13" borderId="3" xfId="0" applyNumberFormat="1" applyFont="1" applyFill="1" applyBorder="1" applyAlignment="1" applyProtection="1">
      <alignment horizontal="center" vertical="top"/>
    </xf>
    <xf numFmtId="38" fontId="10" fillId="13" borderId="3" xfId="0" applyNumberFormat="1" applyFont="1" applyFill="1" applyBorder="1" applyAlignment="1" applyProtection="1">
      <alignment horizontal="center" vertical="center"/>
    </xf>
    <xf numFmtId="38" fontId="10" fillId="13" borderId="89" xfId="0" applyNumberFormat="1" applyFont="1" applyFill="1" applyBorder="1" applyAlignment="1" applyProtection="1">
      <alignment horizontal="center" vertical="center"/>
    </xf>
    <xf numFmtId="38" fontId="10" fillId="13" borderId="17" xfId="0" applyNumberFormat="1" applyFont="1" applyFill="1" applyBorder="1" applyAlignment="1" applyProtection="1">
      <alignment horizontal="center" vertical="top"/>
    </xf>
    <xf numFmtId="38" fontId="10" fillId="13" borderId="87" xfId="0" applyNumberFormat="1" applyFont="1" applyFill="1" applyBorder="1" applyAlignment="1" applyProtection="1">
      <alignment horizontal="center" vertical="center"/>
    </xf>
    <xf numFmtId="10" fontId="104" fillId="0" borderId="89" xfId="0" applyNumberFormat="1" applyFont="1" applyFill="1" applyBorder="1" applyAlignment="1" applyProtection="1">
      <alignment vertical="center"/>
    </xf>
    <xf numFmtId="0" fontId="87" fillId="0" borderId="0" xfId="0" applyFont="1" applyAlignment="1" applyProtection="1">
      <alignment horizontal="center"/>
    </xf>
    <xf numFmtId="0" fontId="86" fillId="0" borderId="0" xfId="0" applyFont="1" applyAlignment="1" applyProtection="1">
      <alignment horizontal="center"/>
    </xf>
    <xf numFmtId="0" fontId="12" fillId="0" borderId="15" xfId="0" applyFont="1" applyFill="1" applyBorder="1" applyAlignment="1" applyProtection="1">
      <alignment horizontal="center" vertical="center"/>
    </xf>
    <xf numFmtId="0" fontId="55" fillId="0" borderId="0" xfId="0" applyFont="1" applyBorder="1" applyAlignment="1" applyProtection="1">
      <alignment horizontal="justify" vertical="top" wrapText="1"/>
    </xf>
    <xf numFmtId="0" fontId="0" fillId="0" borderId="0" xfId="0" applyAlignment="1" applyProtection="1">
      <alignment horizontal="justify"/>
    </xf>
    <xf numFmtId="0" fontId="86" fillId="0" borderId="0" xfId="0" applyFont="1" applyAlignment="1" applyProtection="1">
      <alignment horizontal="center" vertical="center"/>
    </xf>
    <xf numFmtId="0" fontId="116" fillId="0" borderId="89" xfId="0" applyFont="1" applyBorder="1" applyAlignment="1" applyProtection="1">
      <alignment horizontal="center" vertical="center"/>
    </xf>
    <xf numFmtId="0" fontId="87" fillId="0" borderId="0" xfId="0" applyFont="1" applyAlignment="1" applyProtection="1">
      <alignment horizontal="center" vertical="center"/>
    </xf>
    <xf numFmtId="0" fontId="16" fillId="0" borderId="0" xfId="0" quotePrefix="1" applyFont="1" applyFill="1" applyAlignment="1" applyProtection="1">
      <alignment horizontal="right" vertical="top"/>
    </xf>
    <xf numFmtId="0" fontId="106" fillId="0" borderId="0" xfId="0" applyFont="1" applyFill="1" applyBorder="1" applyProtection="1"/>
    <xf numFmtId="1" fontId="55" fillId="0" borderId="0" xfId="0" applyNumberFormat="1" applyFont="1" applyFill="1" applyBorder="1" applyAlignment="1" applyProtection="1">
      <alignment horizontal="center" vertical="center"/>
    </xf>
    <xf numFmtId="0" fontId="51" fillId="0" borderId="0" xfId="0" applyFont="1" applyFill="1" applyBorder="1" applyAlignment="1" applyProtection="1">
      <alignment vertical="center"/>
    </xf>
    <xf numFmtId="167" fontId="55" fillId="0" borderId="0" xfId="0" applyNumberFormat="1" applyFont="1" applyFill="1" applyBorder="1" applyAlignment="1" applyProtection="1">
      <alignment vertical="center"/>
    </xf>
    <xf numFmtId="0" fontId="55" fillId="0" borderId="0" xfId="0" applyFont="1" applyFill="1" applyBorder="1" applyAlignment="1" applyProtection="1">
      <alignment vertical="top" wrapText="1"/>
    </xf>
    <xf numFmtId="0" fontId="50" fillId="0" borderId="0" xfId="0" applyFont="1" applyFill="1" applyAlignment="1" applyProtection="1">
      <alignment horizontal="center" vertical="center" wrapText="1"/>
    </xf>
    <xf numFmtId="0" fontId="55" fillId="0" borderId="0" xfId="0" applyFont="1" applyFill="1" applyBorder="1" applyAlignment="1" applyProtection="1">
      <alignment horizontal="left"/>
    </xf>
    <xf numFmtId="0" fontId="55" fillId="0" borderId="0" xfId="0" applyFont="1" applyFill="1" applyBorder="1" applyAlignment="1" applyProtection="1">
      <alignment horizontal="left" vertical="center"/>
    </xf>
    <xf numFmtId="0" fontId="63" fillId="0" borderId="0" xfId="0" applyFont="1" applyFill="1" applyBorder="1" applyAlignment="1" applyProtection="1">
      <alignment horizontal="left"/>
    </xf>
    <xf numFmtId="0" fontId="55" fillId="0" borderId="13" xfId="0" applyFont="1" applyFill="1" applyBorder="1" applyAlignment="1" applyProtection="1">
      <alignment horizontal="center" vertical="center"/>
    </xf>
    <xf numFmtId="0" fontId="55" fillId="0" borderId="0" xfId="0" applyFont="1" applyFill="1" applyAlignment="1" applyProtection="1">
      <alignment horizontal="center" vertical="center"/>
    </xf>
    <xf numFmtId="0" fontId="55" fillId="0" borderId="8" xfId="0" applyFont="1" applyFill="1" applyBorder="1" applyAlignment="1" applyProtection="1">
      <alignment horizontal="center" vertical="center"/>
    </xf>
    <xf numFmtId="0" fontId="55" fillId="0" borderId="0" xfId="0" applyFont="1" applyFill="1" applyBorder="1" applyAlignment="1" applyProtection="1">
      <alignment horizontal="center" wrapText="1"/>
    </xf>
    <xf numFmtId="0" fontId="55" fillId="0" borderId="85" xfId="0" applyFont="1" applyFill="1" applyBorder="1" applyAlignment="1" applyProtection="1">
      <alignment horizontal="center" vertical="center"/>
    </xf>
    <xf numFmtId="0" fontId="55" fillId="0" borderId="7"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5" xfId="0" applyFont="1" applyFill="1" applyBorder="1" applyAlignment="1" applyProtection="1">
      <alignment vertical="center"/>
    </xf>
    <xf numFmtId="0" fontId="55" fillId="0" borderId="8" xfId="0" applyFont="1" applyFill="1" applyBorder="1" applyAlignment="1" applyProtection="1">
      <alignment vertical="center"/>
    </xf>
    <xf numFmtId="0" fontId="55" fillId="0" borderId="0" xfId="0" applyFont="1" applyFill="1" applyBorder="1" applyAlignment="1" applyProtection="1">
      <alignment horizontal="center" vertical="center"/>
    </xf>
    <xf numFmtId="0" fontId="55" fillId="0" borderId="13" xfId="0" applyFont="1" applyFill="1" applyBorder="1" applyAlignment="1" applyProtection="1">
      <alignment horizontal="left" vertical="center"/>
    </xf>
    <xf numFmtId="0" fontId="10" fillId="0" borderId="0" xfId="0" applyFont="1" applyFill="1" applyAlignment="1" applyProtection="1">
      <alignment horizontal="left"/>
    </xf>
    <xf numFmtId="0" fontId="55" fillId="0" borderId="9" xfId="0" applyFont="1" applyFill="1" applyBorder="1" applyAlignment="1" applyProtection="1">
      <alignment vertical="center"/>
    </xf>
    <xf numFmtId="0" fontId="55" fillId="0" borderId="13" xfId="0" applyFont="1" applyFill="1" applyBorder="1" applyAlignment="1" applyProtection="1">
      <alignment vertical="center"/>
    </xf>
    <xf numFmtId="164" fontId="55" fillId="0" borderId="0" xfId="1" applyNumberFormat="1" applyFont="1" applyFill="1" applyBorder="1" applyAlignment="1" applyProtection="1">
      <alignment horizontal="center" vertical="center"/>
    </xf>
    <xf numFmtId="4" fontId="72" fillId="0" borderId="13" xfId="1" applyNumberFormat="1" applyFont="1" applyFill="1" applyBorder="1" applyAlignment="1" applyProtection="1">
      <alignment horizontal="right" vertical="center"/>
    </xf>
    <xf numFmtId="4" fontId="72" fillId="0" borderId="88" xfId="1" applyNumberFormat="1" applyFont="1" applyFill="1" applyBorder="1" applyAlignment="1" applyProtection="1">
      <alignment horizontal="right" vertical="center"/>
    </xf>
    <xf numFmtId="0" fontId="55" fillId="0" borderId="2" xfId="0" applyFont="1" applyFill="1" applyBorder="1" applyAlignment="1" applyProtection="1">
      <alignment horizontal="center" vertical="center"/>
    </xf>
    <xf numFmtId="171" fontId="63" fillId="0" borderId="0" xfId="0" applyNumberFormat="1" applyFont="1" applyFill="1" applyBorder="1" applyAlignment="1" applyProtection="1">
      <alignment horizontal="center" vertical="center"/>
    </xf>
    <xf numFmtId="0" fontId="10" fillId="0" borderId="0" xfId="0" applyFont="1" applyAlignment="1" applyProtection="1">
      <alignment horizontal="center"/>
    </xf>
    <xf numFmtId="0" fontId="6" fillId="0" borderId="0" xfId="0" applyFont="1" applyFill="1" applyAlignment="1" applyProtection="1">
      <alignment horizontal="left" vertical="center" wrapText="1"/>
    </xf>
    <xf numFmtId="0" fontId="6" fillId="0" borderId="0" xfId="0" applyFont="1" applyFill="1" applyBorder="1" applyAlignment="1" applyProtection="1">
      <alignment horizontal="left" vertical="center" wrapText="1"/>
    </xf>
    <xf numFmtId="0" fontId="12"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16" fillId="0" borderId="0" xfId="0" applyFont="1" applyFill="1" applyAlignment="1" applyProtection="1">
      <alignment horizontal="left"/>
    </xf>
    <xf numFmtId="0" fontId="129" fillId="0" borderId="0" xfId="0" applyFont="1" applyFill="1" applyAlignment="1" applyProtection="1">
      <alignment horizontal="left"/>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6" fillId="0" borderId="0" xfId="0" applyFont="1" applyFill="1" applyAlignment="1" applyProtection="1">
      <alignment horizontal="justify" vertical="top" wrapText="1"/>
    </xf>
    <xf numFmtId="0" fontId="6" fillId="0" borderId="0" xfId="0" applyFont="1" applyAlignment="1" applyProtection="1">
      <alignment horizontal="center" vertical="center"/>
    </xf>
    <xf numFmtId="0" fontId="16" fillId="0" borderId="0" xfId="0" applyFont="1" applyFill="1" applyBorder="1" applyAlignment="1" applyProtection="1">
      <alignment horizontal="left" vertical="top" wrapText="1"/>
    </xf>
    <xf numFmtId="0" fontId="10" fillId="0" borderId="0" xfId="0" applyFont="1" applyFill="1" applyAlignment="1" applyProtection="1">
      <alignment horizontal="left" vertical="center"/>
    </xf>
    <xf numFmtId="0" fontId="0" fillId="0" borderId="0" xfId="0" applyAlignment="1" applyProtection="1">
      <alignment horizontal="left" vertical="center" wrapText="1"/>
    </xf>
    <xf numFmtId="0" fontId="104" fillId="0" borderId="0" xfId="0" applyFont="1" applyAlignment="1" applyProtection="1">
      <alignment horizontal="left" vertical="center"/>
    </xf>
    <xf numFmtId="38" fontId="10" fillId="13" borderId="16" xfId="0" applyNumberFormat="1" applyFont="1" applyFill="1" applyBorder="1" applyAlignment="1" applyProtection="1">
      <alignment horizontal="center" vertical="top"/>
    </xf>
    <xf numFmtId="38" fontId="10" fillId="13" borderId="18" xfId="0" applyNumberFormat="1" applyFont="1" applyFill="1" applyBorder="1" applyAlignment="1" applyProtection="1">
      <alignment horizontal="center" vertical="top"/>
    </xf>
    <xf numFmtId="0" fontId="6" fillId="0" borderId="0" xfId="0" applyFont="1" applyFill="1" applyAlignment="1" applyProtection="1">
      <alignment horizontal="left" wrapText="1"/>
    </xf>
    <xf numFmtId="0" fontId="6" fillId="0" borderId="0" xfId="0" applyFont="1" applyFill="1" applyBorder="1" applyAlignment="1" applyProtection="1">
      <alignment horizontal="center" wrapText="1"/>
    </xf>
    <xf numFmtId="0" fontId="16" fillId="0" borderId="13" xfId="0" applyFont="1" applyFill="1" applyBorder="1" applyAlignment="1" applyProtection="1">
      <alignment horizontal="left" vertical="center"/>
    </xf>
    <xf numFmtId="3" fontId="6" fillId="0" borderId="38" xfId="0" applyNumberFormat="1" applyFont="1" applyBorder="1" applyAlignment="1" applyProtection="1">
      <alignment horizontal="center" vertical="center" wrapText="1"/>
    </xf>
    <xf numFmtId="0" fontId="16" fillId="0" borderId="95" xfId="0" applyFont="1" applyBorder="1" applyAlignment="1" applyProtection="1">
      <alignment horizontal="center" vertical="top" wrapText="1"/>
    </xf>
    <xf numFmtId="0" fontId="6" fillId="0" borderId="0" xfId="0" applyFont="1" applyFill="1" applyBorder="1" applyAlignment="1" applyProtection="1">
      <alignment horizontal="justify" wrapText="1"/>
    </xf>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top"/>
    </xf>
    <xf numFmtId="0" fontId="5" fillId="0" borderId="0" xfId="0" applyFont="1" applyFill="1" applyBorder="1" applyProtection="1"/>
    <xf numFmtId="3" fontId="6" fillId="0" borderId="0" xfId="0" applyNumberFormat="1" applyFont="1" applyFill="1" applyBorder="1" applyAlignment="1" applyProtection="1">
      <alignment horizontal="center" vertical="center"/>
    </xf>
    <xf numFmtId="0" fontId="5" fillId="0" borderId="0" xfId="0" applyFont="1" applyFill="1" applyBorder="1" applyAlignment="1" applyProtection="1">
      <alignment vertical="top"/>
    </xf>
    <xf numFmtId="0" fontId="6" fillId="0" borderId="0" xfId="0" applyFont="1" applyFill="1" applyBorder="1" applyAlignment="1" applyProtection="1">
      <alignment horizontal="left" vertical="center"/>
    </xf>
    <xf numFmtId="0" fontId="52"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52" fillId="0" borderId="0" xfId="0" applyFont="1" applyFill="1" applyBorder="1" applyAlignment="1" applyProtection="1">
      <alignment horizontal="left" vertical="center"/>
    </xf>
    <xf numFmtId="0" fontId="10" fillId="0" borderId="0" xfId="0" applyFont="1" applyFill="1" applyBorder="1" applyAlignment="1" applyProtection="1">
      <alignment horizontal="center" vertical="center"/>
    </xf>
    <xf numFmtId="0" fontId="16" fillId="0" borderId="0" xfId="0" applyFont="1" applyFill="1" applyBorder="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vertical="top" wrapText="1"/>
    </xf>
    <xf numFmtId="0" fontId="10" fillId="0" borderId="0" xfId="0" applyFont="1" applyFill="1" applyBorder="1" applyAlignment="1" applyProtection="1">
      <alignment horizontal="left" vertical="center"/>
    </xf>
    <xf numFmtId="0" fontId="16"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left"/>
    </xf>
    <xf numFmtId="38" fontId="55" fillId="0" borderId="0" xfId="0" applyNumberFormat="1" applyFont="1" applyFill="1" applyBorder="1" applyAlignment="1" applyProtection="1">
      <alignment horizontal="center" vertical="center"/>
    </xf>
    <xf numFmtId="38" fontId="63" fillId="0" borderId="0" xfId="0"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55" fillId="0" borderId="0" xfId="0" applyFont="1" applyFill="1" applyBorder="1" applyProtection="1"/>
    <xf numFmtId="0" fontId="55" fillId="0" borderId="0" xfId="0" applyFont="1" applyFill="1" applyBorder="1" applyAlignment="1" applyProtection="1">
      <alignment horizontal="center"/>
    </xf>
    <xf numFmtId="0" fontId="55" fillId="0" borderId="0" xfId="0" applyNumberFormat="1" applyFont="1" applyFill="1" applyBorder="1" applyAlignment="1" applyProtection="1">
      <alignment horizontal="left" vertical="center"/>
    </xf>
    <xf numFmtId="38" fontId="55" fillId="0" borderId="0" xfId="0" applyNumberFormat="1" applyFont="1" applyFill="1" applyBorder="1" applyAlignment="1" applyProtection="1">
      <alignment horizontal="left" vertical="center"/>
    </xf>
    <xf numFmtId="0" fontId="51" fillId="0" borderId="0" xfId="0" applyFont="1" applyFill="1" applyBorder="1" applyAlignment="1" applyProtection="1">
      <alignment horizontal="left" vertical="center"/>
    </xf>
    <xf numFmtId="167" fontId="55" fillId="0" borderId="0" xfId="0" applyNumberFormat="1" applyFont="1" applyFill="1" applyBorder="1" applyAlignment="1" applyProtection="1">
      <alignment horizontal="center" vertical="center"/>
    </xf>
    <xf numFmtId="38" fontId="63" fillId="0" borderId="0" xfId="0" applyNumberFormat="1" applyFont="1" applyFill="1" applyBorder="1" applyAlignment="1" applyProtection="1">
      <alignment horizontal="right" vertical="center"/>
    </xf>
    <xf numFmtId="0" fontId="50" fillId="0" borderId="0" xfId="0" applyFont="1" applyFill="1" applyAlignment="1" applyProtection="1">
      <alignment horizontal="center" vertical="center" wrapText="1"/>
    </xf>
    <xf numFmtId="0" fontId="55" fillId="0" borderId="7" xfId="0" applyFont="1" applyFill="1" applyBorder="1" applyAlignment="1" applyProtection="1">
      <alignment horizontal="center" vertical="center"/>
    </xf>
    <xf numFmtId="0" fontId="55" fillId="0" borderId="0" xfId="0" applyFont="1" applyFill="1" applyAlignment="1" applyProtection="1">
      <alignment horizontal="center" vertical="center"/>
    </xf>
    <xf numFmtId="0" fontId="55" fillId="0" borderId="8" xfId="0" applyFont="1" applyFill="1" applyBorder="1" applyAlignment="1" applyProtection="1">
      <alignment horizontal="center" vertical="center"/>
    </xf>
    <xf numFmtId="0" fontId="55" fillId="0" borderId="7" xfId="0" applyFont="1" applyBorder="1" applyAlignment="1" applyProtection="1">
      <alignment horizontal="center"/>
    </xf>
    <xf numFmtId="0" fontId="55" fillId="0" borderId="8" xfId="0" applyFont="1" applyBorder="1" applyAlignment="1" applyProtection="1">
      <alignment horizontal="center"/>
    </xf>
    <xf numFmtId="0" fontId="55" fillId="0" borderId="0" xfId="0" applyFont="1" applyFill="1" applyBorder="1" applyAlignment="1" applyProtection="1">
      <alignment horizontal="left"/>
    </xf>
    <xf numFmtId="0" fontId="55" fillId="0" borderId="0" xfId="0" applyFont="1" applyFill="1" applyBorder="1" applyAlignment="1" applyProtection="1">
      <alignment horizontal="left" vertical="center"/>
    </xf>
    <xf numFmtId="0" fontId="51" fillId="0" borderId="0" xfId="0" applyFont="1" applyFill="1" applyBorder="1" applyAlignment="1" applyProtection="1">
      <alignment horizontal="left" vertical="center" wrapText="1"/>
    </xf>
    <xf numFmtId="0" fontId="63" fillId="0" borderId="86" xfId="0" applyFont="1" applyFill="1" applyBorder="1" applyAlignment="1" applyProtection="1">
      <alignment horizontal="center" vertical="center"/>
    </xf>
    <xf numFmtId="0" fontId="64" fillId="8" borderId="54" xfId="0" applyFont="1" applyFill="1" applyBorder="1" applyAlignment="1" applyProtection="1">
      <alignment horizontal="center" vertical="center"/>
    </xf>
    <xf numFmtId="0" fontId="64" fillId="8" borderId="55" xfId="0" applyFont="1" applyFill="1" applyBorder="1" applyAlignment="1" applyProtection="1">
      <alignment horizontal="center" vertical="center"/>
    </xf>
    <xf numFmtId="0" fontId="64" fillId="8" borderId="56" xfId="0" applyFont="1" applyFill="1" applyBorder="1" applyAlignment="1" applyProtection="1">
      <alignment horizontal="center" vertical="center"/>
    </xf>
    <xf numFmtId="0" fontId="55" fillId="0" borderId="13" xfId="0" applyFont="1" applyFill="1" applyBorder="1" applyAlignment="1" applyProtection="1">
      <alignment horizontal="center" vertical="center"/>
    </xf>
    <xf numFmtId="0" fontId="55" fillId="0" borderId="13" xfId="0" applyFont="1" applyFill="1" applyBorder="1" applyAlignment="1" applyProtection="1">
      <alignment horizontal="center"/>
    </xf>
    <xf numFmtId="42" fontId="55" fillId="0" borderId="36" xfId="2" applyNumberFormat="1" applyFont="1" applyFill="1" applyBorder="1" applyAlignment="1" applyProtection="1">
      <alignment horizontal="center" vertical="center"/>
    </xf>
    <xf numFmtId="42" fontId="55"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55" fillId="0" borderId="83" xfId="0" applyFont="1" applyFill="1" applyBorder="1" applyAlignment="1" applyProtection="1">
      <alignment horizontal="center" vertical="center"/>
    </xf>
    <xf numFmtId="0" fontId="55" fillId="0" borderId="84" xfId="0" applyFont="1" applyFill="1" applyBorder="1" applyAlignment="1" applyProtection="1">
      <alignment horizontal="center" vertical="center"/>
    </xf>
    <xf numFmtId="0" fontId="55" fillId="0" borderId="0" xfId="0" applyFont="1" applyBorder="1" applyAlignment="1" applyProtection="1">
      <alignment horizontal="left"/>
    </xf>
    <xf numFmtId="0" fontId="63" fillId="0" borderId="0" xfId="0" applyFont="1" applyFill="1" applyBorder="1" applyAlignment="1" applyProtection="1">
      <alignment horizontal="left"/>
    </xf>
    <xf numFmtId="0" fontId="131" fillId="0" borderId="0" xfId="6" applyFont="1" applyFill="1" applyBorder="1" applyAlignment="1" applyProtection="1">
      <alignment horizontal="left" vertical="center"/>
    </xf>
    <xf numFmtId="0" fontId="132" fillId="0" borderId="0" xfId="6" applyFont="1" applyFill="1" applyBorder="1" applyAlignment="1" applyProtection="1">
      <alignment horizontal="left" vertical="center"/>
    </xf>
    <xf numFmtId="0" fontId="63" fillId="0" borderId="0" xfId="0" applyFont="1" applyFill="1" applyBorder="1" applyAlignment="1" applyProtection="1">
      <alignment horizontal="left" wrapText="1"/>
    </xf>
    <xf numFmtId="0" fontId="55" fillId="0" borderId="0" xfId="0" applyFont="1" applyFill="1" applyAlignment="1" applyProtection="1">
      <alignment horizontal="right" vertical="top" wrapText="1"/>
    </xf>
    <xf numFmtId="0" fontId="55" fillId="0" borderId="8" xfId="0" applyFont="1" applyFill="1" applyBorder="1" applyAlignment="1" applyProtection="1">
      <alignment horizontal="right" vertical="top" wrapText="1"/>
    </xf>
    <xf numFmtId="0" fontId="55" fillId="0" borderId="0" xfId="0" applyFont="1" applyFill="1" applyAlignment="1" applyProtection="1">
      <alignment horizontal="left" vertical="top" wrapText="1"/>
    </xf>
    <xf numFmtId="0" fontId="55" fillId="0" borderId="8" xfId="0" applyFont="1" applyFill="1" applyBorder="1" applyAlignment="1" applyProtection="1">
      <alignment horizontal="left" vertical="top" wrapText="1"/>
    </xf>
    <xf numFmtId="0" fontId="55" fillId="0" borderId="33" xfId="0" applyFont="1" applyFill="1" applyBorder="1" applyAlignment="1" applyProtection="1">
      <alignment horizontal="left" vertical="top" wrapText="1"/>
    </xf>
    <xf numFmtId="0" fontId="55" fillId="0" borderId="59" xfId="0" applyFont="1" applyFill="1" applyBorder="1" applyAlignment="1" applyProtection="1">
      <alignment horizontal="left" vertical="top" wrapText="1"/>
    </xf>
    <xf numFmtId="0" fontId="55" fillId="0" borderId="34" xfId="0" applyFont="1" applyFill="1" applyBorder="1" applyAlignment="1" applyProtection="1">
      <alignment horizontal="left" vertical="top" wrapText="1"/>
    </xf>
    <xf numFmtId="0" fontId="55" fillId="0" borderId="30" xfId="0" applyFont="1" applyFill="1" applyBorder="1" applyAlignment="1" applyProtection="1">
      <alignment horizontal="left" vertical="top" wrapText="1"/>
    </xf>
    <xf numFmtId="0" fontId="55" fillId="0" borderId="21" xfId="0" applyFont="1" applyFill="1" applyBorder="1" applyAlignment="1" applyProtection="1">
      <alignment horizontal="left" vertical="top" wrapText="1"/>
    </xf>
    <xf numFmtId="0" fontId="55" fillId="0" borderId="31" xfId="0" applyFont="1" applyFill="1" applyBorder="1" applyAlignment="1" applyProtection="1">
      <alignment horizontal="left" vertical="top" wrapText="1"/>
    </xf>
    <xf numFmtId="0" fontId="55" fillId="0" borderId="28" xfId="0" applyFont="1" applyFill="1" applyBorder="1" applyAlignment="1" applyProtection="1">
      <alignment horizontal="left" vertical="top" wrapText="1"/>
    </xf>
    <xf numFmtId="0" fontId="55" fillId="0" borderId="58" xfId="0" applyFont="1" applyFill="1" applyBorder="1" applyAlignment="1" applyProtection="1">
      <alignment horizontal="left" vertical="top" wrapText="1"/>
    </xf>
    <xf numFmtId="0" fontId="55" fillId="0" borderId="29" xfId="0" applyFont="1" applyFill="1" applyBorder="1" applyAlignment="1" applyProtection="1">
      <alignment horizontal="left" vertical="top" wrapText="1"/>
    </xf>
    <xf numFmtId="0" fontId="55" fillId="0" borderId="83" xfId="0" applyFont="1" applyFill="1" applyBorder="1" applyAlignment="1" applyProtection="1">
      <alignment horizontal="left" vertical="top" wrapText="1"/>
    </xf>
    <xf numFmtId="0" fontId="55" fillId="0" borderId="88" xfId="0" applyFont="1" applyFill="1" applyBorder="1" applyAlignment="1" applyProtection="1">
      <alignment horizontal="left" vertical="top" wrapText="1"/>
    </xf>
    <xf numFmtId="0" fontId="55" fillId="0" borderId="7" xfId="0" applyFont="1" applyFill="1" applyBorder="1" applyAlignment="1" applyProtection="1">
      <alignment horizontal="left" vertical="top" wrapText="1"/>
    </xf>
    <xf numFmtId="0" fontId="55" fillId="0" borderId="0" xfId="0" applyFont="1" applyFill="1" applyBorder="1" applyAlignment="1" applyProtection="1">
      <alignment horizontal="left" vertical="top" wrapText="1"/>
    </xf>
    <xf numFmtId="0" fontId="55" fillId="0" borderId="9" xfId="0" applyFont="1" applyFill="1" applyBorder="1" applyAlignment="1" applyProtection="1">
      <alignment horizontal="left" vertical="top" wrapText="1"/>
    </xf>
    <xf numFmtId="0" fontId="55" fillId="0" borderId="13" xfId="0" applyFont="1" applyFill="1" applyBorder="1" applyAlignment="1" applyProtection="1">
      <alignment horizontal="left" vertical="top" wrapText="1"/>
    </xf>
    <xf numFmtId="0" fontId="55" fillId="0" borderId="83" xfId="0" applyFont="1" applyFill="1" applyBorder="1" applyAlignment="1" applyProtection="1">
      <alignment horizontal="center" vertical="top" wrapText="1"/>
    </xf>
    <xf numFmtId="0" fontId="63" fillId="0" borderId="88" xfId="0" applyFont="1" applyFill="1" applyBorder="1" applyAlignment="1" applyProtection="1">
      <alignment horizontal="center" vertical="top" wrapText="1"/>
    </xf>
    <xf numFmtId="0" fontId="63" fillId="0" borderId="84" xfId="0" applyFont="1" applyFill="1" applyBorder="1" applyAlignment="1" applyProtection="1">
      <alignment horizontal="center" vertical="top" wrapText="1"/>
    </xf>
    <xf numFmtId="0" fontId="63" fillId="0" borderId="7" xfId="0" applyFont="1" applyFill="1" applyBorder="1" applyAlignment="1" applyProtection="1">
      <alignment horizontal="center" vertical="top" wrapText="1"/>
    </xf>
    <xf numFmtId="0" fontId="63" fillId="0" borderId="0" xfId="0" applyFont="1" applyFill="1" applyBorder="1" applyAlignment="1" applyProtection="1">
      <alignment horizontal="center" vertical="top" wrapText="1"/>
    </xf>
    <xf numFmtId="0" fontId="63" fillId="0" borderId="8" xfId="0" applyFont="1" applyFill="1" applyBorder="1" applyAlignment="1" applyProtection="1">
      <alignment horizontal="center" vertical="top" wrapText="1"/>
    </xf>
    <xf numFmtId="0" fontId="52" fillId="0" borderId="26" xfId="0" applyFont="1" applyFill="1" applyBorder="1" applyAlignment="1" applyProtection="1">
      <alignment horizontal="center" wrapText="1"/>
    </xf>
    <xf numFmtId="0" fontId="52" fillId="0" borderId="19" xfId="0" applyFont="1" applyFill="1" applyBorder="1" applyAlignment="1" applyProtection="1">
      <alignment horizontal="center" wrapText="1"/>
    </xf>
    <xf numFmtId="0" fontId="52" fillId="0" borderId="39" xfId="0" applyFont="1" applyFill="1" applyBorder="1" applyAlignment="1" applyProtection="1">
      <alignment horizontal="center" wrapText="1"/>
    </xf>
    <xf numFmtId="0" fontId="52" fillId="0" borderId="9" xfId="0" applyFont="1" applyFill="1" applyBorder="1" applyAlignment="1" applyProtection="1">
      <alignment horizontal="center" wrapText="1"/>
    </xf>
    <xf numFmtId="0" fontId="52" fillId="0" borderId="13" xfId="0" applyFont="1" applyFill="1" applyBorder="1" applyAlignment="1" applyProtection="1">
      <alignment horizontal="center" wrapText="1"/>
    </xf>
    <xf numFmtId="0" fontId="52" fillId="0" borderId="100" xfId="0" applyFont="1" applyFill="1" applyBorder="1" applyAlignment="1" applyProtection="1">
      <alignment horizontal="center" wrapText="1"/>
    </xf>
    <xf numFmtId="0" fontId="63" fillId="0" borderId="87" xfId="0" applyFont="1" applyFill="1" applyBorder="1" applyAlignment="1" applyProtection="1">
      <alignment horizontal="center" vertical="top" wrapText="1"/>
    </xf>
    <xf numFmtId="0" fontId="63" fillId="0" borderId="11" xfId="0" applyFont="1" applyFill="1" applyBorder="1" applyAlignment="1" applyProtection="1">
      <alignment horizontal="center" vertical="top" wrapText="1"/>
    </xf>
    <xf numFmtId="0" fontId="63" fillId="0" borderId="12" xfId="0" applyFont="1" applyFill="1" applyBorder="1" applyAlignment="1" applyProtection="1">
      <alignment horizontal="center" vertical="top" wrapText="1"/>
    </xf>
    <xf numFmtId="0" fontId="55" fillId="0" borderId="14" xfId="0" applyFont="1" applyFill="1" applyBorder="1" applyAlignment="1" applyProtection="1">
      <alignment horizontal="center"/>
    </xf>
    <xf numFmtId="0" fontId="63" fillId="0" borderId="83" xfId="0" applyFont="1" applyFill="1" applyBorder="1" applyAlignment="1" applyProtection="1">
      <alignment horizontal="center" vertical="top" wrapText="1"/>
    </xf>
    <xf numFmtId="0" fontId="55" fillId="0" borderId="87"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64" fillId="8" borderId="36" xfId="0" applyFont="1" applyFill="1" applyBorder="1" applyAlignment="1" applyProtection="1">
      <alignment horizontal="center" vertical="center"/>
    </xf>
    <xf numFmtId="0" fontId="64" fillId="8" borderId="2" xfId="0" applyFont="1" applyFill="1" applyBorder="1" applyAlignment="1" applyProtection="1">
      <alignment horizontal="center" vertical="center"/>
    </xf>
    <xf numFmtId="0" fontId="64" fillId="8" borderId="37" xfId="0" applyFont="1" applyFill="1" applyBorder="1" applyAlignment="1" applyProtection="1">
      <alignment horizontal="center" vertical="center"/>
    </xf>
    <xf numFmtId="0" fontId="101" fillId="12" borderId="0" xfId="0" applyFont="1" applyFill="1" applyAlignment="1" applyProtection="1">
      <alignment horizontal="center" vertical="center"/>
    </xf>
    <xf numFmtId="0" fontId="10" fillId="0" borderId="0" xfId="0" applyFont="1" applyFill="1" applyAlignment="1" applyProtection="1">
      <alignment horizontal="left"/>
    </xf>
    <xf numFmtId="0" fontId="55" fillId="0" borderId="7" xfId="0" applyFont="1" applyFill="1" applyBorder="1" applyAlignment="1" applyProtection="1">
      <alignment vertical="center"/>
    </xf>
    <xf numFmtId="0" fontId="55" fillId="0" borderId="0" xfId="0" applyFont="1" applyFill="1" applyBorder="1" applyAlignment="1" applyProtection="1">
      <alignment vertical="center"/>
    </xf>
    <xf numFmtId="0" fontId="55" fillId="0" borderId="4" xfId="0" applyFont="1" applyFill="1" applyBorder="1" applyAlignment="1" applyProtection="1">
      <alignment vertical="center"/>
    </xf>
    <xf numFmtId="0" fontId="55" fillId="0" borderId="5" xfId="0" applyFont="1" applyFill="1" applyBorder="1" applyAlignment="1" applyProtection="1">
      <alignment vertical="center"/>
    </xf>
    <xf numFmtId="166" fontId="55" fillId="0" borderId="7" xfId="10" applyNumberFormat="1" applyFont="1" applyFill="1" applyBorder="1" applyAlignment="1" applyProtection="1">
      <alignment vertical="center"/>
    </xf>
    <xf numFmtId="166" fontId="55" fillId="0" borderId="0" xfId="10" applyNumberFormat="1" applyFont="1" applyFill="1" applyBorder="1" applyAlignment="1" applyProtection="1">
      <alignment vertical="center"/>
    </xf>
    <xf numFmtId="0" fontId="55" fillId="0" borderId="0" xfId="0" applyFont="1" applyFill="1" applyBorder="1" applyAlignment="1" applyProtection="1">
      <alignment horizontal="center" vertical="center"/>
    </xf>
    <xf numFmtId="0" fontId="55" fillId="0" borderId="9" xfId="0" applyFont="1" applyFill="1" applyBorder="1" applyAlignment="1" applyProtection="1">
      <alignment vertical="center"/>
    </xf>
    <xf numFmtId="0" fontId="55" fillId="0" borderId="13" xfId="0" applyFont="1" applyFill="1" applyBorder="1" applyAlignment="1" applyProtection="1">
      <alignment vertical="center"/>
    </xf>
    <xf numFmtId="0" fontId="50" fillId="0" borderId="0" xfId="0" applyFont="1" applyFill="1" applyAlignment="1" applyProtection="1">
      <alignment horizontal="left" vertical="center" wrapText="1"/>
    </xf>
    <xf numFmtId="3" fontId="51" fillId="0" borderId="0" xfId="0" applyNumberFormat="1" applyFont="1" applyFill="1" applyBorder="1" applyAlignment="1" applyProtection="1">
      <alignment horizontal="center" vertical="center"/>
    </xf>
    <xf numFmtId="0" fontId="55" fillId="0" borderId="13" xfId="0" applyFont="1" applyFill="1" applyBorder="1" applyAlignment="1" applyProtection="1">
      <alignment horizontal="left" vertical="center"/>
    </xf>
    <xf numFmtId="38" fontId="63" fillId="0" borderId="36" xfId="2" applyNumberFormat="1" applyFont="1" applyFill="1" applyBorder="1" applyAlignment="1" applyProtection="1">
      <alignment horizontal="right" vertical="center"/>
    </xf>
    <xf numFmtId="38" fontId="63" fillId="0" borderId="37" xfId="2" applyNumberFormat="1" applyFont="1" applyFill="1" applyBorder="1" applyAlignment="1" applyProtection="1">
      <alignment horizontal="right" vertical="center"/>
    </xf>
    <xf numFmtId="38" fontId="63" fillId="0" borderId="36" xfId="0" applyNumberFormat="1" applyFont="1" applyFill="1" applyBorder="1" applyAlignment="1" applyProtection="1">
      <alignment horizontal="right" vertical="center"/>
    </xf>
    <xf numFmtId="38" fontId="63" fillId="0" borderId="37" xfId="0" applyNumberFormat="1" applyFont="1" applyFill="1" applyBorder="1" applyAlignment="1" applyProtection="1">
      <alignment horizontal="right" vertical="center"/>
    </xf>
    <xf numFmtId="0" fontId="55" fillId="0" borderId="6" xfId="0" applyFont="1" applyFill="1" applyBorder="1" applyAlignment="1" applyProtection="1">
      <alignment vertical="center"/>
    </xf>
    <xf numFmtId="0" fontId="55" fillId="0" borderId="8" xfId="0" applyFont="1" applyFill="1" applyBorder="1" applyAlignment="1" applyProtection="1">
      <alignment vertical="center"/>
    </xf>
    <xf numFmtId="38" fontId="63" fillId="0" borderId="57" xfId="0" applyNumberFormat="1" applyFont="1" applyFill="1" applyBorder="1" applyAlignment="1" applyProtection="1">
      <alignment horizontal="center" vertical="center"/>
    </xf>
    <xf numFmtId="38" fontId="63" fillId="0" borderId="35" xfId="0" applyNumberFormat="1" applyFont="1" applyFill="1" applyBorder="1" applyAlignment="1" applyProtection="1">
      <alignment horizontal="center" vertical="center"/>
    </xf>
    <xf numFmtId="4" fontId="51" fillId="0" borderId="0" xfId="0" applyNumberFormat="1" applyFont="1" applyFill="1" applyBorder="1" applyAlignment="1" applyProtection="1">
      <alignment horizontal="center" vertical="center"/>
    </xf>
    <xf numFmtId="0" fontId="74" fillId="0" borderId="0" xfId="0" quotePrefix="1" applyFont="1" applyFill="1" applyBorder="1" applyAlignment="1" applyProtection="1">
      <alignment horizontal="center" vertical="center"/>
    </xf>
    <xf numFmtId="0" fontId="85" fillId="0" borderId="0" xfId="0" applyFont="1" applyFill="1" applyBorder="1" applyAlignment="1" applyProtection="1">
      <alignment horizontal="center" vertical="center"/>
    </xf>
    <xf numFmtId="0" fontId="55" fillId="0" borderId="0" xfId="0" applyFont="1" applyFill="1" applyBorder="1" applyAlignment="1" applyProtection="1">
      <alignment horizontal="center" wrapText="1"/>
    </xf>
    <xf numFmtId="38" fontId="63" fillId="0" borderId="36" xfId="2" applyNumberFormat="1" applyFont="1" applyFill="1" applyBorder="1" applyAlignment="1" applyProtection="1">
      <alignment horizontal="center" vertical="center"/>
    </xf>
    <xf numFmtId="38" fontId="63" fillId="0" borderId="37" xfId="2" applyNumberFormat="1" applyFont="1" applyFill="1" applyBorder="1" applyAlignment="1" applyProtection="1">
      <alignment horizontal="center" vertical="center"/>
    </xf>
    <xf numFmtId="38" fontId="63" fillId="0" borderId="9" xfId="2" applyNumberFormat="1" applyFont="1" applyFill="1" applyBorder="1" applyAlignment="1" applyProtection="1">
      <alignment horizontal="center" vertical="center"/>
    </xf>
    <xf numFmtId="38" fontId="63" fillId="0" borderId="14" xfId="2" applyNumberFormat="1" applyFont="1" applyFill="1" applyBorder="1" applyAlignment="1" applyProtection="1">
      <alignment horizontal="center" vertical="center"/>
    </xf>
    <xf numFmtId="0" fontId="55" fillId="0" borderId="85" xfId="0" applyFont="1" applyFill="1" applyBorder="1" applyAlignment="1" applyProtection="1">
      <alignment horizontal="center" vertical="center"/>
    </xf>
    <xf numFmtId="38" fontId="55" fillId="0" borderId="85" xfId="2" applyNumberFormat="1" applyFont="1" applyFill="1" applyBorder="1" applyAlignment="1" applyProtection="1">
      <alignment horizontal="center" vertical="center"/>
    </xf>
    <xf numFmtId="0" fontId="28" fillId="0" borderId="0" xfId="0" applyFont="1" applyAlignment="1" applyProtection="1">
      <alignment horizontal="center"/>
    </xf>
    <xf numFmtId="0" fontId="28" fillId="0" borderId="0" xfId="0" applyFont="1" applyFill="1" applyAlignment="1" applyProtection="1">
      <alignment horizontal="center"/>
    </xf>
    <xf numFmtId="0" fontId="28" fillId="0" borderId="0" xfId="0" applyFont="1" applyFill="1" applyAlignment="1" applyProtection="1">
      <alignment horizontal="center" vertical="top" wrapText="1"/>
    </xf>
    <xf numFmtId="0" fontId="21" fillId="0" borderId="0" xfId="0" applyFont="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5"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32" fillId="8" borderId="36" xfId="0" applyFont="1" applyFill="1" applyBorder="1" applyAlignment="1" applyProtection="1">
      <alignment horizontal="center" vertical="center"/>
    </xf>
    <xf numFmtId="0" fontId="32" fillId="8" borderId="2" xfId="0" applyFont="1" applyFill="1" applyBorder="1" applyAlignment="1" applyProtection="1">
      <alignment horizontal="center" vertical="center"/>
    </xf>
    <xf numFmtId="0" fontId="32" fillId="8" borderId="37" xfId="0" applyFont="1" applyFill="1" applyBorder="1" applyAlignment="1" applyProtection="1">
      <alignment horizontal="center" vertical="center"/>
    </xf>
    <xf numFmtId="0" fontId="10" fillId="0" borderId="13" xfId="0" applyFont="1" applyBorder="1" applyAlignment="1" applyProtection="1">
      <alignment horizontal="center" vertical="center" wrapText="1"/>
    </xf>
    <xf numFmtId="0" fontId="29"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164" fontId="55" fillId="0" borderId="0" xfId="1" applyNumberFormat="1" applyFont="1" applyFill="1" applyBorder="1" applyAlignment="1" applyProtection="1">
      <alignment horizontal="center" vertical="center"/>
    </xf>
    <xf numFmtId="164" fontId="63" fillId="0" borderId="63" xfId="1" applyNumberFormat="1" applyFont="1" applyFill="1" applyBorder="1" applyAlignment="1" applyProtection="1">
      <alignment horizontal="center" vertical="center" wrapText="1"/>
    </xf>
    <xf numFmtId="164" fontId="63" fillId="0" borderId="64" xfId="1" applyNumberFormat="1" applyFont="1" applyFill="1" applyBorder="1" applyAlignment="1" applyProtection="1">
      <alignment horizontal="center" vertical="center" wrapText="1"/>
    </xf>
    <xf numFmtId="164" fontId="63" fillId="0" borderId="46" xfId="1" applyNumberFormat="1" applyFont="1" applyFill="1" applyBorder="1" applyAlignment="1" applyProtection="1">
      <alignment horizontal="center" vertical="center" wrapText="1"/>
    </xf>
    <xf numFmtId="164" fontId="63" fillId="0" borderId="65" xfId="1" applyNumberFormat="1" applyFont="1" applyFill="1" applyBorder="1" applyAlignment="1" applyProtection="1">
      <alignment horizontal="center" vertical="center" wrapText="1"/>
    </xf>
    <xf numFmtId="164" fontId="55" fillId="0" borderId="61" xfId="1" applyNumberFormat="1" applyFont="1" applyFill="1" applyBorder="1" applyAlignment="1" applyProtection="1">
      <alignment horizontal="right" vertical="center"/>
    </xf>
    <xf numFmtId="164" fontId="55" fillId="0" borderId="62" xfId="1" applyNumberFormat="1" applyFont="1" applyFill="1" applyBorder="1" applyAlignment="1" applyProtection="1">
      <alignment horizontal="right" vertical="center"/>
    </xf>
    <xf numFmtId="171" fontId="63" fillId="0" borderId="0" xfId="0" applyNumberFormat="1" applyFont="1" applyFill="1" applyBorder="1" applyAlignment="1" applyProtection="1">
      <alignment horizontal="center" vertical="center"/>
    </xf>
    <xf numFmtId="0" fontId="63" fillId="0" borderId="63" xfId="0" applyFont="1" applyFill="1" applyBorder="1" applyAlignment="1" applyProtection="1">
      <alignment horizontal="center" vertical="center" wrapText="1"/>
    </xf>
    <xf numFmtId="0" fontId="63" fillId="0" borderId="64" xfId="0" applyFont="1" applyFill="1" applyBorder="1" applyAlignment="1" applyProtection="1">
      <alignment horizontal="center" vertical="center" wrapText="1"/>
    </xf>
    <xf numFmtId="0" fontId="63" fillId="0" borderId="46" xfId="0" applyFont="1" applyFill="1" applyBorder="1" applyAlignment="1" applyProtection="1">
      <alignment horizontal="center" vertical="center" wrapText="1"/>
    </xf>
    <xf numFmtId="0" fontId="63" fillId="0" borderId="65" xfId="0" applyFont="1" applyFill="1" applyBorder="1" applyAlignment="1" applyProtection="1">
      <alignment horizontal="center" vertical="center" wrapText="1"/>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85" xfId="0" applyNumberFormat="1"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38" fontId="63" fillId="0" borderId="36" xfId="0" applyNumberFormat="1" applyFont="1" applyFill="1" applyBorder="1" applyAlignment="1" applyProtection="1">
      <alignment horizontal="center" vertical="center"/>
    </xf>
    <xf numFmtId="38" fontId="63" fillId="0" borderId="2" xfId="0" applyNumberFormat="1" applyFont="1" applyFill="1" applyBorder="1" applyAlignment="1" applyProtection="1">
      <alignment horizontal="center" vertical="center"/>
    </xf>
    <xf numFmtId="38" fontId="63" fillId="0" borderId="37"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0" fontId="51" fillId="0" borderId="91" xfId="0" applyFont="1" applyFill="1" applyBorder="1" applyAlignment="1" applyProtection="1">
      <alignment horizontal="center" vertical="center"/>
    </xf>
    <xf numFmtId="0" fontId="51" fillId="0" borderId="92" xfId="0" applyFont="1" applyFill="1" applyBorder="1" applyAlignment="1" applyProtection="1">
      <alignment horizontal="center" vertical="center"/>
    </xf>
    <xf numFmtId="38" fontId="55" fillId="0" borderId="4" xfId="0" applyNumberFormat="1" applyFont="1" applyFill="1" applyBorder="1" applyAlignment="1" applyProtection="1">
      <alignment horizontal="center" vertical="center"/>
    </xf>
    <xf numFmtId="38" fontId="55" fillId="0" borderId="6" xfId="0" applyNumberFormat="1" applyFont="1" applyFill="1" applyBorder="1" applyAlignment="1" applyProtection="1">
      <alignment horizontal="center" vertical="center"/>
    </xf>
    <xf numFmtId="10" fontId="63" fillId="0" borderId="36" xfId="0" applyNumberFormat="1" applyFont="1" applyFill="1" applyBorder="1" applyAlignment="1" applyProtection="1">
      <alignment horizontal="center" vertical="center"/>
    </xf>
    <xf numFmtId="10" fontId="63" fillId="0" borderId="37" xfId="0" applyNumberFormat="1" applyFont="1" applyFill="1" applyBorder="1" applyAlignment="1" applyProtection="1">
      <alignment horizontal="center" vertical="center"/>
    </xf>
    <xf numFmtId="10" fontId="55" fillId="0" borderId="2" xfId="0" applyNumberFormat="1" applyFont="1" applyFill="1" applyBorder="1" applyAlignment="1" applyProtection="1">
      <alignment horizontal="center" vertical="center"/>
    </xf>
    <xf numFmtId="38" fontId="55" fillId="0" borderId="71" xfId="0" applyNumberFormat="1" applyFont="1" applyFill="1" applyBorder="1" applyAlignment="1" applyProtection="1">
      <alignment horizontal="center" vertical="center"/>
    </xf>
    <xf numFmtId="38" fontId="55" fillId="0" borderId="72" xfId="0" applyNumberFormat="1" applyFont="1" applyFill="1" applyBorder="1" applyAlignment="1" applyProtection="1">
      <alignment horizontal="center" vertical="center"/>
    </xf>
    <xf numFmtId="38" fontId="55" fillId="0" borderId="69" xfId="0" applyNumberFormat="1" applyFont="1" applyFill="1" applyBorder="1" applyAlignment="1" applyProtection="1">
      <alignment horizontal="center" vertical="center"/>
    </xf>
    <xf numFmtId="38" fontId="55" fillId="0" borderId="70" xfId="0" applyNumberFormat="1" applyFont="1" applyFill="1" applyBorder="1" applyAlignment="1" applyProtection="1">
      <alignment horizontal="center" vertical="center"/>
    </xf>
    <xf numFmtId="0" fontId="75" fillId="0" borderId="63" xfId="0" applyFont="1" applyFill="1" applyBorder="1" applyAlignment="1" applyProtection="1">
      <alignment horizontal="justify" vertical="top" wrapText="1"/>
    </xf>
    <xf numFmtId="0" fontId="75" fillId="0" borderId="73" xfId="0" applyFont="1" applyFill="1" applyBorder="1" applyAlignment="1" applyProtection="1">
      <alignment horizontal="justify" vertical="top" wrapText="1"/>
    </xf>
    <xf numFmtId="0" fontId="75" fillId="0" borderId="64" xfId="0" applyFont="1" applyFill="1" applyBorder="1" applyAlignment="1" applyProtection="1">
      <alignment horizontal="justify" vertical="top" wrapText="1"/>
    </xf>
    <xf numFmtId="0" fontId="75" fillId="0" borderId="45" xfId="0" applyFont="1" applyFill="1" applyBorder="1" applyAlignment="1" applyProtection="1">
      <alignment horizontal="justify" vertical="top" wrapText="1"/>
    </xf>
    <xf numFmtId="0" fontId="75" fillId="0" borderId="0" xfId="0" applyFont="1" applyFill="1" applyBorder="1" applyAlignment="1" applyProtection="1">
      <alignment horizontal="justify" vertical="top" wrapText="1"/>
    </xf>
    <xf numFmtId="0" fontId="75" fillId="0" borderId="48" xfId="0" applyFont="1" applyFill="1" applyBorder="1" applyAlignment="1" applyProtection="1">
      <alignment horizontal="justify" vertical="top" wrapText="1"/>
    </xf>
    <xf numFmtId="0" fontId="75" fillId="0" borderId="63" xfId="0" applyFont="1" applyFill="1" applyBorder="1" applyAlignment="1" applyProtection="1">
      <alignment horizontal="center" vertical="center" wrapText="1"/>
    </xf>
    <xf numFmtId="0" fontId="75" fillId="0" borderId="64" xfId="0" applyFont="1" applyFill="1" applyBorder="1" applyAlignment="1" applyProtection="1">
      <alignment horizontal="center" vertical="center" wrapText="1"/>
    </xf>
    <xf numFmtId="0" fontId="75" fillId="0" borderId="45" xfId="0" applyFont="1" applyFill="1" applyBorder="1" applyAlignment="1" applyProtection="1">
      <alignment horizontal="center" vertical="center" wrapText="1"/>
    </xf>
    <xf numFmtId="0" fontId="75" fillId="0" borderId="48" xfId="0"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91" fillId="0" borderId="8" xfId="0" applyFont="1" applyFill="1" applyBorder="1" applyAlignment="1" applyProtection="1">
      <alignment horizontal="center" vertical="center"/>
    </xf>
    <xf numFmtId="3" fontId="55" fillId="0" borderId="81" xfId="1" applyNumberFormat="1" applyFont="1" applyFill="1" applyBorder="1" applyAlignment="1" applyProtection="1">
      <alignment horizontal="center" vertical="center"/>
    </xf>
    <xf numFmtId="3" fontId="55" fillId="0" borderId="85" xfId="1" applyNumberFormat="1" applyFont="1" applyFill="1" applyBorder="1" applyAlignment="1" applyProtection="1">
      <alignment horizontal="center" vertical="center"/>
    </xf>
    <xf numFmtId="3" fontId="55" fillId="0" borderId="82" xfId="1" applyNumberFormat="1" applyFont="1" applyFill="1" applyBorder="1" applyAlignment="1" applyProtection="1">
      <alignment horizontal="center" vertical="center"/>
    </xf>
    <xf numFmtId="38" fontId="63" fillId="0" borderId="1" xfId="0" applyNumberFormat="1" applyFont="1" applyFill="1" applyBorder="1" applyAlignment="1" applyProtection="1">
      <alignment horizontal="center" vertical="center"/>
    </xf>
    <xf numFmtId="38" fontId="51" fillId="0" borderId="90" xfId="0" applyNumberFormat="1" applyFont="1" applyFill="1" applyBorder="1" applyAlignment="1" applyProtection="1">
      <alignment horizontal="center" vertical="center"/>
    </xf>
    <xf numFmtId="38" fontId="51" fillId="0" borderId="47" xfId="0" applyNumberFormat="1" applyFont="1" applyFill="1" applyBorder="1" applyAlignment="1" applyProtection="1">
      <alignment horizontal="center" vertical="center"/>
    </xf>
    <xf numFmtId="168" fontId="55" fillId="0" borderId="74" xfId="0" applyNumberFormat="1" applyFont="1" applyFill="1" applyBorder="1" applyAlignment="1" applyProtection="1">
      <alignment horizontal="center" vertical="center"/>
    </xf>
    <xf numFmtId="168" fontId="55" fillId="0" borderId="75" xfId="0" applyNumberFormat="1" applyFont="1" applyFill="1" applyBorder="1" applyAlignment="1" applyProtection="1">
      <alignment horizontal="center" vertical="center"/>
    </xf>
    <xf numFmtId="168" fontId="55" fillId="0" borderId="76" xfId="0" applyNumberFormat="1" applyFont="1" applyFill="1" applyBorder="1" applyAlignment="1" applyProtection="1">
      <alignment horizontal="center" vertical="center"/>
    </xf>
    <xf numFmtId="164" fontId="63" fillId="0" borderId="57" xfId="1" applyNumberFormat="1" applyFont="1" applyFill="1" applyBorder="1" applyAlignment="1" applyProtection="1">
      <alignment horizontal="center" vertical="center"/>
    </xf>
    <xf numFmtId="164" fontId="63" fillId="0" borderId="35" xfId="1" applyNumberFormat="1" applyFont="1" applyFill="1" applyBorder="1" applyAlignment="1" applyProtection="1">
      <alignment horizontal="center" vertical="center"/>
    </xf>
    <xf numFmtId="4" fontId="55" fillId="0" borderId="85" xfId="1" applyNumberFormat="1" applyFont="1" applyFill="1" applyBorder="1" applyAlignment="1" applyProtection="1">
      <alignment vertical="center"/>
    </xf>
    <xf numFmtId="164" fontId="55" fillId="0" borderId="68" xfId="1" applyNumberFormat="1" applyFont="1" applyFill="1" applyBorder="1" applyAlignment="1" applyProtection="1">
      <alignment horizontal="right" vertical="center"/>
    </xf>
    <xf numFmtId="0" fontId="100" fillId="14" borderId="0" xfId="0" applyFont="1" applyFill="1" applyAlignment="1" applyProtection="1">
      <alignment horizontal="center" vertical="center"/>
    </xf>
    <xf numFmtId="0" fontId="64" fillId="8" borderId="7" xfId="0" applyFont="1" applyFill="1" applyBorder="1" applyAlignment="1" applyProtection="1">
      <alignment horizontal="center" vertical="center"/>
    </xf>
    <xf numFmtId="0" fontId="64" fillId="8" borderId="0" xfId="0" applyFont="1" applyFill="1" applyBorder="1" applyAlignment="1" applyProtection="1">
      <alignment horizontal="center" vertical="center"/>
    </xf>
    <xf numFmtId="0" fontId="63" fillId="0" borderId="57" xfId="0" applyFont="1" applyFill="1" applyBorder="1" applyAlignment="1" applyProtection="1">
      <alignment horizontal="center" vertical="center"/>
    </xf>
    <xf numFmtId="0" fontId="63" fillId="0" borderId="35" xfId="0" applyFont="1" applyFill="1" applyBorder="1" applyAlignment="1" applyProtection="1">
      <alignment horizontal="center" vertical="center"/>
    </xf>
    <xf numFmtId="0" fontId="72" fillId="0" borderId="13" xfId="0" applyFont="1" applyFill="1" applyBorder="1" applyAlignment="1" applyProtection="1">
      <alignment horizontal="left" vertical="center"/>
    </xf>
    <xf numFmtId="4" fontId="72" fillId="0" borderId="88" xfId="1" applyNumberFormat="1" applyFont="1" applyFill="1" applyBorder="1" applyAlignment="1" applyProtection="1">
      <alignment horizontal="right" vertical="center"/>
    </xf>
    <xf numFmtId="4" fontId="72" fillId="0" borderId="13" xfId="1" applyNumberFormat="1" applyFont="1" applyFill="1" applyBorder="1" applyAlignment="1" applyProtection="1">
      <alignment horizontal="right" vertical="center"/>
    </xf>
    <xf numFmtId="171" fontId="72" fillId="0" borderId="88" xfId="0" applyNumberFormat="1" applyFont="1" applyFill="1" applyBorder="1" applyAlignment="1" applyProtection="1">
      <alignment horizontal="left" vertical="center"/>
    </xf>
    <xf numFmtId="0" fontId="63" fillId="0" borderId="83" xfId="0" applyFont="1" applyFill="1" applyBorder="1" applyAlignment="1" applyProtection="1">
      <alignment horizontal="center" vertical="center" wrapText="1"/>
    </xf>
    <xf numFmtId="0" fontId="63" fillId="0" borderId="9" xfId="0" applyFont="1" applyFill="1" applyBorder="1" applyAlignment="1" applyProtection="1">
      <alignment horizontal="center" vertical="center" wrapText="1"/>
    </xf>
    <xf numFmtId="4" fontId="72" fillId="0" borderId="9" xfId="0" applyNumberFormat="1" applyFont="1" applyFill="1" applyBorder="1" applyAlignment="1" applyProtection="1">
      <alignment horizontal="left" vertical="center"/>
    </xf>
    <xf numFmtId="4" fontId="72" fillId="0" borderId="14" xfId="0" applyNumberFormat="1" applyFont="1" applyFill="1" applyBorder="1" applyAlignment="1" applyProtection="1">
      <alignment horizontal="left" vertical="center"/>
    </xf>
    <xf numFmtId="164" fontId="72" fillId="0" borderId="0" xfId="1" applyNumberFormat="1" applyFont="1" applyFill="1" applyAlignment="1" applyProtection="1">
      <alignment horizontal="center" vertical="center"/>
    </xf>
    <xf numFmtId="164" fontId="72" fillId="0" borderId="8" xfId="1" applyNumberFormat="1" applyFont="1" applyFill="1" applyBorder="1" applyAlignment="1" applyProtection="1">
      <alignment horizontal="center" vertical="center"/>
    </xf>
    <xf numFmtId="4" fontId="55" fillId="0" borderId="82" xfId="1" applyNumberFormat="1" applyFont="1" applyFill="1" applyBorder="1" applyAlignment="1" applyProtection="1">
      <alignment vertical="center"/>
    </xf>
    <xf numFmtId="0" fontId="72" fillId="0" borderId="88" xfId="0" applyFont="1" applyFill="1" applyBorder="1" applyAlignment="1" applyProtection="1">
      <alignment horizontal="left" vertical="center"/>
    </xf>
    <xf numFmtId="0" fontId="72" fillId="0" borderId="84" xfId="0" applyFont="1" applyFill="1" applyBorder="1" applyAlignment="1" applyProtection="1">
      <alignment horizontal="left" vertical="center"/>
    </xf>
    <xf numFmtId="0" fontId="63" fillId="0" borderId="0" xfId="0" applyFont="1" applyFill="1" applyAlignment="1" applyProtection="1">
      <alignment horizontal="left"/>
    </xf>
    <xf numFmtId="0" fontId="55" fillId="0" borderId="62" xfId="0" applyFont="1" applyBorder="1" applyProtection="1"/>
    <xf numFmtId="0" fontId="10" fillId="0" borderId="0" xfId="0" applyFont="1" applyBorder="1" applyAlignment="1" applyProtection="1">
      <alignment horizontal="center"/>
    </xf>
    <xf numFmtId="0" fontId="10" fillId="0" borderId="0" xfId="0" applyFont="1" applyAlignment="1" applyProtection="1">
      <alignment horizontal="center"/>
    </xf>
    <xf numFmtId="0" fontId="32" fillId="8" borderId="7" xfId="0" applyFont="1" applyFill="1" applyBorder="1" applyAlignment="1" applyProtection="1">
      <alignment horizontal="center" vertical="center"/>
    </xf>
    <xf numFmtId="0" fontId="32" fillId="8" borderId="0" xfId="0" applyFont="1" applyFill="1" applyBorder="1" applyAlignment="1" applyProtection="1">
      <alignment horizontal="center" vertical="center"/>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6" fillId="15" borderId="0" xfId="0" applyFont="1" applyFill="1" applyAlignment="1" applyProtection="1">
      <alignment horizontal="center" vertical="center"/>
    </xf>
    <xf numFmtId="0" fontId="16" fillId="0" borderId="0" xfId="0" applyFont="1" applyFill="1" applyAlignment="1" applyProtection="1">
      <alignment horizontal="left"/>
    </xf>
    <xf numFmtId="0" fontId="91" fillId="0" borderId="0" xfId="0" applyFont="1" applyFill="1" applyAlignment="1" applyProtection="1">
      <alignment horizontal="left" vertical="center" wrapText="1"/>
    </xf>
    <xf numFmtId="0" fontId="38" fillId="0" borderId="0" xfId="0" applyFont="1" applyFill="1" applyAlignment="1" applyProtection="1">
      <alignment horizontal="center" textRotation="90" wrapText="1"/>
    </xf>
    <xf numFmtId="0" fontId="129" fillId="0" borderId="0" xfId="0" applyFont="1" applyFill="1" applyAlignment="1" applyProtection="1">
      <alignment horizontal="left"/>
    </xf>
    <xf numFmtId="0" fontId="12" fillId="0" borderId="0" xfId="0" applyFont="1" applyFill="1" applyAlignment="1" applyProtection="1">
      <alignment horizontal="center" vertical="center"/>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29" fillId="0" borderId="0" xfId="0" applyFont="1" applyFill="1" applyAlignment="1" applyProtection="1">
      <alignment horizontal="left" vertical="center" wrapText="1"/>
    </xf>
    <xf numFmtId="38" fontId="14" fillId="0" borderId="61" xfId="1" applyNumberFormat="1" applyFont="1" applyFill="1" applyBorder="1" applyAlignment="1" applyProtection="1">
      <alignment horizontal="right" vertical="center"/>
    </xf>
    <xf numFmtId="38" fontId="14" fillId="0" borderId="62" xfId="1" applyNumberFormat="1" applyFont="1" applyFill="1" applyBorder="1" applyAlignment="1" applyProtection="1">
      <alignment horizontal="right" vertical="center"/>
    </xf>
    <xf numFmtId="0" fontId="16" fillId="0" borderId="0" xfId="0" applyNumberFormat="1" applyFont="1" applyAlignment="1" applyProtection="1">
      <alignment horizontal="center" vertical="center" wrapText="1"/>
    </xf>
    <xf numFmtId="0" fontId="10" fillId="0" borderId="0" xfId="0" applyNumberFormat="1" applyFont="1" applyAlignment="1" applyProtection="1">
      <alignment horizontal="center" vertical="center" wrapText="1"/>
    </xf>
    <xf numFmtId="0" fontId="6" fillId="0" borderId="7"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3" fontId="14" fillId="0" borderId="61" xfId="0" applyNumberFormat="1" applyFont="1" applyFill="1" applyBorder="1" applyAlignment="1" applyProtection="1">
      <alignment horizontal="right" vertical="center"/>
    </xf>
    <xf numFmtId="3" fontId="14" fillId="0" borderId="62" xfId="0" applyNumberFormat="1" applyFont="1" applyFill="1" applyBorder="1" applyAlignment="1" applyProtection="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6" fillId="0" borderId="0" xfId="0" applyFont="1" applyFill="1" applyAlignment="1" applyProtection="1">
      <alignment horizontal="left" vertical="center" wrapText="1"/>
    </xf>
    <xf numFmtId="0" fontId="6" fillId="0" borderId="0" xfId="0" applyFont="1" applyAlignment="1" applyProtection="1">
      <alignment horizontal="left" vertical="center" wrapText="1"/>
    </xf>
    <xf numFmtId="0" fontId="15" fillId="0" borderId="0" xfId="0" applyFont="1" applyFill="1" applyBorder="1" applyAlignment="1" applyProtection="1">
      <alignment horizontal="left" vertical="top" wrapText="1"/>
    </xf>
    <xf numFmtId="0" fontId="106" fillId="0" borderId="0" xfId="0" applyFont="1" applyFill="1" applyAlignment="1" applyProtection="1">
      <alignment horizontal="center" vertical="center" wrapText="1"/>
    </xf>
    <xf numFmtId="0" fontId="5" fillId="0" borderId="0" xfId="0" applyFont="1" applyFill="1" applyAlignment="1" applyProtection="1">
      <alignment horizontal="left" vertical="top" wrapText="1"/>
    </xf>
    <xf numFmtId="0" fontId="14" fillId="0" borderId="0" xfId="0" applyFont="1" applyFill="1" applyAlignment="1" applyProtection="1">
      <alignment horizontal="left" vertical="top" wrapText="1"/>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6" fillId="0" borderId="0" xfId="0" applyFont="1" applyFill="1" applyAlignment="1" applyProtection="1">
      <alignment horizontal="left" vertical="top" wrapText="1"/>
    </xf>
    <xf numFmtId="0" fontId="96"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32" fillId="9" borderId="81"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6" fillId="0" borderId="13" xfId="0" applyFont="1" applyBorder="1" applyAlignment="1" applyProtection="1">
      <alignment horizontal="right" wrapText="1"/>
    </xf>
    <xf numFmtId="0" fontId="185" fillId="0" borderId="0" xfId="0" applyFont="1" applyFill="1" applyAlignment="1" applyProtection="1">
      <alignment horizontal="left" vertical="top" wrapText="1"/>
    </xf>
    <xf numFmtId="0" fontId="6" fillId="0" borderId="40" xfId="0" applyFont="1" applyFill="1" applyBorder="1" applyAlignment="1" applyProtection="1">
      <alignment horizontal="center" vertical="top" wrapText="1"/>
    </xf>
    <xf numFmtId="0" fontId="6" fillId="0" borderId="41" xfId="0" applyFont="1" applyFill="1" applyBorder="1" applyAlignment="1" applyProtection="1">
      <alignment horizontal="center" vertical="top" wrapText="1"/>
    </xf>
    <xf numFmtId="0" fontId="6" fillId="0" borderId="44" xfId="0" applyFont="1" applyFill="1" applyBorder="1" applyAlignment="1" applyProtection="1">
      <alignment horizontal="center" vertical="top" wrapText="1"/>
    </xf>
    <xf numFmtId="0" fontId="6" fillId="0" borderId="39" xfId="0" applyFont="1" applyFill="1" applyBorder="1" applyAlignment="1" applyProtection="1">
      <alignment horizontal="center" vertical="top" wrapText="1"/>
    </xf>
    <xf numFmtId="0" fontId="6" fillId="0" borderId="0" xfId="0" applyFont="1" applyFill="1" applyBorder="1" applyAlignment="1" applyProtection="1">
      <alignment horizontal="left" vertical="top" wrapText="1"/>
    </xf>
    <xf numFmtId="0" fontId="52" fillId="13" borderId="30" xfId="0" applyFont="1" applyFill="1" applyBorder="1" applyAlignment="1" applyProtection="1">
      <alignment horizontal="justify" vertical="top" wrapText="1"/>
    </xf>
    <xf numFmtId="0" fontId="52" fillId="13" borderId="21" xfId="0" applyFont="1" applyFill="1" applyBorder="1" applyAlignment="1" applyProtection="1">
      <alignment horizontal="justify" vertical="top" wrapText="1"/>
    </xf>
    <xf numFmtId="0" fontId="52" fillId="13" borderId="31" xfId="0" applyFont="1" applyFill="1" applyBorder="1" applyAlignment="1" applyProtection="1">
      <alignment horizontal="justify" vertical="top" wrapText="1"/>
    </xf>
    <xf numFmtId="0" fontId="98" fillId="0" borderId="42" xfId="0" applyFont="1" applyBorder="1" applyAlignment="1" applyProtection="1">
      <alignment horizontal="center" vertical="center"/>
    </xf>
    <xf numFmtId="0" fontId="98" fillId="0" borderId="60" xfId="0" applyFont="1" applyBorder="1" applyAlignment="1" applyProtection="1">
      <alignment horizontal="center" vertical="center"/>
    </xf>
    <xf numFmtId="0" fontId="98" fillId="0" borderId="44" xfId="0" applyFont="1" applyBorder="1" applyAlignment="1" applyProtection="1">
      <alignment horizontal="center" vertical="center"/>
    </xf>
    <xf numFmtId="0" fontId="98" fillId="0" borderId="39" xfId="0" applyFont="1" applyBorder="1" applyAlignment="1" applyProtection="1">
      <alignment horizontal="center" vertical="center"/>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8" fillId="0" borderId="0" xfId="0" applyFont="1" applyFill="1" applyAlignment="1" applyProtection="1">
      <alignment horizontal="left" vertical="top" wrapText="1"/>
    </xf>
    <xf numFmtId="0" fontId="15" fillId="0" borderId="0" xfId="0" applyFont="1" applyFill="1" applyBorder="1" applyAlignment="1" applyProtection="1">
      <alignment horizontal="center" vertical="center" wrapText="1"/>
    </xf>
    <xf numFmtId="3" fontId="184" fillId="0" borderId="44" xfId="0" applyNumberFormat="1" applyFont="1" applyFill="1" applyBorder="1" applyAlignment="1" applyProtection="1">
      <alignment horizontal="center" vertical="center" wrapText="1"/>
    </xf>
    <xf numFmtId="3" fontId="184" fillId="0" borderId="39" xfId="0" applyNumberFormat="1" applyFont="1" applyFill="1" applyBorder="1" applyAlignment="1" applyProtection="1">
      <alignment horizontal="center" vertical="center" wrapText="1"/>
    </xf>
    <xf numFmtId="3" fontId="184" fillId="0" borderId="42" xfId="0" applyNumberFormat="1" applyFont="1" applyFill="1" applyBorder="1" applyAlignment="1" applyProtection="1">
      <alignment horizontal="center" vertical="center" wrapText="1"/>
    </xf>
    <xf numFmtId="3" fontId="184" fillId="0" borderId="60" xfId="0" applyNumberFormat="1"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2" fillId="13" borderId="28" xfId="0" applyFont="1" applyFill="1" applyBorder="1" applyAlignment="1" applyProtection="1">
      <alignment horizontal="justify" vertical="top" wrapText="1"/>
    </xf>
    <xf numFmtId="0" fontId="52" fillId="13" borderId="58" xfId="0" applyFont="1" applyFill="1" applyBorder="1" applyAlignment="1" applyProtection="1">
      <alignment horizontal="justify" vertical="top" wrapText="1"/>
    </xf>
    <xf numFmtId="0" fontId="52" fillId="13" borderId="29" xfId="0" applyFont="1" applyFill="1" applyBorder="1" applyAlignment="1" applyProtection="1">
      <alignment horizontal="justify" vertical="top" wrapText="1"/>
    </xf>
    <xf numFmtId="0" fontId="143" fillId="0" borderId="0" xfId="0" applyFont="1" applyFill="1" applyAlignment="1" applyProtection="1">
      <alignment horizontal="center" vertical="center"/>
    </xf>
    <xf numFmtId="0" fontId="143"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50" fillId="0" borderId="7" xfId="0" applyFont="1" applyFill="1" applyBorder="1" applyAlignment="1" applyProtection="1">
      <alignment horizontal="center" vertical="center" wrapText="1"/>
    </xf>
    <xf numFmtId="0" fontId="16" fillId="13" borderId="36" xfId="0" applyFont="1" applyFill="1" applyBorder="1" applyAlignment="1" applyProtection="1">
      <alignment horizontal="left"/>
    </xf>
    <xf numFmtId="0" fontId="16" fillId="13" borderId="37" xfId="0" applyFont="1" applyFill="1" applyBorder="1" applyAlignment="1" applyProtection="1">
      <alignment horizontal="left"/>
    </xf>
    <xf numFmtId="0" fontId="16" fillId="13" borderId="33" xfId="0" applyFont="1" applyFill="1" applyBorder="1" applyAlignment="1" applyProtection="1">
      <alignment horizontal="left" vertical="center"/>
    </xf>
    <xf numFmtId="0" fontId="16" fillId="13" borderId="34" xfId="0" applyFont="1" applyFill="1" applyBorder="1" applyAlignment="1" applyProtection="1">
      <alignment horizontal="left" vertical="center"/>
    </xf>
    <xf numFmtId="0" fontId="16" fillId="13" borderId="28" xfId="0" applyFont="1" applyFill="1" applyBorder="1" applyAlignment="1" applyProtection="1">
      <alignment horizontal="left" vertical="center"/>
    </xf>
    <xf numFmtId="0" fontId="16" fillId="13" borderId="29" xfId="0" applyFont="1" applyFill="1" applyBorder="1" applyAlignment="1" applyProtection="1">
      <alignment horizontal="left" vertical="center"/>
    </xf>
    <xf numFmtId="0" fontId="6" fillId="13" borderId="89" xfId="0" applyFont="1" applyFill="1" applyBorder="1" applyAlignment="1" applyProtection="1">
      <alignment horizontal="left" vertical="top" wrapText="1"/>
    </xf>
    <xf numFmtId="0" fontId="52" fillId="13" borderId="33" xfId="0" applyFont="1" applyFill="1" applyBorder="1" applyAlignment="1" applyProtection="1">
      <alignment horizontal="justify" vertical="top" wrapText="1"/>
    </xf>
    <xf numFmtId="0" fontId="52" fillId="13" borderId="59" xfId="0" applyFont="1" applyFill="1" applyBorder="1" applyAlignment="1" applyProtection="1">
      <alignment horizontal="justify" vertical="top" wrapText="1"/>
    </xf>
    <xf numFmtId="0" fontId="52" fillId="13" borderId="34" xfId="0" applyFont="1" applyFill="1" applyBorder="1" applyAlignment="1" applyProtection="1">
      <alignment horizontal="justify" vertical="top" wrapText="1"/>
    </xf>
    <xf numFmtId="0" fontId="9" fillId="0" borderId="0" xfId="0" applyFont="1" applyFill="1" applyAlignment="1" applyProtection="1">
      <alignment horizontal="left" vertical="top" wrapText="1"/>
    </xf>
    <xf numFmtId="0" fontId="6" fillId="0" borderId="0" xfId="0" applyFont="1" applyFill="1" applyBorder="1" applyAlignment="1" applyProtection="1">
      <alignment horizontal="justify" vertical="top" wrapText="1"/>
    </xf>
    <xf numFmtId="0" fontId="9" fillId="0" borderId="0" xfId="0" applyFont="1" applyFill="1" applyAlignment="1" applyProtection="1">
      <alignment horizontal="center"/>
    </xf>
    <xf numFmtId="0" fontId="10" fillId="0" borderId="0" xfId="0" applyFont="1" applyFill="1" applyAlignment="1" applyProtection="1">
      <alignment horizontal="left" vertical="center"/>
    </xf>
    <xf numFmtId="0" fontId="6" fillId="0" borderId="0" xfId="0" applyFont="1" applyFill="1" applyAlignment="1" applyProtection="1">
      <alignment horizontal="justify" vertical="top" wrapText="1"/>
    </xf>
    <xf numFmtId="0" fontId="12" fillId="13" borderId="6" xfId="0" applyFont="1" applyFill="1" applyBorder="1" applyAlignment="1" applyProtection="1">
      <alignment horizontal="center" vertical="center"/>
    </xf>
    <xf numFmtId="175" fontId="16" fillId="13" borderId="30" xfId="0" applyNumberFormat="1" applyFont="1" applyFill="1" applyBorder="1" applyAlignment="1" applyProtection="1">
      <alignment horizontal="left" vertical="center"/>
    </xf>
    <xf numFmtId="175" fontId="16" fillId="13" borderId="31" xfId="0" applyNumberFormat="1" applyFont="1" applyFill="1" applyBorder="1" applyAlignment="1" applyProtection="1">
      <alignment horizontal="left" vertical="center"/>
    </xf>
    <xf numFmtId="0" fontId="6" fillId="13" borderId="81" xfId="0" applyFont="1" applyFill="1" applyBorder="1" applyAlignment="1" applyProtection="1">
      <alignment horizontal="left" vertical="top" wrapText="1"/>
    </xf>
    <xf numFmtId="0" fontId="6" fillId="13" borderId="85"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6" fillId="0" borderId="0" xfId="0" applyFont="1" applyFill="1" applyBorder="1" applyAlignment="1" applyProtection="1">
      <alignment horizontal="justify" vertical="center" wrapText="1"/>
    </xf>
    <xf numFmtId="0" fontId="16" fillId="0" borderId="0" xfId="0" applyFont="1" applyFill="1" applyBorder="1" applyAlignment="1" applyProtection="1">
      <alignment horizontal="left" vertical="top" wrapText="1"/>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0" fontId="52" fillId="0" borderId="0" xfId="0" applyFont="1" applyFill="1" applyBorder="1" applyAlignment="1" applyProtection="1">
      <alignment horizontal="center" vertical="center" wrapText="1"/>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21" fillId="13" borderId="81" xfId="0" applyFont="1" applyFill="1" applyBorder="1" applyAlignment="1" applyProtection="1">
      <alignment horizontal="left"/>
    </xf>
    <xf numFmtId="0" fontId="21" fillId="13" borderId="85" xfId="0" applyFont="1" applyFill="1" applyBorder="1" applyAlignment="1" applyProtection="1">
      <alignment horizontal="left"/>
    </xf>
    <xf numFmtId="0" fontId="21" fillId="13" borderId="82" xfId="0" applyFont="1" applyFill="1" applyBorder="1" applyAlignment="1" applyProtection="1">
      <alignment horizontal="left"/>
    </xf>
    <xf numFmtId="0" fontId="6" fillId="0" borderId="8" xfId="0" applyFont="1" applyFill="1" applyBorder="1" applyAlignment="1" applyProtection="1">
      <alignment horizontal="center" vertical="center" wrapText="1"/>
    </xf>
    <xf numFmtId="37" fontId="10" fillId="0" borderId="81" xfId="0" applyNumberFormat="1" applyFont="1" applyFill="1" applyBorder="1" applyAlignment="1" applyProtection="1">
      <alignment horizontal="left" vertical="center" wrapText="1"/>
    </xf>
    <xf numFmtId="37" fontId="10" fillId="0" borderId="82" xfId="0" applyNumberFormat="1" applyFont="1" applyFill="1" applyBorder="1" applyAlignment="1" applyProtection="1">
      <alignment horizontal="left" vertical="center" wrapText="1"/>
    </xf>
    <xf numFmtId="0" fontId="50" fillId="0" borderId="0" xfId="0" applyFont="1" applyFill="1" applyBorder="1" applyAlignment="1" applyProtection="1">
      <alignment horizontal="center" vertical="center" wrapText="1"/>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60" xfId="0" applyFont="1" applyBorder="1" applyAlignment="1" applyProtection="1">
      <alignment horizontal="center" vertical="center"/>
    </xf>
    <xf numFmtId="0" fontId="16" fillId="0" borderId="44"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6" fillId="0" borderId="0" xfId="0" applyFont="1" applyBorder="1" applyAlignment="1" applyProtection="1">
      <alignment horizontal="center" vertical="center"/>
    </xf>
    <xf numFmtId="0" fontId="182" fillId="0" borderId="44"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60" xfId="0" applyNumberFormat="1" applyFont="1" applyFill="1" applyBorder="1" applyAlignment="1" applyProtection="1">
      <alignment horizontal="center" vertical="center" wrapText="1"/>
    </xf>
    <xf numFmtId="0" fontId="113" fillId="0" borderId="0" xfId="0" applyFont="1" applyFill="1" applyBorder="1" applyAlignment="1" applyProtection="1">
      <alignment horizontal="center"/>
    </xf>
    <xf numFmtId="3" fontId="16" fillId="0" borderId="40" xfId="0" applyNumberFormat="1" applyFont="1" applyFill="1" applyBorder="1" applyAlignment="1" applyProtection="1">
      <alignment horizontal="center" vertical="center" wrapText="1"/>
    </xf>
    <xf numFmtId="3" fontId="16" fillId="0" borderId="41" xfId="0" applyNumberFormat="1" applyFont="1" applyFill="1" applyBorder="1" applyAlignment="1" applyProtection="1">
      <alignment horizontal="center" vertical="center" wrapText="1"/>
    </xf>
    <xf numFmtId="3" fontId="16" fillId="0" borderId="42" xfId="0" applyNumberFormat="1" applyFont="1" applyFill="1" applyBorder="1" applyAlignment="1" applyProtection="1">
      <alignment horizontal="center" vertical="center" wrapText="1"/>
    </xf>
    <xf numFmtId="3" fontId="16" fillId="0" borderId="60" xfId="0" applyNumberFormat="1" applyFont="1" applyFill="1" applyBorder="1" applyAlignment="1" applyProtection="1">
      <alignment horizontal="center" vertical="center" wrapText="1"/>
    </xf>
    <xf numFmtId="0" fontId="135" fillId="0" borderId="0" xfId="0" applyFont="1" applyFill="1" applyBorder="1" applyAlignment="1" applyProtection="1">
      <alignment horizontal="center" wrapText="1"/>
    </xf>
    <xf numFmtId="0" fontId="6" fillId="0" borderId="0" xfId="0" applyFont="1" applyFill="1" applyBorder="1" applyAlignment="1" applyProtection="1">
      <alignment horizontal="left"/>
    </xf>
    <xf numFmtId="0" fontId="52" fillId="0" borderId="88" xfId="0" applyFont="1" applyFill="1" applyBorder="1" applyAlignment="1" applyProtection="1">
      <alignment horizontal="right" wrapText="1"/>
    </xf>
    <xf numFmtId="0" fontId="192" fillId="0" borderId="0" xfId="0" applyFont="1" applyFill="1" applyAlignment="1" applyProtection="1">
      <alignment horizontal="center" wrapText="1"/>
    </xf>
    <xf numFmtId="38" fontId="19" fillId="0" borderId="81" xfId="0" applyNumberFormat="1" applyFont="1" applyFill="1" applyBorder="1" applyAlignment="1" applyProtection="1">
      <alignment horizontal="center"/>
    </xf>
    <xf numFmtId="0" fontId="0" fillId="0" borderId="82" xfId="0" applyBorder="1" applyProtection="1"/>
    <xf numFmtId="0" fontId="6" fillId="0" borderId="81" xfId="0" applyFont="1" applyFill="1" applyBorder="1" applyAlignment="1" applyProtection="1">
      <alignment horizontal="left"/>
    </xf>
    <xf numFmtId="0" fontId="6" fillId="0" borderId="82" xfId="0" applyFont="1" applyFill="1" applyBorder="1" applyAlignment="1" applyProtection="1">
      <alignment horizontal="left"/>
    </xf>
    <xf numFmtId="0" fontId="6" fillId="0" borderId="19" xfId="0" applyFont="1" applyFill="1" applyBorder="1" applyAlignment="1" applyProtection="1">
      <alignment horizontal="justify" vertical="top" wrapText="1"/>
    </xf>
    <xf numFmtId="0" fontId="92" fillId="0" borderId="0" xfId="0" applyFont="1" applyFill="1" applyAlignment="1" applyProtection="1">
      <alignment horizontal="center" wrapText="1"/>
    </xf>
    <xf numFmtId="0" fontId="6" fillId="0" borderId="19" xfId="0" applyFont="1" applyFill="1" applyBorder="1" applyAlignment="1" applyProtection="1">
      <alignment horizontal="justify" wrapText="1"/>
    </xf>
    <xf numFmtId="0" fontId="6" fillId="0" borderId="0" xfId="0"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top"/>
    </xf>
    <xf numFmtId="38" fontId="10" fillId="13" borderId="18" xfId="0" applyNumberFormat="1" applyFont="1" applyFill="1" applyBorder="1" applyAlignment="1" applyProtection="1">
      <alignment horizontal="center" vertical="top"/>
    </xf>
    <xf numFmtId="0" fontId="6" fillId="0" borderId="33" xfId="0" applyFont="1" applyFill="1" applyBorder="1" applyAlignment="1" applyProtection="1">
      <alignment horizontal="left"/>
    </xf>
    <xf numFmtId="0" fontId="6" fillId="0" borderId="34" xfId="0" applyFont="1" applyFill="1" applyBorder="1" applyAlignment="1" applyProtection="1">
      <alignment horizontal="left"/>
    </xf>
    <xf numFmtId="0" fontId="6" fillId="0" borderId="30" xfId="0" applyFont="1" applyFill="1" applyBorder="1" applyAlignment="1" applyProtection="1">
      <alignment horizontal="left"/>
    </xf>
    <xf numFmtId="0" fontId="6" fillId="0" borderId="31" xfId="0" applyFont="1" applyFill="1" applyBorder="1" applyAlignment="1" applyProtection="1">
      <alignment horizontal="left"/>
    </xf>
    <xf numFmtId="0" fontId="6" fillId="0" borderId="28" xfId="0" applyFont="1" applyFill="1" applyBorder="1" applyAlignment="1" applyProtection="1">
      <alignment horizontal="left"/>
    </xf>
    <xf numFmtId="0" fontId="6" fillId="0" borderId="29" xfId="0" applyFont="1" applyFill="1" applyBorder="1" applyAlignment="1" applyProtection="1">
      <alignment horizontal="left"/>
    </xf>
    <xf numFmtId="0" fontId="6" fillId="0" borderId="0" xfId="0" applyFont="1" applyFill="1" applyBorder="1" applyAlignment="1" applyProtection="1">
      <alignment horizontal="justify" wrapText="1"/>
    </xf>
    <xf numFmtId="0" fontId="18" fillId="0" borderId="0" xfId="0" applyFont="1" applyAlignment="1" applyProtection="1">
      <alignment horizontal="center"/>
    </xf>
    <xf numFmtId="0" fontId="6" fillId="0" borderId="0" xfId="0" applyFont="1" applyFill="1" applyAlignment="1" applyProtection="1">
      <alignment horizontal="center" vertical="center" wrapText="1"/>
    </xf>
    <xf numFmtId="0" fontId="6" fillId="0" borderId="13" xfId="0" applyFont="1" applyFill="1" applyBorder="1" applyAlignment="1" applyProtection="1">
      <alignment horizontal="center" vertical="center" wrapText="1"/>
    </xf>
    <xf numFmtId="0" fontId="52" fillId="13" borderId="51" xfId="0" applyFont="1" applyFill="1" applyBorder="1" applyAlignment="1" applyProtection="1">
      <alignment horizontal="left" vertical="top" wrapText="1"/>
    </xf>
    <xf numFmtId="0" fontId="52" fillId="13" borderId="38" xfId="0" applyFont="1" applyFill="1" applyBorder="1" applyAlignment="1" applyProtection="1">
      <alignment horizontal="left" vertical="top" wrapText="1"/>
    </xf>
    <xf numFmtId="0" fontId="52"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2" fillId="13" borderId="52" xfId="0" applyFont="1" applyFill="1" applyBorder="1" applyAlignment="1" applyProtection="1">
      <alignment horizontal="left" vertical="top" wrapText="1"/>
    </xf>
    <xf numFmtId="0" fontId="52" fillId="13" borderId="53" xfId="0" applyFont="1" applyFill="1" applyBorder="1" applyAlignment="1" applyProtection="1">
      <alignment horizontal="left" vertical="top" wrapText="1"/>
    </xf>
    <xf numFmtId="0" fontId="52"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6" fillId="0" borderId="13" xfId="0" applyFont="1" applyFill="1" applyBorder="1" applyAlignment="1" applyProtection="1">
      <alignment horizontal="left" vertical="center"/>
    </xf>
    <xf numFmtId="0" fontId="16" fillId="0" borderId="9" xfId="0" applyFont="1" applyFill="1" applyBorder="1" applyAlignment="1" applyProtection="1">
      <alignment horizontal="left" vertical="center"/>
    </xf>
    <xf numFmtId="3" fontId="6" fillId="0" borderId="38" xfId="0" applyNumberFormat="1" applyFont="1" applyBorder="1" applyAlignment="1" applyProtection="1">
      <alignment horizontal="center" vertical="center" wrapText="1"/>
    </xf>
    <xf numFmtId="0" fontId="6" fillId="0" borderId="42" xfId="0" applyFont="1" applyBorder="1" applyAlignment="1" applyProtection="1">
      <alignment horizontal="center" vertical="top" wrapText="1"/>
    </xf>
    <xf numFmtId="0" fontId="6" fillId="0" borderId="20" xfId="0" applyFont="1" applyBorder="1" applyAlignment="1" applyProtection="1">
      <alignment horizontal="center" vertical="top" wrapText="1"/>
    </xf>
    <xf numFmtId="0" fontId="6" fillId="0" borderId="60" xfId="0" applyFont="1" applyBorder="1" applyAlignment="1" applyProtection="1">
      <alignment horizontal="center" vertical="top" wrapText="1"/>
    </xf>
    <xf numFmtId="0" fontId="16" fillId="0" borderId="95" xfId="0" applyFont="1" applyBorder="1" applyAlignment="1" applyProtection="1">
      <alignment horizontal="center" vertical="top" wrapText="1"/>
    </xf>
    <xf numFmtId="0" fontId="59" fillId="0" borderId="0" xfId="0" applyFont="1" applyBorder="1" applyAlignment="1" applyProtection="1">
      <alignment horizontal="center" wrapText="1"/>
    </xf>
    <xf numFmtId="10" fontId="52" fillId="0" borderId="81" xfId="0" applyNumberFormat="1" applyFont="1" applyBorder="1" applyAlignment="1" applyProtection="1">
      <alignment horizontal="center" vertical="center"/>
    </xf>
    <xf numFmtId="10" fontId="52" fillId="0" borderId="82" xfId="0" applyNumberFormat="1" applyFont="1" applyBorder="1" applyAlignment="1" applyProtection="1">
      <alignment horizontal="center" vertical="center"/>
    </xf>
    <xf numFmtId="0" fontId="6" fillId="0" borderId="0" xfId="0" applyFont="1" applyFill="1" applyBorder="1" applyAlignment="1" applyProtection="1">
      <alignment horizontal="center" wrapText="1"/>
    </xf>
    <xf numFmtId="0" fontId="6" fillId="0" borderId="13" xfId="0" applyFont="1" applyFill="1" applyBorder="1" applyAlignment="1" applyProtection="1">
      <alignment horizontal="center" wrapText="1"/>
    </xf>
    <xf numFmtId="0" fontId="52" fillId="0" borderId="0" xfId="0" applyFont="1" applyFill="1" applyAlignment="1" applyProtection="1">
      <alignment horizontal="left" vertical="center" wrapText="1"/>
    </xf>
    <xf numFmtId="0" fontId="6" fillId="0" borderId="0" xfId="0" applyFont="1" applyBorder="1" applyAlignment="1" applyProtection="1">
      <alignment horizontal="left" vertical="top" wrapText="1"/>
    </xf>
    <xf numFmtId="0" fontId="52" fillId="0" borderId="0" xfId="0" applyFont="1" applyFill="1" applyAlignment="1" applyProtection="1">
      <alignment horizontal="center" vertical="center" wrapText="1"/>
    </xf>
    <xf numFmtId="0" fontId="6" fillId="0" borderId="0" xfId="0" applyFont="1" applyBorder="1" applyAlignment="1" applyProtection="1">
      <alignment horizontal="left" vertical="center"/>
    </xf>
    <xf numFmtId="0" fontId="15" fillId="0" borderId="0" xfId="0" applyFont="1" applyFill="1" applyAlignment="1" applyProtection="1">
      <alignment horizontal="left" vertical="top" wrapText="1"/>
    </xf>
    <xf numFmtId="0" fontId="92" fillId="0" borderId="81" xfId="0" applyFont="1" applyFill="1" applyBorder="1" applyAlignment="1" applyProtection="1">
      <alignment horizontal="left" vertical="center" wrapText="1"/>
    </xf>
    <xf numFmtId="0" fontId="92" fillId="0" borderId="85" xfId="0" applyFont="1" applyFill="1" applyBorder="1" applyAlignment="1" applyProtection="1">
      <alignment horizontal="left" vertical="center" wrapText="1"/>
    </xf>
    <xf numFmtId="0" fontId="92" fillId="0" borderId="82" xfId="0" applyFont="1" applyFill="1" applyBorder="1" applyAlignment="1" applyProtection="1">
      <alignment horizontal="left" vertical="center" wrapText="1"/>
    </xf>
    <xf numFmtId="0" fontId="52" fillId="13" borderId="49" xfId="0" applyFont="1" applyFill="1" applyBorder="1" applyAlignment="1" applyProtection="1">
      <alignment horizontal="left" vertical="top" wrapText="1"/>
    </xf>
    <xf numFmtId="0" fontId="52" fillId="13" borderId="50" xfId="0" applyFont="1" applyFill="1" applyBorder="1" applyAlignment="1" applyProtection="1">
      <alignment horizontal="left" vertical="top" wrapText="1"/>
    </xf>
    <xf numFmtId="0" fontId="6" fillId="0" borderId="13" xfId="0" applyFont="1" applyFill="1" applyBorder="1" applyAlignment="1" applyProtection="1">
      <alignment horizontal="center"/>
    </xf>
    <xf numFmtId="174" fontId="88" fillId="0" borderId="33" xfId="0" applyNumberFormat="1" applyFont="1" applyFill="1" applyBorder="1" applyAlignment="1" applyProtection="1">
      <alignment horizontal="center" vertical="center"/>
    </xf>
    <xf numFmtId="174" fontId="88" fillId="0" borderId="34" xfId="0" applyNumberFormat="1" applyFont="1" applyFill="1" applyBorder="1" applyAlignment="1" applyProtection="1">
      <alignment horizontal="center" vertical="center"/>
    </xf>
    <xf numFmtId="3" fontId="6" fillId="0" borderId="28" xfId="0" applyNumberFormat="1" applyFont="1" applyFill="1" applyBorder="1" applyAlignment="1" applyProtection="1">
      <alignment horizontal="center" vertical="center"/>
    </xf>
    <xf numFmtId="3" fontId="6" fillId="0" borderId="29" xfId="0" applyNumberFormat="1" applyFont="1" applyFill="1" applyBorder="1" applyAlignment="1" applyProtection="1">
      <alignment horizontal="center" vertical="center"/>
    </xf>
    <xf numFmtId="0" fontId="6" fillId="0" borderId="0" xfId="0" applyFont="1" applyFill="1" applyAlignment="1" applyProtection="1">
      <alignment horizontal="left" wrapText="1"/>
    </xf>
    <xf numFmtId="0" fontId="113" fillId="0" borderId="0" xfId="0" applyFont="1" applyFill="1" applyAlignment="1" applyProtection="1">
      <alignment horizontal="left" vertical="center" wrapText="1"/>
    </xf>
    <xf numFmtId="0" fontId="52" fillId="13" borderId="36" xfId="0" applyFont="1" applyFill="1" applyBorder="1" applyAlignment="1" applyProtection="1">
      <alignment horizontal="left" vertical="top" wrapText="1"/>
    </xf>
    <xf numFmtId="0" fontId="52" fillId="13" borderId="2" xfId="0" applyFont="1" applyFill="1" applyBorder="1" applyAlignment="1" applyProtection="1">
      <alignment horizontal="left" vertical="top" wrapText="1"/>
    </xf>
    <xf numFmtId="0" fontId="52" fillId="13" borderId="37" xfId="0" applyFont="1" applyFill="1" applyBorder="1" applyAlignment="1" applyProtection="1">
      <alignment horizontal="left" vertical="top" wrapText="1"/>
    </xf>
    <xf numFmtId="0" fontId="52"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6" fillId="0" borderId="0" xfId="0" applyFont="1" applyAlignment="1" applyProtection="1">
      <alignment horizontal="left" vertical="top" wrapText="1"/>
    </xf>
    <xf numFmtId="0" fontId="104" fillId="0" borderId="0" xfId="0" applyFont="1" applyAlignment="1" applyProtection="1">
      <alignment horizontal="left" vertical="center"/>
    </xf>
    <xf numFmtId="49" fontId="104" fillId="0" borderId="0" xfId="0" applyNumberFormat="1" applyFont="1" applyAlignment="1" applyProtection="1">
      <alignment horizontal="left" vertical="center"/>
    </xf>
    <xf numFmtId="0" fontId="132" fillId="0" borderId="0" xfId="6" applyFont="1" applyAlignment="1" applyProtection="1">
      <alignment horizontal="left"/>
    </xf>
    <xf numFmtId="0" fontId="104" fillId="0" borderId="81" xfId="0" applyFont="1" applyBorder="1" applyAlignment="1" applyProtection="1">
      <alignment horizontal="left" vertical="center"/>
    </xf>
    <xf numFmtId="0" fontId="104" fillId="0" borderId="82" xfId="0" applyFont="1" applyBorder="1" applyAlignment="1" applyProtection="1">
      <alignment horizontal="left" vertical="center"/>
    </xf>
    <xf numFmtId="0" fontId="129" fillId="0" borderId="0" xfId="0" applyFont="1" applyFill="1" applyAlignment="1" applyProtection="1">
      <alignment horizontal="left" vertical="center"/>
    </xf>
    <xf numFmtId="3" fontId="6" fillId="13" borderId="30" xfId="0" applyNumberFormat="1" applyFont="1" applyFill="1" applyBorder="1" applyAlignment="1" applyProtection="1">
      <alignment horizontal="center" vertical="center"/>
    </xf>
    <xf numFmtId="3" fontId="6" fillId="13" borderId="31" xfId="0" applyNumberFormat="1" applyFont="1" applyFill="1" applyBorder="1" applyAlignment="1" applyProtection="1">
      <alignment horizontal="center" vertical="center"/>
    </xf>
    <xf numFmtId="3" fontId="6" fillId="13" borderId="57" xfId="0" applyNumberFormat="1" applyFont="1" applyFill="1" applyBorder="1" applyAlignment="1" applyProtection="1">
      <alignment horizontal="center" vertical="center"/>
    </xf>
    <xf numFmtId="3" fontId="6" fillId="13" borderId="35" xfId="0" applyNumberFormat="1" applyFont="1" applyFill="1" applyBorder="1" applyAlignment="1" applyProtection="1">
      <alignment horizontal="center" vertical="center"/>
    </xf>
    <xf numFmtId="174" fontId="88" fillId="0" borderId="81" xfId="0" applyNumberFormat="1" applyFont="1" applyFill="1" applyBorder="1" applyAlignment="1" applyProtection="1">
      <alignment horizontal="center" vertical="center"/>
    </xf>
    <xf numFmtId="174" fontId="88" fillId="0" borderId="82" xfId="0" applyNumberFormat="1" applyFont="1" applyFill="1" applyBorder="1" applyAlignment="1" applyProtection="1">
      <alignment horizontal="center" vertical="center"/>
    </xf>
    <xf numFmtId="3" fontId="6" fillId="13" borderId="28" xfId="0" applyNumberFormat="1" applyFont="1" applyFill="1" applyBorder="1" applyAlignment="1" applyProtection="1">
      <alignment horizontal="center" vertical="center"/>
    </xf>
    <xf numFmtId="3" fontId="6" fillId="13" borderId="29" xfId="0" applyNumberFormat="1" applyFont="1" applyFill="1" applyBorder="1" applyAlignment="1" applyProtection="1">
      <alignment horizontal="center" vertical="center"/>
    </xf>
    <xf numFmtId="0" fontId="145" fillId="0" borderId="0" xfId="13" applyFont="1" applyAlignment="1" applyProtection="1">
      <alignment horizontal="justify" vertical="top"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46" fillId="0" borderId="0" xfId="13" applyFont="1" applyAlignment="1" applyProtection="1"/>
    <xf numFmtId="0" fontId="145" fillId="0" borderId="0" xfId="13" applyFont="1" applyAlignment="1" applyProtection="1"/>
    <xf numFmtId="0" fontId="146" fillId="0" borderId="0" xfId="13" applyFont="1" applyAlignment="1" applyProtection="1">
      <alignment horizontal="justify" vertical="top" wrapText="1"/>
    </xf>
    <xf numFmtId="0" fontId="145" fillId="0" borderId="0" xfId="13" applyFont="1" applyAlignment="1" applyProtection="1">
      <alignment horizontal="justify" vertical="top"/>
    </xf>
    <xf numFmtId="0" fontId="145" fillId="0" borderId="0" xfId="13" applyNumberFormat="1" applyFont="1" applyAlignment="1" applyProtection="1">
      <alignment horizontal="justify" vertical="top" wrapText="1"/>
    </xf>
    <xf numFmtId="0" fontId="11" fillId="0" borderId="0" xfId="13" applyFont="1" applyAlignment="1" applyProtection="1">
      <alignment horizontal="justify" vertical="top" wrapText="1"/>
    </xf>
    <xf numFmtId="0" fontId="11" fillId="7" borderId="0" xfId="13" applyFont="1" applyFill="1" applyAlignment="1" applyProtection="1">
      <alignment horizontal="justify" vertical="top" wrapText="1"/>
    </xf>
    <xf numFmtId="0" fontId="160" fillId="10" borderId="0" xfId="13" applyFont="1" applyFill="1" applyAlignment="1" applyProtection="1">
      <alignment horizontal="justify" vertical="top" wrapText="1"/>
    </xf>
    <xf numFmtId="0" fontId="169" fillId="0" borderId="0" xfId="13" applyFont="1" applyAlignment="1" applyProtection="1">
      <alignment horizontal="left"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69" fillId="0" borderId="0" xfId="13" applyFont="1" applyAlignment="1" applyProtection="1">
      <alignment horizontal="justify" vertical="top" wrapText="1"/>
    </xf>
    <xf numFmtId="0" fontId="144" fillId="0" borderId="0" xfId="13" applyFont="1" applyFill="1" applyAlignment="1" applyProtection="1">
      <alignment horizontal="justify" vertical="top" wrapText="1"/>
    </xf>
    <xf numFmtId="0" fontId="11" fillId="0" borderId="0" xfId="13" applyFont="1" applyFill="1" applyAlignment="1" applyProtection="1">
      <alignment horizontal="justify" vertical="top" wrapText="1"/>
    </xf>
    <xf numFmtId="0" fontId="169" fillId="0" borderId="0" xfId="13" applyFont="1" applyAlignment="1" applyProtection="1">
      <alignment horizontal="left"/>
    </xf>
    <xf numFmtId="0" fontId="169" fillId="0" borderId="0" xfId="13" applyFont="1" applyAlignment="1" applyProtection="1"/>
    <xf numFmtId="0" fontId="171" fillId="0" borderId="0" xfId="13" applyFont="1" applyFill="1" applyAlignment="1" applyProtection="1">
      <alignment horizontal="justify" vertical="top" wrapText="1"/>
    </xf>
    <xf numFmtId="0" fontId="160" fillId="10" borderId="40" xfId="13" applyFont="1" applyFill="1" applyBorder="1" applyAlignment="1" applyProtection="1">
      <alignment horizontal="left" vertical="top" wrapText="1"/>
    </xf>
    <xf numFmtId="0" fontId="160" fillId="10" borderId="0" xfId="13" applyFont="1" applyFill="1" applyBorder="1" applyAlignment="1" applyProtection="1">
      <alignment horizontal="left" vertical="top" wrapText="1"/>
    </xf>
    <xf numFmtId="0" fontId="11" fillId="0" borderId="0" xfId="13" applyFont="1" applyAlignment="1" applyProtection="1">
      <alignment horizontal="left"/>
    </xf>
    <xf numFmtId="0" fontId="11" fillId="0" borderId="73" xfId="13" applyFont="1" applyBorder="1" applyAlignment="1" applyProtection="1">
      <alignment horizontal="center"/>
    </xf>
    <xf numFmtId="0" fontId="160" fillId="10" borderId="0" xfId="13" applyFont="1" applyFill="1" applyAlignment="1" applyProtection="1">
      <alignment horizontal="left" vertical="top" wrapText="1"/>
    </xf>
    <xf numFmtId="0" fontId="11" fillId="10" borderId="0" xfId="13" applyFont="1" applyFill="1" applyAlignment="1" applyProtection="1">
      <alignment horizontal="left" vertical="top"/>
    </xf>
    <xf numFmtId="0" fontId="145" fillId="0" borderId="0" xfId="13" applyFont="1" applyFill="1" applyAlignment="1" applyProtection="1">
      <alignment horizontal="left"/>
    </xf>
    <xf numFmtId="0" fontId="145" fillId="5" borderId="0" xfId="0" applyFont="1" applyFill="1" applyBorder="1" applyAlignment="1" applyProtection="1">
      <alignment horizontal="left" vertical="center"/>
    </xf>
    <xf numFmtId="0" fontId="156" fillId="0" borderId="40" xfId="13" applyFont="1" applyBorder="1" applyAlignment="1" applyProtection="1">
      <alignment horizontal="right"/>
    </xf>
    <xf numFmtId="0" fontId="156" fillId="0" borderId="0" xfId="13" applyFont="1" applyAlignment="1" applyProtection="1">
      <alignment horizontal="right"/>
    </xf>
    <xf numFmtId="4" fontId="145" fillId="0" borderId="0" xfId="13" applyNumberFormat="1" applyFont="1" applyFill="1" applyAlignment="1" applyProtection="1">
      <alignment horizontal="left"/>
    </xf>
    <xf numFmtId="181" fontId="145" fillId="0" borderId="0" xfId="13" applyNumberFormat="1" applyFont="1" applyFill="1" applyAlignment="1" applyProtection="1">
      <alignment horizontal="left"/>
    </xf>
    <xf numFmtId="3" fontId="145" fillId="0" borderId="0" xfId="13" applyNumberFormat="1" applyFont="1" applyFill="1" applyAlignment="1" applyProtection="1">
      <alignment horizontal="left"/>
    </xf>
    <xf numFmtId="165" fontId="28" fillId="0" borderId="81" xfId="13" applyNumberFormat="1" applyFont="1" applyBorder="1" applyAlignment="1" applyProtection="1">
      <alignment horizontal="center" vertical="center"/>
    </xf>
    <xf numFmtId="165" fontId="28" fillId="0" borderId="82" xfId="13" applyNumberFormat="1" applyFont="1" applyBorder="1" applyAlignment="1" applyProtection="1">
      <alignment horizontal="center" vertical="center"/>
    </xf>
    <xf numFmtId="0" fontId="163" fillId="0" borderId="0" xfId="13" applyFont="1" applyAlignment="1">
      <alignment horizontal="center"/>
    </xf>
    <xf numFmtId="0" fontId="198" fillId="0" borderId="0" xfId="13" applyFont="1" applyAlignment="1">
      <alignment horizontal="center" vertical="center"/>
    </xf>
    <xf numFmtId="0" fontId="166" fillId="0" borderId="0" xfId="13" applyFont="1" applyAlignment="1" applyProtection="1">
      <alignment horizontal="center"/>
    </xf>
    <xf numFmtId="0" fontId="7" fillId="20" borderId="109" xfId="13" applyFont="1" applyFill="1" applyBorder="1" applyAlignment="1" applyProtection="1">
      <alignment horizontal="center" vertical="center"/>
    </xf>
    <xf numFmtId="0" fontId="7" fillId="20" borderId="110" xfId="13" applyFont="1" applyFill="1" applyBorder="1" applyAlignment="1" applyProtection="1">
      <alignment horizontal="center" vertical="center"/>
    </xf>
    <xf numFmtId="0" fontId="7" fillId="0" borderId="80" xfId="13" applyFont="1" applyBorder="1" applyAlignment="1" applyProtection="1">
      <alignment horizontal="center" vertical="center"/>
    </xf>
    <xf numFmtId="0" fontId="7" fillId="0" borderId="21" xfId="13" applyFont="1" applyBorder="1" applyAlignment="1" applyProtection="1">
      <alignment horizontal="center" vertical="center"/>
    </xf>
    <xf numFmtId="0" fontId="7" fillId="0" borderId="77" xfId="13" applyFont="1" applyBorder="1" applyAlignment="1" applyProtection="1">
      <alignment horizontal="center" vertical="center"/>
    </xf>
    <xf numFmtId="0" fontId="6" fillId="0" borderId="0" xfId="13" applyFont="1" applyAlignment="1" applyProtection="1">
      <alignment horizontal="center" vertical="center" wrapText="1"/>
    </xf>
    <xf numFmtId="0" fontId="6" fillId="0" borderId="20" xfId="13" applyFont="1" applyBorder="1" applyAlignment="1" applyProtection="1">
      <alignment horizontal="center" vertical="center" wrapText="1"/>
    </xf>
    <xf numFmtId="0" fontId="7" fillId="0" borderId="0" xfId="13" applyFont="1" applyAlignment="1" applyProtection="1">
      <alignment horizontal="left" vertical="center" wrapText="1"/>
    </xf>
    <xf numFmtId="37" fontId="15" fillId="0" borderId="53" xfId="13" applyNumberFormat="1" applyFont="1" applyBorder="1" applyAlignment="1" applyProtection="1">
      <alignment horizontal="center" vertical="center"/>
    </xf>
    <xf numFmtId="3" fontId="15" fillId="0" borderId="53" xfId="13" applyNumberFormat="1" applyFont="1" applyBorder="1" applyAlignment="1" applyProtection="1">
      <alignment horizontal="center" vertical="center"/>
    </xf>
    <xf numFmtId="0" fontId="25" fillId="0" borderId="89" xfId="13" applyFont="1" applyBorder="1" applyAlignment="1" applyProtection="1">
      <alignment horizontal="center" vertical="center" wrapText="1"/>
    </xf>
    <xf numFmtId="0" fontId="5" fillId="0" borderId="0" xfId="13" applyFont="1" applyAlignment="1">
      <alignment horizontal="center"/>
    </xf>
    <xf numFmtId="0" fontId="10" fillId="0" borderId="0" xfId="13" applyFont="1" applyAlignment="1">
      <alignment horizontal="center"/>
    </xf>
    <xf numFmtId="0" fontId="5" fillId="10" borderId="0" xfId="13" applyFont="1" applyFill="1" applyAlignment="1">
      <alignment horizontal="left"/>
    </xf>
    <xf numFmtId="0" fontId="10" fillId="0" borderId="0" xfId="13" applyFont="1" applyAlignment="1" applyProtection="1">
      <alignment horizontal="justify" vertical="top" wrapText="1"/>
    </xf>
    <xf numFmtId="0" fontId="5" fillId="0" borderId="0" xfId="13" applyFont="1" applyAlignment="1" applyProtection="1">
      <alignment horizontal="justify" vertical="top" wrapText="1"/>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13" xfId="13" applyFont="1" applyFill="1" applyBorder="1" applyAlignment="1" applyProtection="1">
      <alignment horizontal="left" vertical="top"/>
    </xf>
    <xf numFmtId="0" fontId="5" fillId="10" borderId="21"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20" xfId="13" applyFont="1" applyFill="1" applyBorder="1" applyAlignment="1" applyProtection="1">
      <alignment horizontal="left"/>
    </xf>
    <xf numFmtId="0" fontId="28" fillId="0" borderId="0" xfId="13" applyFont="1" applyAlignment="1" applyProtection="1">
      <alignment horizontal="center"/>
    </xf>
    <xf numFmtId="0" fontId="10" fillId="10" borderId="13" xfId="13" applyFont="1" applyFill="1" applyBorder="1" applyAlignment="1" applyProtection="1">
      <alignment horizontal="left"/>
    </xf>
    <xf numFmtId="0" fontId="10" fillId="10" borderId="0" xfId="13" applyFont="1" applyFill="1" applyAlignment="1" applyProtection="1">
      <alignment horizontal="left" vertical="top" wrapText="1"/>
    </xf>
    <xf numFmtId="0" fontId="5" fillId="10" borderId="0" xfId="13" applyFont="1" applyFill="1" applyAlignment="1" applyProtection="1">
      <alignment horizontal="center"/>
    </xf>
    <xf numFmtId="0" fontId="5" fillId="0" borderId="0" xfId="13" applyFont="1" applyFill="1" applyAlignment="1" applyProtection="1">
      <alignment horizontal="justify" vertical="top" wrapText="1"/>
    </xf>
    <xf numFmtId="0" fontId="24" fillId="0" borderId="0" xfId="13" applyFont="1" applyAlignment="1" applyProtection="1">
      <alignment horizontal="left" vertical="top" wrapText="1"/>
    </xf>
    <xf numFmtId="181" fontId="5" fillId="0" borderId="0" xfId="13" applyNumberFormat="1" applyFont="1" applyFill="1" applyAlignment="1" applyProtection="1">
      <alignment horizontal="left" vertical="top"/>
    </xf>
    <xf numFmtId="0" fontId="5" fillId="10" borderId="0" xfId="13" applyFont="1" applyFill="1" applyAlignment="1" applyProtection="1">
      <alignment horizontal="left"/>
    </xf>
    <xf numFmtId="0" fontId="5" fillId="10" borderId="0" xfId="13" applyFont="1" applyFill="1" applyAlignment="1" applyProtection="1">
      <alignment horizontal="left" vertical="top"/>
    </xf>
    <xf numFmtId="0" fontId="5" fillId="0" borderId="0" xfId="13" applyFont="1" applyAlignment="1" applyProtection="1">
      <alignment horizontal="left" vertical="top" wrapText="1"/>
    </xf>
    <xf numFmtId="0" fontId="10" fillId="0" borderId="81" xfId="13" applyFont="1" applyBorder="1" applyAlignment="1">
      <alignment horizontal="center"/>
    </xf>
    <xf numFmtId="0" fontId="10" fillId="0" borderId="85" xfId="13" applyFont="1" applyBorder="1" applyAlignment="1">
      <alignment horizontal="center"/>
    </xf>
    <xf numFmtId="0" fontId="10" fillId="0" borderId="82" xfId="13" applyFont="1" applyBorder="1" applyAlignment="1">
      <alignment horizontal="center"/>
    </xf>
    <xf numFmtId="0" fontId="5" fillId="0" borderId="103" xfId="13" applyFont="1" applyBorder="1" applyAlignment="1">
      <alignment horizontal="center"/>
    </xf>
    <xf numFmtId="0" fontId="5" fillId="0" borderId="22" xfId="13" applyFont="1" applyBorder="1" applyAlignment="1">
      <alignment horizontal="center"/>
    </xf>
    <xf numFmtId="0" fontId="5" fillId="0" borderId="104" xfId="13" applyFont="1" applyBorder="1" applyAlignment="1">
      <alignment horizontal="center"/>
    </xf>
    <xf numFmtId="3" fontId="10" fillId="0" borderId="80" xfId="13" applyNumberFormat="1" applyFont="1" applyBorder="1" applyAlignment="1">
      <alignment horizontal="center"/>
    </xf>
    <xf numFmtId="3" fontId="10" fillId="0" borderId="21" xfId="13" applyNumberFormat="1" applyFont="1" applyBorder="1" applyAlignment="1">
      <alignment horizontal="center"/>
    </xf>
    <xf numFmtId="3" fontId="10" fillId="0" borderId="31" xfId="13" applyNumberFormat="1" applyFont="1" applyBorder="1" applyAlignment="1">
      <alignment horizontal="center"/>
    </xf>
    <xf numFmtId="0" fontId="5" fillId="0" borderId="30" xfId="13" applyFont="1" applyBorder="1" applyAlignment="1">
      <alignment horizontal="center"/>
    </xf>
    <xf numFmtId="0" fontId="5" fillId="0" borderId="21" xfId="13" applyFont="1" applyBorder="1" applyAlignment="1">
      <alignment horizontal="center"/>
    </xf>
    <xf numFmtId="0" fontId="5" fillId="0" borderId="31" xfId="13" applyFont="1" applyBorder="1" applyAlignment="1">
      <alignment horizontal="center"/>
    </xf>
    <xf numFmtId="0" fontId="10" fillId="0" borderId="30" xfId="13" applyFont="1" applyBorder="1" applyAlignment="1">
      <alignment horizontal="center"/>
    </xf>
    <xf numFmtId="0" fontId="10" fillId="0" borderId="77" xfId="13" applyFont="1" applyBorder="1" applyAlignment="1">
      <alignment horizontal="center"/>
    </xf>
    <xf numFmtId="0" fontId="10" fillId="0" borderId="7" xfId="13" applyFont="1" applyBorder="1" applyAlignment="1">
      <alignment horizontal="center"/>
    </xf>
    <xf numFmtId="0" fontId="10" fillId="0" borderId="0" xfId="13" applyFont="1" applyBorder="1" applyAlignment="1">
      <alignment horizontal="center"/>
    </xf>
    <xf numFmtId="0" fontId="10" fillId="0" borderId="8" xfId="13" applyFont="1" applyBorder="1" applyAlignment="1">
      <alignment horizontal="center"/>
    </xf>
    <xf numFmtId="0" fontId="5" fillId="0" borderId="83" xfId="13" applyFont="1" applyBorder="1" applyAlignment="1">
      <alignment horizontal="left"/>
    </xf>
    <xf numFmtId="0" fontId="5" fillId="0" borderId="88" xfId="13" applyFont="1" applyBorder="1" applyAlignment="1">
      <alignment horizontal="left"/>
    </xf>
    <xf numFmtId="0" fontId="5" fillId="0" borderId="80" xfId="13" applyFont="1" applyBorder="1" applyAlignment="1">
      <alignment horizontal="left"/>
    </xf>
    <xf numFmtId="0" fontId="5" fillId="0" borderId="21" xfId="13" applyBorder="1" applyAlignment="1">
      <alignment horizontal="left"/>
    </xf>
    <xf numFmtId="0" fontId="5" fillId="0" borderId="31" xfId="13" applyBorder="1" applyAlignment="1">
      <alignment horizontal="left"/>
    </xf>
    <xf numFmtId="0" fontId="5" fillId="0" borderId="80" xfId="13" applyFont="1" applyBorder="1" applyAlignment="1">
      <alignment horizontal="center"/>
    </xf>
    <xf numFmtId="0" fontId="5" fillId="0" borderId="77" xfId="13" applyBorder="1" applyAlignment="1">
      <alignment horizontal="center"/>
    </xf>
    <xf numFmtId="1" fontId="5" fillId="0" borderId="80" xfId="13" applyNumberFormat="1" applyBorder="1" applyAlignment="1">
      <alignment horizontal="center"/>
    </xf>
    <xf numFmtId="1" fontId="5" fillId="0" borderId="77" xfId="13" applyNumberFormat="1" applyBorder="1" applyAlignment="1">
      <alignment horizontal="center"/>
    </xf>
    <xf numFmtId="3" fontId="5" fillId="0" borderId="80" xfId="13" applyNumberFormat="1" applyBorder="1" applyAlignment="1">
      <alignment horizontal="center"/>
    </xf>
    <xf numFmtId="3" fontId="5" fillId="0" borderId="77" xfId="13" applyNumberFormat="1" applyBorder="1" applyAlignment="1">
      <alignment horizontal="center"/>
    </xf>
    <xf numFmtId="0" fontId="10" fillId="0" borderId="101" xfId="13" applyFont="1" applyBorder="1" applyAlignment="1">
      <alignment horizontal="left"/>
    </xf>
    <xf numFmtId="0" fontId="10" fillId="0" borderId="29" xfId="13" applyFont="1" applyBorder="1" applyAlignment="1">
      <alignment horizontal="left"/>
    </xf>
    <xf numFmtId="0" fontId="5" fillId="0" borderId="7" xfId="13" applyFont="1" applyBorder="1" applyAlignment="1">
      <alignment horizontal="center"/>
    </xf>
    <xf numFmtId="0" fontId="5" fillId="0" borderId="0" xfId="13" applyFont="1" applyBorder="1" applyAlignment="1">
      <alignment horizontal="center"/>
    </xf>
    <xf numFmtId="0" fontId="5" fillId="0" borderId="0" xfId="13" applyFont="1" applyBorder="1" applyAlignment="1">
      <alignment horizontal="left"/>
    </xf>
    <xf numFmtId="0" fontId="5" fillId="0" borderId="8" xfId="13" applyFont="1" applyBorder="1" applyAlignment="1">
      <alignment horizontal="left"/>
    </xf>
    <xf numFmtId="3" fontId="5" fillId="10" borderId="20" xfId="13" applyNumberFormat="1" applyFill="1" applyBorder="1" applyAlignment="1">
      <alignment horizontal="right"/>
    </xf>
    <xf numFmtId="3" fontId="5" fillId="0" borderId="21" xfId="13" applyNumberFormat="1" applyBorder="1" applyAlignment="1">
      <alignment horizontal="right"/>
    </xf>
    <xf numFmtId="3" fontId="5" fillId="0" borderId="21" xfId="13" applyNumberFormat="1" applyBorder="1" applyAlignment="1">
      <alignment horizontal="right" wrapText="1"/>
    </xf>
    <xf numFmtId="3" fontId="5" fillId="10" borderId="13" xfId="13" applyNumberFormat="1" applyFill="1" applyBorder="1" applyAlignment="1">
      <alignment horizontal="right"/>
    </xf>
    <xf numFmtId="3" fontId="5" fillId="0" borderId="88" xfId="13" applyNumberFormat="1" applyBorder="1" applyAlignment="1">
      <alignment horizontal="right"/>
    </xf>
    <xf numFmtId="3" fontId="5" fillId="0" borderId="0" xfId="13" applyNumberFormat="1" applyBorder="1" applyAlignment="1">
      <alignment horizontal="right"/>
    </xf>
    <xf numFmtId="3" fontId="5" fillId="0" borderId="13" xfId="13" applyNumberFormat="1" applyBorder="1" applyAlignment="1">
      <alignment horizontal="right"/>
    </xf>
    <xf numFmtId="3" fontId="5" fillId="10" borderId="21" xfId="13" applyNumberFormat="1" applyFill="1" applyBorder="1" applyAlignment="1">
      <alignment horizontal="right"/>
    </xf>
    <xf numFmtId="3" fontId="5" fillId="0" borderId="13" xfId="13" applyNumberFormat="1" applyFont="1" applyBorder="1" applyAlignment="1">
      <alignment horizontal="right"/>
    </xf>
    <xf numFmtId="0" fontId="52" fillId="0" borderId="44" xfId="0" applyFont="1" applyBorder="1" applyAlignment="1" applyProtection="1">
      <alignment horizontal="center" vertical="center"/>
    </xf>
    <xf numFmtId="0" fontId="52" fillId="0" borderId="19" xfId="0" applyFont="1" applyBorder="1" applyAlignment="1" applyProtection="1">
      <alignment horizontal="center" vertical="center"/>
    </xf>
    <xf numFmtId="0" fontId="52" fillId="0" borderId="39" xfId="0" applyFont="1" applyBorder="1" applyAlignment="1" applyProtection="1">
      <alignment horizontal="center" vertical="center"/>
    </xf>
    <xf numFmtId="0" fontId="54" fillId="0" borderId="36" xfId="0"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4" fillId="0" borderId="37" xfId="0" applyFont="1" applyFill="1" applyBorder="1" applyAlignment="1" applyProtection="1">
      <alignment horizontal="center" vertical="center"/>
    </xf>
    <xf numFmtId="3" fontId="52" fillId="0" borderId="36" xfId="1" applyNumberFormat="1" applyFont="1" applyFill="1" applyBorder="1" applyAlignment="1" applyProtection="1">
      <alignment horizontal="center" vertical="center"/>
    </xf>
    <xf numFmtId="3" fontId="52" fillId="0" borderId="37"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2" xfId="0" applyFont="1" applyFill="1" applyBorder="1" applyAlignment="1" applyProtection="1">
      <alignment horizontal="left"/>
    </xf>
    <xf numFmtId="0" fontId="52" fillId="5" borderId="37" xfId="0" applyFont="1" applyFill="1" applyBorder="1" applyAlignment="1" applyProtection="1">
      <alignment horizontal="left"/>
    </xf>
    <xf numFmtId="9" fontId="52" fillId="0" borderId="3" xfId="10" applyFont="1" applyBorder="1" applyAlignment="1" applyProtection="1">
      <alignment horizontal="center" vertical="center"/>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4" fillId="0" borderId="0" xfId="12" applyFont="1" applyProtection="1"/>
    <xf numFmtId="0" fontId="134" fillId="0" borderId="88" xfId="12" applyFont="1" applyBorder="1" applyAlignment="1" applyProtection="1">
      <alignment horizontal="center" vertical="center" wrapText="1"/>
    </xf>
    <xf numFmtId="0" fontId="125" fillId="0" borderId="0" xfId="12" applyFont="1" applyProtection="1"/>
    <xf numFmtId="0" fontId="125" fillId="0" borderId="0" xfId="12" applyFont="1" applyBorder="1" applyAlignment="1" applyProtection="1">
      <alignment horizontal="center" wrapText="1"/>
    </xf>
    <xf numFmtId="0" fontId="129" fillId="20" borderId="81" xfId="12" applyFont="1" applyFill="1" applyBorder="1" applyAlignment="1" applyProtection="1">
      <alignment horizontal="center"/>
    </xf>
    <xf numFmtId="0" fontId="129" fillId="20" borderId="85" xfId="12" applyFont="1" applyFill="1" applyBorder="1" applyAlignment="1" applyProtection="1">
      <alignment horizontal="center"/>
    </xf>
    <xf numFmtId="0" fontId="129" fillId="20" borderId="82" xfId="12" applyFont="1" applyFill="1" applyBorder="1" applyAlignment="1" applyProtection="1">
      <alignment horizontal="center"/>
    </xf>
    <xf numFmtId="0" fontId="127" fillId="0" borderId="0" xfId="12" applyFont="1" applyBorder="1" applyAlignment="1" applyProtection="1">
      <alignment horizontal="center" wrapText="1"/>
    </xf>
    <xf numFmtId="0" fontId="127" fillId="0" borderId="0" xfId="12" applyFont="1" applyBorder="1" applyProtection="1"/>
    <xf numFmtId="0" fontId="127" fillId="0" borderId="0" xfId="12" applyFont="1" applyBorder="1" applyAlignment="1" applyProtection="1">
      <alignment horizontal="right"/>
    </xf>
    <xf numFmtId="0" fontId="127" fillId="0" borderId="0" xfId="12" applyFont="1" applyProtection="1"/>
    <xf numFmtId="0" fontId="125" fillId="0" borderId="86" xfId="12" applyFont="1" applyBorder="1" applyAlignment="1" applyProtection="1">
      <alignment horizontal="center" wrapText="1"/>
    </xf>
    <xf numFmtId="0" fontId="127" fillId="0" borderId="86" xfId="12" applyFont="1" applyBorder="1" applyAlignment="1" applyProtection="1">
      <alignment horizontal="left"/>
    </xf>
    <xf numFmtId="0" fontId="127" fillId="0" borderId="86" xfId="12" applyFont="1" applyBorder="1" applyAlignment="1" applyProtection="1">
      <alignment horizontal="center" wrapText="1"/>
    </xf>
    <xf numFmtId="0" fontId="127" fillId="0" borderId="86" xfId="12" applyFont="1" applyBorder="1" applyProtection="1"/>
    <xf numFmtId="49" fontId="125" fillId="0" borderId="0" xfId="12" applyNumberFormat="1" applyFont="1" applyAlignment="1" applyProtection="1">
      <alignment vertical="top"/>
    </xf>
    <xf numFmtId="49" fontId="125" fillId="0" borderId="0" xfId="12" applyNumberFormat="1" applyFont="1" applyAlignment="1" applyProtection="1">
      <alignment horizontal="left" vertical="top"/>
    </xf>
    <xf numFmtId="49" fontId="125" fillId="0" borderId="73" xfId="12" quotePrefix="1" applyNumberFormat="1" applyFont="1" applyBorder="1" applyAlignment="1" applyProtection="1">
      <alignment horizontal="center" vertical="top"/>
    </xf>
    <xf numFmtId="0" fontId="125" fillId="0" borderId="0" xfId="12" applyFont="1" applyAlignment="1" applyProtection="1">
      <alignment vertical="top"/>
    </xf>
    <xf numFmtId="0" fontId="125" fillId="0" borderId="0" xfId="12" applyFont="1" applyAlignment="1" applyProtection="1">
      <alignment horizontal="right" vertical="top"/>
    </xf>
    <xf numFmtId="0" fontId="125" fillId="10" borderId="12" xfId="12" applyFont="1" applyFill="1" applyBorder="1" applyAlignment="1" applyProtection="1">
      <alignment vertical="top"/>
    </xf>
    <xf numFmtId="49" fontId="125" fillId="0" borderId="0" xfId="12" quotePrefix="1" applyNumberFormat="1" applyFont="1" applyAlignment="1" applyProtection="1">
      <alignment vertical="top"/>
    </xf>
    <xf numFmtId="49" fontId="125" fillId="0" borderId="0" xfId="12" applyNumberFormat="1" applyFont="1" applyAlignment="1" applyProtection="1">
      <alignment horizontal="left" vertical="top" wrapText="1"/>
    </xf>
    <xf numFmtId="49" fontId="125" fillId="0" borderId="95" xfId="12" quotePrefix="1" applyNumberFormat="1" applyFont="1" applyBorder="1" applyAlignment="1" applyProtection="1">
      <alignment horizontal="center" vertical="top"/>
    </xf>
    <xf numFmtId="0" fontId="125" fillId="10" borderId="89" xfId="12" applyFont="1" applyFill="1" applyBorder="1" applyAlignment="1" applyProtection="1">
      <alignment vertical="top"/>
    </xf>
    <xf numFmtId="49" fontId="125" fillId="0" borderId="93" xfId="12" quotePrefix="1" applyNumberFormat="1" applyFont="1" applyBorder="1" applyAlignment="1" applyProtection="1">
      <alignment horizontal="center" vertical="top"/>
    </xf>
    <xf numFmtId="0" fontId="125" fillId="0" borderId="0" xfId="12" applyFont="1" applyAlignment="1" applyProtection="1">
      <alignment horizontal="left" vertical="top"/>
    </xf>
    <xf numFmtId="0" fontId="125" fillId="10" borderId="87" xfId="12" applyFont="1" applyFill="1" applyBorder="1" applyAlignment="1" applyProtection="1">
      <alignment vertical="top"/>
    </xf>
    <xf numFmtId="49" fontId="125" fillId="0" borderId="94" xfId="12" quotePrefix="1" applyNumberFormat="1" applyFont="1" applyBorder="1" applyAlignment="1" applyProtection="1">
      <alignment horizontal="center" vertical="top"/>
    </xf>
    <xf numFmtId="49" fontId="126" fillId="0" borderId="88" xfId="12" applyNumberFormat="1" applyFont="1" applyBorder="1" applyAlignment="1" applyProtection="1">
      <alignment horizontal="center" vertical="top"/>
    </xf>
    <xf numFmtId="49" fontId="125" fillId="0" borderId="88" xfId="12" quotePrefix="1" applyNumberFormat="1" applyFont="1" applyBorder="1" applyAlignment="1" applyProtection="1">
      <alignment vertical="top"/>
    </xf>
    <xf numFmtId="49" fontId="125" fillId="0" borderId="88" xfId="12" applyNumberFormat="1" applyFont="1" applyBorder="1" applyAlignment="1" applyProtection="1">
      <alignment horizontal="left" vertical="top" wrapText="1"/>
    </xf>
    <xf numFmtId="49" fontId="125" fillId="0" borderId="88" xfId="12" applyNumberFormat="1" applyFont="1" applyBorder="1" applyAlignment="1" applyProtection="1">
      <alignment vertical="top"/>
    </xf>
    <xf numFmtId="49" fontId="125" fillId="0" borderId="88" xfId="12" applyNumberFormat="1" applyFont="1" applyBorder="1" applyAlignment="1" applyProtection="1">
      <alignment horizontal="left" vertical="top"/>
    </xf>
    <xf numFmtId="49" fontId="125" fillId="0" borderId="111" xfId="12" quotePrefix="1" applyNumberFormat="1" applyFont="1" applyBorder="1" applyAlignment="1" applyProtection="1">
      <alignment horizontal="center" vertical="top"/>
    </xf>
    <xf numFmtId="0" fontId="125" fillId="0" borderId="88" xfId="12" applyFont="1" applyBorder="1" applyAlignment="1" applyProtection="1">
      <alignment vertical="top"/>
    </xf>
    <xf numFmtId="0" fontId="125" fillId="0" borderId="84" xfId="12" applyFont="1" applyBorder="1" applyAlignment="1" applyProtection="1">
      <alignment vertical="top"/>
    </xf>
    <xf numFmtId="49" fontId="125" fillId="0" borderId="0" xfId="12" quotePrefix="1" applyNumberFormat="1" applyFont="1" applyBorder="1" applyAlignment="1" applyProtection="1">
      <alignment vertical="top"/>
    </xf>
    <xf numFmtId="49" fontId="125" fillId="0" borderId="0" xfId="12" applyNumberFormat="1" applyFont="1" applyBorder="1" applyAlignment="1" applyProtection="1">
      <alignment horizontal="left" vertical="top" wrapText="1"/>
    </xf>
    <xf numFmtId="49" fontId="125" fillId="0" borderId="0" xfId="12" applyNumberFormat="1" applyFont="1" applyBorder="1" applyAlignment="1" applyProtection="1">
      <alignment vertical="top"/>
    </xf>
    <xf numFmtId="49" fontId="125" fillId="0" borderId="0" xfId="12" applyNumberFormat="1" applyFont="1" applyBorder="1" applyAlignment="1" applyProtection="1">
      <alignment horizontal="left" vertical="top"/>
    </xf>
    <xf numFmtId="0" fontId="125" fillId="0" borderId="40" xfId="12" applyFont="1" applyBorder="1" applyAlignment="1" applyProtection="1">
      <alignment horizontal="left" vertical="top" wrapText="1"/>
    </xf>
    <xf numFmtId="0" fontId="125" fillId="0" borderId="0" xfId="12" applyFont="1" applyBorder="1" applyAlignment="1" applyProtection="1">
      <alignment horizontal="left" vertical="top" wrapText="1"/>
    </xf>
    <xf numFmtId="0" fontId="125" fillId="0" borderId="8" xfId="12" applyFont="1" applyBorder="1" applyAlignment="1" applyProtection="1">
      <alignment horizontal="left" vertical="top" wrapText="1"/>
    </xf>
    <xf numFmtId="0" fontId="125" fillId="0" borderId="0" xfId="12" applyFont="1" applyBorder="1" applyAlignment="1" applyProtection="1">
      <alignment vertical="top"/>
    </xf>
    <xf numFmtId="49" fontId="125" fillId="0" borderId="0" xfId="12" applyNumberFormat="1" applyFont="1" applyBorder="1" applyAlignment="1" applyProtection="1">
      <alignment horizontal="right" vertical="top"/>
    </xf>
    <xf numFmtId="0" fontId="125" fillId="0" borderId="0" xfId="12" applyFont="1" applyBorder="1" applyAlignment="1" applyProtection="1">
      <alignment horizontal="justify" vertical="top" wrapText="1"/>
    </xf>
    <xf numFmtId="0" fontId="125" fillId="0" borderId="8" xfId="12" applyFont="1" applyBorder="1" applyAlignment="1" applyProtection="1">
      <alignment horizontal="justify" vertical="top" wrapText="1"/>
    </xf>
    <xf numFmtId="0" fontId="125" fillId="0" borderId="0" xfId="12" applyFont="1" applyFill="1" applyAlignment="1" applyProtection="1">
      <alignment horizontal="right" vertical="top" wrapText="1"/>
    </xf>
    <xf numFmtId="0" fontId="125" fillId="0" borderId="0" xfId="12" applyFont="1" applyFill="1" applyAlignment="1" applyProtection="1">
      <alignment horizontal="left" vertical="top" wrapText="1"/>
    </xf>
    <xf numFmtId="0" fontId="125" fillId="0" borderId="0" xfId="12" applyFont="1" applyBorder="1" applyAlignment="1" applyProtection="1">
      <alignment horizontal="justify" vertical="top" wrapText="1"/>
    </xf>
    <xf numFmtId="0" fontId="125" fillId="0" borderId="8" xfId="12" applyFont="1" applyBorder="1" applyAlignment="1" applyProtection="1">
      <alignment horizontal="justify" vertical="top" wrapText="1"/>
    </xf>
    <xf numFmtId="0" fontId="125" fillId="0" borderId="0" xfId="12" applyFont="1" applyFill="1" applyAlignment="1" applyProtection="1">
      <alignment vertical="top"/>
    </xf>
    <xf numFmtId="0" fontId="125" fillId="0" borderId="8" xfId="12" applyFont="1" applyBorder="1" applyAlignment="1" applyProtection="1">
      <alignment vertical="top"/>
    </xf>
    <xf numFmtId="49" fontId="125" fillId="0" borderId="93" xfId="12" applyNumberFormat="1" applyFont="1" applyBorder="1" applyAlignment="1" applyProtection="1">
      <alignment horizontal="center" vertical="top"/>
    </xf>
    <xf numFmtId="49" fontId="125" fillId="0" borderId="0" xfId="12" applyNumberFormat="1" applyFont="1" applyBorder="1" applyAlignment="1" applyProtection="1">
      <alignment horizontal="center" vertical="top"/>
    </xf>
    <xf numFmtId="49" fontId="194" fillId="0" borderId="0" xfId="12" applyNumberFormat="1" applyFont="1" applyBorder="1" applyAlignment="1" applyProtection="1">
      <alignment horizontal="left" vertical="center" wrapText="1"/>
    </xf>
    <xf numFmtId="49" fontId="194" fillId="0" borderId="41" xfId="12" applyNumberFormat="1" applyFont="1" applyBorder="1" applyAlignment="1" applyProtection="1">
      <alignment horizontal="left" vertical="center" wrapText="1"/>
    </xf>
    <xf numFmtId="49" fontId="125" fillId="0" borderId="19" xfId="12" quotePrefix="1" applyNumberFormat="1" applyFont="1" applyBorder="1" applyAlignment="1" applyProtection="1">
      <alignment vertical="top"/>
    </xf>
    <xf numFmtId="49" fontId="125" fillId="0" borderId="19" xfId="12" applyNumberFormat="1" applyFont="1" applyBorder="1" applyAlignment="1" applyProtection="1">
      <alignment horizontal="left" vertical="top"/>
    </xf>
    <xf numFmtId="0" fontId="125" fillId="0" borderId="19" xfId="12" applyFont="1" applyBorder="1" applyAlignment="1" applyProtection="1">
      <alignment horizontal="left" vertical="top" wrapText="1"/>
    </xf>
    <xf numFmtId="0" fontId="125" fillId="0" borderId="32" xfId="12" applyFont="1" applyBorder="1" applyAlignment="1" applyProtection="1">
      <alignment horizontal="left" vertical="top" wrapText="1"/>
    </xf>
    <xf numFmtId="0" fontId="125" fillId="0" borderId="19" xfId="12" applyFont="1" applyBorder="1" applyAlignment="1" applyProtection="1">
      <alignment horizontal="right" vertical="top"/>
    </xf>
    <xf numFmtId="0" fontId="125" fillId="0" borderId="19" xfId="12" applyFont="1" applyBorder="1" applyAlignment="1" applyProtection="1">
      <alignment horizontal="left" vertical="top"/>
    </xf>
    <xf numFmtId="0" fontId="125" fillId="0" borderId="32" xfId="12" applyFont="1" applyBorder="1" applyAlignment="1" applyProtection="1">
      <alignment vertical="top"/>
    </xf>
    <xf numFmtId="0" fontId="125" fillId="0" borderId="19" xfId="12" applyFont="1" applyBorder="1" applyAlignment="1" applyProtection="1">
      <alignment vertical="top"/>
    </xf>
    <xf numFmtId="49" fontId="125" fillId="0" borderId="19" xfId="12" applyNumberFormat="1" applyFont="1" applyBorder="1" applyAlignment="1" applyProtection="1">
      <alignment horizontal="left" vertical="top" wrapText="1"/>
    </xf>
    <xf numFmtId="0" fontId="125" fillId="0" borderId="0" xfId="12" applyFont="1" applyBorder="1" applyAlignment="1" applyProtection="1">
      <alignment horizontal="right" vertical="top"/>
    </xf>
    <xf numFmtId="0" fontId="125" fillId="0" borderId="0" xfId="12" applyFont="1" applyBorder="1" applyAlignment="1" applyProtection="1">
      <alignment horizontal="left" vertical="top"/>
    </xf>
    <xf numFmtId="0" fontId="125" fillId="0" borderId="0" xfId="12" applyFont="1" applyFill="1" applyBorder="1" applyAlignment="1" applyProtection="1">
      <alignment vertical="top"/>
    </xf>
    <xf numFmtId="49" fontId="125" fillId="0" borderId="59" xfId="12" quotePrefix="1" applyNumberFormat="1" applyFont="1" applyBorder="1" applyAlignment="1" applyProtection="1">
      <alignment vertical="top"/>
    </xf>
    <xf numFmtId="49" fontId="125" fillId="0" borderId="59" xfId="12" applyNumberFormat="1" applyFont="1" applyBorder="1" applyAlignment="1" applyProtection="1">
      <alignment horizontal="left" vertical="top"/>
    </xf>
    <xf numFmtId="49" fontId="125" fillId="0" borderId="50" xfId="12" quotePrefix="1" applyNumberFormat="1" applyFont="1" applyBorder="1" applyAlignment="1" applyProtection="1">
      <alignment horizontal="center" vertical="top"/>
    </xf>
    <xf numFmtId="0" fontId="125" fillId="0" borderId="59" xfId="12" applyFont="1" applyBorder="1" applyAlignment="1" applyProtection="1">
      <alignment vertical="top"/>
    </xf>
    <xf numFmtId="0" fontId="125" fillId="0" borderId="34" xfId="12" applyFont="1" applyBorder="1" applyAlignment="1" applyProtection="1">
      <alignment vertical="top"/>
    </xf>
    <xf numFmtId="0" fontId="125" fillId="0" borderId="88" xfId="12" applyFont="1" applyBorder="1" applyAlignment="1" applyProtection="1">
      <alignment horizontal="right" vertical="top"/>
    </xf>
    <xf numFmtId="0" fontId="125" fillId="0" borderId="88" xfId="12" applyFont="1" applyBorder="1" applyAlignment="1" applyProtection="1">
      <alignment horizontal="lef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Border="1" applyAlignment="1" applyProtection="1">
      <alignment vertical="top"/>
    </xf>
    <xf numFmtId="49" fontId="104" fillId="0" borderId="20" xfId="12" applyNumberFormat="1" applyFont="1" applyFill="1" applyBorder="1" applyAlignment="1" applyProtection="1">
      <alignment vertical="top" wrapText="1"/>
    </xf>
    <xf numFmtId="49" fontId="125" fillId="0" borderId="96" xfId="12" quotePrefix="1" applyNumberFormat="1" applyFont="1" applyBorder="1" applyAlignment="1" applyProtection="1">
      <alignment horizontal="center" vertical="top"/>
    </xf>
    <xf numFmtId="0" fontId="125" fillId="10" borderId="21" xfId="12" applyFont="1" applyFill="1" applyBorder="1" applyAlignment="1" applyProtection="1">
      <alignment horizontal="left" vertical="top" wrapText="1"/>
    </xf>
    <xf numFmtId="0" fontId="125" fillId="10" borderId="31" xfId="12" applyFont="1" applyFill="1" applyBorder="1" applyAlignment="1" applyProtection="1">
      <alignment horizontal="left" vertical="top" wrapText="1"/>
    </xf>
    <xf numFmtId="49" fontId="6" fillId="0" borderId="19" xfId="12" applyNumberFormat="1" applyFont="1" applyBorder="1" applyAlignment="1" applyProtection="1">
      <alignment horizontal="left" vertical="top" wrapText="1"/>
    </xf>
    <xf numFmtId="49" fontId="6" fillId="0" borderId="19" xfId="12" applyNumberFormat="1" applyFont="1" applyBorder="1" applyAlignment="1" applyProtection="1">
      <alignment horizontal="left" vertical="top"/>
    </xf>
    <xf numFmtId="0" fontId="125" fillId="0" borderId="19" xfId="12" applyFont="1" applyBorder="1" applyAlignment="1" applyProtection="1">
      <alignment horizontal="justify" vertical="top" wrapText="1"/>
    </xf>
    <xf numFmtId="49" fontId="6" fillId="0" borderId="0" xfId="12" applyNumberFormat="1" applyFont="1" applyBorder="1" applyAlignment="1" applyProtection="1">
      <alignment horizontal="left" vertical="top" wrapText="1"/>
    </xf>
    <xf numFmtId="0" fontId="125" fillId="0" borderId="0" xfId="12" applyFont="1" applyFill="1" applyBorder="1" applyAlignment="1" applyProtection="1">
      <alignment horizontal="right" vertical="top" wrapText="1"/>
    </xf>
    <xf numFmtId="0" fontId="125" fillId="0" borderId="0" xfId="12" applyFont="1" applyFill="1" applyBorder="1" applyAlignment="1" applyProtection="1">
      <alignment horizontal="left" vertical="top" wrapText="1"/>
    </xf>
    <xf numFmtId="0" fontId="125" fillId="0" borderId="8" xfId="12" applyFont="1" applyFill="1" applyBorder="1" applyAlignment="1" applyProtection="1">
      <alignment horizontal="left" vertical="top" wrapText="1"/>
    </xf>
    <xf numFmtId="49" fontId="125" fillId="0" borderId="20" xfId="12" applyNumberFormat="1" applyFont="1" applyBorder="1" applyAlignment="1" applyProtection="1">
      <alignment vertical="top"/>
    </xf>
    <xf numFmtId="49" fontId="125" fillId="0" borderId="20" xfId="12" applyNumberFormat="1" applyFont="1" applyBorder="1" applyAlignment="1" applyProtection="1">
      <alignment horizontal="left" vertical="top"/>
    </xf>
    <xf numFmtId="0" fontId="125" fillId="0" borderId="20" xfId="12" applyFont="1" applyBorder="1" applyAlignment="1" applyProtection="1">
      <alignment vertical="top"/>
    </xf>
    <xf numFmtId="49" fontId="125" fillId="0" borderId="19" xfId="12" applyNumberFormat="1" applyFont="1" applyBorder="1" applyAlignment="1" applyProtection="1">
      <alignment horizontal="left" vertical="top"/>
    </xf>
    <xf numFmtId="49" fontId="125" fillId="0" borderId="0" xfId="12" applyNumberFormat="1" applyFont="1" applyBorder="1" applyAlignment="1" applyProtection="1">
      <alignment horizontal="left" vertical="top"/>
    </xf>
    <xf numFmtId="49" fontId="125" fillId="0" borderId="20" xfId="12" quotePrefix="1" applyNumberFormat="1" applyFont="1" applyBorder="1" applyAlignment="1" applyProtection="1">
      <alignment vertical="top"/>
    </xf>
    <xf numFmtId="0" fontId="125" fillId="0" borderId="20" xfId="12" applyFont="1" applyBorder="1" applyAlignment="1" applyProtection="1">
      <alignment horizontal="right" vertical="top"/>
    </xf>
    <xf numFmtId="0" fontId="125" fillId="0" borderId="20" xfId="12" applyFont="1" applyBorder="1" applyAlignment="1" applyProtection="1">
      <alignment horizontal="left" vertical="top"/>
    </xf>
    <xf numFmtId="0" fontId="125" fillId="0" borderId="97" xfId="12" applyFont="1" applyBorder="1" applyAlignment="1" applyProtection="1">
      <alignment vertical="top"/>
    </xf>
    <xf numFmtId="49" fontId="125" fillId="0" borderId="19" xfId="12" applyNumberFormat="1" applyFont="1" applyBorder="1" applyAlignment="1" applyProtection="1">
      <alignment vertical="top"/>
    </xf>
    <xf numFmtId="0" fontId="125" fillId="0" borderId="44" xfId="12" applyFont="1" applyBorder="1" applyAlignment="1" applyProtection="1">
      <alignment horizontal="left" vertical="top" wrapText="1"/>
    </xf>
    <xf numFmtId="49" fontId="125" fillId="0" borderId="39" xfId="12" applyNumberFormat="1" applyFont="1" applyBorder="1" applyAlignment="1" applyProtection="1">
      <alignment horizontal="left" vertical="top" wrapText="1"/>
    </xf>
    <xf numFmtId="49" fontId="125" fillId="0" borderId="41" xfId="12" applyNumberFormat="1" applyFont="1" applyBorder="1" applyAlignment="1" applyProtection="1">
      <alignment horizontal="left" vertical="top" wrapText="1"/>
    </xf>
    <xf numFmtId="49" fontId="125" fillId="0" borderId="20" xfId="12" applyNumberFormat="1" applyFont="1" applyBorder="1" applyAlignment="1" applyProtection="1">
      <alignment horizontal="left" vertical="top" wrapText="1"/>
    </xf>
    <xf numFmtId="49" fontId="125" fillId="0" borderId="59" xfId="12" applyNumberFormat="1" applyFont="1" applyBorder="1" applyAlignment="1" applyProtection="1">
      <alignment vertical="top"/>
    </xf>
    <xf numFmtId="49" fontId="125" fillId="0" borderId="59" xfId="12" applyNumberFormat="1" applyFont="1" applyBorder="1" applyAlignment="1" applyProtection="1">
      <alignment horizontal="left" vertical="top" wrapText="1"/>
    </xf>
    <xf numFmtId="0" fontId="6" fillId="0" borderId="59" xfId="12" applyFont="1" applyBorder="1" applyAlignment="1" applyProtection="1">
      <alignment vertical="top"/>
    </xf>
    <xf numFmtId="0" fontId="104" fillId="0" borderId="59" xfId="12" applyFont="1" applyBorder="1" applyAlignment="1" applyProtection="1">
      <alignment vertical="top"/>
    </xf>
    <xf numFmtId="0" fontId="125" fillId="0" borderId="59" xfId="12" applyFont="1" applyBorder="1" applyAlignment="1" applyProtection="1">
      <alignment horizontal="right" vertical="top"/>
    </xf>
    <xf numFmtId="0" fontId="125" fillId="0" borderId="59" xfId="12" applyFont="1" applyBorder="1" applyAlignment="1" applyProtection="1">
      <alignment horizontal="left" vertical="top"/>
    </xf>
    <xf numFmtId="49" fontId="125" fillId="0" borderId="111" xfId="12" applyNumberFormat="1" applyFont="1" applyBorder="1" applyAlignment="1" applyProtection="1">
      <alignment horizontal="center" vertical="top"/>
    </xf>
    <xf numFmtId="0" fontId="6" fillId="0" borderId="19" xfId="12" applyFont="1" applyBorder="1" applyAlignment="1" applyProtection="1">
      <alignment vertical="top"/>
    </xf>
    <xf numFmtId="0" fontId="104" fillId="0" borderId="19" xfId="12" applyFont="1" applyBorder="1" applyAlignment="1" applyProtection="1">
      <alignment vertical="top"/>
    </xf>
    <xf numFmtId="49" fontId="125" fillId="0" borderId="0" xfId="12" applyNumberFormat="1" applyFont="1" applyFill="1" applyBorder="1" applyAlignment="1" applyProtection="1">
      <alignment horizontal="left" vertical="top" wrapText="1"/>
    </xf>
    <xf numFmtId="49" fontId="125" fillId="0" borderId="19" xfId="12" applyNumberFormat="1" applyFont="1" applyFill="1" applyBorder="1" applyAlignment="1" applyProtection="1">
      <alignment vertical="top"/>
    </xf>
    <xf numFmtId="49" fontId="125" fillId="0" borderId="13" xfId="12" applyNumberFormat="1" applyFont="1" applyBorder="1" applyAlignment="1" applyProtection="1">
      <alignment vertical="top"/>
    </xf>
    <xf numFmtId="0" fontId="125" fillId="0" borderId="13" xfId="12" applyFont="1" applyBorder="1" applyAlignment="1" applyProtection="1">
      <alignment vertical="top"/>
    </xf>
    <xf numFmtId="49" fontId="125" fillId="0" borderId="13" xfId="12" applyNumberFormat="1" applyFont="1" applyBorder="1" applyAlignment="1" applyProtection="1">
      <alignment horizontal="right" vertical="top"/>
    </xf>
    <xf numFmtId="49" fontId="125" fillId="0" borderId="13" xfId="12" applyNumberFormat="1" applyFont="1" applyBorder="1" applyAlignment="1" applyProtection="1">
      <alignment horizontal="left" vertical="top"/>
    </xf>
    <xf numFmtId="0" fontId="125" fillId="0" borderId="13" xfId="12" applyFont="1" applyBorder="1" applyAlignment="1" applyProtection="1">
      <alignment horizontal="right" vertical="top"/>
    </xf>
    <xf numFmtId="0" fontId="125" fillId="0" borderId="13" xfId="12" applyFont="1" applyBorder="1" applyAlignment="1" applyProtection="1">
      <alignment horizontal="left" vertical="top"/>
    </xf>
    <xf numFmtId="0" fontId="125" fillId="0" borderId="14" xfId="12" applyFont="1" applyBorder="1" applyAlignment="1" applyProtection="1">
      <alignment vertical="top"/>
    </xf>
    <xf numFmtId="49" fontId="125" fillId="0" borderId="0" xfId="12" applyNumberFormat="1" applyFont="1" applyFill="1" applyBorder="1" applyAlignment="1" applyProtection="1">
      <alignment vertical="top"/>
    </xf>
    <xf numFmtId="49" fontId="125" fillId="0" borderId="0" xfId="12" applyNumberFormat="1" applyFont="1" applyFill="1" applyBorder="1" applyAlignment="1" applyProtection="1">
      <alignment horizontal="left" vertical="top"/>
    </xf>
    <xf numFmtId="0" fontId="125" fillId="0" borderId="8" xfId="12" applyFont="1" applyFill="1" applyBorder="1" applyAlignment="1" applyProtection="1">
      <alignment vertical="top"/>
    </xf>
    <xf numFmtId="49" fontId="125" fillId="0" borderId="0" xfId="12" applyNumberFormat="1" applyFont="1" applyFill="1" applyBorder="1" applyAlignment="1" applyProtection="1">
      <alignment horizontal="center" vertical="top"/>
    </xf>
    <xf numFmtId="49" fontId="125" fillId="0" borderId="13" xfId="12" applyNumberFormat="1" applyFont="1" applyFill="1" applyBorder="1" applyAlignment="1" applyProtection="1">
      <alignment vertical="top"/>
    </xf>
    <xf numFmtId="0" fontId="125" fillId="0" borderId="13" xfId="12" applyFont="1" applyFill="1" applyBorder="1" applyAlignment="1" applyProtection="1">
      <alignment vertical="top"/>
    </xf>
    <xf numFmtId="0" fontId="125" fillId="0" borderId="14" xfId="12" applyFont="1" applyFill="1" applyBorder="1" applyAlignment="1" applyProtection="1">
      <alignment vertical="top"/>
    </xf>
    <xf numFmtId="49" fontId="125" fillId="0" borderId="112" xfId="12" applyNumberFormat="1" applyFont="1" applyBorder="1" applyAlignment="1" applyProtection="1">
      <alignment horizontal="left" vertical="top"/>
    </xf>
    <xf numFmtId="0" fontId="125" fillId="0" borderId="113" xfId="12" applyFont="1" applyBorder="1" applyAlignment="1" applyProtection="1">
      <alignment vertical="top"/>
    </xf>
    <xf numFmtId="49" fontId="125" fillId="0" borderId="41" xfId="12" applyNumberFormat="1" applyFont="1" applyBorder="1" applyAlignment="1" applyProtection="1">
      <alignment horizontal="left" vertical="top"/>
    </xf>
    <xf numFmtId="0" fontId="125" fillId="0" borderId="42" xfId="12" applyFont="1" applyBorder="1" applyAlignment="1" applyProtection="1">
      <alignment horizontal="left" vertical="top" wrapText="1"/>
    </xf>
    <xf numFmtId="0" fontId="125" fillId="0" borderId="20" xfId="12" applyFont="1" applyBorder="1" applyAlignment="1" applyProtection="1">
      <alignment horizontal="left" vertical="top" wrapText="1"/>
    </xf>
    <xf numFmtId="49" fontId="125" fillId="0" borderId="41" xfId="12" applyNumberFormat="1" applyFont="1" applyBorder="1" applyAlignment="1" applyProtection="1">
      <alignment vertical="top" wrapText="1"/>
    </xf>
    <xf numFmtId="0" fontId="125" fillId="0" borderId="40" xfId="12" applyFont="1" applyBorder="1" applyAlignment="1" applyProtection="1">
      <alignment vertical="top"/>
    </xf>
    <xf numFmtId="0" fontId="125" fillId="0" borderId="0" xfId="12" applyFont="1" applyBorder="1" applyAlignment="1" applyProtection="1">
      <alignment horizontal="left" vertical="top" wrapText="1"/>
    </xf>
    <xf numFmtId="0" fontId="125" fillId="0" borderId="8" xfId="12" applyFont="1" applyBorder="1" applyAlignment="1" applyProtection="1">
      <alignment horizontal="left" vertical="top" wrapText="1"/>
    </xf>
    <xf numFmtId="0" fontId="6" fillId="0" borderId="40" xfId="12" applyFont="1" applyBorder="1" applyAlignment="1" applyProtection="1">
      <alignment horizontal="left" vertical="top" wrapText="1"/>
    </xf>
    <xf numFmtId="0" fontId="6" fillId="0" borderId="0" xfId="12" applyFont="1" applyBorder="1" applyAlignment="1" applyProtection="1">
      <alignment horizontal="left" vertical="top" wrapText="1"/>
    </xf>
    <xf numFmtId="0" fontId="125" fillId="0" borderId="112" xfId="12" applyFont="1" applyBorder="1" applyAlignment="1" applyProtection="1">
      <alignment vertical="top"/>
    </xf>
    <xf numFmtId="0" fontId="125" fillId="0" borderId="44" xfId="12" applyFont="1" applyBorder="1" applyAlignment="1" applyProtection="1">
      <alignment vertical="top"/>
    </xf>
    <xf numFmtId="49" fontId="125" fillId="0" borderId="0" xfId="12" applyNumberFormat="1" applyFont="1" applyBorder="1" applyAlignment="1" applyProtection="1">
      <alignment vertical="top" wrapText="1"/>
    </xf>
    <xf numFmtId="0" fontId="125" fillId="17" borderId="98" xfId="12" applyFont="1" applyFill="1" applyBorder="1" applyAlignment="1" applyProtection="1">
      <alignment horizontal="left" vertical="top" wrapText="1"/>
    </xf>
    <xf numFmtId="0" fontId="125" fillId="17" borderId="59" xfId="12" applyFont="1" applyFill="1" applyBorder="1" applyAlignment="1" applyProtection="1">
      <alignment horizontal="left" vertical="top" wrapText="1"/>
    </xf>
    <xf numFmtId="0" fontId="125" fillId="17" borderId="34" xfId="12" applyFont="1" applyFill="1" applyBorder="1" applyAlignment="1" applyProtection="1">
      <alignment horizontal="left" vertical="top" wrapText="1"/>
    </xf>
    <xf numFmtId="49" fontId="125" fillId="0" borderId="60" xfId="12" applyNumberFormat="1" applyFont="1" applyBorder="1" applyAlignment="1" applyProtection="1">
      <alignment horizontal="left" vertical="top" wrapText="1"/>
    </xf>
    <xf numFmtId="49" fontId="125" fillId="0" borderId="38" xfId="12" quotePrefix="1" applyNumberFormat="1" applyFont="1" applyBorder="1" applyAlignment="1" applyProtection="1">
      <alignment horizontal="center" vertical="top"/>
    </xf>
    <xf numFmtId="0" fontId="125" fillId="0" borderId="98" xfId="12" applyFont="1" applyBorder="1" applyAlignment="1" applyProtection="1">
      <alignment horizontal="left" vertical="top" wrapText="1"/>
    </xf>
    <xf numFmtId="0" fontId="125" fillId="0" borderId="59" xfId="12" applyFont="1" applyBorder="1" applyAlignment="1" applyProtection="1">
      <alignment horizontal="left" vertical="top" wrapText="1"/>
    </xf>
    <xf numFmtId="0" fontId="125" fillId="0" borderId="34" xfId="12" applyFont="1" applyBorder="1" applyAlignment="1" applyProtection="1">
      <alignment horizontal="left" vertical="top" wrapText="1"/>
    </xf>
    <xf numFmtId="0" fontId="136" fillId="0" borderId="0" xfId="12" applyFont="1" applyBorder="1" applyAlignment="1" applyProtection="1">
      <alignment vertical="top"/>
    </xf>
    <xf numFmtId="49" fontId="125" fillId="0" borderId="13" xfId="12" applyNumberFormat="1" applyFont="1" applyBorder="1" applyAlignment="1" applyProtection="1">
      <alignment horizontal="center"/>
    </xf>
    <xf numFmtId="49" fontId="125" fillId="0" borderId="13" xfId="12" applyNumberFormat="1" applyFont="1" applyBorder="1" applyAlignment="1" applyProtection="1">
      <alignment horizontal="left"/>
    </xf>
    <xf numFmtId="0" fontId="125" fillId="0" borderId="13" xfId="12" applyFont="1" applyBorder="1" applyAlignment="1" applyProtection="1">
      <alignment horizontal="center" wrapText="1"/>
    </xf>
    <xf numFmtId="0" fontId="125" fillId="0" borderId="13" xfId="12" applyFont="1" applyBorder="1" applyAlignment="1" applyProtection="1"/>
    <xf numFmtId="49" fontId="125" fillId="10" borderId="52" xfId="12" applyNumberFormat="1" applyFont="1" applyFill="1" applyBorder="1" applyAlignment="1" applyProtection="1">
      <alignment horizontal="left" vertical="top" wrapText="1"/>
    </xf>
    <xf numFmtId="49" fontId="125" fillId="10" borderId="53" xfId="12" applyNumberFormat="1" applyFont="1" applyFill="1" applyBorder="1" applyAlignment="1" applyProtection="1">
      <alignment horizontal="left" vertical="top" wrapText="1"/>
    </xf>
    <xf numFmtId="49" fontId="125" fillId="10" borderId="23" xfId="12" applyNumberFormat="1" applyFont="1" applyFill="1" applyBorder="1" applyAlignment="1" applyProtection="1">
      <alignment horizontal="left" vertical="top"/>
    </xf>
    <xf numFmtId="49" fontId="125" fillId="10" borderId="16" xfId="12" quotePrefix="1" applyNumberFormat="1" applyFont="1" applyFill="1" applyBorder="1" applyAlignment="1" applyProtection="1">
      <alignment horizontal="center" vertical="top"/>
    </xf>
    <xf numFmtId="0" fontId="125" fillId="10" borderId="16" xfId="12" applyFont="1" applyFill="1" applyBorder="1" applyAlignment="1" applyProtection="1">
      <alignment horizontal="left" vertical="top"/>
    </xf>
    <xf numFmtId="49" fontId="125" fillId="10" borderId="51" xfId="12" applyNumberFormat="1" applyFont="1" applyFill="1" applyBorder="1" applyAlignment="1" applyProtection="1">
      <alignment horizontal="left" vertical="top" wrapText="1"/>
    </xf>
    <xf numFmtId="49" fontId="125" fillId="10" borderId="38" xfId="12" applyNumberFormat="1" applyFont="1" applyFill="1" applyBorder="1" applyAlignment="1" applyProtection="1">
      <alignment horizontal="left" vertical="top" wrapText="1"/>
    </xf>
    <xf numFmtId="49" fontId="125" fillId="10" borderId="25" xfId="12" applyNumberFormat="1" applyFont="1" applyFill="1" applyBorder="1" applyAlignment="1" applyProtection="1">
      <alignment horizontal="left" vertical="top"/>
    </xf>
    <xf numFmtId="49" fontId="125" fillId="10" borderId="17" xfId="12" quotePrefix="1" applyNumberFormat="1" applyFont="1" applyFill="1" applyBorder="1" applyAlignment="1" applyProtection="1">
      <alignment horizontal="center" vertical="top"/>
    </xf>
    <xf numFmtId="0" fontId="125" fillId="10" borderId="17" xfId="12" applyFont="1" applyFill="1" applyBorder="1" applyAlignment="1" applyProtection="1">
      <alignment horizontal="left" vertical="top"/>
    </xf>
    <xf numFmtId="0" fontId="125" fillId="10" borderId="16" xfId="12" applyFont="1" applyFill="1" applyBorder="1" applyAlignment="1" applyProtection="1">
      <alignment vertical="top"/>
    </xf>
    <xf numFmtId="0" fontId="125" fillId="10" borderId="18" xfId="12" applyFont="1" applyFill="1" applyBorder="1" applyAlignment="1" applyProtection="1">
      <alignment vertical="top"/>
    </xf>
    <xf numFmtId="49" fontId="125" fillId="10" borderId="49" xfId="12" applyNumberFormat="1" applyFont="1" applyFill="1" applyBorder="1" applyAlignment="1" applyProtection="1">
      <alignment horizontal="left" vertical="top" wrapText="1"/>
    </xf>
    <xf numFmtId="49" fontId="125" fillId="10" borderId="50" xfId="12" applyNumberFormat="1" applyFont="1" applyFill="1" applyBorder="1" applyAlignment="1" applyProtection="1">
      <alignment horizontal="left" vertical="top" wrapText="1"/>
    </xf>
    <xf numFmtId="49" fontId="125" fillId="10" borderId="24" xfId="12" applyNumberFormat="1" applyFont="1" applyFill="1" applyBorder="1" applyAlignment="1" applyProtection="1">
      <alignment horizontal="left" vertical="top"/>
    </xf>
    <xf numFmtId="49" fontId="125" fillId="10" borderId="18" xfId="12" quotePrefix="1" applyNumberFormat="1" applyFont="1" applyFill="1" applyBorder="1" applyAlignment="1" applyProtection="1">
      <alignment horizontal="center" vertical="top"/>
    </xf>
    <xf numFmtId="0" fontId="125" fillId="10" borderId="18" xfId="12" applyFont="1" applyFill="1" applyBorder="1" applyAlignment="1" applyProtection="1">
      <alignment horizontal="left" vertical="top"/>
    </xf>
    <xf numFmtId="0" fontId="105" fillId="0" borderId="0" xfId="12" applyNumberFormat="1" applyFont="1" applyAlignment="1" applyProtection="1">
      <alignment horizontal="justify" vertical="top" wrapText="1"/>
    </xf>
    <xf numFmtId="49" fontId="125" fillId="0" borderId="0" xfId="12" applyNumberFormat="1" applyFont="1" applyAlignment="1" applyProtection="1">
      <alignment horizontal="center" vertical="top"/>
    </xf>
    <xf numFmtId="49" fontId="125" fillId="0" borderId="0" xfId="12" applyNumberFormat="1" applyFont="1" applyProtection="1"/>
    <xf numFmtId="49" fontId="125" fillId="0" borderId="0" xfId="12" applyNumberFormat="1" applyFont="1" applyAlignment="1" applyProtection="1">
      <alignment horizontal="left"/>
    </xf>
    <xf numFmtId="49" fontId="125" fillId="0" borderId="0" xfId="12" applyNumberFormat="1" applyFont="1" applyAlignment="1" applyProtection="1">
      <alignment horizontal="center"/>
    </xf>
    <xf numFmtId="0" fontId="125" fillId="0" borderId="0" xfId="12" applyFont="1" applyAlignment="1" applyProtection="1">
      <alignment horizontal="right"/>
    </xf>
    <xf numFmtId="0" fontId="125" fillId="0" borderId="0" xfId="12" applyFont="1" applyAlignment="1" applyProtection="1">
      <alignment horizontal="left"/>
    </xf>
    <xf numFmtId="0" fontId="125" fillId="0" borderId="0" xfId="12" applyFont="1" applyAlignment="1" applyProtection="1">
      <alignment horizontal="center"/>
    </xf>
    <xf numFmtId="0" fontId="55" fillId="0" borderId="0" xfId="0" applyFont="1" applyBorder="1" applyAlignment="1" applyProtection="1">
      <alignment horizontal="justify" vertical="top" wrapText="1"/>
    </xf>
    <xf numFmtId="0" fontId="105" fillId="20" borderId="81" xfId="12" applyFont="1" applyFill="1" applyBorder="1" applyAlignment="1" applyProtection="1">
      <alignment horizontal="center" vertical="center"/>
    </xf>
    <xf numFmtId="0" fontId="105" fillId="20" borderId="85" xfId="12" applyFont="1" applyFill="1" applyBorder="1" applyAlignment="1" applyProtection="1">
      <alignment horizontal="center" vertical="center"/>
    </xf>
    <xf numFmtId="0" fontId="105" fillId="20" borderId="82" xfId="12" applyFont="1" applyFill="1" applyBorder="1" applyAlignment="1" applyProtection="1">
      <alignment horizontal="center" vertical="center"/>
    </xf>
    <xf numFmtId="0" fontId="65" fillId="16" borderId="57" xfId="0" applyFont="1" applyFill="1" applyBorder="1" applyAlignment="1" applyProtection="1">
      <alignment horizontal="center" vertical="center"/>
    </xf>
    <xf numFmtId="0" fontId="65" fillId="16" borderId="35" xfId="0" applyFont="1" applyFill="1" applyBorder="1" applyAlignment="1" applyProtection="1">
      <alignment horizontal="center" vertical="center"/>
    </xf>
    <xf numFmtId="0" fontId="51" fillId="5" borderId="36" xfId="0" applyFont="1" applyFill="1" applyBorder="1" applyAlignment="1" applyProtection="1">
      <alignment horizontal="left" vertical="center"/>
    </xf>
    <xf numFmtId="0" fontId="51" fillId="5" borderId="2" xfId="0" applyFont="1" applyFill="1" applyBorder="1" applyAlignment="1" applyProtection="1">
      <alignment horizontal="left" vertical="center"/>
    </xf>
    <xf numFmtId="0" fontId="51" fillId="5" borderId="37" xfId="0" applyFont="1" applyFill="1" applyBorder="1" applyAlignment="1" applyProtection="1">
      <alignment horizontal="left" vertical="center"/>
    </xf>
    <xf numFmtId="0" fontId="55" fillId="5" borderId="36" xfId="0" applyFont="1" applyFill="1" applyBorder="1" applyAlignment="1" applyProtection="1">
      <alignment horizontal="center" vertical="center"/>
    </xf>
    <xf numFmtId="0" fontId="55" fillId="5" borderId="37" xfId="0" applyFont="1" applyFill="1" applyBorder="1" applyAlignment="1" applyProtection="1">
      <alignment horizontal="center" vertical="center"/>
    </xf>
    <xf numFmtId="0" fontId="51" fillId="5" borderId="81" xfId="0" applyFont="1" applyFill="1" applyBorder="1" applyAlignment="1" applyProtection="1">
      <alignment horizontal="center" vertical="center"/>
    </xf>
    <xf numFmtId="0" fontId="51" fillId="5" borderId="82" xfId="0" applyFont="1" applyFill="1" applyBorder="1" applyAlignment="1" applyProtection="1">
      <alignment horizontal="center" vertical="center"/>
    </xf>
    <xf numFmtId="0" fontId="55" fillId="5" borderId="36" xfId="0" applyFont="1" applyFill="1" applyBorder="1" applyAlignment="1" applyProtection="1">
      <alignment horizontal="left" vertical="center"/>
    </xf>
    <xf numFmtId="0" fontId="55" fillId="5" borderId="2" xfId="0" applyFont="1" applyFill="1" applyBorder="1" applyAlignment="1" applyProtection="1">
      <alignment horizontal="left" vertical="center"/>
    </xf>
    <xf numFmtId="0" fontId="55" fillId="5" borderId="37" xfId="0" applyFont="1" applyFill="1" applyBorder="1" applyAlignment="1" applyProtection="1">
      <alignment horizontal="left" vertical="center"/>
    </xf>
    <xf numFmtId="167" fontId="55" fillId="5" borderId="9" xfId="0" applyNumberFormat="1" applyFont="1" applyFill="1" applyBorder="1" applyAlignment="1" applyProtection="1">
      <alignment horizontal="left" vertical="center"/>
    </xf>
    <xf numFmtId="167" fontId="55" fillId="5" borderId="14" xfId="0" applyNumberFormat="1" applyFont="1" applyFill="1" applyBorder="1" applyAlignment="1" applyProtection="1">
      <alignment horizontal="left" vertical="center"/>
    </xf>
    <xf numFmtId="0" fontId="55" fillId="5" borderId="9" xfId="0" applyFont="1" applyFill="1" applyBorder="1" applyAlignment="1" applyProtection="1">
      <alignment horizontal="left" vertical="center"/>
    </xf>
    <xf numFmtId="0" fontId="55" fillId="5" borderId="13" xfId="0" applyFont="1" applyFill="1" applyBorder="1" applyAlignment="1" applyProtection="1">
      <alignment horizontal="left" vertical="center"/>
    </xf>
    <xf numFmtId="0" fontId="55" fillId="5" borderId="14" xfId="0" applyFont="1" applyFill="1" applyBorder="1" applyAlignment="1" applyProtection="1">
      <alignment horizontal="left" vertical="center"/>
    </xf>
    <xf numFmtId="167" fontId="55" fillId="5" borderId="36" xfId="0" applyNumberFormat="1" applyFont="1" applyFill="1" applyBorder="1" applyAlignment="1" applyProtection="1">
      <alignment horizontal="left" vertical="center"/>
    </xf>
    <xf numFmtId="167" fontId="55" fillId="5" borderId="37" xfId="0" applyNumberFormat="1" applyFont="1" applyFill="1" applyBorder="1" applyAlignment="1" applyProtection="1">
      <alignment horizontal="left" vertical="center"/>
    </xf>
    <xf numFmtId="0" fontId="55" fillId="5" borderId="3" xfId="0" applyFont="1" applyFill="1" applyBorder="1" applyAlignment="1" applyProtection="1">
      <alignment horizontal="left"/>
    </xf>
    <xf numFmtId="169" fontId="55" fillId="5" borderId="36" xfId="0" applyNumberFormat="1" applyFont="1" applyFill="1" applyBorder="1" applyAlignment="1" applyProtection="1">
      <alignment horizontal="center" vertical="center"/>
    </xf>
    <xf numFmtId="169" fontId="55" fillId="5" borderId="37" xfId="0" applyNumberFormat="1" applyFont="1" applyFill="1" applyBorder="1" applyAlignment="1" applyProtection="1">
      <alignment horizontal="center" vertical="center"/>
    </xf>
    <xf numFmtId="167" fontId="55" fillId="5" borderId="2" xfId="0" applyNumberFormat="1" applyFont="1" applyFill="1" applyBorder="1" applyAlignment="1" applyProtection="1">
      <alignment horizontal="left" vertical="center"/>
    </xf>
    <xf numFmtId="0" fontId="55" fillId="5" borderId="3" xfId="0" applyFont="1" applyFill="1" applyBorder="1" applyAlignment="1" applyProtection="1">
      <alignment horizontal="center" vertical="center"/>
    </xf>
    <xf numFmtId="0" fontId="55" fillId="5" borderId="36" xfId="0" applyNumberFormat="1" applyFont="1" applyFill="1" applyBorder="1" applyAlignment="1" applyProtection="1">
      <alignment horizontal="left" vertical="center"/>
    </xf>
    <xf numFmtId="0" fontId="55" fillId="5" borderId="2" xfId="0" applyNumberFormat="1" applyFont="1" applyFill="1" applyBorder="1" applyAlignment="1" applyProtection="1">
      <alignment horizontal="left" vertical="center"/>
    </xf>
    <xf numFmtId="0" fontId="55" fillId="5" borderId="37" xfId="0" applyNumberFormat="1" applyFont="1" applyFill="1" applyBorder="1" applyAlignment="1" applyProtection="1">
      <alignment horizontal="left" vertical="center"/>
    </xf>
    <xf numFmtId="3" fontId="55" fillId="5" borderId="36" xfId="0" applyNumberFormat="1" applyFont="1" applyFill="1" applyBorder="1" applyAlignment="1" applyProtection="1">
      <alignment horizontal="left" vertical="center"/>
    </xf>
    <xf numFmtId="3" fontId="55" fillId="5" borderId="37" xfId="0" applyNumberFormat="1" applyFont="1" applyFill="1" applyBorder="1" applyAlignment="1" applyProtection="1">
      <alignment horizontal="left" vertical="center"/>
    </xf>
    <xf numFmtId="178" fontId="55" fillId="5" borderId="36" xfId="0" applyNumberFormat="1" applyFont="1" applyFill="1" applyBorder="1" applyAlignment="1" applyProtection="1">
      <alignment horizontal="left" vertical="center"/>
    </xf>
    <xf numFmtId="178" fontId="55" fillId="5" borderId="37" xfId="0" applyNumberFormat="1" applyFont="1" applyFill="1" applyBorder="1" applyAlignment="1" applyProtection="1">
      <alignment horizontal="left" vertical="center"/>
    </xf>
    <xf numFmtId="49" fontId="55" fillId="5" borderId="36" xfId="0" applyNumberFormat="1" applyFont="1" applyFill="1" applyBorder="1" applyAlignment="1" applyProtection="1">
      <alignment horizontal="left" vertical="center"/>
    </xf>
    <xf numFmtId="49" fontId="0" fillId="0" borderId="37" xfId="0" applyNumberFormat="1" applyBorder="1" applyProtection="1"/>
    <xf numFmtId="0" fontId="55" fillId="5" borderId="81" xfId="0" applyFont="1" applyFill="1" applyBorder="1" applyAlignment="1" applyProtection="1">
      <alignment horizontal="left" vertical="center"/>
    </xf>
    <xf numFmtId="0" fontId="55" fillId="5" borderId="85" xfId="0" applyFont="1" applyFill="1" applyBorder="1" applyAlignment="1" applyProtection="1">
      <alignment horizontal="left" vertical="center"/>
    </xf>
    <xf numFmtId="0" fontId="55" fillId="5" borderId="82" xfId="0" applyFont="1" applyFill="1" applyBorder="1" applyAlignment="1" applyProtection="1">
      <alignment horizontal="left" vertical="center"/>
    </xf>
    <xf numFmtId="0" fontId="55" fillId="6" borderId="36" xfId="0" applyNumberFormat="1" applyFont="1" applyFill="1" applyBorder="1" applyAlignment="1" applyProtection="1">
      <alignment horizontal="left" vertical="center"/>
    </xf>
    <xf numFmtId="0" fontId="55" fillId="6" borderId="37" xfId="0" applyNumberFormat="1" applyFont="1" applyFill="1" applyBorder="1" applyAlignment="1" applyProtection="1">
      <alignment horizontal="left" vertical="center"/>
    </xf>
    <xf numFmtId="164" fontId="55" fillId="5" borderId="3" xfId="1" applyNumberFormat="1" applyFont="1" applyFill="1" applyBorder="1" applyAlignment="1" applyProtection="1">
      <alignment vertical="center"/>
    </xf>
    <xf numFmtId="0" fontId="55" fillId="5" borderId="12" xfId="0" applyFont="1" applyFill="1" applyBorder="1" applyAlignment="1" applyProtection="1">
      <alignment horizontal="left" vertical="center"/>
    </xf>
    <xf numFmtId="0" fontId="55" fillId="6" borderId="81" xfId="0" applyFont="1" applyFill="1" applyBorder="1" applyAlignment="1" applyProtection="1">
      <alignment horizontal="left" vertical="center"/>
    </xf>
    <xf numFmtId="0" fontId="55" fillId="6" borderId="82" xfId="0" applyFont="1" applyFill="1" applyBorder="1" applyAlignment="1" applyProtection="1">
      <alignment horizontal="left" vertical="center"/>
    </xf>
    <xf numFmtId="1" fontId="55" fillId="5" borderId="36" xfId="1" applyNumberFormat="1" applyFont="1" applyFill="1" applyBorder="1" applyAlignment="1" applyProtection="1">
      <alignment horizontal="center" vertical="center"/>
    </xf>
    <xf numFmtId="1" fontId="55" fillId="5" borderId="37" xfId="1" applyNumberFormat="1" applyFont="1" applyFill="1" applyBorder="1" applyAlignment="1" applyProtection="1">
      <alignment horizontal="center" vertical="center"/>
    </xf>
    <xf numFmtId="38" fontId="55" fillId="5" borderId="36" xfId="0" applyNumberFormat="1" applyFont="1" applyFill="1" applyBorder="1" applyAlignment="1" applyProtection="1">
      <alignment horizontal="left" vertical="center"/>
    </xf>
    <xf numFmtId="38" fontId="55" fillId="5" borderId="2" xfId="0" applyNumberFormat="1" applyFont="1" applyFill="1" applyBorder="1" applyAlignment="1" applyProtection="1">
      <alignment horizontal="left" vertical="center"/>
    </xf>
    <xf numFmtId="38" fontId="55" fillId="5" borderId="88" xfId="0" applyNumberFormat="1" applyFont="1" applyFill="1" applyBorder="1" applyAlignment="1" applyProtection="1">
      <alignment horizontal="left" vertical="center"/>
    </xf>
    <xf numFmtId="38" fontId="55" fillId="5" borderId="84" xfId="0" applyNumberFormat="1" applyFont="1" applyFill="1" applyBorder="1" applyAlignment="1" applyProtection="1">
      <alignment horizontal="left" vertical="center"/>
    </xf>
    <xf numFmtId="38" fontId="55" fillId="5" borderId="81" xfId="0" applyNumberFormat="1" applyFont="1" applyFill="1" applyBorder="1" applyAlignment="1" applyProtection="1">
      <alignment horizontal="left" vertical="center"/>
    </xf>
    <xf numFmtId="38" fontId="55" fillId="5" borderId="85" xfId="0" applyNumberFormat="1" applyFont="1" applyFill="1" applyBorder="1" applyAlignment="1" applyProtection="1">
      <alignment horizontal="left" vertical="center"/>
    </xf>
    <xf numFmtId="38" fontId="55" fillId="5" borderId="82" xfId="0" applyNumberFormat="1" applyFont="1" applyFill="1" applyBorder="1" applyAlignment="1" applyProtection="1">
      <alignment horizontal="left" vertical="center"/>
    </xf>
    <xf numFmtId="38" fontId="55" fillId="5" borderId="13" xfId="0" applyNumberFormat="1" applyFont="1" applyFill="1" applyBorder="1" applyAlignment="1" applyProtection="1">
      <alignment horizontal="left" vertical="center"/>
    </xf>
    <xf numFmtId="38" fontId="55" fillId="5" borderId="14" xfId="0" applyNumberFormat="1" applyFont="1" applyFill="1" applyBorder="1" applyAlignment="1" applyProtection="1">
      <alignment horizontal="left" vertical="center"/>
    </xf>
    <xf numFmtId="169" fontId="55" fillId="5" borderId="36" xfId="0" applyNumberFormat="1" applyFont="1" applyFill="1" applyBorder="1" applyAlignment="1" applyProtection="1">
      <alignment horizontal="left" vertical="center"/>
    </xf>
    <xf numFmtId="169" fontId="55" fillId="5" borderId="37" xfId="0" applyNumberFormat="1" applyFont="1" applyFill="1" applyBorder="1" applyAlignment="1" applyProtection="1">
      <alignment horizontal="left" vertical="center"/>
    </xf>
    <xf numFmtId="167" fontId="55" fillId="5" borderId="36" xfId="0" applyNumberFormat="1" applyFont="1" applyFill="1" applyBorder="1" applyAlignment="1" applyProtection="1">
      <alignment horizontal="center" vertical="center"/>
    </xf>
    <xf numFmtId="167" fontId="55" fillId="5" borderId="2" xfId="0" applyNumberFormat="1" applyFont="1" applyFill="1" applyBorder="1" applyAlignment="1" applyProtection="1">
      <alignment horizontal="center" vertical="center"/>
    </xf>
    <xf numFmtId="167" fontId="55" fillId="5" borderId="37" xfId="0" applyNumberFormat="1" applyFont="1" applyFill="1" applyBorder="1" applyAlignment="1" applyProtection="1">
      <alignment horizontal="center" vertical="center"/>
    </xf>
    <xf numFmtId="167" fontId="55" fillId="5" borderId="81" xfId="0" applyNumberFormat="1" applyFont="1" applyFill="1" applyBorder="1" applyAlignment="1" applyProtection="1">
      <alignment horizontal="left" vertical="center"/>
    </xf>
    <xf numFmtId="167" fontId="55" fillId="5" borderId="82" xfId="0" applyNumberFormat="1" applyFont="1" applyFill="1" applyBorder="1" applyAlignment="1" applyProtection="1">
      <alignment horizontal="left" vertical="center"/>
    </xf>
    <xf numFmtId="176" fontId="55" fillId="5" borderId="3" xfId="0" applyNumberFormat="1" applyFont="1" applyFill="1" applyBorder="1" applyAlignment="1" applyProtection="1">
      <alignment horizontal="center" vertical="center"/>
    </xf>
    <xf numFmtId="3" fontId="55" fillId="5" borderId="3" xfId="1" applyNumberFormat="1" applyFont="1" applyFill="1" applyBorder="1" applyAlignment="1" applyProtection="1">
      <alignment horizontal="center" vertical="center"/>
    </xf>
    <xf numFmtId="0" fontId="55" fillId="5" borderId="36" xfId="0" applyFont="1" applyFill="1" applyBorder="1" applyAlignment="1" applyProtection="1">
      <alignment horizontal="left"/>
    </xf>
    <xf numFmtId="0" fontId="55" fillId="5" borderId="37" xfId="0" applyFont="1" applyFill="1" applyBorder="1" applyAlignment="1" applyProtection="1">
      <alignment horizontal="left"/>
    </xf>
    <xf numFmtId="0" fontId="55" fillId="5" borderId="81" xfId="0" applyFont="1" applyFill="1" applyBorder="1" applyAlignment="1" applyProtection="1">
      <alignment horizontal="left"/>
    </xf>
    <xf numFmtId="0" fontId="55" fillId="5" borderId="85" xfId="0" applyFont="1" applyFill="1" applyBorder="1" applyAlignment="1" applyProtection="1">
      <alignment horizontal="left"/>
    </xf>
    <xf numFmtId="0" fontId="55" fillId="5" borderId="82" xfId="0" applyFont="1" applyFill="1" applyBorder="1" applyAlignment="1" applyProtection="1">
      <alignment horizontal="left"/>
    </xf>
    <xf numFmtId="175" fontId="55" fillId="5" borderId="36" xfId="0" applyNumberFormat="1" applyFont="1" applyFill="1" applyBorder="1" applyAlignment="1" applyProtection="1">
      <alignment horizontal="left" vertical="center"/>
    </xf>
    <xf numFmtId="175" fontId="55" fillId="5" borderId="37" xfId="0" applyNumberFormat="1" applyFont="1" applyFill="1" applyBorder="1" applyAlignment="1" applyProtection="1">
      <alignment horizontal="left" vertical="center"/>
    </xf>
    <xf numFmtId="0" fontId="55" fillId="0" borderId="2" xfId="0" applyFont="1" applyBorder="1" applyProtection="1"/>
    <xf numFmtId="0" fontId="55" fillId="0" borderId="37" xfId="0" applyFont="1" applyBorder="1" applyProtection="1"/>
    <xf numFmtId="0" fontId="55" fillId="5" borderId="3" xfId="0" applyFont="1" applyFill="1" applyBorder="1" applyAlignment="1" applyProtection="1">
      <alignment horizontal="center"/>
    </xf>
    <xf numFmtId="3" fontId="55" fillId="5" borderId="3" xfId="0" applyNumberFormat="1" applyFont="1" applyFill="1" applyBorder="1" applyAlignment="1" applyProtection="1">
      <alignment horizontal="center"/>
    </xf>
    <xf numFmtId="0" fontId="51" fillId="5" borderId="52" xfId="0" applyFont="1" applyFill="1" applyBorder="1" applyAlignment="1" applyProtection="1">
      <alignment horizontal="left" vertical="center"/>
    </xf>
    <xf numFmtId="0" fontId="51" fillId="5" borderId="53" xfId="0" applyFont="1" applyFill="1" applyBorder="1" applyAlignment="1" applyProtection="1">
      <alignment horizontal="left" vertical="center"/>
    </xf>
    <xf numFmtId="0" fontId="51" fillId="5" borderId="23" xfId="0" applyFont="1" applyFill="1" applyBorder="1" applyAlignment="1" applyProtection="1">
      <alignment horizontal="left" vertical="center"/>
    </xf>
    <xf numFmtId="0" fontId="51" fillId="5" borderId="51" xfId="0" applyFont="1" applyFill="1" applyBorder="1" applyAlignment="1" applyProtection="1">
      <alignment horizontal="left" vertical="center"/>
    </xf>
    <xf numFmtId="0" fontId="51" fillId="5" borderId="38" xfId="0" applyFont="1" applyFill="1" applyBorder="1" applyAlignment="1" applyProtection="1">
      <alignment horizontal="left" vertical="center"/>
    </xf>
    <xf numFmtId="0" fontId="51" fillId="5" borderId="25" xfId="0" applyFont="1" applyFill="1" applyBorder="1" applyAlignment="1" applyProtection="1">
      <alignment horizontal="left" vertical="center"/>
    </xf>
    <xf numFmtId="0" fontId="51" fillId="5" borderId="52" xfId="55969" applyFont="1" applyFill="1" applyBorder="1" applyAlignment="1" applyProtection="1">
      <alignment horizontal="left" vertical="center"/>
    </xf>
    <xf numFmtId="0" fontId="51" fillId="5" borderId="53" xfId="55969" applyFont="1" applyFill="1" applyBorder="1" applyAlignment="1" applyProtection="1">
      <alignment horizontal="left" vertical="center"/>
    </xf>
    <xf numFmtId="0" fontId="51" fillId="5" borderId="23" xfId="55969" applyFont="1" applyFill="1" applyBorder="1" applyAlignment="1" applyProtection="1">
      <alignment horizontal="left" vertical="center"/>
    </xf>
    <xf numFmtId="0" fontId="51" fillId="5" borderId="51" xfId="55969" applyFont="1" applyFill="1" applyBorder="1" applyAlignment="1" applyProtection="1">
      <alignment horizontal="left" vertical="center"/>
    </xf>
    <xf numFmtId="0" fontId="51" fillId="5" borderId="38" xfId="55969" applyFont="1" applyFill="1" applyBorder="1" applyAlignment="1" applyProtection="1">
      <alignment horizontal="left" vertical="center"/>
    </xf>
    <xf numFmtId="0" fontId="51" fillId="5" borderId="25" xfId="55969" applyFont="1" applyFill="1" applyBorder="1" applyAlignment="1" applyProtection="1">
      <alignment horizontal="left" vertical="center"/>
    </xf>
    <xf numFmtId="0" fontId="51" fillId="5" borderId="49" xfId="0" applyFont="1" applyFill="1" applyBorder="1" applyAlignment="1" applyProtection="1">
      <alignment horizontal="left" vertical="center"/>
    </xf>
    <xf numFmtId="0" fontId="51" fillId="5" borderId="50" xfId="0" applyFont="1" applyFill="1" applyBorder="1" applyAlignment="1" applyProtection="1">
      <alignment horizontal="left" vertical="center"/>
    </xf>
    <xf numFmtId="0" fontId="51" fillId="5" borderId="24" xfId="0" applyFont="1" applyFill="1" applyBorder="1" applyAlignment="1" applyProtection="1">
      <alignment horizontal="left" vertical="center"/>
    </xf>
    <xf numFmtId="1" fontId="55" fillId="5" borderId="3" xfId="0" applyNumberFormat="1" applyFont="1" applyFill="1" applyBorder="1" applyAlignment="1" applyProtection="1">
      <alignment horizontal="center" vertical="center"/>
    </xf>
    <xf numFmtId="0" fontId="55" fillId="5" borderId="6" xfId="0" applyFont="1" applyFill="1" applyBorder="1" applyAlignment="1" applyProtection="1">
      <alignment horizontal="left" vertical="center"/>
    </xf>
    <xf numFmtId="0" fontId="55" fillId="5" borderId="3" xfId="1" applyNumberFormat="1" applyFont="1" applyFill="1" applyBorder="1" applyAlignment="1" applyProtection="1">
      <alignment horizontal="center" vertical="center"/>
    </xf>
    <xf numFmtId="0" fontId="51" fillId="5" borderId="81" xfId="0" applyFont="1" applyFill="1" applyBorder="1" applyAlignment="1" applyProtection="1">
      <alignment horizontal="center"/>
    </xf>
    <xf numFmtId="0" fontId="51" fillId="5" borderId="82" xfId="0" applyFont="1" applyFill="1" applyBorder="1" applyAlignment="1" applyProtection="1">
      <alignment horizontal="center"/>
    </xf>
    <xf numFmtId="6" fontId="55" fillId="5" borderId="36" xfId="0" applyNumberFormat="1" applyFont="1" applyFill="1" applyBorder="1" applyAlignment="1" applyProtection="1">
      <alignment horizontal="center" vertical="center"/>
    </xf>
    <xf numFmtId="6" fontId="55" fillId="5" borderId="37" xfId="0" applyNumberFormat="1" applyFont="1" applyFill="1" applyBorder="1" applyAlignment="1" applyProtection="1">
      <alignment horizontal="center" vertical="center"/>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0" fontId="51" fillId="4" borderId="36" xfId="0" applyFont="1" applyFill="1" applyBorder="1" applyAlignment="1" applyProtection="1">
      <alignment horizontal="left" vertical="top" wrapText="1"/>
    </xf>
    <xf numFmtId="0" fontId="51" fillId="4" borderId="2" xfId="0" applyFont="1" applyFill="1" applyBorder="1" applyAlignment="1" applyProtection="1">
      <alignment horizontal="left" vertical="top" wrapText="1"/>
    </xf>
    <xf numFmtId="0" fontId="51" fillId="4" borderId="37" xfId="0" applyFont="1" applyFill="1" applyBorder="1" applyAlignment="1" applyProtection="1">
      <alignment horizontal="left" vertical="top" wrapText="1"/>
    </xf>
    <xf numFmtId="0" fontId="52" fillId="0" borderId="0" xfId="0" quotePrefix="1" applyNumberFormat="1" applyFont="1" applyProtection="1"/>
    <xf numFmtId="0" fontId="98" fillId="0" borderId="0" xfId="0" applyNumberFormat="1" applyFont="1" applyProtection="1"/>
    <xf numFmtId="0" fontId="98" fillId="0" borderId="0" xfId="0" applyFont="1" applyProtection="1"/>
    <xf numFmtId="0" fontId="122" fillId="0" borderId="0" xfId="0" applyFont="1" applyProtection="1"/>
    <xf numFmtId="0" fontId="109" fillId="0" borderId="0" xfId="0" applyNumberFormat="1" applyFont="1" applyProtection="1"/>
    <xf numFmtId="0" fontId="69" fillId="0" borderId="0" xfId="0" applyFont="1" applyFill="1" applyAlignment="1" applyProtection="1">
      <alignment horizontal="center" vertical="center"/>
    </xf>
    <xf numFmtId="0" fontId="52" fillId="0" borderId="0" xfId="0" applyFont="1" applyFill="1" applyAlignment="1" applyProtection="1">
      <alignment horizontal="center" vertical="center"/>
    </xf>
    <xf numFmtId="0" fontId="55" fillId="5" borderId="37" xfId="0" applyFont="1" applyFill="1" applyBorder="1" applyAlignment="1" applyProtection="1">
      <alignment horizontal="center"/>
    </xf>
    <xf numFmtId="167" fontId="55" fillId="5" borderId="81" xfId="0" applyNumberFormat="1" applyFont="1" applyFill="1" applyBorder="1" applyAlignment="1" applyProtection="1">
      <alignment horizontal="center" vertical="center"/>
    </xf>
    <xf numFmtId="0" fontId="55" fillId="0" borderId="82" xfId="0" applyFont="1" applyBorder="1" applyProtection="1"/>
    <xf numFmtId="0" fontId="78" fillId="0" borderId="0" xfId="6" applyFont="1" applyFill="1" applyAlignment="1" applyProtection="1">
      <alignment vertical="center"/>
    </xf>
    <xf numFmtId="0" fontId="132" fillId="0" borderId="0" xfId="6" applyFont="1" applyFill="1" applyBorder="1" applyAlignment="1" applyProtection="1">
      <alignment vertical="center"/>
    </xf>
    <xf numFmtId="167" fontId="55" fillId="0" borderId="2" xfId="0" applyNumberFormat="1" applyFont="1" applyFill="1" applyBorder="1" applyAlignment="1" applyProtection="1">
      <alignment vertical="center"/>
    </xf>
    <xf numFmtId="0" fontId="55" fillId="0" borderId="85" xfId="0" applyFont="1" applyBorder="1" applyProtection="1"/>
    <xf numFmtId="167" fontId="55" fillId="0" borderId="13" xfId="0" applyNumberFormat="1" applyFont="1" applyFill="1" applyBorder="1" applyAlignment="1" applyProtection="1">
      <alignment vertical="center"/>
    </xf>
    <xf numFmtId="0" fontId="55" fillId="0" borderId="0" xfId="0" applyFont="1" applyBorder="1" applyProtection="1"/>
    <xf numFmtId="0" fontId="55" fillId="0" borderId="87" xfId="0" applyFont="1" applyFill="1" applyBorder="1" applyAlignment="1" applyProtection="1">
      <alignment horizontal="center"/>
    </xf>
    <xf numFmtId="0" fontId="55" fillId="0" borderId="81" xfId="0" applyFont="1" applyFill="1" applyBorder="1" applyAlignment="1" applyProtection="1">
      <alignment horizontal="left" wrapText="1"/>
    </xf>
    <xf numFmtId="0" fontId="55" fillId="0" borderId="85" xfId="0" applyFont="1" applyFill="1" applyBorder="1" applyAlignment="1" applyProtection="1">
      <alignment horizontal="left" wrapText="1"/>
    </xf>
    <xf numFmtId="0" fontId="55" fillId="0" borderId="82" xfId="0" applyFont="1" applyFill="1" applyBorder="1" applyAlignment="1" applyProtection="1">
      <alignment horizontal="left" wrapText="1"/>
    </xf>
    <xf numFmtId="0" fontId="55" fillId="5" borderId="16" xfId="0" applyFont="1" applyFill="1" applyBorder="1" applyAlignment="1" applyProtection="1">
      <alignment horizontal="center" vertical="top"/>
    </xf>
    <xf numFmtId="0" fontId="52" fillId="5" borderId="28" xfId="0" applyFont="1" applyFill="1" applyBorder="1" applyAlignment="1" applyProtection="1">
      <alignment horizontal="left" vertical="top" wrapText="1"/>
    </xf>
    <xf numFmtId="0" fontId="52" fillId="5" borderId="58" xfId="0" applyFont="1" applyFill="1" applyBorder="1" applyAlignment="1" applyProtection="1">
      <alignment horizontal="left" vertical="top" wrapText="1"/>
    </xf>
    <xf numFmtId="0" fontId="52" fillId="5" borderId="29" xfId="0" applyFont="1" applyFill="1" applyBorder="1" applyAlignment="1" applyProtection="1">
      <alignment horizontal="left" vertical="top" wrapText="1"/>
    </xf>
    <xf numFmtId="0" fontId="55" fillId="5" borderId="17" xfId="0" applyFont="1" applyFill="1" applyBorder="1" applyAlignment="1" applyProtection="1">
      <alignment horizontal="center" vertical="top"/>
    </xf>
    <xf numFmtId="0" fontId="52" fillId="5" borderId="30" xfId="0" applyFont="1" applyFill="1" applyBorder="1" applyAlignment="1" applyProtection="1">
      <alignment horizontal="left" vertical="top" wrapText="1"/>
    </xf>
    <xf numFmtId="0" fontId="52" fillId="5" borderId="21" xfId="0" applyFont="1" applyFill="1" applyBorder="1" applyAlignment="1" applyProtection="1">
      <alignment horizontal="left" vertical="top" wrapText="1"/>
    </xf>
    <xf numFmtId="0" fontId="52" fillId="5" borderId="31" xfId="0" applyFont="1" applyFill="1" applyBorder="1" applyAlignment="1" applyProtection="1">
      <alignment horizontal="left" vertical="top" wrapText="1"/>
    </xf>
    <xf numFmtId="0" fontId="55" fillId="5" borderId="18" xfId="0" applyFont="1" applyFill="1" applyBorder="1" applyAlignment="1" applyProtection="1">
      <alignment horizontal="center" vertical="top"/>
    </xf>
    <xf numFmtId="0" fontId="52" fillId="5" borderId="33" xfId="0" applyFont="1" applyFill="1" applyBorder="1" applyAlignment="1" applyProtection="1">
      <alignment horizontal="left" vertical="top" wrapText="1"/>
    </xf>
    <xf numFmtId="0" fontId="52" fillId="5" borderId="59" xfId="0" applyFont="1" applyFill="1" applyBorder="1" applyAlignment="1" applyProtection="1">
      <alignment horizontal="left" vertical="top" wrapText="1"/>
    </xf>
    <xf numFmtId="0" fontId="52" fillId="5" borderId="34" xfId="0" applyFont="1" applyFill="1" applyBorder="1" applyAlignment="1" applyProtection="1">
      <alignment horizontal="left" vertical="top" wrapText="1"/>
    </xf>
    <xf numFmtId="0" fontId="55" fillId="5" borderId="23" xfId="0" applyFont="1" applyFill="1" applyBorder="1" applyAlignment="1" applyProtection="1">
      <alignment horizontal="center" vertical="top"/>
    </xf>
    <xf numFmtId="0" fontId="55" fillId="5" borderId="16" xfId="0" applyNumberFormat="1" applyFont="1" applyFill="1" applyBorder="1" applyAlignment="1" applyProtection="1">
      <alignment horizontal="center" vertical="top"/>
    </xf>
    <xf numFmtId="174" fontId="55" fillId="5" borderId="16" xfId="10" applyNumberFormat="1" applyFont="1" applyFill="1" applyBorder="1" applyAlignment="1" applyProtection="1">
      <alignment horizontal="center" vertical="top"/>
    </xf>
    <xf numFmtId="0" fontId="55" fillId="5" borderId="52" xfId="0" applyFont="1" applyFill="1" applyBorder="1" applyAlignment="1" applyProtection="1">
      <alignment horizontal="center" vertical="top"/>
    </xf>
    <xf numFmtId="0" fontId="52" fillId="5" borderId="101" xfId="0" applyFont="1" applyFill="1" applyBorder="1" applyAlignment="1" applyProtection="1">
      <alignment horizontal="left" vertical="top"/>
    </xf>
    <xf numFmtId="0" fontId="52" fillId="5" borderId="58" xfId="0" applyFont="1" applyFill="1" applyBorder="1" applyAlignment="1" applyProtection="1">
      <alignment horizontal="left" vertical="top"/>
    </xf>
    <xf numFmtId="0" fontId="52" fillId="5" borderId="29" xfId="0" applyFont="1" applyFill="1" applyBorder="1" applyAlignment="1" applyProtection="1">
      <alignment horizontal="left" vertical="top"/>
    </xf>
    <xf numFmtId="0" fontId="55" fillId="5" borderId="25" xfId="0" applyFont="1" applyFill="1" applyBorder="1" applyAlignment="1" applyProtection="1">
      <alignment horizontal="center" vertical="top"/>
    </xf>
    <xf numFmtId="0" fontId="55" fillId="5" borderId="17" xfId="0" applyNumberFormat="1" applyFont="1" applyFill="1" applyBorder="1" applyAlignment="1" applyProtection="1">
      <alignment horizontal="center" vertical="top"/>
    </xf>
    <xf numFmtId="174" fontId="55" fillId="5" borderId="17" xfId="10" applyNumberFormat="1" applyFont="1" applyFill="1" applyBorder="1" applyAlignment="1" applyProtection="1">
      <alignment horizontal="center" vertical="top"/>
    </xf>
    <xf numFmtId="0" fontId="55" fillId="5" borderId="51" xfId="0" applyFont="1" applyFill="1" applyBorder="1" applyAlignment="1" applyProtection="1">
      <alignment horizontal="center" vertical="top"/>
    </xf>
    <xf numFmtId="0" fontId="52" fillId="5" borderId="80" xfId="0" applyFont="1" applyFill="1" applyBorder="1" applyAlignment="1" applyProtection="1">
      <alignment horizontal="left" vertical="top"/>
    </xf>
    <xf numFmtId="0" fontId="52" fillId="5" borderId="21" xfId="0" applyFont="1" applyFill="1" applyBorder="1" applyAlignment="1" applyProtection="1">
      <alignment horizontal="left" vertical="top"/>
    </xf>
    <xf numFmtId="0" fontId="52" fillId="5" borderId="31" xfId="0" applyFont="1" applyFill="1" applyBorder="1" applyAlignment="1" applyProtection="1">
      <alignment horizontal="left" vertical="top"/>
    </xf>
    <xf numFmtId="0" fontId="55" fillId="5" borderId="24" xfId="0" applyFont="1" applyFill="1" applyBorder="1" applyAlignment="1" applyProtection="1">
      <alignment horizontal="center" vertical="top"/>
    </xf>
    <xf numFmtId="0" fontId="55" fillId="5" borderId="18" xfId="0" applyNumberFormat="1" applyFont="1" applyFill="1" applyBorder="1" applyAlignment="1" applyProtection="1">
      <alignment horizontal="center" vertical="top"/>
    </xf>
    <xf numFmtId="174" fontId="55" fillId="5" borderId="18" xfId="10" applyNumberFormat="1" applyFont="1" applyFill="1" applyBorder="1" applyAlignment="1" applyProtection="1">
      <alignment horizontal="center" vertical="top"/>
    </xf>
    <xf numFmtId="0" fontId="55" fillId="5" borderId="49" xfId="0" applyFont="1" applyFill="1" applyBorder="1" applyAlignment="1" applyProtection="1">
      <alignment horizontal="center" vertical="top"/>
    </xf>
    <xf numFmtId="0" fontId="52" fillId="5" borderId="98" xfId="0" applyFont="1" applyFill="1" applyBorder="1" applyAlignment="1" applyProtection="1">
      <alignment horizontal="left" vertical="top"/>
    </xf>
    <xf numFmtId="0" fontId="52" fillId="5" borderId="59" xfId="0" applyFont="1" applyFill="1" applyBorder="1" applyAlignment="1" applyProtection="1">
      <alignment horizontal="left" vertical="top"/>
    </xf>
    <xf numFmtId="0" fontId="52" fillId="5" borderId="34" xfId="0" applyFont="1" applyFill="1" applyBorder="1" applyAlignment="1" applyProtection="1">
      <alignment horizontal="left" vertical="top"/>
    </xf>
    <xf numFmtId="0" fontId="70" fillId="0" borderId="0" xfId="0" applyFont="1" applyAlignment="1" applyProtection="1">
      <alignment vertical="center"/>
    </xf>
    <xf numFmtId="0" fontId="68" fillId="0" borderId="0" xfId="0" applyFont="1" applyProtection="1"/>
    <xf numFmtId="0" fontId="55" fillId="5" borderId="16" xfId="0" applyFont="1" applyFill="1" applyBorder="1" applyAlignment="1" applyProtection="1">
      <alignment horizontal="center" vertical="center"/>
    </xf>
    <xf numFmtId="0" fontId="51" fillId="13" borderId="44" xfId="0" applyFont="1" applyFill="1" applyBorder="1" applyAlignment="1" applyProtection="1">
      <alignment horizontal="left" vertical="top" wrapText="1"/>
    </xf>
    <xf numFmtId="0" fontId="51" fillId="13" borderId="39" xfId="0" applyFont="1" applyFill="1" applyBorder="1" applyAlignment="1" applyProtection="1">
      <alignment horizontal="left" vertical="top" wrapText="1"/>
    </xf>
    <xf numFmtId="0" fontId="55" fillId="5" borderId="17" xfId="0" applyFont="1" applyFill="1" applyBorder="1" applyAlignment="1" applyProtection="1">
      <alignment horizontal="center" vertical="center"/>
    </xf>
    <xf numFmtId="0" fontId="51" fillId="13" borderId="40" xfId="0" applyFont="1" applyFill="1" applyBorder="1" applyAlignment="1" applyProtection="1">
      <alignment horizontal="left" vertical="top" wrapText="1"/>
    </xf>
    <xf numFmtId="0" fontId="51" fillId="13" borderId="41" xfId="0" applyFont="1" applyFill="1" applyBorder="1" applyAlignment="1" applyProtection="1">
      <alignment horizontal="left" vertical="top" wrapText="1"/>
    </xf>
    <xf numFmtId="0" fontId="55" fillId="5" borderId="18" xfId="0" applyFont="1" applyFill="1" applyBorder="1" applyAlignment="1" applyProtection="1">
      <alignment horizontal="center" vertical="center"/>
    </xf>
    <xf numFmtId="0" fontId="51" fillId="13" borderId="42" xfId="0" applyFont="1" applyFill="1" applyBorder="1" applyAlignment="1" applyProtection="1">
      <alignment horizontal="left" vertical="top" wrapText="1"/>
    </xf>
    <xf numFmtId="0" fontId="51" fillId="13" borderId="60" xfId="0" applyFont="1" applyFill="1" applyBorder="1" applyAlignment="1" applyProtection="1">
      <alignment horizontal="left" vertical="top" wrapText="1"/>
    </xf>
    <xf numFmtId="37" fontId="55"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2" fillId="10" borderId="81" xfId="0" applyFont="1" applyFill="1" applyBorder="1" applyAlignment="1" applyProtection="1">
      <alignment horizontal="left" vertical="center"/>
    </xf>
    <xf numFmtId="0" fontId="52" fillId="10" borderId="85" xfId="0" applyFont="1" applyFill="1" applyBorder="1" applyAlignment="1" applyProtection="1">
      <alignment horizontal="left" vertical="center"/>
    </xf>
    <xf numFmtId="0" fontId="52" fillId="10" borderId="82" xfId="0" applyFont="1" applyFill="1" applyBorder="1" applyAlignment="1" applyProtection="1">
      <alignment horizontal="left" vertical="center"/>
    </xf>
    <xf numFmtId="0" fontId="55" fillId="5" borderId="28" xfId="0" applyFont="1" applyFill="1" applyBorder="1" applyAlignment="1" applyProtection="1">
      <alignment horizontal="left" vertical="center"/>
    </xf>
    <xf numFmtId="0" fontId="55" fillId="5" borderId="58" xfId="0" applyFont="1" applyFill="1" applyBorder="1" applyAlignment="1" applyProtection="1">
      <alignment horizontal="left" vertical="center"/>
    </xf>
    <xf numFmtId="0" fontId="55" fillId="5" borderId="29" xfId="0" applyFont="1" applyFill="1" applyBorder="1" applyAlignment="1" applyProtection="1">
      <alignment horizontal="left" vertical="center"/>
    </xf>
    <xf numFmtId="164" fontId="55" fillId="5" borderId="28" xfId="1" applyNumberFormat="1" applyFont="1" applyFill="1" applyBorder="1" applyAlignment="1" applyProtection="1">
      <alignment horizontal="right" vertical="center"/>
    </xf>
    <xf numFmtId="164" fontId="55" fillId="5" borderId="29" xfId="1" applyNumberFormat="1" applyFont="1" applyFill="1" applyBorder="1" applyAlignment="1" applyProtection="1">
      <alignment horizontal="right" vertical="center"/>
    </xf>
    <xf numFmtId="166" fontId="55" fillId="5" borderId="28" xfId="10" applyNumberFormat="1" applyFont="1" applyFill="1" applyBorder="1" applyAlignment="1" applyProtection="1">
      <alignment horizontal="center" vertical="center"/>
    </xf>
    <xf numFmtId="166" fontId="55" fillId="5" borderId="29" xfId="10" applyNumberFormat="1" applyFont="1" applyFill="1" applyBorder="1" applyAlignment="1" applyProtection="1">
      <alignment horizontal="center" vertical="center"/>
    </xf>
    <xf numFmtId="3" fontId="55" fillId="5" borderId="28" xfId="1" applyNumberFormat="1" applyFont="1" applyFill="1" applyBorder="1" applyAlignment="1" applyProtection="1">
      <alignment horizontal="center" vertical="center"/>
    </xf>
    <xf numFmtId="3" fontId="55" fillId="5" borderId="29" xfId="1" applyNumberFormat="1" applyFont="1" applyFill="1" applyBorder="1" applyAlignment="1" applyProtection="1">
      <alignment horizontal="center" vertical="center"/>
    </xf>
    <xf numFmtId="0" fontId="55" fillId="5" borderId="30" xfId="0" applyFont="1" applyFill="1" applyBorder="1" applyAlignment="1" applyProtection="1">
      <alignment horizontal="left" vertical="center"/>
    </xf>
    <xf numFmtId="0" fontId="55" fillId="5" borderId="21" xfId="0" applyFont="1" applyFill="1" applyBorder="1" applyAlignment="1" applyProtection="1">
      <alignment horizontal="left" vertical="center"/>
    </xf>
    <xf numFmtId="0" fontId="55" fillId="5" borderId="31" xfId="0" applyFont="1" applyFill="1" applyBorder="1" applyAlignment="1" applyProtection="1">
      <alignment horizontal="left" vertical="center"/>
    </xf>
    <xf numFmtId="164" fontId="55" fillId="5" borderId="30" xfId="1" applyNumberFormat="1" applyFont="1" applyFill="1" applyBorder="1" applyAlignment="1" applyProtection="1">
      <alignment horizontal="right" vertical="center"/>
    </xf>
    <xf numFmtId="164" fontId="55" fillId="5" borderId="31" xfId="1" applyNumberFormat="1" applyFont="1" applyFill="1" applyBorder="1" applyAlignment="1" applyProtection="1">
      <alignment horizontal="right" vertical="center"/>
    </xf>
    <xf numFmtId="166" fontId="55" fillId="5" borderId="30" xfId="10" applyNumberFormat="1" applyFont="1" applyFill="1" applyBorder="1" applyAlignment="1" applyProtection="1">
      <alignment horizontal="center" vertical="center"/>
    </xf>
    <xf numFmtId="166" fontId="55" fillId="5" borderId="31" xfId="10" applyNumberFormat="1" applyFont="1" applyFill="1" applyBorder="1" applyAlignment="1" applyProtection="1">
      <alignment horizontal="center" vertical="center"/>
    </xf>
    <xf numFmtId="3" fontId="55" fillId="5" borderId="30" xfId="0" applyNumberFormat="1" applyFont="1" applyFill="1" applyBorder="1" applyAlignment="1" applyProtection="1">
      <alignment horizontal="center" vertical="center"/>
    </xf>
    <xf numFmtId="3" fontId="55" fillId="5" borderId="31" xfId="0" applyNumberFormat="1" applyFont="1" applyFill="1" applyBorder="1" applyAlignment="1" applyProtection="1">
      <alignment horizontal="center" vertical="center"/>
    </xf>
    <xf numFmtId="0" fontId="55" fillId="5" borderId="33" xfId="0" applyFont="1" applyFill="1" applyBorder="1" applyAlignment="1" applyProtection="1">
      <alignment horizontal="left" vertical="center"/>
    </xf>
    <xf numFmtId="0" fontId="55" fillId="5" borderId="59" xfId="0" applyFont="1" applyFill="1" applyBorder="1" applyAlignment="1" applyProtection="1">
      <alignment horizontal="left" vertical="center"/>
    </xf>
    <xf numFmtId="0" fontId="55" fillId="5" borderId="34" xfId="0" applyFont="1" applyFill="1" applyBorder="1" applyAlignment="1" applyProtection="1">
      <alignment horizontal="left" vertical="center"/>
    </xf>
    <xf numFmtId="164" fontId="55" fillId="5" borderId="33" xfId="1" applyNumberFormat="1" applyFont="1" applyFill="1" applyBorder="1" applyAlignment="1" applyProtection="1">
      <alignment horizontal="right" vertical="center"/>
    </xf>
    <xf numFmtId="164" fontId="55" fillId="5" borderId="34" xfId="1" applyNumberFormat="1" applyFont="1" applyFill="1" applyBorder="1" applyAlignment="1" applyProtection="1">
      <alignment horizontal="right" vertical="center"/>
    </xf>
    <xf numFmtId="166" fontId="55" fillId="5" borderId="33" xfId="10" applyNumberFormat="1" applyFont="1" applyFill="1" applyBorder="1" applyAlignment="1" applyProtection="1">
      <alignment horizontal="center" vertical="center"/>
    </xf>
    <xf numFmtId="166" fontId="55" fillId="5" borderId="34" xfId="10" applyNumberFormat="1" applyFont="1" applyFill="1" applyBorder="1" applyAlignment="1" applyProtection="1">
      <alignment horizontal="center" vertical="center"/>
    </xf>
    <xf numFmtId="3" fontId="55" fillId="5" borderId="33" xfId="0" applyNumberFormat="1" applyFont="1" applyFill="1" applyBorder="1" applyAlignment="1" applyProtection="1">
      <alignment horizontal="center" vertical="center"/>
    </xf>
    <xf numFmtId="3" fontId="55" fillId="5" borderId="34" xfId="0" applyNumberFormat="1" applyFont="1" applyFill="1" applyBorder="1" applyAlignment="1" applyProtection="1">
      <alignment horizontal="center" vertical="center"/>
    </xf>
    <xf numFmtId="0" fontId="55" fillId="5" borderId="27" xfId="0" applyFont="1" applyFill="1" applyBorder="1" applyAlignment="1" applyProtection="1">
      <alignment horizontal="left" vertical="center"/>
    </xf>
    <xf numFmtId="0" fontId="55" fillId="5" borderId="20" xfId="0" applyFont="1" applyFill="1" applyBorder="1" applyAlignment="1" applyProtection="1">
      <alignment horizontal="left" vertical="center"/>
    </xf>
    <xf numFmtId="0" fontId="55" fillId="5" borderId="97" xfId="0" applyFont="1" applyFill="1" applyBorder="1" applyAlignment="1" applyProtection="1">
      <alignment horizontal="left" vertical="center"/>
    </xf>
    <xf numFmtId="164" fontId="55" fillId="5" borderId="27" xfId="1" applyNumberFormat="1" applyFont="1" applyFill="1" applyBorder="1" applyAlignment="1" applyProtection="1">
      <alignment horizontal="right" vertical="center"/>
    </xf>
    <xf numFmtId="164" fontId="55" fillId="5" borderId="97" xfId="1" applyNumberFormat="1" applyFont="1" applyFill="1" applyBorder="1" applyAlignment="1" applyProtection="1">
      <alignment horizontal="right" vertical="center"/>
    </xf>
    <xf numFmtId="0" fontId="55" fillId="5" borderId="16" xfId="0" applyFont="1" applyFill="1" applyBorder="1" applyAlignment="1" applyProtection="1">
      <alignment horizontal="left" vertical="center"/>
    </xf>
    <xf numFmtId="0" fontId="55" fillId="5" borderId="17" xfId="0" applyFont="1" applyFill="1" applyBorder="1" applyAlignment="1" applyProtection="1">
      <alignment horizontal="left" vertical="center"/>
    </xf>
    <xf numFmtId="0" fontId="55" fillId="5" borderId="18" xfId="0" applyFont="1" applyFill="1" applyBorder="1" applyAlignment="1" applyProtection="1">
      <alignment horizontal="left" vertical="center"/>
    </xf>
    <xf numFmtId="38" fontId="63" fillId="11" borderId="36" xfId="2" applyNumberFormat="1" applyFont="1" applyFill="1" applyBorder="1" applyAlignment="1" applyProtection="1">
      <alignment horizontal="right" vertical="center"/>
    </xf>
    <xf numFmtId="38" fontId="63" fillId="11" borderId="37" xfId="2" applyNumberFormat="1" applyFont="1" applyFill="1" applyBorder="1" applyAlignment="1" applyProtection="1">
      <alignment horizontal="right" vertical="center"/>
    </xf>
    <xf numFmtId="0" fontId="55" fillId="0" borderId="13" xfId="0" applyFont="1" applyBorder="1" applyAlignment="1" applyProtection="1">
      <alignment horizontal="center" wrapText="1"/>
    </xf>
    <xf numFmtId="38" fontId="55" fillId="5" borderId="16" xfId="0" applyNumberFormat="1" applyFont="1" applyFill="1" applyBorder="1" applyAlignment="1" applyProtection="1">
      <alignment horizontal="right" vertical="center"/>
    </xf>
    <xf numFmtId="0" fontId="55" fillId="5" borderId="16" xfId="0" applyFont="1" applyFill="1" applyBorder="1" applyAlignment="1" applyProtection="1">
      <alignment vertical="center"/>
    </xf>
    <xf numFmtId="166" fontId="55" fillId="5" borderId="16" xfId="0" applyNumberFormat="1" applyFont="1" applyFill="1" applyBorder="1" applyAlignment="1" applyProtection="1">
      <alignment horizontal="center" vertical="center"/>
    </xf>
    <xf numFmtId="38" fontId="55" fillId="6" borderId="16" xfId="2" applyNumberFormat="1" applyFont="1" applyFill="1" applyBorder="1" applyAlignment="1" applyProtection="1">
      <alignment horizontal="center" vertical="center"/>
    </xf>
    <xf numFmtId="0" fontId="55" fillId="5" borderId="16" xfId="0" applyFont="1" applyFill="1" applyBorder="1" applyAlignment="1" applyProtection="1">
      <alignment horizontal="center" vertical="center"/>
    </xf>
    <xf numFmtId="38" fontId="55" fillId="5" borderId="17" xfId="0" applyNumberFormat="1" applyFont="1" applyFill="1" applyBorder="1" applyAlignment="1" applyProtection="1">
      <alignment horizontal="right" vertical="center"/>
    </xf>
    <xf numFmtId="0" fontId="55" fillId="5" borderId="17" xfId="0" applyFont="1" applyFill="1" applyBorder="1" applyAlignment="1" applyProtection="1">
      <alignment vertical="center"/>
    </xf>
    <xf numFmtId="166" fontId="55" fillId="5" borderId="17" xfId="0" applyNumberFormat="1" applyFont="1" applyFill="1" applyBorder="1" applyAlignment="1" applyProtection="1">
      <alignment horizontal="center" vertical="center"/>
    </xf>
    <xf numFmtId="38" fontId="55" fillId="6" borderId="17" xfId="2" applyNumberFormat="1" applyFont="1" applyFill="1" applyBorder="1" applyAlignment="1" applyProtection="1">
      <alignment horizontal="center" vertical="center"/>
    </xf>
    <xf numFmtId="0" fontId="55" fillId="5" borderId="17" xfId="0" applyFont="1" applyFill="1" applyBorder="1" applyAlignment="1" applyProtection="1">
      <alignment horizontal="center" vertical="center"/>
    </xf>
    <xf numFmtId="166" fontId="55" fillId="5" borderId="18" xfId="0" applyNumberFormat="1" applyFont="1" applyFill="1" applyBorder="1" applyAlignment="1" applyProtection="1">
      <alignment horizontal="center" vertical="center"/>
    </xf>
    <xf numFmtId="38" fontId="55" fillId="6" borderId="18" xfId="2" applyNumberFormat="1" applyFont="1" applyFill="1" applyBorder="1" applyAlignment="1" applyProtection="1">
      <alignment horizontal="center" vertical="center"/>
    </xf>
    <xf numFmtId="0" fontId="55" fillId="5" borderId="18" xfId="0" applyFont="1" applyFill="1" applyBorder="1" applyAlignment="1" applyProtection="1">
      <alignment horizontal="center" vertical="center"/>
    </xf>
    <xf numFmtId="38" fontId="55" fillId="5" borderId="18" xfId="0" applyNumberFormat="1" applyFont="1" applyFill="1" applyBorder="1" applyAlignment="1" applyProtection="1">
      <alignment horizontal="right" vertical="center"/>
    </xf>
    <xf numFmtId="0" fontId="55" fillId="5" borderId="18" xfId="0" applyFont="1" applyFill="1" applyBorder="1" applyAlignment="1" applyProtection="1">
      <alignment vertical="center"/>
    </xf>
    <xf numFmtId="166" fontId="55" fillId="5" borderId="89" xfId="0" applyNumberFormat="1" applyFont="1" applyFill="1" applyBorder="1" applyAlignment="1" applyProtection="1">
      <alignment horizontal="center" vertical="center"/>
    </xf>
    <xf numFmtId="0" fontId="55" fillId="5" borderId="89" xfId="0" applyFont="1" applyFill="1" applyBorder="1" applyAlignment="1" applyProtection="1">
      <alignment horizontal="center" vertical="center"/>
    </xf>
    <xf numFmtId="38" fontId="55" fillId="6" borderId="81" xfId="2" applyNumberFormat="1" applyFont="1" applyFill="1" applyBorder="1" applyAlignment="1" applyProtection="1">
      <alignment horizontal="center" vertical="center"/>
    </xf>
    <xf numFmtId="38" fontId="55" fillId="6" borderId="82" xfId="2"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82" xfId="0" applyFont="1" applyFill="1" applyBorder="1" applyAlignment="1" applyProtection="1">
      <alignment horizontal="center" vertical="center"/>
    </xf>
    <xf numFmtId="38" fontId="55" fillId="5" borderId="22" xfId="0" applyNumberFormat="1" applyFont="1" applyFill="1" applyBorder="1" applyAlignment="1" applyProtection="1">
      <alignment horizontal="right" vertical="center"/>
    </xf>
    <xf numFmtId="0" fontId="55"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5" fillId="5" borderId="36" xfId="1" applyNumberFormat="1" applyFont="1" applyFill="1" applyBorder="1" applyAlignment="1" applyProtection="1">
      <alignment horizontal="right" vertical="center"/>
    </xf>
    <xf numFmtId="164" fontId="55" fillId="5" borderId="37" xfId="1" applyNumberFormat="1" applyFont="1" applyFill="1" applyBorder="1" applyAlignment="1" applyProtection="1">
      <alignment horizontal="right" vertical="center"/>
    </xf>
    <xf numFmtId="3" fontId="55" fillId="13" borderId="38" xfId="0" applyNumberFormat="1" applyFont="1" applyFill="1" applyBorder="1" applyAlignment="1" applyProtection="1">
      <alignment vertical="center"/>
    </xf>
    <xf numFmtId="0" fontId="15" fillId="13" borderId="44"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3" fontId="65" fillId="13" borderId="38" xfId="0" applyNumberFormat="1" applyFont="1" applyFill="1" applyBorder="1" applyAlignment="1" applyProtection="1">
      <alignment horizontal="left" vertical="center"/>
    </xf>
    <xf numFmtId="164" fontId="55" fillId="5" borderId="4" xfId="1" applyNumberFormat="1" applyFont="1" applyFill="1" applyBorder="1" applyAlignment="1" applyProtection="1">
      <alignment horizontal="right" vertical="center"/>
    </xf>
    <xf numFmtId="164" fontId="55" fillId="5" borderId="6" xfId="1" applyNumberFormat="1" applyFont="1" applyFill="1" applyBorder="1" applyAlignment="1" applyProtection="1">
      <alignment horizontal="right" vertical="center"/>
    </xf>
    <xf numFmtId="3" fontId="55" fillId="13" borderId="53" xfId="0" applyNumberFormat="1" applyFont="1" applyFill="1" applyBorder="1" applyAlignment="1" applyProtection="1">
      <alignment vertical="center"/>
    </xf>
    <xf numFmtId="0" fontId="15" fillId="13" borderId="42" xfId="0" applyFont="1" applyFill="1" applyBorder="1" applyAlignment="1" applyProtection="1">
      <alignment horizontal="left" vertical="top" wrapText="1"/>
    </xf>
    <xf numFmtId="0" fontId="15" fillId="13" borderId="60" xfId="0" applyFont="1" applyFill="1" applyBorder="1" applyAlignment="1" applyProtection="1">
      <alignment horizontal="left" vertical="top" wrapText="1"/>
    </xf>
    <xf numFmtId="164" fontId="55" fillId="5" borderId="66" xfId="1" applyNumberFormat="1" applyFont="1" applyFill="1" applyBorder="1" applyAlignment="1" applyProtection="1">
      <alignment horizontal="right" vertical="center"/>
    </xf>
    <xf numFmtId="164" fontId="55"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5" fillId="13" borderId="80" xfId="0" applyFont="1" applyFill="1" applyBorder="1" applyAlignment="1" applyProtection="1">
      <alignment horizontal="left" vertical="top" wrapText="1"/>
    </xf>
    <xf numFmtId="0" fontId="15" fillId="13" borderId="77" xfId="0" applyFont="1" applyFill="1" applyBorder="1" applyAlignment="1" applyProtection="1">
      <alignment horizontal="left" vertical="top" wrapText="1"/>
    </xf>
    <xf numFmtId="0" fontId="5" fillId="13" borderId="44" xfId="0" applyFont="1" applyFill="1" applyBorder="1" applyAlignment="1" applyProtection="1">
      <alignment horizontal="left" vertical="top" wrapText="1"/>
    </xf>
    <xf numFmtId="0" fontId="5" fillId="13" borderId="39" xfId="0" applyFont="1" applyFill="1" applyBorder="1" applyAlignment="1" applyProtection="1">
      <alignment horizontal="left" vertical="top" wrapText="1"/>
    </xf>
    <xf numFmtId="0" fontId="5" fillId="13" borderId="40" xfId="0" applyFont="1" applyFill="1" applyBorder="1" applyAlignment="1" applyProtection="1">
      <alignment horizontal="left" vertical="top" wrapText="1"/>
    </xf>
    <xf numFmtId="0" fontId="5" fillId="13" borderId="41" xfId="0" applyFont="1" applyFill="1" applyBorder="1" applyAlignment="1" applyProtection="1">
      <alignment horizontal="left" vertical="top" wrapText="1"/>
    </xf>
    <xf numFmtId="0" fontId="72" fillId="5" borderId="3" xfId="0" applyFont="1" applyFill="1" applyBorder="1" applyAlignment="1" applyProtection="1">
      <alignment horizontal="center" vertical="center"/>
    </xf>
    <xf numFmtId="0" fontId="5" fillId="13" borderId="42" xfId="0" applyFont="1" applyFill="1" applyBorder="1" applyAlignment="1" applyProtection="1">
      <alignment horizontal="left" vertical="top" wrapText="1"/>
    </xf>
    <xf numFmtId="0" fontId="5" fillId="13" borderId="60" xfId="0" applyFont="1" applyFill="1" applyBorder="1" applyAlignment="1" applyProtection="1">
      <alignment horizontal="left" vertical="top" wrapText="1"/>
    </xf>
    <xf numFmtId="3" fontId="55" fillId="13" borderId="89" xfId="0" applyNumberFormat="1" applyFont="1" applyFill="1" applyBorder="1" applyAlignment="1" applyProtection="1">
      <alignment vertical="center"/>
    </xf>
    <xf numFmtId="0" fontId="5" fillId="13" borderId="20" xfId="0" applyFont="1" applyFill="1" applyBorder="1" applyAlignment="1" applyProtection="1">
      <alignment horizontal="left" vertical="top" wrapText="1"/>
    </xf>
    <xf numFmtId="38" fontId="63" fillId="5" borderId="36" xfId="0" applyNumberFormat="1" applyFont="1" applyFill="1" applyBorder="1" applyAlignment="1" applyProtection="1">
      <alignment horizontal="center" vertical="center"/>
    </xf>
    <xf numFmtId="38" fontId="63" fillId="5" borderId="37" xfId="0" applyNumberFormat="1" applyFont="1" applyFill="1" applyBorder="1" applyAlignment="1" applyProtection="1">
      <alignment horizontal="center" vertical="center"/>
    </xf>
    <xf numFmtId="10" fontId="55" fillId="5" borderId="36" xfId="0" applyNumberFormat="1" applyFont="1" applyFill="1" applyBorder="1" applyAlignment="1" applyProtection="1">
      <alignment horizontal="center" vertical="center"/>
    </xf>
    <xf numFmtId="10" fontId="55" fillId="5" borderId="37" xfId="0" applyNumberFormat="1" applyFont="1" applyFill="1" applyBorder="1" applyAlignment="1" applyProtection="1">
      <alignment horizontal="center" vertical="center"/>
    </xf>
    <xf numFmtId="3" fontId="55" fillId="13" borderId="95" xfId="0" applyNumberFormat="1" applyFont="1" applyFill="1" applyBorder="1" applyAlignment="1" applyProtection="1">
      <alignment vertical="center"/>
    </xf>
    <xf numFmtId="38" fontId="55" fillId="11" borderId="36" xfId="0" applyNumberFormat="1" applyFont="1" applyFill="1" applyBorder="1" applyAlignment="1" applyProtection="1">
      <alignment horizontal="center" vertical="center"/>
    </xf>
    <xf numFmtId="38" fontId="55" fillId="11" borderId="2" xfId="0" applyNumberFormat="1" applyFont="1" applyFill="1" applyBorder="1" applyAlignment="1" applyProtection="1">
      <alignment horizontal="center" vertical="center"/>
    </xf>
    <xf numFmtId="38" fontId="55" fillId="11" borderId="85" xfId="0" applyNumberFormat="1" applyFont="1" applyFill="1" applyBorder="1" applyAlignment="1" applyProtection="1">
      <alignment horizontal="center" vertical="center"/>
    </xf>
    <xf numFmtId="164" fontId="51" fillId="5" borderId="47" xfId="1" applyNumberFormat="1" applyFont="1" applyFill="1" applyBorder="1" applyAlignment="1" applyProtection="1">
      <alignment horizontal="center" vertical="center"/>
    </xf>
    <xf numFmtId="170" fontId="55" fillId="5" borderId="36" xfId="0" applyNumberFormat="1" applyFont="1" applyFill="1" applyBorder="1" applyAlignment="1" applyProtection="1">
      <alignment horizontal="center" vertical="center"/>
    </xf>
    <xf numFmtId="170" fontId="55" fillId="5" borderId="37" xfId="0" applyNumberFormat="1" applyFont="1" applyFill="1" applyBorder="1" applyAlignment="1" applyProtection="1">
      <alignment horizontal="center" vertical="center"/>
    </xf>
    <xf numFmtId="38" fontId="63" fillId="10" borderId="36" xfId="0" applyNumberFormat="1" applyFont="1" applyFill="1" applyBorder="1" applyAlignment="1" applyProtection="1">
      <alignment horizontal="center" vertical="center"/>
    </xf>
    <xf numFmtId="38" fontId="63" fillId="10" borderId="2" xfId="0" applyNumberFormat="1" applyFont="1" applyFill="1" applyBorder="1" applyAlignment="1" applyProtection="1">
      <alignment horizontal="center" vertical="center"/>
    </xf>
    <xf numFmtId="38" fontId="63" fillId="10" borderId="37" xfId="0" applyNumberFormat="1" applyFont="1" applyFill="1" applyBorder="1" applyAlignment="1" applyProtection="1">
      <alignment horizontal="center" vertical="center"/>
    </xf>
    <xf numFmtId="0" fontId="55" fillId="0" borderId="0" xfId="0" applyFont="1" applyAlignment="1" applyProtection="1"/>
    <xf numFmtId="0" fontId="51" fillId="5" borderId="36" xfId="0" applyFont="1" applyFill="1" applyBorder="1" applyAlignment="1" applyProtection="1">
      <alignment vertical="top" wrapText="1"/>
    </xf>
    <xf numFmtId="0" fontId="51" fillId="0" borderId="2" xfId="0" applyFont="1" applyBorder="1" applyAlignment="1" applyProtection="1">
      <alignment vertical="top" wrapText="1"/>
    </xf>
    <xf numFmtId="0" fontId="51" fillId="0" borderId="37" xfId="0" applyFont="1" applyBorder="1" applyAlignment="1" applyProtection="1">
      <alignment vertical="top" wrapText="1"/>
    </xf>
    <xf numFmtId="0" fontId="51" fillId="13" borderId="36" xfId="0" applyFont="1" applyFill="1" applyBorder="1" applyAlignment="1" applyProtection="1">
      <alignment vertical="top" wrapText="1"/>
    </xf>
    <xf numFmtId="0" fontId="51" fillId="13" borderId="2" xfId="0" applyFont="1" applyFill="1" applyBorder="1" applyAlignment="1" applyProtection="1">
      <alignment vertical="top" wrapText="1"/>
    </xf>
    <xf numFmtId="0" fontId="51" fillId="13" borderId="37" xfId="0" applyFont="1" applyFill="1" applyBorder="1" applyAlignment="1" applyProtection="1">
      <alignment vertical="top" wrapText="1"/>
    </xf>
    <xf numFmtId="0" fontId="5"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175" fontId="14" fillId="5" borderId="36" xfId="0" applyNumberFormat="1" applyFont="1" applyFill="1" applyBorder="1" applyAlignment="1" applyProtection="1">
      <alignment horizontal="left"/>
    </xf>
    <xf numFmtId="175" fontId="14" fillId="5" borderId="37" xfId="0" applyNumberFormat="1" applyFont="1" applyFill="1" applyBorder="1" applyAlignment="1" applyProtection="1">
      <alignment horizontal="left"/>
    </xf>
    <xf numFmtId="0" fontId="14"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4"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4" fillId="5" borderId="3" xfId="0" applyFont="1" applyFill="1" applyBorder="1" applyAlignment="1" applyProtection="1">
      <alignment horizont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4" fillId="5" borderId="18" xfId="0" applyFont="1" applyFill="1" applyBorder="1" applyAlignment="1" applyProtection="1">
      <alignment horizontal="center"/>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173"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51" fillId="5" borderId="16" xfId="1"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173"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51" fillId="5" borderId="17" xfId="1" applyNumberFormat="1"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173"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51" fillId="5" borderId="18" xfId="1"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52" fillId="0" borderId="0" xfId="0" applyFont="1" applyAlignment="1" applyProtection="1">
      <alignment horizontal="left" vertical="center" wrapText="1"/>
    </xf>
    <xf numFmtId="0" fontId="5" fillId="13" borderId="44" xfId="0" applyFont="1" applyFill="1" applyBorder="1" applyAlignment="1" applyProtection="1">
      <alignment horizontal="justify" vertical="top" wrapText="1"/>
    </xf>
    <xf numFmtId="0" fontId="5" fillId="13" borderId="39" xfId="0" applyFont="1" applyFill="1" applyBorder="1" applyAlignment="1" applyProtection="1">
      <alignment horizontal="justify" vertical="top" wrapText="1"/>
    </xf>
    <xf numFmtId="0" fontId="5" fillId="13" borderId="40" xfId="0" applyFont="1" applyFill="1" applyBorder="1" applyAlignment="1" applyProtection="1">
      <alignment horizontal="justify" vertical="top" wrapText="1"/>
    </xf>
    <xf numFmtId="0" fontId="5" fillId="13" borderId="41" xfId="0" applyFont="1" applyFill="1" applyBorder="1" applyAlignment="1" applyProtection="1">
      <alignment horizontal="justify" vertical="top" wrapText="1"/>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0" fontId="5" fillId="13" borderId="42" xfId="0" applyFont="1" applyFill="1" applyBorder="1" applyAlignment="1" applyProtection="1">
      <alignment horizontal="justify" vertical="top" wrapText="1"/>
    </xf>
    <xf numFmtId="0" fontId="5" fillId="13" borderId="60" xfId="0" applyFont="1" applyFill="1" applyBorder="1" applyAlignment="1" applyProtection="1">
      <alignment horizontal="justify" vertical="top" wrapText="1"/>
    </xf>
    <xf numFmtId="0" fontId="5" fillId="13" borderId="0" xfId="0" applyFont="1" applyFill="1" applyBorder="1" applyAlignment="1" applyProtection="1">
      <alignment horizontal="left" vertical="top" wrapText="1"/>
    </xf>
    <xf numFmtId="164" fontId="14" fillId="11" borderId="81" xfId="0" applyNumberFormat="1" applyFont="1" applyFill="1" applyBorder="1" applyAlignment="1" applyProtection="1">
      <alignment horizontal="center"/>
    </xf>
    <xf numFmtId="164" fontId="14" fillId="11" borderId="82" xfId="0" applyNumberFormat="1" applyFont="1" applyFill="1" applyBorder="1" applyAlignment="1" applyProtection="1">
      <alignment horizontal="center"/>
    </xf>
    <xf numFmtId="3" fontId="14" fillId="5" borderId="16" xfId="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8" fontId="14" fillId="5" borderId="36" xfId="1" applyNumberFormat="1" applyFont="1" applyFill="1" applyBorder="1" applyAlignment="1" applyProtection="1">
      <alignment horizontal="right" vertical="center"/>
    </xf>
    <xf numFmtId="38" fontId="14" fillId="5" borderId="37" xfId="1" applyNumberFormat="1" applyFont="1" applyFill="1" applyBorder="1" applyAlignment="1" applyProtection="1">
      <alignment horizontal="right" vertical="center"/>
    </xf>
    <xf numFmtId="3" fontId="14" fillId="5" borderId="3" xfId="0" applyNumberFormat="1" applyFont="1" applyFill="1" applyBorder="1" applyAlignment="1" applyProtection="1">
      <alignment vertical="center"/>
    </xf>
    <xf numFmtId="38" fontId="6" fillId="5" borderId="36" xfId="0" applyNumberFormat="1" applyFont="1" applyFill="1" applyBorder="1" applyAlignment="1" applyProtection="1">
      <alignment horizontal="left" vertical="center" wrapText="1"/>
    </xf>
    <xf numFmtId="38" fontId="6" fillId="5" borderId="37" xfId="0" applyNumberFormat="1" applyFont="1" applyFill="1" applyBorder="1" applyAlignment="1" applyProtection="1">
      <alignment horizontal="left" vertical="center" wrapText="1"/>
    </xf>
    <xf numFmtId="3" fontId="14" fillId="5" borderId="43" xfId="0" applyNumberFormat="1" applyFont="1" applyFill="1" applyBorder="1" applyAlignment="1" applyProtection="1">
      <alignment vertical="center"/>
    </xf>
    <xf numFmtId="38" fontId="14" fillId="5" borderId="66" xfId="1" applyNumberFormat="1" applyFont="1" applyFill="1" applyBorder="1" applyAlignment="1" applyProtection="1">
      <alignment horizontal="right" vertical="center"/>
    </xf>
    <xf numFmtId="38" fontId="14" fillId="5" borderId="67" xfId="1" applyNumberFormat="1" applyFont="1" applyFill="1" applyBorder="1" applyAlignment="1" applyProtection="1">
      <alignment horizontal="right" vertical="center"/>
    </xf>
    <xf numFmtId="3" fontId="14" fillId="5" borderId="4" xfId="0" applyNumberFormat="1" applyFont="1" applyFill="1" applyBorder="1" applyAlignment="1" applyProtection="1">
      <alignment horizontal="right" vertical="center"/>
    </xf>
    <xf numFmtId="3" fontId="14" fillId="5" borderId="6" xfId="0" applyNumberFormat="1" applyFont="1" applyFill="1" applyBorder="1" applyAlignment="1" applyProtection="1">
      <alignment horizontal="right" vertical="center"/>
    </xf>
    <xf numFmtId="3" fontId="14" fillId="5" borderId="36" xfId="0" applyNumberFormat="1" applyFont="1" applyFill="1" applyBorder="1" applyAlignment="1" applyProtection="1">
      <alignment horizontal="right" vertical="center"/>
    </xf>
    <xf numFmtId="3" fontId="14" fillId="5" borderId="37" xfId="0" applyNumberFormat="1" applyFont="1" applyFill="1" applyBorder="1" applyAlignment="1" applyProtection="1">
      <alignment horizontal="right" vertical="center"/>
    </xf>
    <xf numFmtId="38" fontId="14" fillId="5" borderId="36" xfId="1" applyNumberFormat="1" applyFont="1" applyFill="1" applyBorder="1" applyAlignment="1" applyProtection="1">
      <alignment vertical="center"/>
    </xf>
    <xf numFmtId="38" fontId="14" fillId="5" borderId="37" xfId="1" applyNumberFormat="1" applyFont="1" applyFill="1" applyBorder="1" applyAlignment="1" applyProtection="1">
      <alignment vertical="center"/>
    </xf>
    <xf numFmtId="3" fontId="14" fillId="11" borderId="15" xfId="1" applyNumberFormat="1" applyFont="1" applyFill="1" applyBorder="1" applyAlignment="1" applyProtection="1">
      <alignment horizontal="right" vertical="center"/>
    </xf>
    <xf numFmtId="0" fontId="0" fillId="0" borderId="85" xfId="0" applyBorder="1" applyProtection="1"/>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3" xfId="0" applyNumberFormat="1" applyFont="1" applyFill="1" applyBorder="1" applyAlignment="1" applyProtection="1">
      <alignment horizontal="right" vertical="center"/>
    </xf>
    <xf numFmtId="3" fontId="14" fillId="5" borderId="3" xfId="10" applyNumberFormat="1" applyFont="1" applyFill="1" applyBorder="1" applyAlignment="1" applyProtection="1">
      <alignment horizontal="right" vertical="center"/>
    </xf>
    <xf numFmtId="166" fontId="14" fillId="5" borderId="3" xfId="10" applyNumberFormat="1" applyFont="1" applyFill="1" applyBorder="1" applyAlignment="1" applyProtection="1">
      <alignment horizontal="right" vertical="center"/>
    </xf>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51" fillId="0" borderId="2" xfId="0" applyFont="1" applyBorder="1" applyAlignment="1" applyProtection="1">
      <alignment horizontal="left" vertical="top" wrapText="1"/>
    </xf>
    <xf numFmtId="0" fontId="51" fillId="0" borderId="37" xfId="0" applyFont="1" applyBorder="1" applyAlignment="1" applyProtection="1">
      <alignment horizontal="left" vertical="top" wrapText="1"/>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16" fillId="5" borderId="3" xfId="0" applyFont="1" applyFill="1" applyBorder="1" applyAlignment="1" applyProtection="1">
      <alignment horizontal="center" vertical="center"/>
    </xf>
    <xf numFmtId="0" fontId="12" fillId="5" borderId="36"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7" xfId="0" applyFont="1" applyFill="1" applyBorder="1" applyAlignment="1" applyProtection="1">
      <alignment horizontal="center" vertical="center"/>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16" fillId="6" borderId="36" xfId="0" applyFont="1" applyFill="1" applyBorder="1" applyAlignment="1" applyProtection="1">
      <alignment horizontal="center" vertical="center"/>
    </xf>
    <xf numFmtId="0" fontId="16" fillId="6" borderId="2" xfId="0" applyFont="1" applyFill="1" applyBorder="1" applyAlignment="1" applyProtection="1">
      <alignment horizontal="center" vertical="center"/>
    </xf>
    <xf numFmtId="0" fontId="16" fillId="6" borderId="37" xfId="0" applyFont="1" applyFill="1" applyBorder="1" applyAlignment="1" applyProtection="1">
      <alignment horizontal="center" vertical="center"/>
    </xf>
    <xf numFmtId="0" fontId="16" fillId="5" borderId="28" xfId="0" applyFont="1" applyFill="1" applyBorder="1" applyAlignment="1" applyProtection="1">
      <alignment horizontal="left" vertical="center" wrapText="1"/>
    </xf>
    <xf numFmtId="0" fontId="16" fillId="5" borderId="58" xfId="0" applyFont="1" applyFill="1" applyBorder="1" applyAlignment="1" applyProtection="1">
      <alignment horizontal="left" vertical="center" wrapText="1"/>
    </xf>
    <xf numFmtId="0" fontId="16" fillId="5" borderId="29" xfId="0" applyFont="1" applyFill="1" applyBorder="1" applyAlignment="1" applyProtection="1">
      <alignment horizontal="left" vertical="center" wrapText="1"/>
    </xf>
    <xf numFmtId="0" fontId="16" fillId="5" borderId="30" xfId="0" applyFont="1" applyFill="1" applyBorder="1" applyAlignment="1" applyProtection="1">
      <alignment horizontal="left" vertical="center" wrapText="1"/>
    </xf>
    <xf numFmtId="0" fontId="16" fillId="5" borderId="21" xfId="0" applyFont="1" applyFill="1" applyBorder="1" applyAlignment="1" applyProtection="1">
      <alignment horizontal="left" vertical="center" wrapText="1"/>
    </xf>
    <xf numFmtId="0" fontId="16" fillId="5" borderId="31" xfId="0" applyFont="1" applyFill="1" applyBorder="1" applyAlignment="1" applyProtection="1">
      <alignment horizontal="left" vertical="center" wrapText="1"/>
    </xf>
    <xf numFmtId="0" fontId="16" fillId="5" borderId="33" xfId="0" applyFont="1" applyFill="1" applyBorder="1" applyAlignment="1" applyProtection="1">
      <alignment horizontal="left" vertical="center" wrapText="1"/>
    </xf>
    <xf numFmtId="0" fontId="16" fillId="5" borderId="59" xfId="0" applyFont="1" applyFill="1" applyBorder="1" applyAlignment="1" applyProtection="1">
      <alignment horizontal="left" vertical="center" wrapText="1"/>
    </xf>
    <xf numFmtId="0" fontId="16" fillId="5" borderId="34" xfId="0" applyFont="1" applyFill="1" applyBorder="1" applyAlignment="1" applyProtection="1">
      <alignment horizontal="left" vertical="center" wrapText="1"/>
    </xf>
    <xf numFmtId="0" fontId="16" fillId="5" borderId="81" xfId="0" applyFont="1" applyFill="1" applyBorder="1" applyAlignment="1" applyProtection="1">
      <alignment horizontal="left" vertical="center"/>
    </xf>
    <xf numFmtId="0" fontId="16" fillId="5" borderId="85"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28"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6" fillId="5" borderId="30" xfId="0" applyNumberFormat="1" applyFont="1" applyFill="1" applyBorder="1" applyAlignment="1" applyProtection="1">
      <alignment horizontal="left" vertical="center"/>
    </xf>
    <xf numFmtId="10" fontId="16"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6" fillId="5" borderId="33" xfId="0" applyNumberFormat="1" applyFont="1" applyFill="1" applyBorder="1" applyAlignment="1" applyProtection="1">
      <alignment horizontal="left" vertical="center"/>
    </xf>
    <xf numFmtId="10" fontId="16"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6" fillId="5" borderId="28" xfId="0" applyFont="1" applyFill="1" applyBorder="1" applyAlignment="1" applyProtection="1">
      <alignment horizontal="center" vertical="center"/>
    </xf>
    <xf numFmtId="0" fontId="16" fillId="5" borderId="16" xfId="0" applyFont="1" applyFill="1" applyBorder="1" applyAlignment="1" applyProtection="1">
      <alignment horizontal="left" vertical="center"/>
    </xf>
    <xf numFmtId="0" fontId="16" fillId="5" borderId="33" xfId="0" applyFont="1" applyFill="1" applyBorder="1" applyAlignment="1" applyProtection="1">
      <alignment horizontal="center" vertical="center"/>
    </xf>
    <xf numFmtId="0" fontId="16" fillId="5" borderId="18" xfId="0" applyFont="1" applyFill="1" applyBorder="1" applyAlignment="1" applyProtection="1">
      <alignment horizontal="left" vertical="center"/>
    </xf>
    <xf numFmtId="0" fontId="16" fillId="5" borderId="12" xfId="0"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0" fontId="16"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6" fillId="5" borderId="17" xfId="0" applyFont="1" applyFill="1" applyBorder="1" applyAlignment="1" applyProtection="1">
      <alignment horizontal="center" vertical="center"/>
    </xf>
    <xf numFmtId="0" fontId="16" fillId="5" borderId="17" xfId="0" applyFont="1" applyFill="1" applyBorder="1" applyAlignment="1" applyProtection="1">
      <alignment horizontal="center" vertical="top"/>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5" borderId="81" xfId="0" applyFont="1" applyFill="1" applyBorder="1" applyAlignment="1" applyProtection="1">
      <alignment horizontal="left" vertical="center" wrapText="1"/>
    </xf>
    <xf numFmtId="0" fontId="6" fillId="5" borderId="85" xfId="0" applyFont="1" applyFill="1" applyBorder="1" applyAlignment="1" applyProtection="1">
      <alignment horizontal="left" vertical="center" wrapText="1"/>
    </xf>
    <xf numFmtId="0" fontId="6" fillId="5" borderId="82" xfId="0" applyFont="1" applyFill="1" applyBorder="1" applyAlignment="1" applyProtection="1">
      <alignment horizontal="left" vertical="center" wrapText="1"/>
    </xf>
    <xf numFmtId="166" fontId="16" fillId="5" borderId="17" xfId="0" applyNumberFormat="1" applyFont="1" applyFill="1" applyBorder="1" applyAlignment="1" applyProtection="1">
      <alignment horizontal="center"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176" fontId="23" fillId="10" borderId="81" xfId="0" applyNumberFormat="1" applyFont="1" applyFill="1" applyBorder="1" applyAlignment="1" applyProtection="1">
      <alignment horizontal="center"/>
    </xf>
    <xf numFmtId="176" fontId="23" fillId="10" borderId="82" xfId="0" applyNumberFormat="1" applyFont="1" applyFill="1" applyBorder="1" applyAlignment="1" applyProtection="1">
      <alignment horizontal="center"/>
    </xf>
    <xf numFmtId="0" fontId="16" fillId="5" borderId="4" xfId="0" applyFont="1" applyFill="1" applyBorder="1" applyAlignment="1" applyProtection="1">
      <alignment horizontal="left"/>
    </xf>
    <xf numFmtId="0" fontId="16" fillId="5" borderId="37" xfId="0" applyFont="1" applyFill="1" applyBorder="1" applyAlignment="1" applyProtection="1">
      <alignment horizontal="left"/>
    </xf>
    <xf numFmtId="0" fontId="16" fillId="5" borderId="29" xfId="0" applyFont="1" applyFill="1" applyBorder="1" applyAlignment="1" applyProtection="1">
      <alignment horizontal="left" vertical="center"/>
    </xf>
    <xf numFmtId="0" fontId="16" fillId="5" borderId="33" xfId="0" applyFont="1" applyFill="1" applyBorder="1" applyAlignment="1" applyProtection="1">
      <alignment horizontal="left" vertical="center"/>
    </xf>
    <xf numFmtId="0" fontId="16" fillId="5" borderId="59"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176" fontId="6" fillId="10" borderId="81" xfId="0" applyNumberFormat="1" applyFont="1" applyFill="1" applyBorder="1" applyAlignment="1" applyProtection="1">
      <alignment horizontal="left" vertical="center"/>
    </xf>
    <xf numFmtId="176" fontId="6" fillId="10" borderId="82" xfId="0" applyNumberFormat="1" applyFont="1" applyFill="1" applyBorder="1" applyAlignment="1" applyProtection="1">
      <alignment horizontal="left" vertical="center"/>
    </xf>
    <xf numFmtId="0" fontId="16" fillId="5" borderId="9" xfId="0" applyFont="1" applyFill="1" applyBorder="1" applyAlignment="1" applyProtection="1">
      <alignment horizontal="left" vertical="center"/>
    </xf>
    <xf numFmtId="0" fontId="16" fillId="5" borderId="13" xfId="0" applyFont="1" applyFill="1" applyBorder="1" applyAlignment="1" applyProtection="1">
      <alignment horizontal="left" vertical="center"/>
    </xf>
    <xf numFmtId="0" fontId="16" fillId="5" borderId="83" xfId="0" applyFont="1" applyFill="1" applyBorder="1" applyAlignment="1" applyProtection="1">
      <alignment horizontal="left" vertical="center"/>
    </xf>
    <xf numFmtId="0" fontId="16" fillId="5" borderId="84" xfId="0" applyFont="1" applyFill="1" applyBorder="1" applyAlignment="1" applyProtection="1">
      <alignment horizontal="left" vertical="center"/>
    </xf>
    <xf numFmtId="0" fontId="52" fillId="10" borderId="81" xfId="0" applyFont="1" applyFill="1" applyBorder="1" applyAlignment="1" applyProtection="1">
      <alignment horizontal="center"/>
    </xf>
    <xf numFmtId="0" fontId="52" fillId="10" borderId="85" xfId="0" applyFont="1" applyFill="1" applyBorder="1" applyAlignment="1" applyProtection="1">
      <alignment horizontal="center"/>
    </xf>
    <xf numFmtId="0" fontId="52" fillId="10" borderId="82" xfId="0" applyFont="1" applyFill="1" applyBorder="1" applyAlignment="1" applyProtection="1">
      <alignment horizontal="center"/>
    </xf>
    <xf numFmtId="0" fontId="16" fillId="5" borderId="14" xfId="0" applyFont="1" applyFill="1" applyBorder="1" applyAlignment="1" applyProtection="1">
      <alignment horizontal="left" vertical="center"/>
    </xf>
    <xf numFmtId="0" fontId="6" fillId="5" borderId="28"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6" fillId="5" borderId="33" xfId="0" applyFont="1" applyFill="1" applyBorder="1" applyAlignment="1" applyProtection="1">
      <alignment horizontal="left" vertical="top" wrapText="1"/>
    </xf>
    <xf numFmtId="0" fontId="6" fillId="5" borderId="59"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175" fontId="16" fillId="5" borderId="30" xfId="0" applyNumberFormat="1" applyFont="1" applyFill="1" applyBorder="1" applyAlignment="1" applyProtection="1">
      <alignment horizontal="left" vertical="center"/>
    </xf>
    <xf numFmtId="175" fontId="16" fillId="5" borderId="21" xfId="0" applyNumberFormat="1" applyFont="1" applyFill="1" applyBorder="1" applyAlignment="1" applyProtection="1">
      <alignment horizontal="left" vertical="center"/>
    </xf>
    <xf numFmtId="175" fontId="16" fillId="5" borderId="31" xfId="0" applyNumberFormat="1" applyFont="1" applyFill="1" applyBorder="1" applyAlignment="1" applyProtection="1">
      <alignment horizontal="left" vertical="center"/>
    </xf>
    <xf numFmtId="0" fontId="16" fillId="5" borderId="16"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16" fillId="5" borderId="3" xfId="0" applyFont="1" applyFill="1" applyBorder="1" applyAlignment="1" applyProtection="1">
      <alignment horizontal="center" vertical="top"/>
    </xf>
    <xf numFmtId="0" fontId="6"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21" fillId="5" borderId="81" xfId="0" applyFont="1" applyFill="1" applyBorder="1" applyAlignment="1" applyProtection="1">
      <alignment horizontal="left"/>
    </xf>
    <xf numFmtId="0" fontId="21" fillId="5" borderId="85" xfId="0" applyFont="1" applyFill="1" applyBorder="1" applyAlignment="1" applyProtection="1">
      <alignment horizontal="left"/>
    </xf>
    <xf numFmtId="0" fontId="21" fillId="5" borderId="82" xfId="0" applyFont="1" applyFill="1" applyBorder="1" applyAlignment="1" applyProtection="1">
      <alignment horizontal="left"/>
    </xf>
    <xf numFmtId="0" fontId="6" fillId="5" borderId="36" xfId="0" applyFont="1" applyFill="1" applyBorder="1" applyAlignment="1" applyProtection="1">
      <alignment horizontal="left" vertical="center" wrapText="1"/>
    </xf>
    <xf numFmtId="0" fontId="6" fillId="5" borderId="2" xfId="0" applyFont="1" applyFill="1" applyBorder="1" applyAlignment="1" applyProtection="1">
      <alignment horizontal="left" vertical="center" wrapText="1"/>
    </xf>
    <xf numFmtId="0" fontId="6" fillId="5" borderId="37" xfId="0" applyFont="1" applyFill="1" applyBorder="1" applyAlignment="1" applyProtection="1">
      <alignment horizontal="left" vertical="center" wrapText="1"/>
    </xf>
    <xf numFmtId="0" fontId="16" fillId="5" borderId="89" xfId="0" applyFont="1" applyFill="1" applyBorder="1" applyAlignment="1" applyProtection="1">
      <alignment horizontal="center" vertical="center"/>
    </xf>
    <xf numFmtId="0" fontId="16" fillId="5" borderId="81" xfId="0" applyFont="1" applyFill="1" applyBorder="1" applyAlignment="1" applyProtection="1">
      <alignment horizontal="left"/>
    </xf>
    <xf numFmtId="0" fontId="16" fillId="5" borderId="85" xfId="0" applyFont="1" applyFill="1" applyBorder="1" applyAlignment="1" applyProtection="1">
      <alignment horizontal="left"/>
    </xf>
    <xf numFmtId="0" fontId="16" fillId="5" borderId="82" xfId="0" applyFont="1" applyFill="1" applyBorder="1" applyAlignment="1" applyProtection="1">
      <alignment horizontal="left"/>
    </xf>
    <xf numFmtId="3" fontId="10" fillId="5" borderId="16" xfId="0" applyNumberFormat="1" applyFont="1" applyFill="1" applyBorder="1" applyAlignment="1" applyProtection="1">
      <alignment horizontal="center" vertical="center"/>
    </xf>
    <xf numFmtId="3" fontId="10" fillId="5" borderId="17" xfId="0" applyNumberFormat="1" applyFont="1" applyFill="1" applyBorder="1" applyAlignment="1" applyProtection="1">
      <alignment horizontal="center" vertical="center"/>
    </xf>
    <xf numFmtId="3" fontId="10" fillId="5" borderId="18"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top" wrapText="1"/>
    </xf>
    <xf numFmtId="0" fontId="6" fillId="5" borderId="85" xfId="0" applyFont="1" applyFill="1" applyBorder="1" applyAlignment="1" applyProtection="1">
      <alignment horizontal="left" vertical="top" wrapText="1"/>
    </xf>
    <xf numFmtId="0" fontId="6" fillId="5" borderId="82" xfId="0" applyFont="1" applyFill="1" applyBorder="1" applyAlignment="1" applyProtection="1">
      <alignment horizontal="left" vertical="top" wrapText="1"/>
    </xf>
    <xf numFmtId="1" fontId="6" fillId="11" borderId="16" xfId="0" applyNumberFormat="1" applyFont="1" applyFill="1" applyBorder="1" applyAlignment="1" applyProtection="1">
      <alignment horizontal="center" vertical="center"/>
    </xf>
    <xf numFmtId="1" fontId="6" fillId="11" borderId="12" xfId="0" applyNumberFormat="1" applyFont="1" applyFill="1" applyBorder="1" applyAlignment="1" applyProtection="1">
      <alignment horizontal="center" vertical="center"/>
    </xf>
    <xf numFmtId="1" fontId="6" fillId="5" borderId="12" xfId="0" applyNumberFormat="1" applyFont="1" applyFill="1" applyBorder="1" applyAlignment="1" applyProtection="1">
      <alignment horizontal="center" vertical="center"/>
    </xf>
    <xf numFmtId="38" fontId="10" fillId="5" borderId="16"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0" fontId="52" fillId="10" borderId="28" xfId="0" applyFont="1" applyFill="1" applyBorder="1" applyAlignment="1" applyProtection="1">
      <alignment horizontal="left" vertical="center"/>
    </xf>
    <xf numFmtId="0" fontId="52" fillId="10" borderId="58" xfId="0" applyFont="1" applyFill="1" applyBorder="1" applyAlignment="1" applyProtection="1">
      <alignment horizontal="left" vertical="center"/>
    </xf>
    <xf numFmtId="0" fontId="52" fillId="10" borderId="29" xfId="0" applyFont="1" applyFill="1" applyBorder="1" applyAlignment="1" applyProtection="1">
      <alignment horizontal="left" vertical="center"/>
    </xf>
    <xf numFmtId="183" fontId="52" fillId="10" borderId="16" xfId="0" applyNumberFormat="1" applyFont="1" applyFill="1" applyBorder="1" applyAlignment="1" applyProtection="1">
      <alignment horizontal="center" vertical="center" wrapText="1"/>
    </xf>
    <xf numFmtId="0" fontId="52" fillId="10" borderId="30" xfId="0" applyFont="1" applyFill="1" applyBorder="1" applyAlignment="1" applyProtection="1">
      <alignment horizontal="left" vertical="center"/>
    </xf>
    <xf numFmtId="0" fontId="52" fillId="10" borderId="21" xfId="0" applyFont="1" applyFill="1" applyBorder="1" applyAlignment="1" applyProtection="1">
      <alignment horizontal="left" vertical="center"/>
    </xf>
    <xf numFmtId="0" fontId="52" fillId="10" borderId="31" xfId="0" applyFont="1" applyFill="1" applyBorder="1" applyAlignment="1" applyProtection="1">
      <alignment horizontal="left" vertical="center"/>
    </xf>
    <xf numFmtId="183" fontId="52" fillId="10" borderId="17" xfId="0" applyNumberFormat="1" applyFont="1" applyFill="1" applyBorder="1" applyAlignment="1" applyProtection="1">
      <alignment horizontal="center" vertical="center" wrapText="1"/>
    </xf>
    <xf numFmtId="0" fontId="52" fillId="10" borderId="33" xfId="0" applyFont="1" applyFill="1" applyBorder="1" applyAlignment="1" applyProtection="1">
      <alignment horizontal="left" vertical="center"/>
    </xf>
    <xf numFmtId="0" fontId="52" fillId="10" borderId="59" xfId="0" applyFont="1" applyFill="1" applyBorder="1" applyAlignment="1" applyProtection="1">
      <alignment horizontal="left" vertical="center"/>
    </xf>
    <xf numFmtId="0" fontId="52" fillId="10" borderId="34" xfId="0" applyFont="1" applyFill="1" applyBorder="1" applyAlignment="1" applyProtection="1">
      <alignment horizontal="left" vertical="center"/>
    </xf>
    <xf numFmtId="183" fontId="52" fillId="10" borderId="18" xfId="0" applyNumberFormat="1" applyFont="1" applyFill="1" applyBorder="1" applyAlignment="1" applyProtection="1">
      <alignment horizontal="center" vertical="center" wrapText="1"/>
    </xf>
    <xf numFmtId="38" fontId="10" fillId="5" borderId="89" xfId="0" applyNumberFormat="1" applyFont="1" applyFill="1" applyBorder="1" applyAlignment="1" applyProtection="1">
      <alignment horizontal="center" vertical="center"/>
    </xf>
    <xf numFmtId="38" fontId="10" fillId="5" borderId="16" xfId="0" applyNumberFormat="1" applyFont="1" applyFill="1" applyBorder="1" applyAlignment="1" applyProtection="1">
      <alignment horizontal="center" vertical="top"/>
    </xf>
    <xf numFmtId="0" fontId="52" fillId="10" borderId="52" xfId="0" applyFont="1" applyFill="1" applyBorder="1" applyAlignment="1" applyProtection="1">
      <alignment horizontal="left" vertical="top"/>
    </xf>
    <xf numFmtId="0" fontId="52" fillId="10" borderId="53" xfId="0" applyFont="1" applyFill="1" applyBorder="1" applyAlignment="1" applyProtection="1">
      <alignment horizontal="left" vertical="top"/>
    </xf>
    <xf numFmtId="167" fontId="52" fillId="10" borderId="23" xfId="0" applyNumberFormat="1" applyFont="1" applyFill="1" applyBorder="1" applyAlignment="1" applyProtection="1">
      <alignment vertical="top"/>
    </xf>
    <xf numFmtId="38" fontId="10" fillId="5" borderId="17" xfId="0" applyNumberFormat="1" applyFont="1" applyFill="1" applyBorder="1" applyAlignment="1" applyProtection="1">
      <alignment horizontal="center" vertical="top"/>
    </xf>
    <xf numFmtId="0" fontId="52" fillId="10" borderId="27" xfId="0" applyFont="1" applyFill="1" applyBorder="1" applyAlignment="1" applyProtection="1">
      <alignment horizontal="left" vertical="top" wrapText="1"/>
    </xf>
    <xf numFmtId="0" fontId="52" fillId="10" borderId="20" xfId="0" applyFont="1" applyFill="1" applyBorder="1" applyAlignment="1" applyProtection="1">
      <alignment horizontal="left" vertical="top" wrapText="1"/>
    </xf>
    <xf numFmtId="0" fontId="52" fillId="10" borderId="97" xfId="0" applyFont="1" applyFill="1" applyBorder="1" applyAlignment="1" applyProtection="1">
      <alignment horizontal="left" vertical="top" wrapText="1"/>
    </xf>
    <xf numFmtId="0" fontId="52" fillId="10" borderId="30" xfId="0" applyFont="1" applyFill="1" applyBorder="1" applyAlignment="1" applyProtection="1">
      <alignment horizontal="left" vertical="top" wrapText="1"/>
    </xf>
    <xf numFmtId="0" fontId="52" fillId="10" borderId="21" xfId="0" applyFont="1" applyFill="1" applyBorder="1" applyAlignment="1" applyProtection="1">
      <alignment horizontal="left" vertical="top" wrapText="1"/>
    </xf>
    <xf numFmtId="0" fontId="52" fillId="10" borderId="31" xfId="0" applyFont="1" applyFill="1" applyBorder="1" applyAlignment="1" applyProtection="1">
      <alignment horizontal="left" vertical="top" wrapText="1"/>
    </xf>
    <xf numFmtId="38" fontId="10" fillId="5" borderId="17" xfId="0" applyNumberFormat="1" applyFont="1" applyFill="1" applyBorder="1" applyAlignment="1" applyProtection="1">
      <alignment horizontal="center" vertical="center"/>
    </xf>
    <xf numFmtId="0" fontId="52" fillId="10" borderId="33" xfId="0" applyFont="1" applyFill="1" applyBorder="1" applyAlignment="1" applyProtection="1">
      <alignment horizontal="left" vertical="top" wrapText="1"/>
    </xf>
    <xf numFmtId="0" fontId="52" fillId="10" borderId="59" xfId="0" applyFont="1" applyFill="1" applyBorder="1" applyAlignment="1" applyProtection="1">
      <alignment horizontal="left" vertical="top" wrapText="1"/>
    </xf>
    <xf numFmtId="0" fontId="52" fillId="10" borderId="34" xfId="0" applyFont="1" applyFill="1" applyBorder="1" applyAlignment="1" applyProtection="1">
      <alignment horizontal="left" vertical="top" wrapText="1"/>
    </xf>
    <xf numFmtId="38" fontId="10"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9" fillId="5" borderId="85" xfId="0" applyFont="1" applyFill="1" applyBorder="1" applyAlignment="1" applyProtection="1">
      <alignment horizontal="left" vertical="center"/>
    </xf>
    <xf numFmtId="0" fontId="9" fillId="5" borderId="82" xfId="0" applyFont="1" applyFill="1" applyBorder="1" applyAlignment="1" applyProtection="1">
      <alignment horizontal="left" vertical="center"/>
    </xf>
    <xf numFmtId="0" fontId="9" fillId="5" borderId="81" xfId="0" applyFont="1" applyFill="1" applyBorder="1" applyAlignment="1" applyProtection="1">
      <alignment horizontal="left" vertical="center"/>
    </xf>
    <xf numFmtId="0" fontId="51" fillId="5" borderId="85" xfId="0" applyFont="1" applyFill="1" applyBorder="1" applyAlignment="1" applyProtection="1">
      <alignment horizontal="center" vertical="center"/>
    </xf>
    <xf numFmtId="0" fontId="16" fillId="5" borderId="89" xfId="0" applyFont="1" applyFill="1" applyBorder="1" applyAlignment="1" applyProtection="1">
      <alignment horizontal="center" vertical="top"/>
    </xf>
    <xf numFmtId="0" fontId="6" fillId="5" borderId="83" xfId="0" applyFont="1" applyFill="1" applyBorder="1" applyAlignment="1" applyProtection="1">
      <alignment horizontal="left" vertical="center"/>
    </xf>
    <xf numFmtId="0" fontId="9" fillId="5" borderId="88" xfId="0" applyFont="1" applyFill="1" applyBorder="1" applyAlignment="1" applyProtection="1">
      <alignment horizontal="left" vertical="center"/>
    </xf>
    <xf numFmtId="0" fontId="9" fillId="5" borderId="84"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52" fillId="5" borderId="36" xfId="0" applyFont="1" applyFill="1" applyBorder="1" applyAlignment="1" applyProtection="1">
      <alignment horizontal="left" vertical="top" wrapText="1"/>
    </xf>
    <xf numFmtId="0" fontId="52" fillId="5" borderId="2" xfId="0" applyFont="1" applyFill="1" applyBorder="1" applyAlignment="1" applyProtection="1">
      <alignment horizontal="left" vertical="top" wrapText="1"/>
    </xf>
    <xf numFmtId="0" fontId="52" fillId="5" borderId="37" xfId="0" applyFont="1" applyFill="1" applyBorder="1" applyAlignment="1" applyProtection="1">
      <alignment horizontal="left" vertical="top" wrapText="1"/>
    </xf>
    <xf numFmtId="9" fontId="12" fillId="10" borderId="89" xfId="0" applyNumberFormat="1" applyFont="1" applyFill="1" applyBorder="1" applyAlignment="1" applyProtection="1">
      <alignment horizontal="center" vertical="center"/>
    </xf>
    <xf numFmtId="10" fontId="6" fillId="10" borderId="89" xfId="0" applyNumberFormat="1" applyFont="1" applyFill="1" applyBorder="1" applyAlignment="1" applyProtection="1">
      <alignment horizontal="left"/>
    </xf>
    <xf numFmtId="0" fontId="6" fillId="10" borderId="89" xfId="0" applyFont="1" applyFill="1" applyBorder="1" applyAlignment="1" applyProtection="1">
      <alignment horizontal="left"/>
    </xf>
    <xf numFmtId="3" fontId="6" fillId="10" borderId="16" xfId="0" applyNumberFormat="1" applyFont="1" applyFill="1" applyBorder="1" applyAlignment="1" applyProtection="1">
      <alignment horizontal="left"/>
    </xf>
    <xf numFmtId="3" fontId="6" fillId="10" borderId="17" xfId="0" applyNumberFormat="1" applyFont="1" applyFill="1" applyBorder="1" applyAlignment="1" applyProtection="1">
      <alignment horizontal="left"/>
    </xf>
    <xf numFmtId="3" fontId="6" fillId="10" borderId="18" xfId="0" applyNumberFormat="1" applyFont="1" applyFill="1" applyBorder="1" applyAlignment="1" applyProtection="1">
      <alignment horizontal="left"/>
    </xf>
    <xf numFmtId="0" fontId="128" fillId="5" borderId="81" xfId="0" applyFont="1" applyFill="1" applyBorder="1" applyAlignment="1" applyProtection="1">
      <alignment horizontal="center" vertical="center"/>
    </xf>
    <xf numFmtId="0" fontId="128" fillId="5" borderId="85" xfId="0" applyFont="1" applyFill="1" applyBorder="1" applyAlignment="1" applyProtection="1">
      <alignment horizontal="center" vertical="center"/>
    </xf>
    <xf numFmtId="0" fontId="128" fillId="5" borderId="82" xfId="0" applyFont="1" applyFill="1" applyBorder="1" applyAlignment="1" applyProtection="1">
      <alignment horizontal="center" vertical="center"/>
    </xf>
    <xf numFmtId="0" fontId="52" fillId="5" borderId="81" xfId="0" applyFont="1" applyFill="1" applyBorder="1" applyAlignment="1" applyProtection="1">
      <alignment horizontal="left" vertical="center" wrapText="1"/>
    </xf>
    <xf numFmtId="0" fontId="52" fillId="5" borderId="85" xfId="0" applyFont="1" applyFill="1" applyBorder="1" applyAlignment="1" applyProtection="1">
      <alignment horizontal="left" vertical="center" wrapText="1"/>
    </xf>
    <xf numFmtId="0" fontId="52" fillId="5" borderId="82" xfId="0" applyFont="1" applyFill="1" applyBorder="1" applyAlignment="1" applyProtection="1">
      <alignment horizontal="left" vertical="center" wrapText="1"/>
    </xf>
    <xf numFmtId="176" fontId="51" fillId="5" borderId="16" xfId="0" applyNumberFormat="1" applyFont="1" applyFill="1" applyBorder="1" applyAlignment="1" applyProtection="1">
      <alignment horizontal="center" vertical="center"/>
    </xf>
    <xf numFmtId="176" fontId="51" fillId="5" borderId="18" xfId="0" applyNumberFormat="1" applyFont="1" applyFill="1" applyBorder="1" applyAlignment="1" applyProtection="1">
      <alignment horizontal="center" vertical="center"/>
    </xf>
    <xf numFmtId="0" fontId="52" fillId="10" borderId="28" xfId="0" applyFont="1" applyFill="1" applyBorder="1" applyAlignment="1" applyProtection="1">
      <alignment horizontal="left"/>
    </xf>
    <xf numFmtId="0" fontId="52" fillId="10" borderId="29" xfId="0" applyFont="1" applyFill="1" applyBorder="1" applyAlignment="1" applyProtection="1">
      <alignment horizontal="left"/>
    </xf>
    <xf numFmtId="0" fontId="52" fillId="10" borderId="30" xfId="0" applyFont="1" applyFill="1" applyBorder="1" applyAlignment="1" applyProtection="1">
      <alignment horizontal="left"/>
    </xf>
    <xf numFmtId="0" fontId="52" fillId="10" borderId="31" xfId="0" applyFont="1" applyFill="1" applyBorder="1" applyAlignment="1" applyProtection="1">
      <alignment horizontal="left"/>
    </xf>
    <xf numFmtId="176" fontId="51" fillId="5" borderId="30" xfId="0" applyNumberFormat="1" applyFont="1" applyFill="1" applyBorder="1" applyAlignment="1" applyProtection="1">
      <alignment horizontal="left" vertical="center"/>
    </xf>
    <xf numFmtId="176" fontId="51" fillId="5" borderId="31" xfId="0" applyNumberFormat="1" applyFont="1" applyFill="1" applyBorder="1" applyAlignment="1" applyProtection="1">
      <alignment horizontal="left" vertical="center"/>
    </xf>
    <xf numFmtId="176" fontId="51" fillId="5" borderId="33" xfId="0" applyNumberFormat="1" applyFont="1" applyFill="1" applyBorder="1" applyAlignment="1" applyProtection="1">
      <alignment horizontal="left" vertical="center"/>
    </xf>
    <xf numFmtId="176" fontId="51" fillId="5" borderId="34" xfId="0" applyNumberFormat="1" applyFont="1" applyFill="1" applyBorder="1" applyAlignment="1" applyProtection="1">
      <alignment horizontal="left" vertical="center"/>
    </xf>
    <xf numFmtId="176" fontId="51" fillId="5" borderId="28" xfId="0" applyNumberFormat="1" applyFont="1" applyFill="1" applyBorder="1" applyAlignment="1" applyProtection="1">
      <alignment horizontal="left" vertical="center"/>
    </xf>
    <xf numFmtId="176" fontId="51" fillId="5" borderId="29" xfId="0" applyNumberFormat="1" applyFont="1" applyFill="1" applyBorder="1" applyAlignment="1" applyProtection="1">
      <alignment horizontal="left" vertical="center"/>
    </xf>
    <xf numFmtId="0" fontId="52" fillId="10" borderId="16" xfId="0" applyNumberFormat="1" applyFont="1" applyFill="1" applyBorder="1" applyAlignment="1" applyProtection="1">
      <alignment horizontal="left" vertical="center"/>
    </xf>
    <xf numFmtId="0" fontId="52" fillId="10" borderId="17" xfId="0" applyNumberFormat="1" applyFont="1" applyFill="1" applyBorder="1" applyAlignment="1" applyProtection="1">
      <alignment horizontal="left" vertical="center"/>
    </xf>
    <xf numFmtId="0" fontId="52" fillId="10" borderId="18" xfId="0" applyNumberFormat="1" applyFont="1" applyFill="1" applyBorder="1" applyAlignment="1" applyProtection="1">
      <alignment horizontal="left" vertical="center"/>
    </xf>
    <xf numFmtId="49" fontId="52" fillId="10" borderId="89" xfId="0" applyNumberFormat="1" applyFont="1" applyFill="1" applyBorder="1" applyAlignment="1" applyProtection="1">
      <alignment horizontal="left" vertical="center"/>
    </xf>
    <xf numFmtId="0" fontId="15" fillId="5" borderId="81" xfId="0" applyFont="1" applyFill="1" applyBorder="1" applyAlignment="1" applyProtection="1">
      <alignment horizontal="left"/>
    </xf>
    <xf numFmtId="0" fontId="15" fillId="5" borderId="82" xfId="0" applyFont="1" applyFill="1" applyBorder="1" applyAlignment="1" applyProtection="1">
      <alignment horizontal="left"/>
    </xf>
    <xf numFmtId="0" fontId="6" fillId="5" borderId="81" xfId="0" applyFont="1" applyFill="1" applyBorder="1" applyAlignment="1" applyProtection="1">
      <alignment horizontal="left"/>
    </xf>
    <xf numFmtId="0" fontId="9" fillId="5" borderId="85" xfId="0" applyFont="1" applyFill="1" applyBorder="1" applyAlignment="1" applyProtection="1">
      <alignment horizontal="left"/>
    </xf>
    <xf numFmtId="0" fontId="9" fillId="5" borderId="82" xfId="0" applyFont="1" applyFill="1" applyBorder="1" applyAlignment="1" applyProtection="1">
      <alignment horizontal="left"/>
    </xf>
    <xf numFmtId="38" fontId="10" fillId="5" borderId="3" xfId="0" applyNumberFormat="1" applyFont="1" applyFill="1" applyBorder="1" applyAlignment="1" applyProtection="1">
      <alignment horizontal="center" vertical="top"/>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3" fontId="6" fillId="10" borderId="28" xfId="0" applyNumberFormat="1" applyFont="1" applyFill="1" applyBorder="1" applyAlignment="1" applyProtection="1">
      <alignment horizontal="center" vertical="center"/>
    </xf>
    <xf numFmtId="3" fontId="6" fillId="10" borderId="29" xfId="0" applyNumberFormat="1" applyFont="1" applyFill="1" applyBorder="1" applyAlignment="1" applyProtection="1">
      <alignment horizontal="center" vertical="center"/>
    </xf>
    <xf numFmtId="3" fontId="6" fillId="10" borderId="30" xfId="0" applyNumberFormat="1" applyFont="1" applyFill="1" applyBorder="1" applyAlignment="1" applyProtection="1">
      <alignment horizontal="center" vertical="center"/>
    </xf>
    <xf numFmtId="3" fontId="6" fillId="10" borderId="31" xfId="0" applyNumberFormat="1" applyFont="1" applyFill="1" applyBorder="1" applyAlignment="1" applyProtection="1">
      <alignment horizontal="center" vertical="center"/>
    </xf>
    <xf numFmtId="3" fontId="6" fillId="10" borderId="57" xfId="0" applyNumberFormat="1" applyFont="1" applyFill="1" applyBorder="1" applyAlignment="1" applyProtection="1">
      <alignment horizontal="center" vertical="center"/>
    </xf>
    <xf numFmtId="3" fontId="6" fillId="10" borderId="35" xfId="0" applyNumberFormat="1" applyFont="1" applyFill="1" applyBorder="1" applyAlignment="1" applyProtection="1">
      <alignment horizontal="center" vertical="center"/>
    </xf>
    <xf numFmtId="38" fontId="16" fillId="5" borderId="16" xfId="0" applyNumberFormat="1" applyFont="1" applyFill="1" applyBorder="1" applyAlignment="1" applyProtection="1">
      <alignment horizontal="center" vertical="center"/>
    </xf>
    <xf numFmtId="3" fontId="6" fillId="5" borderId="28" xfId="0" applyNumberFormat="1" applyFont="1" applyFill="1" applyBorder="1" applyAlignment="1" applyProtection="1">
      <alignment horizontal="left" vertical="center" wrapText="1"/>
    </xf>
    <xf numFmtId="3" fontId="6" fillId="5" borderId="29" xfId="0" applyNumberFormat="1" applyFont="1" applyFill="1" applyBorder="1" applyAlignment="1" applyProtection="1">
      <alignment horizontal="left" vertical="center" wrapText="1"/>
    </xf>
    <xf numFmtId="0" fontId="52"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10" fillId="5" borderId="8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top"/>
    </xf>
    <xf numFmtId="10" fontId="6" fillId="10" borderId="89" xfId="0" applyNumberFormat="1" applyFont="1" applyFill="1" applyBorder="1" applyAlignment="1" applyProtection="1">
      <alignment horizontal="center" vertical="center"/>
    </xf>
    <xf numFmtId="0" fontId="6" fillId="10" borderId="81" xfId="0" applyFont="1" applyFill="1" applyBorder="1" applyAlignment="1" applyProtection="1">
      <alignment horizontal="left" vertical="top"/>
    </xf>
    <xf numFmtId="0" fontId="6" fillId="10" borderId="85" xfId="0" applyFont="1" applyFill="1" applyBorder="1" applyAlignment="1" applyProtection="1">
      <alignment horizontal="left" vertical="top"/>
    </xf>
    <xf numFmtId="0" fontId="6" fillId="10" borderId="82" xfId="0" applyFont="1" applyFill="1" applyBorder="1" applyAlignment="1" applyProtection="1">
      <alignment horizontal="left" vertical="top"/>
    </xf>
    <xf numFmtId="38" fontId="10" fillId="10" borderId="16" xfId="0" applyNumberFormat="1" applyFont="1" applyFill="1" applyBorder="1" applyAlignment="1" applyProtection="1">
      <alignment horizontal="center" vertical="top"/>
    </xf>
    <xf numFmtId="38" fontId="10" fillId="10" borderId="18" xfId="0" applyNumberFormat="1" applyFont="1" applyFill="1" applyBorder="1" applyAlignment="1" applyProtection="1">
      <alignment horizontal="center" vertical="top"/>
    </xf>
    <xf numFmtId="38" fontId="10" fillId="10" borderId="16" xfId="0" applyNumberFormat="1" applyFont="1" applyFill="1" applyBorder="1" applyAlignment="1" applyProtection="1">
      <alignment horizontal="center" vertical="top"/>
    </xf>
    <xf numFmtId="38" fontId="10" fillId="10" borderId="18" xfId="0" applyNumberFormat="1" applyFont="1" applyFill="1" applyBorder="1" applyAlignment="1" applyProtection="1">
      <alignment horizontal="center" vertical="top"/>
    </xf>
    <xf numFmtId="38" fontId="10" fillId="10" borderId="17" xfId="0" applyNumberFormat="1" applyFont="1" applyFill="1" applyBorder="1" applyAlignment="1" applyProtection="1">
      <alignment horizontal="center" vertical="top"/>
    </xf>
    <xf numFmtId="0" fontId="6" fillId="10" borderId="81" xfId="0" applyFont="1" applyFill="1" applyBorder="1" applyAlignment="1" applyProtection="1">
      <alignment horizontal="left" vertical="center" wrapText="1"/>
    </xf>
    <xf numFmtId="0" fontId="6" fillId="10" borderId="85" xfId="0" applyFont="1" applyFill="1" applyBorder="1" applyAlignment="1" applyProtection="1">
      <alignment horizontal="left" vertical="center" wrapText="1"/>
    </xf>
    <xf numFmtId="0" fontId="6" fillId="10" borderId="82" xfId="0" applyFont="1" applyFill="1" applyBorder="1" applyAlignment="1" applyProtection="1">
      <alignment horizontal="left" vertical="center" wrapText="1"/>
    </xf>
    <xf numFmtId="0" fontId="6" fillId="10" borderId="28" xfId="0" applyFont="1" applyFill="1" applyBorder="1" applyAlignment="1" applyProtection="1">
      <alignment horizontal="left" vertical="center" wrapText="1"/>
    </xf>
    <xf numFmtId="0" fontId="6" fillId="10" borderId="58" xfId="0" applyFont="1" applyFill="1" applyBorder="1" applyAlignment="1" applyProtection="1">
      <alignment horizontal="left" vertical="center" wrapText="1"/>
    </xf>
    <xf numFmtId="0" fontId="6" fillId="10" borderId="29" xfId="0" applyFont="1" applyFill="1" applyBorder="1" applyAlignment="1" applyProtection="1">
      <alignment horizontal="left" vertical="center" wrapText="1"/>
    </xf>
    <xf numFmtId="0" fontId="6" fillId="10" borderId="29" xfId="0" applyFont="1" applyFill="1" applyBorder="1" applyAlignment="1" applyProtection="1">
      <alignment horizontal="center" vertical="center" wrapText="1"/>
    </xf>
    <xf numFmtId="4" fontId="6" fillId="10" borderId="29" xfId="0" applyNumberFormat="1" applyFont="1" applyFill="1" applyBorder="1" applyAlignment="1" applyProtection="1">
      <alignment horizontal="center" vertical="center" wrapText="1"/>
    </xf>
    <xf numFmtId="0" fontId="6" fillId="10" borderId="30" xfId="0" applyFont="1" applyFill="1" applyBorder="1" applyAlignment="1" applyProtection="1">
      <alignment horizontal="left" vertical="center" wrapText="1"/>
    </xf>
    <xf numFmtId="0" fontId="6" fillId="10" borderId="21" xfId="0" applyFont="1" applyFill="1" applyBorder="1" applyAlignment="1" applyProtection="1">
      <alignment horizontal="left" vertical="center" wrapText="1"/>
    </xf>
    <xf numFmtId="0" fontId="6" fillId="10" borderId="31" xfId="0" applyFont="1" applyFill="1" applyBorder="1" applyAlignment="1" applyProtection="1">
      <alignment horizontal="left" vertical="center" wrapText="1"/>
    </xf>
    <xf numFmtId="0" fontId="6" fillId="10" borderId="31" xfId="0" applyFont="1" applyFill="1" applyBorder="1" applyAlignment="1" applyProtection="1">
      <alignment horizontal="center" vertical="center" wrapText="1"/>
    </xf>
    <xf numFmtId="4" fontId="6" fillId="10" borderId="31" xfId="0" applyNumberFormat="1" applyFont="1" applyFill="1" applyBorder="1" applyAlignment="1" applyProtection="1">
      <alignment horizontal="center" vertical="center" wrapText="1"/>
    </xf>
    <xf numFmtId="0" fontId="6" fillId="10" borderId="33" xfId="0" applyFont="1" applyFill="1" applyBorder="1" applyAlignment="1" applyProtection="1">
      <alignment horizontal="left" vertical="center" wrapText="1"/>
    </xf>
    <xf numFmtId="0" fontId="6" fillId="10" borderId="59" xfId="0" applyFont="1" applyFill="1" applyBorder="1" applyAlignment="1" applyProtection="1">
      <alignment horizontal="left" vertical="center" wrapText="1"/>
    </xf>
    <xf numFmtId="0" fontId="6" fillId="10" borderId="34" xfId="0" applyFont="1" applyFill="1" applyBorder="1" applyAlignment="1" applyProtection="1">
      <alignment horizontal="left" vertical="center" wrapText="1"/>
    </xf>
    <xf numFmtId="0" fontId="6" fillId="10" borderId="34" xfId="0" applyFont="1" applyFill="1" applyBorder="1" applyAlignment="1" applyProtection="1">
      <alignment horizontal="center" vertical="center" wrapText="1"/>
    </xf>
    <xf numFmtId="4" fontId="6" fillId="10" borderId="34" xfId="0" applyNumberFormat="1" applyFont="1" applyFill="1" applyBorder="1" applyAlignment="1" applyProtection="1">
      <alignment horizontal="center" vertical="center" wrapText="1"/>
    </xf>
    <xf numFmtId="3" fontId="6" fillId="10" borderId="89" xfId="0" applyNumberFormat="1" applyFont="1" applyFill="1" applyBorder="1" applyAlignment="1" applyProtection="1">
      <alignment horizontal="center" vertical="center" wrapText="1"/>
    </xf>
    <xf numFmtId="0" fontId="42" fillId="0" borderId="0" xfId="13" applyFont="1" applyProtection="1"/>
    <xf numFmtId="0" fontId="41" fillId="0" borderId="0" xfId="13" applyFont="1" applyAlignment="1" applyProtection="1"/>
    <xf numFmtId="0" fontId="43" fillId="0" borderId="0" xfId="13" applyFont="1" applyAlignment="1" applyProtection="1"/>
    <xf numFmtId="0" fontId="44" fillId="0" borderId="0" xfId="13" applyFont="1" applyAlignment="1" applyProtection="1"/>
    <xf numFmtId="0" fontId="46" fillId="0" borderId="0" xfId="13" applyFont="1" applyProtection="1"/>
    <xf numFmtId="0" fontId="45" fillId="0" borderId="0" xfId="13" applyFont="1" applyProtection="1"/>
    <xf numFmtId="0" fontId="46" fillId="0" borderId="0" xfId="13" applyFont="1" applyAlignment="1" applyProtection="1">
      <alignment horizontal="left" wrapText="1"/>
    </xf>
    <xf numFmtId="0" fontId="46" fillId="0" borderId="0" xfId="13" applyFont="1" applyAlignment="1" applyProtection="1">
      <alignment horizontal="left"/>
    </xf>
    <xf numFmtId="0" fontId="46" fillId="0" borderId="0" xfId="13" applyFont="1" applyAlignment="1" applyProtection="1">
      <alignment horizontal="justify" vertical="center" wrapText="1"/>
    </xf>
    <xf numFmtId="0" fontId="46" fillId="0" borderId="0" xfId="13" applyFont="1" applyAlignment="1" applyProtection="1">
      <alignment vertical="top"/>
    </xf>
    <xf numFmtId="0" fontId="46" fillId="0" borderId="0" xfId="13" applyFont="1" applyAlignment="1" applyProtection="1">
      <alignment horizontal="justify" vertical="top" wrapText="1"/>
    </xf>
    <xf numFmtId="0" fontId="46" fillId="0" borderId="0" xfId="13" applyFont="1" applyAlignment="1" applyProtection="1">
      <alignment horizontal="left" vertical="top" wrapText="1"/>
    </xf>
    <xf numFmtId="0" fontId="46" fillId="0" borderId="0" xfId="13" applyFont="1" applyAlignment="1" applyProtection="1">
      <alignment horizontal="left"/>
    </xf>
    <xf numFmtId="0" fontId="46" fillId="0" borderId="13" xfId="13" applyFont="1" applyBorder="1" applyAlignment="1" applyProtection="1">
      <alignment horizontal="left"/>
    </xf>
    <xf numFmtId="0" fontId="46" fillId="0" borderId="0" xfId="13" applyFont="1" applyAlignment="1" applyProtection="1"/>
    <xf numFmtId="0" fontId="48" fillId="0" borderId="88" xfId="13" applyFont="1" applyBorder="1" applyAlignment="1" applyProtection="1">
      <alignment horizontal="center" vertical="top"/>
    </xf>
    <xf numFmtId="175" fontId="46" fillId="0" borderId="13" xfId="13" applyNumberFormat="1" applyFont="1" applyBorder="1" applyAlignment="1" applyProtection="1">
      <alignment horizontal="left"/>
    </xf>
    <xf numFmtId="0" fontId="48" fillId="0" borderId="0" xfId="13" applyFont="1" applyBorder="1" applyAlignment="1" applyProtection="1">
      <alignment horizontal="center" vertical="top"/>
    </xf>
    <xf numFmtId="0" fontId="48" fillId="0" borderId="0" xfId="13" applyFont="1" applyAlignment="1" applyProtection="1">
      <alignment horizontal="center"/>
    </xf>
    <xf numFmtId="0" fontId="10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21" fillId="0" borderId="0" xfId="0" applyFont="1" applyFill="1" applyBorder="1" applyAlignment="1" applyProtection="1">
      <alignment vertical="center"/>
    </xf>
    <xf numFmtId="0" fontId="100" fillId="0" borderId="0" xfId="0" applyFont="1" applyFill="1" applyBorder="1" applyAlignment="1" applyProtection="1">
      <alignment horizontal="left" vertical="center"/>
    </xf>
    <xf numFmtId="0" fontId="201" fillId="0" borderId="0" xfId="0" applyFont="1" applyFill="1" applyBorder="1" applyAlignment="1" applyProtection="1">
      <alignment horizontal="left" vertical="center"/>
    </xf>
    <xf numFmtId="0" fontId="100" fillId="0" borderId="0" xfId="0" applyFont="1" applyFill="1" applyBorder="1" applyAlignment="1" applyProtection="1">
      <alignment vertical="center"/>
    </xf>
    <xf numFmtId="0" fontId="121" fillId="0" borderId="0" xfId="0" applyFont="1" applyFill="1" applyBorder="1" applyAlignment="1" applyProtection="1">
      <alignment horizontal="center" vertical="center"/>
    </xf>
    <xf numFmtId="0" fontId="109" fillId="0" borderId="0" xfId="0" applyFont="1" applyFill="1" applyBorder="1" applyAlignment="1" applyProtection="1">
      <alignment vertical="center"/>
    </xf>
    <xf numFmtId="0" fontId="121" fillId="0" borderId="0" xfId="0" applyFont="1" applyFill="1" applyBorder="1" applyProtection="1"/>
    <xf numFmtId="0" fontId="121" fillId="0" borderId="0" xfId="0" applyFont="1" applyFill="1" applyBorder="1" applyAlignment="1" applyProtection="1">
      <alignment horizontal="centerContinuous" vertical="center"/>
    </xf>
    <xf numFmtId="0" fontId="121" fillId="0" borderId="0" xfId="0" applyFont="1" applyFill="1" applyBorder="1" applyAlignment="1" applyProtection="1">
      <alignment horizontal="left" vertical="center"/>
    </xf>
    <xf numFmtId="42" fontId="121" fillId="0" borderId="0" xfId="2" applyNumberFormat="1" applyFont="1" applyFill="1" applyBorder="1" applyAlignment="1" applyProtection="1">
      <alignment horizontal="center" vertical="center"/>
    </xf>
    <xf numFmtId="0" fontId="106" fillId="0" borderId="0" xfId="0" applyFont="1" applyFill="1" applyBorder="1" applyAlignment="1" applyProtection="1">
      <alignment horizontal="centerContinuous" vertical="center"/>
    </xf>
    <xf numFmtId="0" fontId="121" fillId="0" borderId="0" xfId="0" applyFont="1" applyFill="1" applyBorder="1" applyAlignment="1" applyProtection="1">
      <alignment horizontal="right" vertical="center"/>
    </xf>
    <xf numFmtId="0" fontId="201" fillId="0" borderId="0" xfId="0" applyFont="1" applyFill="1" applyBorder="1" applyAlignment="1" applyProtection="1">
      <alignment horizontal="left" vertical="center"/>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167" fontId="121" fillId="0" borderId="0" xfId="0" applyNumberFormat="1" applyFont="1" applyFill="1" applyBorder="1" applyAlignment="1" applyProtection="1">
      <alignment horizontal="left" vertical="center"/>
    </xf>
    <xf numFmtId="0" fontId="121" fillId="0" borderId="0" xfId="0" applyFont="1" applyFill="1" applyBorder="1" applyAlignment="1" applyProtection="1">
      <alignment horizontal="left"/>
    </xf>
    <xf numFmtId="169" fontId="121" fillId="0" borderId="0" xfId="0" applyNumberFormat="1" applyFont="1" applyFill="1" applyBorder="1" applyAlignment="1" applyProtection="1">
      <alignment horizontal="center" vertical="center"/>
    </xf>
    <xf numFmtId="0" fontId="121" fillId="0" borderId="0" xfId="0" applyNumberFormat="1" applyFont="1" applyFill="1" applyBorder="1" applyAlignment="1" applyProtection="1">
      <alignment horizontal="center" vertical="center"/>
    </xf>
    <xf numFmtId="0" fontId="121" fillId="0" borderId="0" xfId="0" applyNumberFormat="1" applyFont="1" applyFill="1" applyBorder="1" applyAlignment="1" applyProtection="1">
      <alignment horizontal="left" vertical="center"/>
    </xf>
    <xf numFmtId="0" fontId="100" fillId="0" borderId="0" xfId="0" applyFont="1" applyFill="1" applyBorder="1" applyAlignment="1" applyProtection="1">
      <alignment horizontal="right" vertical="center"/>
    </xf>
    <xf numFmtId="178" fontId="121" fillId="0" borderId="0" xfId="0" applyNumberFormat="1" applyFont="1" applyFill="1" applyBorder="1" applyAlignment="1" applyProtection="1">
      <alignment horizontal="left" vertical="center"/>
    </xf>
    <xf numFmtId="0" fontId="121" fillId="0" borderId="0" xfId="0" applyNumberFormat="1" applyFont="1" applyFill="1" applyBorder="1" applyAlignment="1" applyProtection="1">
      <alignment horizontal="left" vertical="center"/>
    </xf>
    <xf numFmtId="49" fontId="121" fillId="0" borderId="0" xfId="0" applyNumberFormat="1" applyFont="1" applyFill="1" applyBorder="1" applyAlignment="1" applyProtection="1">
      <alignment horizontal="left" vertical="center"/>
    </xf>
    <xf numFmtId="0" fontId="106" fillId="0" borderId="0" xfId="0" applyNumberFormat="1" applyFont="1" applyFill="1" applyBorder="1" applyProtection="1"/>
    <xf numFmtId="0" fontId="121" fillId="0" borderId="0" xfId="0" quotePrefix="1" applyFont="1" applyFill="1" applyBorder="1" applyAlignment="1" applyProtection="1">
      <alignment horizontal="center" vertical="center"/>
    </xf>
    <xf numFmtId="164" fontId="121" fillId="0" borderId="0" xfId="1" applyNumberFormat="1" applyFont="1" applyFill="1" applyBorder="1" applyAlignment="1" applyProtection="1">
      <alignment vertical="center"/>
    </xf>
    <xf numFmtId="164" fontId="121" fillId="0" borderId="0" xfId="1" applyNumberFormat="1" applyFont="1" applyFill="1" applyBorder="1" applyAlignment="1" applyProtection="1">
      <alignment horizontal="center" vertical="center"/>
    </xf>
    <xf numFmtId="0" fontId="121" fillId="0" borderId="0" xfId="0" applyFont="1" applyFill="1" applyBorder="1" applyAlignment="1" applyProtection="1">
      <alignment horizontal="center"/>
    </xf>
    <xf numFmtId="0" fontId="101" fillId="0" borderId="0" xfId="0" applyFont="1" applyFill="1" applyBorder="1" applyAlignment="1" applyProtection="1">
      <alignment vertical="top"/>
    </xf>
    <xf numFmtId="1" fontId="121" fillId="0" borderId="0" xfId="1" applyNumberFormat="1" applyFont="1" applyFill="1" applyBorder="1" applyAlignment="1" applyProtection="1">
      <alignment horizontal="center" vertical="center"/>
    </xf>
    <xf numFmtId="0" fontId="106" fillId="0" borderId="0" xfId="0" applyFont="1" applyFill="1" applyBorder="1" applyProtection="1"/>
    <xf numFmtId="38" fontId="121" fillId="0" borderId="0" xfId="0" applyNumberFormat="1" applyFont="1" applyFill="1" applyBorder="1" applyAlignment="1" applyProtection="1">
      <alignment horizontal="left" vertical="center"/>
    </xf>
    <xf numFmtId="38" fontId="121" fillId="0" borderId="0" xfId="0" applyNumberFormat="1" applyFont="1" applyFill="1" applyBorder="1" applyAlignment="1" applyProtection="1">
      <alignment horizontal="left" vertical="center"/>
    </xf>
    <xf numFmtId="169" fontId="121" fillId="0" borderId="0" xfId="0" applyNumberFormat="1" applyFont="1" applyFill="1" applyBorder="1" applyAlignment="1" applyProtection="1">
      <alignment horizontal="left" vertical="center"/>
    </xf>
    <xf numFmtId="167" fontId="121"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xf>
    <xf numFmtId="0" fontId="203" fillId="0" borderId="0" xfId="0" applyFont="1" applyFill="1" applyBorder="1" applyAlignment="1" applyProtection="1">
      <alignment vertical="center"/>
    </xf>
    <xf numFmtId="0" fontId="204" fillId="0" borderId="0" xfId="6" applyFont="1" applyFill="1" applyBorder="1" applyAlignment="1" applyProtection="1">
      <alignment vertical="center"/>
    </xf>
    <xf numFmtId="1" fontId="121" fillId="0" borderId="0" xfId="1" applyNumberFormat="1" applyFont="1" applyFill="1" applyBorder="1" applyAlignment="1" applyProtection="1">
      <alignment horizontal="center" vertical="center"/>
    </xf>
    <xf numFmtId="0" fontId="121" fillId="0" borderId="0" xfId="1" applyNumberFormat="1" applyFont="1" applyFill="1" applyBorder="1" applyAlignment="1" applyProtection="1">
      <alignment horizontal="left" vertical="center"/>
    </xf>
    <xf numFmtId="0" fontId="121" fillId="0" borderId="0" xfId="0" quotePrefix="1" applyFont="1" applyFill="1" applyBorder="1" applyAlignment="1" applyProtection="1">
      <alignment vertical="center"/>
    </xf>
    <xf numFmtId="176" fontId="121" fillId="0" borderId="0" xfId="0" applyNumberFormat="1" applyFont="1" applyFill="1" applyBorder="1" applyAlignment="1" applyProtection="1">
      <alignment horizontal="center" vertical="center"/>
    </xf>
    <xf numFmtId="164" fontId="109" fillId="0" borderId="0" xfId="1" applyNumberFormat="1" applyFont="1" applyFill="1" applyBorder="1" applyAlignment="1" applyProtection="1">
      <alignment horizontal="center" vertical="center"/>
    </xf>
    <xf numFmtId="0" fontId="121" fillId="0" borderId="0" xfId="0" applyFont="1" applyFill="1" applyBorder="1" applyAlignment="1" applyProtection="1">
      <alignment horizontal="center" wrapText="1"/>
    </xf>
    <xf numFmtId="0" fontId="100" fillId="0" borderId="0" xfId="0" applyFont="1" applyFill="1" applyBorder="1" applyProtection="1"/>
    <xf numFmtId="3" fontId="121" fillId="0" borderId="0" xfId="1" applyNumberFormat="1" applyFont="1" applyFill="1" applyBorder="1" applyAlignment="1" applyProtection="1">
      <alignment horizontal="center" vertical="center"/>
    </xf>
    <xf numFmtId="0" fontId="121" fillId="0" borderId="0" xfId="0" applyFont="1" applyFill="1" applyBorder="1" applyAlignment="1" applyProtection="1"/>
    <xf numFmtId="0" fontId="100" fillId="0" borderId="0" xfId="0" applyFont="1" applyFill="1" applyBorder="1" applyAlignment="1" applyProtection="1"/>
    <xf numFmtId="0" fontId="100" fillId="0" borderId="0" xfId="0" applyFont="1" applyFill="1" applyBorder="1" applyAlignment="1" applyProtection="1">
      <alignment horizontal="left"/>
    </xf>
    <xf numFmtId="0" fontId="121" fillId="0" borderId="0" xfId="0" applyFont="1" applyFill="1" applyBorder="1" applyAlignment="1" applyProtection="1">
      <alignment horizontal="left"/>
    </xf>
    <xf numFmtId="0" fontId="201"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right"/>
    </xf>
    <xf numFmtId="165" fontId="121" fillId="0" borderId="0" xfId="1" applyNumberFormat="1" applyFont="1" applyFill="1" applyBorder="1" applyAlignment="1" applyProtection="1">
      <alignment horizontal="center" vertical="center"/>
    </xf>
    <xf numFmtId="166" fontId="100"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21" fillId="0" borderId="0" xfId="0" applyFont="1" applyFill="1" applyBorder="1" applyProtection="1"/>
    <xf numFmtId="0" fontId="121" fillId="0" borderId="0" xfId="0" applyFont="1" applyFill="1" applyBorder="1" applyAlignment="1" applyProtection="1">
      <alignment wrapText="1"/>
    </xf>
    <xf numFmtId="0" fontId="121" fillId="0" borderId="0" xfId="0" applyFont="1" applyFill="1" applyBorder="1" applyAlignment="1" applyProtection="1">
      <alignment horizontal="left" wrapText="1"/>
    </xf>
    <xf numFmtId="0" fontId="100" fillId="0" borderId="0" xfId="0" applyFont="1" applyFill="1" applyBorder="1" applyAlignment="1" applyProtection="1">
      <alignment horizontal="left" wrapText="1"/>
    </xf>
    <xf numFmtId="1" fontId="121" fillId="0" borderId="0" xfId="0" applyNumberFormat="1" applyFont="1" applyFill="1" applyBorder="1" applyAlignment="1" applyProtection="1">
      <alignment horizontal="center" vertical="center"/>
    </xf>
    <xf numFmtId="0" fontId="121" fillId="0" borderId="0" xfId="0" applyFont="1" applyFill="1" applyBorder="1" applyAlignment="1" applyProtection="1">
      <alignment vertical="top"/>
    </xf>
    <xf numFmtId="9" fontId="121" fillId="0" borderId="0" xfId="1" applyNumberFormat="1" applyFont="1" applyFill="1" applyBorder="1" applyAlignment="1" applyProtection="1">
      <alignment horizontal="center" vertical="center"/>
    </xf>
    <xf numFmtId="167" fontId="121"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0" fontId="121" fillId="0" borderId="0" xfId="0" quotePrefix="1" applyFont="1" applyFill="1" applyBorder="1" applyAlignment="1" applyProtection="1">
      <alignment horizontal="left" vertical="center"/>
    </xf>
    <xf numFmtId="0" fontId="121" fillId="0" borderId="0" xfId="1" applyNumberFormat="1" applyFont="1" applyFill="1" applyBorder="1" applyAlignment="1" applyProtection="1">
      <alignment horizontal="center" vertical="center"/>
    </xf>
    <xf numFmtId="10" fontId="100" fillId="0" borderId="0" xfId="10" applyNumberFormat="1" applyFont="1" applyFill="1" applyBorder="1" applyAlignment="1" applyProtection="1">
      <alignment horizontal="center" vertical="center"/>
    </xf>
    <xf numFmtId="0" fontId="201" fillId="0" borderId="0" xfId="0" applyFont="1" applyFill="1" applyBorder="1" applyAlignment="1" applyProtection="1">
      <alignment horizontal="center"/>
    </xf>
    <xf numFmtId="0" fontId="101" fillId="0" borderId="0" xfId="0" applyFont="1" applyFill="1" applyBorder="1" applyAlignment="1" applyProtection="1">
      <alignment vertical="center"/>
    </xf>
    <xf numFmtId="8" fontId="121"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left" vertical="top" wrapText="1"/>
    </xf>
    <xf numFmtId="0" fontId="100" fillId="0" borderId="0" xfId="0" quotePrefix="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201" fillId="0" borderId="0" xfId="0" applyFont="1" applyFill="1" applyBorder="1" applyAlignment="1" applyProtection="1">
      <alignment vertical="center"/>
    </xf>
    <xf numFmtId="0" fontId="100" fillId="0" borderId="0" xfId="0" applyFont="1" applyFill="1" applyBorder="1" applyAlignment="1" applyProtection="1">
      <alignment horizontal="right"/>
    </xf>
    <xf numFmtId="0" fontId="206" fillId="0" borderId="0" xfId="6" applyFont="1" applyFill="1" applyBorder="1" applyAlignment="1" applyProtection="1">
      <alignment vertical="center"/>
    </xf>
    <xf numFmtId="0" fontId="100" fillId="0" borderId="0" xfId="0" quotePrefix="1" applyFont="1" applyFill="1" applyBorder="1" applyAlignment="1" applyProtection="1"/>
    <xf numFmtId="167" fontId="121" fillId="0" borderId="0" xfId="0" applyNumberFormat="1" applyFont="1" applyFill="1" applyBorder="1" applyAlignment="1" applyProtection="1">
      <alignment vertical="center"/>
    </xf>
    <xf numFmtId="0" fontId="100" fillId="0" borderId="0" xfId="0" quotePrefix="1" applyFont="1" applyFill="1" applyBorder="1" applyAlignment="1" applyProtection="1">
      <alignment horizontal="right"/>
    </xf>
    <xf numFmtId="0" fontId="121" fillId="0" borderId="0" xfId="0" applyFont="1" applyFill="1" applyBorder="1" applyAlignment="1" applyProtection="1">
      <alignment vertical="top" wrapText="1"/>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left" wrapText="1"/>
    </xf>
    <xf numFmtId="0" fontId="100" fillId="0" borderId="0" xfId="0" quotePrefix="1" applyFont="1" applyFill="1" applyBorder="1" applyAlignment="1" applyProtection="1">
      <alignment vertical="top"/>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center" vertical="top"/>
    </xf>
    <xf numFmtId="0" fontId="109" fillId="0" borderId="0" xfId="0" applyFont="1" applyFill="1" applyBorder="1" applyAlignment="1" applyProtection="1">
      <alignment horizontal="left" vertical="top" wrapText="1"/>
    </xf>
    <xf numFmtId="0" fontId="121" fillId="0" borderId="0" xfId="0" applyFont="1" applyFill="1" applyBorder="1" applyAlignment="1" applyProtection="1">
      <alignment horizontal="center" vertical="top" wrapText="1"/>
    </xf>
    <xf numFmtId="0" fontId="100" fillId="0" borderId="0" xfId="0" applyFont="1" applyFill="1" applyBorder="1" applyAlignment="1" applyProtection="1">
      <alignment horizontal="center" vertical="top" wrapText="1"/>
    </xf>
    <xf numFmtId="0" fontId="100" fillId="0" borderId="0" xfId="0" applyFont="1" applyFill="1" applyBorder="1" applyAlignment="1" applyProtection="1">
      <alignment wrapText="1"/>
    </xf>
    <xf numFmtId="0" fontId="100" fillId="0" borderId="0" xfId="0" applyFont="1" applyFill="1" applyBorder="1" applyAlignment="1" applyProtection="1">
      <alignment vertical="top" wrapText="1"/>
    </xf>
    <xf numFmtId="0" fontId="109" fillId="0" borderId="0" xfId="0" applyFont="1" applyFill="1" applyBorder="1" applyAlignment="1" applyProtection="1">
      <alignment horizontal="center" wrapText="1"/>
    </xf>
    <xf numFmtId="0" fontId="121" fillId="0" borderId="0" xfId="0" applyFont="1" applyFill="1" applyBorder="1" applyAlignment="1" applyProtection="1">
      <alignment horizontal="center" vertical="top" wrapText="1"/>
    </xf>
    <xf numFmtId="0" fontId="121" fillId="0" borderId="0" xfId="0" applyNumberFormat="1" applyFont="1" applyFill="1" applyBorder="1" applyAlignment="1" applyProtection="1">
      <alignment horizontal="center" vertical="top"/>
    </xf>
    <xf numFmtId="174" fontId="121" fillId="0" borderId="0" xfId="10" applyNumberFormat="1" applyFont="1" applyFill="1" applyBorder="1" applyAlignment="1" applyProtection="1">
      <alignment horizontal="center" vertical="top"/>
    </xf>
    <xf numFmtId="0" fontId="109" fillId="0" borderId="0" xfId="0" applyFont="1" applyFill="1" applyBorder="1" applyAlignment="1" applyProtection="1">
      <alignment horizontal="left" vertical="top"/>
    </xf>
    <xf numFmtId="174" fontId="121" fillId="0" borderId="0" xfId="1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xf>
    <xf numFmtId="0" fontId="201" fillId="0" borderId="0" xfId="0" applyFont="1" applyFill="1" applyBorder="1" applyProtection="1"/>
    <xf numFmtId="0" fontId="96" fillId="0" borderId="0" xfId="0" applyFont="1" applyFill="1" applyBorder="1" applyAlignment="1" applyProtection="1">
      <alignment horizontal="left"/>
    </xf>
    <xf numFmtId="0" fontId="201" fillId="0" borderId="0" xfId="0" applyFont="1" applyFill="1" applyBorder="1" applyAlignment="1" applyProtection="1">
      <alignment horizontal="right" vertical="center"/>
    </xf>
    <xf numFmtId="37" fontId="121"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left"/>
    </xf>
    <xf numFmtId="0" fontId="109" fillId="0" borderId="0" xfId="0" applyFont="1" applyFill="1" applyBorder="1" applyAlignment="1" applyProtection="1">
      <alignment horizontal="left" vertical="center"/>
    </xf>
    <xf numFmtId="0" fontId="121" fillId="0" borderId="0" xfId="0" applyFont="1" applyFill="1" applyBorder="1" applyAlignment="1" applyProtection="1">
      <alignment vertical="center"/>
    </xf>
    <xf numFmtId="164" fontId="121" fillId="0" borderId="0" xfId="1" applyNumberFormat="1" applyFont="1" applyFill="1" applyBorder="1" applyAlignment="1" applyProtection="1">
      <alignment horizontal="right" vertical="center"/>
    </xf>
    <xf numFmtId="166" fontId="121" fillId="0" borderId="0" xfId="10" applyNumberFormat="1" applyFont="1" applyFill="1" applyBorder="1" applyAlignment="1" applyProtection="1">
      <alignment horizontal="center" vertical="center"/>
    </xf>
    <xf numFmtId="3" fontId="121" fillId="0" borderId="0" xfId="1" applyNumberFormat="1" applyFont="1" applyFill="1" applyBorder="1" applyAlignment="1" applyProtection="1">
      <alignment horizontal="center" vertical="center"/>
    </xf>
    <xf numFmtId="166" fontId="121" fillId="0" borderId="0" xfId="10" applyNumberFormat="1" applyFont="1" applyFill="1" applyBorder="1" applyAlignment="1" applyProtection="1">
      <alignment vertical="center"/>
    </xf>
    <xf numFmtId="38" fontId="100" fillId="0" borderId="0" xfId="2" applyNumberFormat="1" applyFont="1" applyFill="1" applyBorder="1" applyAlignment="1" applyProtection="1">
      <alignment horizontal="right" vertical="center"/>
    </xf>
    <xf numFmtId="38" fontId="100" fillId="0" borderId="0" xfId="0" applyNumberFormat="1" applyFont="1" applyFill="1" applyBorder="1" applyAlignment="1" applyProtection="1">
      <alignment horizontal="right" vertical="center"/>
    </xf>
    <xf numFmtId="0" fontId="121" fillId="0" borderId="0" xfId="0" applyFont="1" applyFill="1" applyBorder="1" applyAlignment="1" applyProtection="1">
      <alignment horizontal="center" wrapText="1"/>
    </xf>
    <xf numFmtId="38" fontId="121" fillId="0" borderId="0" xfId="0" applyNumberFormat="1" applyFont="1" applyFill="1" applyBorder="1" applyAlignment="1" applyProtection="1">
      <alignment horizontal="right" vertical="center"/>
    </xf>
    <xf numFmtId="166" fontId="121" fillId="0" borderId="0" xfId="0" applyNumberFormat="1" applyFont="1" applyFill="1" applyBorder="1" applyAlignment="1" applyProtection="1">
      <alignment horizontal="center" vertical="center"/>
    </xf>
    <xf numFmtId="38" fontId="121" fillId="0" borderId="0" xfId="2"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0" fontId="208" fillId="0" borderId="0" xfId="0" quotePrefix="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4" fontId="201"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121" fillId="0" borderId="0" xfId="0" applyFont="1" applyFill="1" applyBorder="1" applyAlignment="1" applyProtection="1">
      <alignment vertical="center" wrapText="1"/>
    </xf>
    <xf numFmtId="38" fontId="100" fillId="0" borderId="0" xfId="2" applyNumberFormat="1" applyFont="1" applyFill="1" applyBorder="1" applyAlignment="1" applyProtection="1">
      <alignment horizontal="center" vertical="center"/>
    </xf>
    <xf numFmtId="38" fontId="100" fillId="0" borderId="0" xfId="0" applyNumberFormat="1" applyFont="1" applyFill="1" applyBorder="1" applyAlignment="1" applyProtection="1">
      <alignment horizontal="center" vertical="center"/>
    </xf>
    <xf numFmtId="38" fontId="100" fillId="0" borderId="0" xfId="0" applyNumberFormat="1" applyFont="1" applyFill="1" applyBorder="1" applyAlignment="1" applyProtection="1">
      <alignment horizontal="center" vertical="center"/>
    </xf>
    <xf numFmtId="0" fontId="101" fillId="0" borderId="0" xfId="0" applyFont="1" applyFill="1" applyBorder="1" applyAlignment="1" applyProtection="1"/>
    <xf numFmtId="0" fontId="106" fillId="0" borderId="0" xfId="0" applyFont="1" applyFill="1" applyBorder="1" applyAlignment="1" applyProtection="1">
      <alignment horizontal="left" vertical="top" wrapText="1"/>
    </xf>
    <xf numFmtId="0" fontId="202" fillId="0" borderId="0" xfId="0" applyFont="1" applyFill="1" applyBorder="1" applyAlignment="1" applyProtection="1">
      <alignment vertical="top"/>
    </xf>
    <xf numFmtId="0" fontId="100" fillId="0" borderId="0" xfId="0" applyFont="1" applyFill="1" applyBorder="1" applyAlignment="1" applyProtection="1">
      <alignment horizontal="center" vertical="center" wrapText="1"/>
    </xf>
    <xf numFmtId="164" fontId="100" fillId="0" borderId="0" xfId="1" applyNumberFormat="1" applyFont="1" applyFill="1" applyBorder="1" applyAlignment="1" applyProtection="1">
      <alignment horizontal="center" vertical="center" wrapText="1"/>
    </xf>
    <xf numFmtId="0" fontId="202" fillId="0" borderId="0" xfId="0" applyFont="1" applyFill="1" applyBorder="1" applyAlignment="1" applyProtection="1">
      <alignment vertical="center"/>
    </xf>
    <xf numFmtId="3" fontId="121" fillId="0" borderId="0" xfId="0" applyNumberFormat="1" applyFont="1" applyFill="1" applyBorder="1" applyAlignment="1" applyProtection="1">
      <alignment vertical="center"/>
    </xf>
    <xf numFmtId="0" fontId="110" fillId="0" borderId="0" xfId="0" applyFont="1" applyFill="1" applyBorder="1" applyAlignment="1" applyProtection="1">
      <alignment horizontal="left" vertical="top" wrapText="1"/>
    </xf>
    <xf numFmtId="0" fontId="209" fillId="0" borderId="0" xfId="0" applyFont="1" applyFill="1" applyBorder="1" applyAlignment="1" applyProtection="1">
      <alignment horizontal="center" vertical="center"/>
    </xf>
    <xf numFmtId="0" fontId="210" fillId="0" borderId="0" xfId="0" applyFont="1" applyFill="1" applyBorder="1" applyAlignment="1" applyProtection="1">
      <alignment horizontal="right" vertical="center"/>
    </xf>
    <xf numFmtId="164" fontId="100"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171" fontId="100" fillId="0" borderId="0" xfId="0" applyNumberFormat="1" applyFont="1" applyFill="1" applyBorder="1" applyAlignment="1" applyProtection="1">
      <alignment horizontal="center" vertical="center"/>
    </xf>
    <xf numFmtId="171" fontId="100"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64" fontId="121" fillId="0" borderId="0" xfId="1" applyNumberFormat="1" applyFont="1" applyFill="1" applyBorder="1" applyAlignment="1" applyProtection="1">
      <alignment horizontal="center"/>
    </xf>
    <xf numFmtId="0" fontId="121" fillId="0" borderId="0" xfId="0" applyFont="1" applyFill="1" applyBorder="1" applyAlignment="1" applyProtection="1">
      <alignment horizontal="left" vertical="top"/>
    </xf>
    <xf numFmtId="0" fontId="207" fillId="0" borderId="0" xfId="0" applyFont="1" applyFill="1" applyBorder="1" applyAlignment="1" applyProtection="1">
      <alignment vertical="top"/>
    </xf>
    <xf numFmtId="0" fontId="207" fillId="0" borderId="0" xfId="0" applyFont="1" applyFill="1" applyBorder="1" applyAlignment="1" applyProtection="1">
      <alignment vertical="center"/>
    </xf>
    <xf numFmtId="4" fontId="207"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4" fontId="207" fillId="0" borderId="0" xfId="1" applyNumberFormat="1" applyFont="1" applyFill="1" applyBorder="1" applyAlignment="1" applyProtection="1">
      <alignment horizontal="right" vertical="center"/>
    </xf>
    <xf numFmtId="171" fontId="207" fillId="0" borderId="0" xfId="0" applyNumberFormat="1"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4" fontId="207" fillId="0" borderId="0" xfId="0" applyNumberFormat="1" applyFont="1" applyFill="1" applyBorder="1" applyAlignment="1" applyProtection="1">
      <alignment horizontal="left" vertical="center"/>
    </xf>
    <xf numFmtId="0" fontId="121" fillId="0" borderId="0" xfId="0" applyNumberFormat="1" applyFont="1" applyFill="1" applyBorder="1" applyAlignment="1" applyProtection="1">
      <alignment horizontal="center"/>
    </xf>
    <xf numFmtId="0" fontId="202"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top" wrapText="1"/>
    </xf>
    <xf numFmtId="0" fontId="207" fillId="0" borderId="0" xfId="0" applyFont="1" applyFill="1" applyBorder="1" applyAlignment="1" applyProtection="1">
      <alignment horizontal="right" vertical="center"/>
    </xf>
    <xf numFmtId="0" fontId="207" fillId="0" borderId="0" xfId="0" applyFont="1" applyFill="1" applyBorder="1" applyAlignment="1" applyProtection="1">
      <alignment horizontal="center" vertical="center"/>
    </xf>
    <xf numFmtId="164" fontId="121" fillId="0" borderId="0" xfId="1" applyNumberFormat="1" applyFont="1" applyFill="1" applyBorder="1" applyAlignment="1" applyProtection="1">
      <alignment horizontal="center" vertical="center"/>
    </xf>
    <xf numFmtId="164" fontId="121" fillId="0" borderId="0" xfId="1" applyNumberFormat="1" applyFont="1" applyFill="1" applyBorder="1" applyProtection="1"/>
    <xf numFmtId="164" fontId="207" fillId="0" borderId="0" xfId="1" applyNumberFormat="1" applyFont="1" applyFill="1" applyBorder="1" applyAlignment="1" applyProtection="1">
      <alignment horizontal="center" vertical="center"/>
    </xf>
    <xf numFmtId="3" fontId="121" fillId="0" borderId="0" xfId="0" applyNumberFormat="1" applyFont="1" applyFill="1" applyBorder="1" applyProtection="1"/>
    <xf numFmtId="0" fontId="109" fillId="0" borderId="0" xfId="0" applyFont="1" applyFill="1" applyBorder="1" applyAlignment="1" applyProtection="1">
      <alignment horizontal="right" vertical="center"/>
    </xf>
    <xf numFmtId="3" fontId="121" fillId="0" borderId="0" xfId="0" applyNumberFormat="1" applyFont="1" applyFill="1" applyBorder="1" applyAlignment="1" applyProtection="1">
      <alignment horizontal="center" vertical="center"/>
    </xf>
    <xf numFmtId="0" fontId="210" fillId="0" borderId="0" xfId="0" applyFont="1" applyFill="1" applyBorder="1" applyAlignment="1" applyProtection="1">
      <alignment horizontal="center" vertical="center"/>
    </xf>
    <xf numFmtId="6" fontId="121" fillId="0" borderId="0" xfId="0"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center" vertical="center"/>
    </xf>
    <xf numFmtId="0" fontId="210" fillId="0" borderId="0" xfId="0" applyFont="1" applyFill="1" applyBorder="1" applyAlignment="1" applyProtection="1">
      <alignment horizontal="left" vertical="center"/>
    </xf>
    <xf numFmtId="4" fontId="121" fillId="0" borderId="0" xfId="1" applyNumberFormat="1" applyFont="1" applyFill="1" applyBorder="1" applyAlignment="1" applyProtection="1">
      <alignment vertical="center"/>
    </xf>
    <xf numFmtId="38" fontId="100" fillId="0" borderId="0" xfId="0" applyNumberFormat="1" applyFont="1" applyFill="1" applyBorder="1" applyAlignment="1" applyProtection="1">
      <alignment horizontal="right" vertical="center"/>
    </xf>
    <xf numFmtId="164" fontId="121" fillId="0" borderId="0" xfId="1" applyNumberFormat="1" applyFont="1" applyFill="1" applyBorder="1" applyAlignment="1" applyProtection="1">
      <alignment horizontal="left" vertical="center"/>
    </xf>
    <xf numFmtId="0" fontId="202" fillId="0" borderId="0" xfId="0" applyFont="1" applyFill="1" applyBorder="1" applyAlignment="1" applyProtection="1">
      <alignment horizontal="left" vertical="top"/>
    </xf>
    <xf numFmtId="0" fontId="211" fillId="0" borderId="0" xfId="0" applyFont="1" applyFill="1" applyBorder="1" applyAlignment="1" applyProtection="1">
      <alignment horizontal="right" vertical="center"/>
    </xf>
    <xf numFmtId="38" fontId="121"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vertical="center"/>
    </xf>
    <xf numFmtId="10" fontId="100"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0" fontId="109"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vertical="top"/>
    </xf>
    <xf numFmtId="164" fontId="201" fillId="0" borderId="0" xfId="1" applyNumberFormat="1" applyFont="1" applyFill="1" applyBorder="1" applyAlignment="1" applyProtection="1">
      <alignment horizontal="center" vertical="center"/>
    </xf>
    <xf numFmtId="38" fontId="201" fillId="0" borderId="0" xfId="0" applyNumberFormat="1" applyFont="1" applyFill="1" applyBorder="1" applyAlignment="1" applyProtection="1">
      <alignment vertical="center"/>
    </xf>
    <xf numFmtId="168" fontId="121" fillId="0" borderId="0" xfId="0" applyNumberFormat="1" applyFont="1" applyFill="1" applyBorder="1" applyAlignment="1" applyProtection="1">
      <alignment horizontal="center" vertical="center"/>
    </xf>
    <xf numFmtId="170" fontId="121" fillId="0" borderId="0" xfId="0" applyNumberFormat="1" applyFont="1" applyFill="1" applyBorder="1" applyAlignment="1" applyProtection="1">
      <alignment horizontal="center" vertical="center"/>
    </xf>
    <xf numFmtId="38" fontId="121"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vertical="top" wrapText="1"/>
    </xf>
    <xf numFmtId="0" fontId="214"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96" fillId="0" borderId="0" xfId="0" applyFont="1" applyFill="1" applyBorder="1" applyProtection="1"/>
    <xf numFmtId="175"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xf>
    <xf numFmtId="0" fontId="96" fillId="0" borderId="0" xfId="0" applyNumberFormat="1" applyFont="1" applyFill="1" applyBorder="1" applyAlignment="1" applyProtection="1">
      <alignment horizontal="center" vertical="center"/>
    </xf>
    <xf numFmtId="0" fontId="215" fillId="0" borderId="0" xfId="0" applyFont="1" applyFill="1" applyBorder="1" applyProtection="1"/>
    <xf numFmtId="0" fontId="110" fillId="0" borderId="0" xfId="0" applyFont="1" applyFill="1" applyBorder="1" applyAlignment="1" applyProtection="1">
      <alignment horizontal="left" vertical="top" wrapText="1"/>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wrapText="1"/>
    </xf>
    <xf numFmtId="0" fontId="97" fillId="0" borderId="0" xfId="0" applyFont="1" applyFill="1" applyBorder="1" applyAlignment="1" applyProtection="1">
      <alignment horizontal="center" wrapText="1"/>
    </xf>
    <xf numFmtId="0" fontId="110" fillId="0" borderId="0" xfId="0" applyFont="1" applyFill="1" applyBorder="1" applyAlignment="1" applyProtection="1">
      <alignment horizontal="center" wrapText="1"/>
    </xf>
    <xf numFmtId="0" fontId="97" fillId="0" borderId="0" xfId="0" applyFont="1" applyFill="1" applyBorder="1" applyAlignment="1" applyProtection="1">
      <alignment horizontal="center" textRotation="90" wrapText="1"/>
    </xf>
    <xf numFmtId="0" fontId="96"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xf>
    <xf numFmtId="0" fontId="97" fillId="0" borderId="0" xfId="0" applyFont="1" applyFill="1" applyBorder="1" applyAlignment="1" applyProtection="1">
      <alignment horizontal="center" vertical="center"/>
    </xf>
    <xf numFmtId="3" fontId="96"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wrapText="1"/>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201" fillId="0" borderId="0" xfId="1" applyNumberFormat="1" applyFont="1" applyFill="1" applyBorder="1" applyAlignment="1" applyProtection="1">
      <alignment horizontal="center" vertical="center"/>
    </xf>
    <xf numFmtId="38" fontId="110" fillId="0" borderId="0" xfId="1"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3" fontId="106"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164" fontId="110" fillId="0" borderId="0" xfId="1" applyNumberFormat="1" applyFont="1" applyFill="1" applyBorder="1" applyAlignment="1" applyProtection="1">
      <alignment horizontal="center" vertical="center"/>
    </xf>
    <xf numFmtId="0" fontId="106" fillId="0" borderId="0" xfId="0" applyFont="1" applyFill="1" applyBorder="1" applyAlignment="1" applyProtection="1">
      <alignment horizontal="right" vertical="center"/>
    </xf>
    <xf numFmtId="3" fontId="96" fillId="0" borderId="0" xfId="0" applyNumberFormat="1" applyFont="1" applyFill="1" applyBorder="1" applyAlignment="1" applyProtection="1">
      <alignment horizontal="center"/>
    </xf>
    <xf numFmtId="0" fontId="122"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0" fillId="0" borderId="0" xfId="0" applyNumberFormat="1" applyFont="1" applyFill="1" applyBorder="1" applyAlignment="1" applyProtection="1">
      <alignment horizontal="center" vertical="center" wrapText="1"/>
    </xf>
    <xf numFmtId="0" fontId="120"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center"/>
    </xf>
    <xf numFmtId="0" fontId="96" fillId="0" borderId="0" xfId="0" applyFont="1" applyFill="1" applyBorder="1" applyAlignment="1" applyProtection="1">
      <alignment horizontal="left" vertical="center" wrapText="1"/>
    </xf>
    <xf numFmtId="0" fontId="107" fillId="0" borderId="0" xfId="0" applyFont="1" applyFill="1" applyBorder="1" applyAlignment="1" applyProtection="1">
      <alignment vertical="center" wrapText="1"/>
    </xf>
    <xf numFmtId="38" fontId="106"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left"/>
    </xf>
    <xf numFmtId="0" fontId="97" fillId="0" borderId="0" xfId="0" applyFont="1" applyFill="1" applyBorder="1" applyAlignment="1" applyProtection="1">
      <alignment horizontal="left"/>
    </xf>
    <xf numFmtId="0" fontId="218" fillId="0" borderId="0" xfId="0" applyFont="1" applyFill="1" applyBorder="1" applyAlignment="1" applyProtection="1">
      <alignment horizontal="center"/>
    </xf>
    <xf numFmtId="0" fontId="220" fillId="0" borderId="0" xfId="0"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38" fontId="106" fillId="0" borderId="0" xfId="0" applyNumberFormat="1" applyFont="1" applyFill="1" applyBorder="1" applyProtection="1"/>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203" fillId="0" borderId="0" xfId="0" applyFont="1" applyFill="1" applyBorder="1" applyAlignment="1" applyProtection="1">
      <alignment horizontal="right" vertical="center"/>
    </xf>
    <xf numFmtId="0" fontId="109" fillId="0" borderId="0" xfId="0" applyFont="1" applyFill="1" applyBorder="1" applyProtection="1"/>
    <xf numFmtId="38" fontId="109" fillId="0" borderId="0" xfId="1" applyNumberFormat="1" applyFont="1" applyFill="1" applyBorder="1" applyAlignment="1" applyProtection="1">
      <alignment horizontal="center" vertical="center"/>
    </xf>
    <xf numFmtId="38"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vertical="center"/>
    </xf>
    <xf numFmtId="164" fontId="106" fillId="0" borderId="0" xfId="0" applyNumberFormat="1" applyFont="1" applyFill="1" applyBorder="1" applyAlignment="1" applyProtection="1">
      <alignment horizontal="center"/>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219" fillId="0" borderId="0" xfId="0" applyFont="1" applyFill="1" applyBorder="1" applyProtection="1"/>
    <xf numFmtId="0" fontId="111" fillId="0" borderId="0" xfId="1" applyNumberFormat="1" applyFont="1" applyFill="1" applyBorder="1" applyAlignment="1" applyProtection="1">
      <alignment horizontal="center"/>
    </xf>
    <xf numFmtId="3" fontId="106"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center"/>
    </xf>
    <xf numFmtId="44" fontId="106" fillId="0" borderId="0" xfId="0" applyNumberFormat="1" applyFont="1" applyFill="1" applyBorder="1" applyProtection="1"/>
    <xf numFmtId="0" fontId="120" fillId="0" borderId="0" xfId="0" applyFont="1" applyFill="1" applyBorder="1" applyAlignment="1" applyProtection="1"/>
    <xf numFmtId="38" fontId="106" fillId="0" borderId="0" xfId="1" applyNumberFormat="1" applyFont="1" applyFill="1" applyBorder="1" applyAlignment="1" applyProtection="1">
      <alignment horizontal="right" vertical="center"/>
    </xf>
    <xf numFmtId="0" fontId="219" fillId="0" borderId="0" xfId="0" applyFont="1" applyFill="1" applyBorder="1" applyAlignment="1" applyProtection="1">
      <alignment horizontal="right" vertical="center"/>
    </xf>
    <xf numFmtId="38" fontId="107" fillId="0" borderId="0" xfId="0" applyNumberFormat="1" applyFont="1" applyFill="1" applyBorder="1" applyAlignment="1" applyProtection="1">
      <alignment horizontal="left" vertical="center" wrapText="1"/>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220" fillId="0" borderId="0" xfId="0" applyFont="1" applyFill="1" applyBorder="1" applyAlignment="1" applyProtection="1">
      <alignment vertical="center"/>
    </xf>
    <xf numFmtId="3" fontId="106" fillId="0" borderId="0" xfId="0" applyNumberFormat="1" applyFont="1" applyFill="1" applyBorder="1" applyAlignment="1" applyProtection="1">
      <alignment horizontal="right" vertical="center"/>
    </xf>
    <xf numFmtId="3" fontId="106" fillId="0" borderId="0" xfId="1" applyNumberFormat="1" applyFont="1" applyFill="1" applyBorder="1" applyAlignment="1" applyProtection="1">
      <alignment horizontal="right" vertical="center"/>
    </xf>
    <xf numFmtId="1" fontId="110" fillId="0" borderId="0" xfId="0" applyNumberFormat="1" applyFont="1" applyFill="1" applyBorder="1" applyAlignment="1" applyProtection="1">
      <alignment horizontal="center" vertical="center"/>
    </xf>
    <xf numFmtId="0" fontId="204" fillId="0" borderId="0" xfId="0" applyFont="1" applyFill="1" applyBorder="1" applyAlignment="1" applyProtection="1"/>
    <xf numFmtId="0" fontId="204" fillId="0" borderId="0" xfId="0" applyFont="1" applyFill="1" applyBorder="1" applyAlignment="1" applyProtection="1">
      <alignment horizontal="center"/>
    </xf>
    <xf numFmtId="0" fontId="122" fillId="0" borderId="0" xfId="0" applyFont="1" applyFill="1" applyBorder="1" applyAlignment="1" applyProtection="1"/>
    <xf numFmtId="3" fontId="107"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xf>
    <xf numFmtId="0" fontId="107" fillId="0" borderId="0" xfId="0" applyFont="1" applyFill="1" applyBorder="1" applyAlignment="1" applyProtection="1">
      <alignment horizontal="right" vertical="center"/>
    </xf>
    <xf numFmtId="0" fontId="96" fillId="0" borderId="0" xfId="0" applyFont="1" applyFill="1" applyBorder="1" applyAlignment="1" applyProtection="1"/>
    <xf numFmtId="10" fontId="106" fillId="0" borderId="0" xfId="0" applyNumberFormat="1" applyFont="1" applyFill="1" applyBorder="1" applyAlignment="1" applyProtection="1">
      <alignment horizontal="left"/>
    </xf>
    <xf numFmtId="164" fontId="106" fillId="0" borderId="0" xfId="1" applyNumberFormat="1" applyFont="1" applyFill="1" applyBorder="1" applyAlignment="1" applyProtection="1">
      <alignment horizontal="righ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0" fontId="106" fillId="0" borderId="0" xfId="0" quotePrefix="1" applyFont="1" applyFill="1" applyBorder="1" applyAlignment="1" applyProtection="1">
      <alignment horizontal="lef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164" fontId="106" fillId="0" borderId="0" xfId="1" applyNumberFormat="1" applyFont="1" applyFill="1" applyBorder="1" applyProtection="1"/>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6" fillId="0" borderId="0" xfId="1" applyNumberFormat="1" applyFont="1" applyFill="1" applyBorder="1" applyProtection="1"/>
    <xf numFmtId="0" fontId="143"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222" fillId="0" borderId="0" xfId="0" applyFont="1" applyFill="1" applyBorder="1" applyAlignment="1" applyProtection="1">
      <alignment horizontal="left" vertical="center"/>
    </xf>
    <xf numFmtId="0" fontId="214" fillId="0" borderId="0" xfId="0" applyFont="1" applyFill="1" applyBorder="1" applyProtection="1"/>
    <xf numFmtId="0" fontId="223"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120" fillId="0" borderId="0" xfId="0" applyFont="1" applyFill="1" applyBorder="1" applyAlignment="1" applyProtection="1">
      <alignment vertical="top"/>
    </xf>
    <xf numFmtId="0" fontId="120"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0" fillId="0" borderId="0" xfId="0" applyFont="1" applyFill="1" applyBorder="1" applyAlignment="1" applyProtection="1">
      <alignment horizontal="right" vertical="top" wrapText="1"/>
    </xf>
    <xf numFmtId="0" fontId="120"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20" fillId="0" borderId="0" xfId="0" applyFont="1" applyFill="1" applyBorder="1" applyAlignment="1" applyProtection="1">
      <alignment horizontal="center" vertical="center"/>
    </xf>
    <xf numFmtId="0" fontId="120" fillId="0" borderId="0" xfId="0" applyFont="1" applyFill="1" applyBorder="1" applyAlignment="1" applyProtection="1">
      <alignment horizontal="right" vertical="center"/>
    </xf>
    <xf numFmtId="0" fontId="220" fillId="0" borderId="0" xfId="0" applyFont="1" applyFill="1" applyBorder="1" applyAlignment="1" applyProtection="1">
      <alignment vertical="top"/>
    </xf>
    <xf numFmtId="0" fontId="22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97" fillId="0" borderId="0" xfId="0" applyNumberFormat="1" applyFont="1" applyFill="1" applyBorder="1" applyAlignment="1" applyProtection="1">
      <alignment vertical="center" wrapText="1"/>
    </xf>
    <xf numFmtId="0" fontId="118" fillId="0" borderId="0" xfId="0" applyFont="1" applyFill="1" applyBorder="1" applyAlignment="1" applyProtection="1">
      <alignment horizontal="left" vertical="top" wrapText="1"/>
    </xf>
    <xf numFmtId="0" fontId="120"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109" fillId="0" borderId="0" xfId="0" applyFont="1" applyFill="1" applyBorder="1" applyAlignment="1" applyProtection="1">
      <alignment horizontal="right"/>
    </xf>
    <xf numFmtId="0" fontId="109" fillId="0" borderId="0" xfId="0" applyFont="1" applyFill="1" applyBorder="1" applyAlignment="1" applyProtection="1">
      <alignment horizontal="justify"/>
    </xf>
    <xf numFmtId="0" fontId="107" fillId="0" borderId="0" xfId="0" applyFont="1" applyFill="1" applyBorder="1" applyAlignment="1" applyProtection="1">
      <alignment wrapText="1"/>
    </xf>
    <xf numFmtId="0" fontId="107" fillId="0" borderId="0" xfId="0" applyFont="1" applyFill="1" applyBorder="1" applyAlignment="1" applyProtection="1">
      <alignment horizontal="right" wrapText="1"/>
    </xf>
    <xf numFmtId="0" fontId="122" fillId="0" borderId="0" xfId="0" applyFont="1" applyFill="1" applyBorder="1" applyAlignment="1" applyProtection="1">
      <alignment horizontal="left" vertical="top" wrapText="1"/>
    </xf>
    <xf numFmtId="0" fontId="109" fillId="0" borderId="0" xfId="0" applyFont="1" applyFill="1" applyBorder="1" applyAlignment="1" applyProtection="1">
      <alignment horizontal="justify" vertical="center"/>
    </xf>
    <xf numFmtId="37" fontId="107" fillId="0" borderId="0" xfId="0" applyNumberFormat="1" applyFont="1" applyFill="1" applyBorder="1" applyAlignment="1" applyProtection="1">
      <alignment horizontal="center" vertical="center"/>
    </xf>
    <xf numFmtId="38" fontId="107" fillId="0" borderId="0" xfId="0" applyNumberFormat="1" applyFont="1" applyFill="1" applyBorder="1" applyAlignment="1" applyProtection="1">
      <alignment horizontal="right" vertical="center" wrapText="1"/>
    </xf>
    <xf numFmtId="3" fontId="109" fillId="0" borderId="0" xfId="0" applyNumberFormat="1" applyFont="1" applyFill="1" applyBorder="1" applyAlignment="1" applyProtection="1">
      <alignment horizontal="center" vertical="center"/>
    </xf>
    <xf numFmtId="0" fontId="110" fillId="0" borderId="0" xfId="0" applyFont="1" applyFill="1" applyBorder="1" applyAlignment="1" applyProtection="1">
      <alignment horizontal="center" vertical="center" wrapText="1"/>
    </xf>
    <xf numFmtId="0" fontId="97"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vertical="center"/>
    </xf>
    <xf numFmtId="3" fontId="220"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horizontal="justify" vertical="center" wrapText="1"/>
    </xf>
    <xf numFmtId="0" fontId="220" fillId="0" borderId="0" xfId="0" applyFont="1" applyFill="1" applyBorder="1" applyAlignment="1" applyProtection="1">
      <alignment horizontal="center" vertical="center"/>
    </xf>
    <xf numFmtId="3" fontId="20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xf>
    <xf numFmtId="0" fontId="226" fillId="0" borderId="0" xfId="0" applyFont="1" applyFill="1" applyBorder="1" applyAlignment="1" applyProtection="1">
      <alignment vertical="center"/>
    </xf>
    <xf numFmtId="0" fontId="107" fillId="0" borderId="0" xfId="0" applyFont="1" applyFill="1" applyBorder="1" applyAlignment="1" applyProtection="1">
      <alignment horizontal="center" vertical="top" wrapText="1"/>
    </xf>
    <xf numFmtId="3" fontId="120" fillId="0" borderId="0" xfId="0" applyNumberFormat="1" applyFont="1" applyFill="1" applyBorder="1" applyAlignment="1" applyProtection="1">
      <alignment horizontal="center" vertical="center" wrapText="1"/>
    </xf>
    <xf numFmtId="0" fontId="214" fillId="0" borderId="0" xfId="0" applyFont="1" applyFill="1" applyBorder="1" applyAlignment="1" applyProtection="1">
      <alignment horizontal="center" wrapText="1"/>
    </xf>
    <xf numFmtId="3" fontId="223"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20" fillId="0" borderId="0" xfId="0" applyFont="1" applyFill="1" applyBorder="1" applyAlignment="1" applyProtection="1">
      <alignment horizontal="left" vertical="center"/>
    </xf>
    <xf numFmtId="3"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right" vertical="center"/>
    </xf>
    <xf numFmtId="0" fontId="220" fillId="0" borderId="0" xfId="0" applyFont="1" applyFill="1" applyBorder="1" applyAlignment="1" applyProtection="1">
      <alignment horizontal="left" vertical="center"/>
    </xf>
    <xf numFmtId="0" fontId="107" fillId="0" borderId="0" xfId="0" applyFont="1" applyFill="1" applyBorder="1" applyAlignment="1" applyProtection="1">
      <alignment vertical="top"/>
    </xf>
    <xf numFmtId="0" fontId="120" fillId="0" borderId="0" xfId="0" applyFont="1" applyFill="1" applyBorder="1" applyAlignment="1" applyProtection="1">
      <alignment horizontal="left" vertical="top"/>
    </xf>
    <xf numFmtId="0" fontId="107" fillId="0" borderId="0" xfId="0" applyFont="1" applyFill="1" applyBorder="1" applyAlignment="1" applyProtection="1">
      <alignment vertical="top" wrapText="1"/>
    </xf>
    <xf numFmtId="0" fontId="97" fillId="0" borderId="0" xfId="0" applyFont="1" applyFill="1" applyBorder="1" applyAlignment="1" applyProtection="1">
      <alignment horizontal="right" vertical="top"/>
    </xf>
    <xf numFmtId="0" fontId="120" fillId="0" borderId="0" xfId="0" applyFont="1" applyFill="1" applyBorder="1" applyAlignment="1" applyProtection="1">
      <alignment horizontal="left" vertical="center" wrapText="1"/>
    </xf>
    <xf numFmtId="0" fontId="120"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xf>
    <xf numFmtId="10" fontId="120"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top"/>
    </xf>
    <xf numFmtId="0" fontId="97" fillId="0" borderId="0" xfId="0" applyFont="1" applyFill="1" applyBorder="1" applyAlignment="1" applyProtection="1">
      <alignment horizontal="right" vertical="center"/>
    </xf>
    <xf numFmtId="0" fontId="107" fillId="0" borderId="0" xfId="0" applyFont="1" applyFill="1" applyBorder="1" applyAlignment="1" applyProtection="1">
      <alignment horizontal="right"/>
    </xf>
    <xf numFmtId="166" fontId="120" fillId="0" borderId="0" xfId="0" applyNumberFormat="1" applyFont="1" applyFill="1" applyBorder="1" applyAlignment="1" applyProtection="1">
      <alignment horizontal="center" vertical="center"/>
    </xf>
    <xf numFmtId="0" fontId="120" fillId="0" borderId="0" xfId="0" applyFont="1" applyFill="1" applyBorder="1" applyProtection="1"/>
    <xf numFmtId="0" fontId="120"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0"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107" fillId="0" borderId="0" xfId="0" applyFont="1" applyFill="1" applyBorder="1" applyAlignment="1" applyProtection="1">
      <alignment horizontal="left" vertical="top"/>
    </xf>
    <xf numFmtId="0" fontId="107" fillId="0" borderId="0" xfId="0" applyFont="1" applyFill="1" applyBorder="1" applyAlignment="1" applyProtection="1">
      <alignment horizontal="center"/>
    </xf>
    <xf numFmtId="0" fontId="107" fillId="0" borderId="0" xfId="0" applyFont="1" applyFill="1" applyBorder="1" applyAlignment="1" applyProtection="1"/>
    <xf numFmtId="176" fontId="107"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left" vertical="top" wrapText="1"/>
    </xf>
    <xf numFmtId="0" fontId="120" fillId="0" borderId="0" xfId="0" applyFont="1" applyFill="1" applyBorder="1" applyAlignment="1" applyProtection="1">
      <alignment horizontal="left" vertical="top" wrapText="1"/>
    </xf>
    <xf numFmtId="0" fontId="107" fillId="0" borderId="0" xfId="0" applyFont="1" applyFill="1" applyBorder="1" applyAlignment="1" applyProtection="1">
      <alignment horizontal="justify" vertical="center"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0" fillId="0" borderId="0" xfId="0" applyFont="1" applyFill="1" applyBorder="1" applyAlignment="1" applyProtection="1">
      <alignment horizontal="left" vertical="top" wrapText="1"/>
    </xf>
    <xf numFmtId="0" fontId="110" fillId="0" borderId="0" xfId="0" applyFont="1" applyFill="1" applyBorder="1" applyAlignment="1" applyProtection="1">
      <alignment horizontal="left"/>
    </xf>
    <xf numFmtId="37" fontId="96" fillId="0" borderId="0" xfId="0" applyNumberFormat="1" applyFont="1" applyFill="1" applyBorder="1" applyAlignment="1" applyProtection="1">
      <alignment horizontal="left" vertical="center" wrapText="1"/>
    </xf>
    <xf numFmtId="0" fontId="120" fillId="0" borderId="0" xfId="0" applyFont="1" applyFill="1" applyBorder="1" applyAlignment="1" applyProtection="1">
      <alignment horizontal="center"/>
    </xf>
    <xf numFmtId="1" fontId="10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wrapText="1"/>
    </xf>
    <xf numFmtId="0" fontId="228" fillId="0" borderId="0" xfId="0" applyFont="1" applyFill="1" applyBorder="1" applyAlignment="1" applyProtection="1">
      <alignment vertical="center"/>
    </xf>
    <xf numFmtId="0" fontId="214"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219" fillId="0" borderId="0" xfId="0" quotePrefix="1" applyFont="1" applyFill="1" applyBorder="1" applyAlignment="1" applyProtection="1">
      <alignment vertical="center"/>
    </xf>
    <xf numFmtId="0" fontId="219" fillId="0" borderId="0" xfId="0" applyFont="1" applyFill="1" applyBorder="1" applyAlignment="1" applyProtection="1">
      <alignment vertical="center"/>
    </xf>
    <xf numFmtId="0" fontId="230" fillId="0" borderId="0" xfId="0" applyFont="1" applyFill="1" applyBorder="1" applyAlignment="1" applyProtection="1">
      <alignment horizontal="center" vertical="center"/>
    </xf>
    <xf numFmtId="0" fontId="231" fillId="0" borderId="0" xfId="0" applyFont="1" applyFill="1" applyBorder="1" applyProtection="1"/>
    <xf numFmtId="0" fontId="214" fillId="0" borderId="0" xfId="0" applyFont="1" applyFill="1" applyBorder="1" applyAlignment="1" applyProtection="1">
      <alignment vertical="center"/>
    </xf>
    <xf numFmtId="0" fontId="219" fillId="0" borderId="0" xfId="0" quotePrefix="1" applyFont="1" applyFill="1" applyBorder="1" applyAlignment="1" applyProtection="1"/>
    <xf numFmtId="0" fontId="219" fillId="0" borderId="0" xfId="0" applyFont="1" applyFill="1" applyBorder="1" applyAlignment="1" applyProtection="1"/>
    <xf numFmtId="0" fontId="119"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120" fillId="0" borderId="0" xfId="0" applyFont="1" applyFill="1" applyBorder="1" applyAlignment="1" applyProtection="1">
      <alignment horizontal="left"/>
    </xf>
    <xf numFmtId="0" fontId="107" fillId="0" borderId="0" xfId="0" applyFont="1" applyFill="1" applyBorder="1" applyAlignment="1" applyProtection="1">
      <alignment horizontal="center" wrapText="1"/>
    </xf>
    <xf numFmtId="0" fontId="231" fillId="0" borderId="0" xfId="0" applyFont="1" applyFill="1" applyBorder="1" applyAlignment="1" applyProtection="1"/>
    <xf numFmtId="0" fontId="109" fillId="0" borderId="0" xfId="0" applyFont="1" applyFill="1" applyBorder="1" applyAlignment="1" applyProtection="1">
      <alignment vertical="top"/>
    </xf>
    <xf numFmtId="0" fontId="109" fillId="0" borderId="0" xfId="0" applyFont="1" applyFill="1" applyBorder="1" applyAlignment="1" applyProtection="1">
      <alignment vertical="top" wrapText="1"/>
    </xf>
    <xf numFmtId="0" fontId="120" fillId="0" borderId="0" xfId="0" quotePrefix="1" applyFont="1" applyFill="1" applyBorder="1" applyAlignment="1" applyProtection="1">
      <alignment horizontal="right" vertical="center"/>
    </xf>
    <xf numFmtId="9" fontId="120" fillId="0" borderId="0" xfId="10" applyFont="1" applyFill="1" applyBorder="1" applyAlignment="1" applyProtection="1">
      <alignment horizontal="center" vertical="top" wrapText="1"/>
    </xf>
    <xf numFmtId="1" fontId="107" fillId="0" borderId="0" xfId="0" applyNumberFormat="1" applyFont="1" applyFill="1" applyBorder="1" applyAlignment="1" applyProtection="1">
      <alignment horizontal="center" vertical="center"/>
    </xf>
    <xf numFmtId="10" fontId="120"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wrapText="1"/>
    </xf>
    <xf numFmtId="10" fontId="109" fillId="0" borderId="0" xfId="0" applyNumberFormat="1" applyFont="1" applyFill="1" applyBorder="1" applyAlignment="1" applyProtection="1">
      <alignment vertical="center"/>
    </xf>
    <xf numFmtId="0" fontId="118" fillId="0" borderId="0" xfId="0" applyFont="1" applyFill="1" applyBorder="1" applyAlignment="1" applyProtection="1">
      <alignment horizontal="center" wrapText="1"/>
    </xf>
    <xf numFmtId="10" fontId="109"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232" fillId="0" borderId="0" xfId="0" applyFont="1" applyFill="1" applyBorder="1" applyProtection="1"/>
    <xf numFmtId="0" fontId="107" fillId="0" borderId="0" xfId="0" quotePrefix="1" applyFont="1" applyFill="1" applyBorder="1" applyAlignment="1" applyProtection="1">
      <alignment horizontal="right" vertical="center"/>
    </xf>
    <xf numFmtId="183" fontId="109"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234" fillId="0" borderId="0" xfId="0" applyFont="1" applyFill="1" applyBorder="1" applyAlignment="1" applyProtection="1">
      <alignment vertical="center"/>
    </xf>
    <xf numFmtId="0" fontId="97"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top"/>
    </xf>
    <xf numFmtId="0" fontId="222" fillId="0" borderId="0" xfId="0" applyFont="1" applyFill="1" applyBorder="1" applyAlignment="1" applyProtection="1">
      <alignment horizontal="center" vertical="top"/>
    </xf>
    <xf numFmtId="0" fontId="110" fillId="0" borderId="0" xfId="0" applyFont="1" applyFill="1" applyBorder="1" applyAlignment="1" applyProtection="1">
      <alignment vertical="top"/>
    </xf>
    <xf numFmtId="167" fontId="109" fillId="0" borderId="0" xfId="0" applyNumberFormat="1" applyFont="1" applyFill="1" applyBorder="1" applyAlignment="1" applyProtection="1">
      <alignment vertical="top"/>
    </xf>
    <xf numFmtId="0" fontId="222" fillId="0" borderId="0" xfId="0" applyFont="1" applyFill="1" applyBorder="1" applyAlignment="1" applyProtection="1">
      <alignment horizontal="center" vertical="center"/>
    </xf>
    <xf numFmtId="0" fontId="231" fillId="0" borderId="0" xfId="0" applyFont="1" applyFill="1" applyBorder="1" applyAlignment="1" applyProtection="1">
      <alignment vertical="center"/>
    </xf>
    <xf numFmtId="0" fontId="235" fillId="0" borderId="0" xfId="0" applyFont="1" applyFill="1" applyBorder="1" applyAlignment="1" applyProtection="1">
      <alignment horizontal="right"/>
    </xf>
    <xf numFmtId="0" fontId="219" fillId="0" borderId="0" xfId="0" applyFont="1" applyFill="1" applyBorder="1" applyAlignment="1" applyProtection="1">
      <alignment horizontal="center" vertical="center"/>
    </xf>
    <xf numFmtId="0" fontId="107" fillId="0" borderId="0" xfId="0" applyFont="1" applyFill="1" applyBorder="1" applyAlignment="1" applyProtection="1">
      <alignment horizontal="left"/>
    </xf>
    <xf numFmtId="0" fontId="120" fillId="0" borderId="0" xfId="0" quotePrefix="1" applyFont="1" applyFill="1" applyBorder="1" applyAlignment="1" applyProtection="1">
      <alignment horizontal="center" vertical="center"/>
    </xf>
    <xf numFmtId="0" fontId="9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96" fillId="0" borderId="0" xfId="0" applyFont="1" applyAlignment="1" applyProtection="1">
      <alignment horizontal="center"/>
    </xf>
    <xf numFmtId="0" fontId="107" fillId="0" borderId="0" xfId="0" quotePrefix="1" applyFont="1" applyFill="1" applyAlignment="1" applyProtection="1">
      <alignment horizontal="center" vertical="top"/>
    </xf>
    <xf numFmtId="0" fontId="107" fillId="0" borderId="0" xfId="0" applyFont="1" applyFill="1" applyAlignment="1" applyProtection="1">
      <alignment horizontal="left" vertical="top"/>
    </xf>
    <xf numFmtId="0" fontId="232" fillId="0" borderId="0" xfId="0" applyFont="1" applyFill="1" applyProtection="1"/>
    <xf numFmtId="0" fontId="231" fillId="0" borderId="0" xfId="0" applyFont="1" applyFill="1" applyProtection="1"/>
    <xf numFmtId="0" fontId="97" fillId="0" borderId="0" xfId="0" applyFont="1" applyFill="1" applyAlignment="1" applyProtection="1">
      <alignment horizontal="right" vertical="center"/>
    </xf>
    <xf numFmtId="0" fontId="107" fillId="0" borderId="0" xfId="0" applyFont="1" applyAlignment="1" applyProtection="1">
      <alignment vertical="center"/>
    </xf>
    <xf numFmtId="0" fontId="106" fillId="0" borderId="0" xfId="0" applyFont="1" applyAlignment="1" applyProtection="1">
      <alignment vertical="center"/>
    </xf>
    <xf numFmtId="0" fontId="107" fillId="0" borderId="0" xfId="0" quotePrefix="1" applyFont="1" applyFill="1" applyAlignment="1" applyProtection="1">
      <alignment horizontal="right" vertical="top"/>
    </xf>
    <xf numFmtId="9" fontId="97" fillId="0" borderId="0" xfId="0"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left"/>
    </xf>
    <xf numFmtId="3" fontId="107" fillId="0" borderId="0" xfId="0" applyNumberFormat="1" applyFont="1" applyFill="1" applyBorder="1" applyAlignment="1" applyProtection="1">
      <alignment horizontal="left"/>
    </xf>
    <xf numFmtId="49" fontId="107" fillId="0" borderId="0" xfId="0" applyNumberFormat="1" applyFont="1" applyFill="1" applyBorder="1" applyAlignment="1" applyProtection="1">
      <alignment horizontal="left"/>
    </xf>
    <xf numFmtId="176" fontId="201"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xf>
    <xf numFmtId="176" fontId="201" fillId="0" borderId="0" xfId="0" applyNumberFormat="1" applyFont="1" applyFill="1" applyBorder="1" applyAlignment="1" applyProtection="1">
      <alignment horizontal="left" vertical="center"/>
    </xf>
    <xf numFmtId="49" fontId="109" fillId="0" borderId="0" xfId="0" applyNumberFormat="1" applyFont="1" applyFill="1" applyBorder="1" applyAlignment="1" applyProtection="1">
      <alignment horizontal="left" vertical="center"/>
    </xf>
    <xf numFmtId="49" fontId="107" fillId="0" borderId="0" xfId="0" applyNumberFormat="1" applyFont="1" applyFill="1" applyBorder="1" applyAlignment="1" applyProtection="1"/>
    <xf numFmtId="0" fontId="107" fillId="0" borderId="0" xfId="0" applyNumberFormat="1" applyFont="1" applyFill="1" applyBorder="1" applyAlignment="1" applyProtection="1">
      <alignment horizontal="left"/>
    </xf>
    <xf numFmtId="0" fontId="107" fillId="0" borderId="0" xfId="0" applyNumberFormat="1" applyFont="1" applyFill="1" applyBorder="1" applyAlignment="1" applyProtection="1">
      <alignment horizontal="left" vertical="center"/>
    </xf>
    <xf numFmtId="0" fontId="120" fillId="0" borderId="0" xfId="0" quotePrefix="1" applyFont="1" applyFill="1" applyBorder="1" applyAlignment="1" applyProtection="1">
      <alignment horizontal="center" vertical="top"/>
    </xf>
    <xf numFmtId="0" fontId="140" fillId="0" borderId="0" xfId="6" applyFont="1" applyFill="1" applyBorder="1" applyAlignment="1" applyProtection="1">
      <alignment horizontal="left"/>
    </xf>
    <xf numFmtId="49" fontId="107" fillId="0" borderId="0" xfId="0" applyNumberFormat="1" applyFont="1" applyFill="1" applyBorder="1" applyAlignment="1" applyProtection="1">
      <alignment horizontal="left" vertical="center"/>
    </xf>
    <xf numFmtId="0" fontId="119" fillId="0" borderId="0" xfId="0" applyFont="1" applyFill="1" applyBorder="1" applyAlignment="1" applyProtection="1">
      <alignment horizontal="left" vertical="center"/>
    </xf>
    <xf numFmtId="0" fontId="97" fillId="0" borderId="0" xfId="0" applyFont="1" applyFill="1" applyBorder="1" applyAlignment="1" applyProtection="1">
      <alignment horizontal="left" vertical="center"/>
    </xf>
    <xf numFmtId="0" fontId="107" fillId="0" borderId="0" xfId="0" applyFont="1" applyFill="1" applyBorder="1" applyAlignment="1" applyProtection="1">
      <alignment horizontal="left"/>
    </xf>
    <xf numFmtId="0" fontId="96" fillId="0" borderId="0" xfId="0" applyFont="1" applyFill="1" applyBorder="1" applyAlignment="1" applyProtection="1">
      <alignment horizontal="right" vertical="top"/>
    </xf>
    <xf numFmtId="0" fontId="219" fillId="0" borderId="0" xfId="0" quotePrefix="1" applyFont="1" applyFill="1" applyBorder="1" applyAlignment="1" applyProtection="1">
      <alignment horizontal="left" vertical="center"/>
    </xf>
    <xf numFmtId="0" fontId="235" fillId="0" borderId="0" xfId="0" applyFont="1" applyFill="1" applyBorder="1" applyProtection="1"/>
    <xf numFmtId="0" fontId="97" fillId="0" borderId="0" xfId="0" applyFont="1" applyFill="1" applyBorder="1" applyAlignment="1" applyProtection="1">
      <alignment horizontal="left" vertical="top"/>
    </xf>
    <xf numFmtId="10" fontId="96" fillId="0" borderId="0" xfId="0" applyNumberFormat="1" applyFont="1" applyFill="1" applyBorder="1" applyAlignment="1" applyProtection="1">
      <alignment horizontal="center" vertical="center"/>
    </xf>
    <xf numFmtId="38" fontId="107" fillId="0" borderId="0" xfId="0" applyNumberFormat="1" applyFont="1" applyFill="1" applyBorder="1" applyAlignment="1" applyProtection="1">
      <alignment horizontal="left" vertical="center"/>
    </xf>
    <xf numFmtId="0" fontId="120" fillId="0" borderId="0" xfId="0" applyFont="1" applyFill="1" applyBorder="1" applyAlignment="1" applyProtection="1">
      <alignment horizontal="center"/>
    </xf>
    <xf numFmtId="10" fontId="107"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left" vertical="center"/>
    </xf>
    <xf numFmtId="0" fontId="236"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22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220"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97" fillId="0" borderId="0" xfId="0" applyFont="1" applyFill="1" applyBorder="1" applyAlignment="1" applyProtection="1"/>
    <xf numFmtId="0" fontId="109" fillId="0" borderId="0" xfId="0" applyFont="1" applyFill="1" applyBorder="1" applyAlignment="1" applyProtection="1">
      <alignment horizontal="right" wrapText="1"/>
    </xf>
    <xf numFmtId="0" fontId="231" fillId="0" borderId="0" xfId="0" applyFont="1" applyFill="1" applyBorder="1" applyAlignment="1" applyProtection="1">
      <alignment vertical="top"/>
    </xf>
    <xf numFmtId="0" fontId="120" fillId="0" borderId="0" xfId="0" quotePrefix="1" applyFont="1" applyFill="1" applyBorder="1" applyAlignment="1" applyProtection="1">
      <alignment horizontal="left" vertical="top"/>
    </xf>
    <xf numFmtId="10" fontId="107" fillId="0" borderId="0" xfId="0" applyNumberFormat="1" applyFont="1" applyFill="1" applyBorder="1" applyProtection="1"/>
    <xf numFmtId="10"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0" fontId="97" fillId="0" borderId="0" xfId="0" quotePrefix="1" applyFont="1" applyFill="1" applyBorder="1" applyAlignment="1" applyProtection="1">
      <alignment horizontal="right" vertical="top"/>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left" vertical="top"/>
    </xf>
    <xf numFmtId="0" fontId="235" fillId="0" borderId="0" xfId="0" applyFont="1" applyFill="1" applyBorder="1" applyAlignment="1" applyProtection="1">
      <alignment horizontal="center"/>
    </xf>
    <xf numFmtId="38" fontId="232"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232" fillId="0" borderId="0" xfId="0" applyFont="1" applyFill="1" applyBorder="1" applyAlignment="1" applyProtection="1">
      <alignment vertical="top"/>
    </xf>
    <xf numFmtId="0" fontId="219" fillId="0" borderId="0" xfId="0" quotePrefix="1" applyFont="1" applyFill="1" applyBorder="1" applyAlignment="1" applyProtection="1">
      <alignment horizontal="left" vertical="top"/>
    </xf>
    <xf numFmtId="0" fontId="107" fillId="0" borderId="0" xfId="0" applyFont="1" applyFill="1" applyBorder="1" applyAlignment="1" applyProtection="1">
      <alignment horizontal="justify" wrapText="1"/>
    </xf>
    <xf numFmtId="3" fontId="107" fillId="0" borderId="0" xfId="0" applyNumberFormat="1"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vertical="top"/>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wrapText="1"/>
    </xf>
    <xf numFmtId="4" fontId="107" fillId="0" borderId="0" xfId="0" applyNumberFormat="1" applyFont="1" applyFill="1" applyBorder="1" applyAlignment="1" applyProtection="1">
      <alignment horizontal="center" vertical="center" wrapText="1"/>
    </xf>
    <xf numFmtId="0" fontId="120" fillId="0" borderId="0" xfId="0" applyFont="1" applyFill="1" applyBorder="1" applyAlignment="1" applyProtection="1">
      <alignment horizontal="center" vertical="top" wrapText="1"/>
    </xf>
    <xf numFmtId="0" fontId="120" fillId="0" borderId="0" xfId="0" applyFont="1" applyFill="1" applyBorder="1" applyAlignment="1" applyProtection="1">
      <alignment horizontal="center" vertical="top" wrapText="1"/>
    </xf>
    <xf numFmtId="3" fontId="107" fillId="0" borderId="0" xfId="0" applyNumberFormat="1" applyFont="1" applyFill="1" applyBorder="1" applyAlignment="1" applyProtection="1">
      <alignment horizontal="center" vertical="center" wrapText="1"/>
    </xf>
    <xf numFmtId="0" fontId="236"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22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20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237" fillId="0" borderId="0" xfId="0" applyFont="1" applyFill="1" applyBorder="1" applyAlignment="1" applyProtection="1">
      <alignment horizontal="center"/>
    </xf>
    <xf numFmtId="0" fontId="121" fillId="0" borderId="0" xfId="0" applyFont="1" applyFill="1" applyBorder="1" applyAlignment="1" applyProtection="1">
      <alignment horizontal="justify" vertical="top" wrapText="1"/>
    </xf>
  </cellXfs>
  <cellStyles count="55973">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62"/>
    <cellStyle name="Header2 2 10" xfId="100"/>
    <cellStyle name="Header2 2 10 10" xfId="601"/>
    <cellStyle name="Header2 2 10 10 10" xfId="7170"/>
    <cellStyle name="Header2 2 10 10 10 2" xfId="18367"/>
    <cellStyle name="Header2 2 10 10 10 3" xfId="29535"/>
    <cellStyle name="Header2 2 10 10 10 4" xfId="40700"/>
    <cellStyle name="Header2 2 10 10 10 5" xfId="51893"/>
    <cellStyle name="Header2 2 10 10 11" xfId="7804"/>
    <cellStyle name="Header2 2 10 10 11 2" xfId="19001"/>
    <cellStyle name="Header2 2 10 10 11 3" xfId="30169"/>
    <cellStyle name="Header2 2 10 10 11 4" xfId="41334"/>
    <cellStyle name="Header2 2 10 10 11 5" xfId="52527"/>
    <cellStyle name="Header2 2 10 10 12" xfId="8438"/>
    <cellStyle name="Header2 2 10 10 12 2" xfId="19635"/>
    <cellStyle name="Header2 2 10 10 12 3" xfId="30803"/>
    <cellStyle name="Header2 2 10 10 12 4" xfId="41968"/>
    <cellStyle name="Header2 2 10 10 12 5" xfId="53161"/>
    <cellStyle name="Header2 2 10 10 13" xfId="9489"/>
    <cellStyle name="Header2 2 10 10 13 2" xfId="20686"/>
    <cellStyle name="Header2 2 10 10 13 3" xfId="31854"/>
    <cellStyle name="Header2 2 10 10 13 4" xfId="43019"/>
    <cellStyle name="Header2 2 10 10 13 5" xfId="54212"/>
    <cellStyle name="Header2 2 10 10 14" xfId="10322"/>
    <cellStyle name="Header2 2 10 10 14 2" xfId="21519"/>
    <cellStyle name="Header2 2 10 10 14 3" xfId="32687"/>
    <cellStyle name="Header2 2 10 10 14 4" xfId="43852"/>
    <cellStyle name="Header2 2 10 10 14 5" xfId="55045"/>
    <cellStyle name="Header2 2 10 10 15" xfId="11154"/>
    <cellStyle name="Header2 2 10 10 15 2" xfId="22351"/>
    <cellStyle name="Header2 2 10 10 15 3" xfId="33519"/>
    <cellStyle name="Header2 2 10 10 15 4" xfId="44684"/>
    <cellStyle name="Header2 2 10 10 15 5" xfId="55877"/>
    <cellStyle name="Header2 2 10 10 16" xfId="11801"/>
    <cellStyle name="Header2 2 10 10 17" xfId="22971"/>
    <cellStyle name="Header2 2 10 10 18" xfId="34138"/>
    <cellStyle name="Header2 2 10 10 19" xfId="45324"/>
    <cellStyle name="Header2 2 10 10 2" xfId="1250"/>
    <cellStyle name="Header2 2 10 10 2 2" xfId="12447"/>
    <cellStyle name="Header2 2 10 10 2 3" xfId="23615"/>
    <cellStyle name="Header2 2 10 10 2 4" xfId="34780"/>
    <cellStyle name="Header2 2 10 10 2 5" xfId="45973"/>
    <cellStyle name="Header2 2 10 10 3" xfId="1707"/>
    <cellStyle name="Header2 2 10 10 3 2" xfId="12904"/>
    <cellStyle name="Header2 2 10 10 3 3" xfId="24072"/>
    <cellStyle name="Header2 2 10 10 3 4" xfId="35237"/>
    <cellStyle name="Header2 2 10 10 3 5" xfId="46430"/>
    <cellStyle name="Header2 2 10 10 4" xfId="2951"/>
    <cellStyle name="Header2 2 10 10 4 2" xfId="14148"/>
    <cellStyle name="Header2 2 10 10 4 3" xfId="25316"/>
    <cellStyle name="Header2 2 10 10 4 4" xfId="36481"/>
    <cellStyle name="Header2 2 10 10 4 5" xfId="47674"/>
    <cellStyle name="Header2 2 10 10 5" xfId="3585"/>
    <cellStyle name="Header2 2 10 10 5 2" xfId="14782"/>
    <cellStyle name="Header2 2 10 10 5 3" xfId="25950"/>
    <cellStyle name="Header2 2 10 10 5 4" xfId="37115"/>
    <cellStyle name="Header2 2 10 10 5 5" xfId="48308"/>
    <cellStyle name="Header2 2 10 10 6" xfId="4219"/>
    <cellStyle name="Header2 2 10 10 6 2" xfId="15416"/>
    <cellStyle name="Header2 2 10 10 6 3" xfId="26584"/>
    <cellStyle name="Header2 2 10 10 6 4" xfId="37749"/>
    <cellStyle name="Header2 2 10 10 6 5" xfId="48942"/>
    <cellStyle name="Header2 2 10 10 7" xfId="4852"/>
    <cellStyle name="Header2 2 10 10 7 2" xfId="16049"/>
    <cellStyle name="Header2 2 10 10 7 3" xfId="27217"/>
    <cellStyle name="Header2 2 10 10 7 4" xfId="38382"/>
    <cellStyle name="Header2 2 10 10 7 5" xfId="49575"/>
    <cellStyle name="Header2 2 10 10 8" xfId="5483"/>
    <cellStyle name="Header2 2 10 10 8 2" xfId="16680"/>
    <cellStyle name="Header2 2 10 10 8 3" xfId="27848"/>
    <cellStyle name="Header2 2 10 10 8 4" xfId="39013"/>
    <cellStyle name="Header2 2 10 10 8 5" xfId="50206"/>
    <cellStyle name="Header2 2 10 10 9" xfId="6537"/>
    <cellStyle name="Header2 2 10 10 9 2" xfId="17734"/>
    <cellStyle name="Header2 2 10 10 9 3" xfId="28902"/>
    <cellStyle name="Header2 2 10 10 9 4" xfId="40067"/>
    <cellStyle name="Header2 2 10 10 9 5" xfId="51260"/>
    <cellStyle name="Header2 2 10 11" xfId="667"/>
    <cellStyle name="Header2 2 10 11 10" xfId="7236"/>
    <cellStyle name="Header2 2 10 11 10 2" xfId="18433"/>
    <cellStyle name="Header2 2 10 11 10 3" xfId="29601"/>
    <cellStyle name="Header2 2 10 11 10 4" xfId="40766"/>
    <cellStyle name="Header2 2 10 11 10 5" xfId="51959"/>
    <cellStyle name="Header2 2 10 11 11" xfId="7870"/>
    <cellStyle name="Header2 2 10 11 11 2" xfId="19067"/>
    <cellStyle name="Header2 2 10 11 11 3" xfId="30235"/>
    <cellStyle name="Header2 2 10 11 11 4" xfId="41400"/>
    <cellStyle name="Header2 2 10 11 11 5" xfId="52593"/>
    <cellStyle name="Header2 2 10 11 12" xfId="8504"/>
    <cellStyle name="Header2 2 10 11 12 2" xfId="19701"/>
    <cellStyle name="Header2 2 10 11 12 3" xfId="30869"/>
    <cellStyle name="Header2 2 10 11 12 4" xfId="42034"/>
    <cellStyle name="Header2 2 10 11 12 5" xfId="53227"/>
    <cellStyle name="Header2 2 10 11 13" xfId="9555"/>
    <cellStyle name="Header2 2 10 11 13 2" xfId="20752"/>
    <cellStyle name="Header2 2 10 11 13 3" xfId="31920"/>
    <cellStyle name="Header2 2 10 11 13 4" xfId="43085"/>
    <cellStyle name="Header2 2 10 11 13 5" xfId="54278"/>
    <cellStyle name="Header2 2 10 11 14" xfId="10361"/>
    <cellStyle name="Header2 2 10 11 14 2" xfId="21558"/>
    <cellStyle name="Header2 2 10 11 14 3" xfId="32726"/>
    <cellStyle name="Header2 2 10 11 14 4" xfId="43891"/>
    <cellStyle name="Header2 2 10 11 14 5" xfId="55084"/>
    <cellStyle name="Header2 2 10 11 15" xfId="11220"/>
    <cellStyle name="Header2 2 10 11 15 2" xfId="22417"/>
    <cellStyle name="Header2 2 10 11 15 3" xfId="33585"/>
    <cellStyle name="Header2 2 10 11 15 4" xfId="44750"/>
    <cellStyle name="Header2 2 10 11 15 5" xfId="55943"/>
    <cellStyle name="Header2 2 10 11 16" xfId="11867"/>
    <cellStyle name="Header2 2 10 11 17" xfId="23037"/>
    <cellStyle name="Header2 2 10 11 18" xfId="34204"/>
    <cellStyle name="Header2 2 10 11 19" xfId="45390"/>
    <cellStyle name="Header2 2 10 11 2" xfId="1316"/>
    <cellStyle name="Header2 2 10 11 2 2" xfId="12513"/>
    <cellStyle name="Header2 2 10 11 2 3" xfId="23681"/>
    <cellStyle name="Header2 2 10 11 2 4" xfId="34846"/>
    <cellStyle name="Header2 2 10 11 2 5" xfId="46039"/>
    <cellStyle name="Header2 2 10 11 3" xfId="1623"/>
    <cellStyle name="Header2 2 10 11 3 2" xfId="12820"/>
    <cellStyle name="Header2 2 10 11 3 3" xfId="23988"/>
    <cellStyle name="Header2 2 10 11 3 4" xfId="35153"/>
    <cellStyle name="Header2 2 10 11 3 5" xfId="46346"/>
    <cellStyle name="Header2 2 10 11 4" xfId="3017"/>
    <cellStyle name="Header2 2 10 11 4 2" xfId="14214"/>
    <cellStyle name="Header2 2 10 11 4 3" xfId="25382"/>
    <cellStyle name="Header2 2 10 11 4 4" xfId="36547"/>
    <cellStyle name="Header2 2 10 11 4 5" xfId="47740"/>
    <cellStyle name="Header2 2 10 11 5" xfId="3651"/>
    <cellStyle name="Header2 2 10 11 5 2" xfId="14848"/>
    <cellStyle name="Header2 2 10 11 5 3" xfId="26016"/>
    <cellStyle name="Header2 2 10 11 5 4" xfId="37181"/>
    <cellStyle name="Header2 2 10 11 5 5" xfId="48374"/>
    <cellStyle name="Header2 2 10 11 6" xfId="4285"/>
    <cellStyle name="Header2 2 10 11 6 2" xfId="15482"/>
    <cellStyle name="Header2 2 10 11 6 3" xfId="26650"/>
    <cellStyle name="Header2 2 10 11 6 4" xfId="37815"/>
    <cellStyle name="Header2 2 10 11 6 5" xfId="49008"/>
    <cellStyle name="Header2 2 10 11 7" xfId="4918"/>
    <cellStyle name="Header2 2 10 11 7 2" xfId="16115"/>
    <cellStyle name="Header2 2 10 11 7 3" xfId="27283"/>
    <cellStyle name="Header2 2 10 11 7 4" xfId="38448"/>
    <cellStyle name="Header2 2 10 11 7 5" xfId="49641"/>
    <cellStyle name="Header2 2 10 11 8" xfId="5549"/>
    <cellStyle name="Header2 2 10 11 8 2" xfId="16746"/>
    <cellStyle name="Header2 2 10 11 8 3" xfId="27914"/>
    <cellStyle name="Header2 2 10 11 8 4" xfId="39079"/>
    <cellStyle name="Header2 2 10 11 8 5" xfId="50272"/>
    <cellStyle name="Header2 2 10 11 9" xfId="6603"/>
    <cellStyle name="Header2 2 10 11 9 2" xfId="17800"/>
    <cellStyle name="Header2 2 10 11 9 3" xfId="28968"/>
    <cellStyle name="Header2 2 10 11 9 4" xfId="40133"/>
    <cellStyle name="Header2 2 10 11 9 5" xfId="51326"/>
    <cellStyle name="Header2 2 10 12" xfId="749"/>
    <cellStyle name="Header2 2 10 12 2" xfId="11947"/>
    <cellStyle name="Header2 2 10 12 3" xfId="23115"/>
    <cellStyle name="Header2 2 10 12 4" xfId="34280"/>
    <cellStyle name="Header2 2 10 12 5" xfId="45472"/>
    <cellStyle name="Header2 2 10 13" xfId="1627"/>
    <cellStyle name="Header2 2 10 13 2" xfId="12824"/>
    <cellStyle name="Header2 2 10 13 3" xfId="23992"/>
    <cellStyle name="Header2 2 10 13 4" xfId="35157"/>
    <cellStyle name="Header2 2 10 13 5" xfId="46350"/>
    <cellStyle name="Header2 2 10 14" xfId="1985"/>
    <cellStyle name="Header2 2 10 14 2" xfId="13182"/>
    <cellStyle name="Header2 2 10 14 3" xfId="24350"/>
    <cellStyle name="Header2 2 10 14 4" xfId="35515"/>
    <cellStyle name="Header2 2 10 14 5" xfId="46708"/>
    <cellStyle name="Header2 2 10 15" xfId="3084"/>
    <cellStyle name="Header2 2 10 15 2" xfId="14281"/>
    <cellStyle name="Header2 2 10 15 3" xfId="25449"/>
    <cellStyle name="Header2 2 10 15 4" xfId="36614"/>
    <cellStyle name="Header2 2 10 15 5" xfId="47807"/>
    <cellStyle name="Header2 2 10 16" xfId="3718"/>
    <cellStyle name="Header2 2 10 16 2" xfId="14915"/>
    <cellStyle name="Header2 2 10 16 3" xfId="26083"/>
    <cellStyle name="Header2 2 10 16 4" xfId="37248"/>
    <cellStyle name="Header2 2 10 16 5" xfId="48441"/>
    <cellStyle name="Header2 2 10 17" xfId="4351"/>
    <cellStyle name="Header2 2 10 17 2" xfId="15548"/>
    <cellStyle name="Header2 2 10 17 3" xfId="26716"/>
    <cellStyle name="Header2 2 10 17 4" xfId="37881"/>
    <cellStyle name="Header2 2 10 17 5" xfId="49074"/>
    <cellStyle name="Header2 2 10 18" xfId="4983"/>
    <cellStyle name="Header2 2 10 18 2" xfId="16180"/>
    <cellStyle name="Header2 2 10 18 3" xfId="27348"/>
    <cellStyle name="Header2 2 10 18 4" xfId="38513"/>
    <cellStyle name="Header2 2 10 18 5" xfId="49706"/>
    <cellStyle name="Header2 2 10 19" xfId="5737"/>
    <cellStyle name="Header2 2 10 19 2" xfId="16934"/>
    <cellStyle name="Header2 2 10 19 3" xfId="28102"/>
    <cellStyle name="Header2 2 10 19 4" xfId="39267"/>
    <cellStyle name="Header2 2 10 19 5" xfId="50460"/>
    <cellStyle name="Header2 2 10 2" xfId="164"/>
    <cellStyle name="Header2 2 10 2 10" xfId="6733"/>
    <cellStyle name="Header2 2 10 2 10 2" xfId="17930"/>
    <cellStyle name="Header2 2 10 2 10 3" xfId="29098"/>
    <cellStyle name="Header2 2 10 2 10 4" xfId="40263"/>
    <cellStyle name="Header2 2 10 2 10 5" xfId="51456"/>
    <cellStyle name="Header2 2 10 2 11" xfId="7367"/>
    <cellStyle name="Header2 2 10 2 11 2" xfId="18564"/>
    <cellStyle name="Header2 2 10 2 11 3" xfId="29732"/>
    <cellStyle name="Header2 2 10 2 11 4" xfId="40897"/>
    <cellStyle name="Header2 2 10 2 11 5" xfId="52090"/>
    <cellStyle name="Header2 2 10 2 12" xfId="8001"/>
    <cellStyle name="Header2 2 10 2 12 2" xfId="19198"/>
    <cellStyle name="Header2 2 10 2 12 3" xfId="30366"/>
    <cellStyle name="Header2 2 10 2 12 4" xfId="41531"/>
    <cellStyle name="Header2 2 10 2 12 5" xfId="52724"/>
    <cellStyle name="Header2 2 10 2 13" xfId="8946"/>
    <cellStyle name="Header2 2 10 2 13 2" xfId="20143"/>
    <cellStyle name="Header2 2 10 2 13 3" xfId="31311"/>
    <cellStyle name="Header2 2 10 2 13 4" xfId="42476"/>
    <cellStyle name="Header2 2 10 2 13 5" xfId="53669"/>
    <cellStyle name="Header2 2 10 2 14" xfId="10382"/>
    <cellStyle name="Header2 2 10 2 14 2" xfId="21579"/>
    <cellStyle name="Header2 2 10 2 14 3" xfId="32747"/>
    <cellStyle name="Header2 2 10 2 14 4" xfId="43912"/>
    <cellStyle name="Header2 2 10 2 14 5" xfId="55105"/>
    <cellStyle name="Header2 2 10 2 15" xfId="10717"/>
    <cellStyle name="Header2 2 10 2 15 2" xfId="21914"/>
    <cellStyle name="Header2 2 10 2 15 3" xfId="33082"/>
    <cellStyle name="Header2 2 10 2 15 4" xfId="44247"/>
    <cellStyle name="Header2 2 10 2 15 5" xfId="55440"/>
    <cellStyle name="Header2 2 10 2 16" xfId="11364"/>
    <cellStyle name="Header2 2 10 2 17" xfId="22534"/>
    <cellStyle name="Header2 2 10 2 18" xfId="33701"/>
    <cellStyle name="Header2 2 10 2 19" xfId="44887"/>
    <cellStyle name="Header2 2 10 2 2" xfId="813"/>
    <cellStyle name="Header2 2 10 2 2 2" xfId="12010"/>
    <cellStyle name="Header2 2 10 2 2 3" xfId="23178"/>
    <cellStyle name="Header2 2 10 2 2 4" xfId="34343"/>
    <cellStyle name="Header2 2 10 2 2 5" xfId="45536"/>
    <cellStyle name="Header2 2 10 2 3" xfId="1657"/>
    <cellStyle name="Header2 2 10 2 3 2" xfId="12854"/>
    <cellStyle name="Header2 2 10 2 3 3" xfId="24022"/>
    <cellStyle name="Header2 2 10 2 3 4" xfId="35187"/>
    <cellStyle name="Header2 2 10 2 3 5" xfId="46380"/>
    <cellStyle name="Header2 2 10 2 4" xfId="2289"/>
    <cellStyle name="Header2 2 10 2 4 2" xfId="13486"/>
    <cellStyle name="Header2 2 10 2 4 3" xfId="24654"/>
    <cellStyle name="Header2 2 10 2 4 4" xfId="35819"/>
    <cellStyle name="Header2 2 10 2 4 5" xfId="47012"/>
    <cellStyle name="Header2 2 10 2 5" xfId="3148"/>
    <cellStyle name="Header2 2 10 2 5 2" xfId="14345"/>
    <cellStyle name="Header2 2 10 2 5 3" xfId="25513"/>
    <cellStyle name="Header2 2 10 2 5 4" xfId="36678"/>
    <cellStyle name="Header2 2 10 2 5 5" xfId="47871"/>
    <cellStyle name="Header2 2 10 2 6" xfId="3782"/>
    <cellStyle name="Header2 2 10 2 6 2" xfId="14979"/>
    <cellStyle name="Header2 2 10 2 6 3" xfId="26147"/>
    <cellStyle name="Header2 2 10 2 6 4" xfId="37312"/>
    <cellStyle name="Header2 2 10 2 6 5" xfId="48505"/>
    <cellStyle name="Header2 2 10 2 7" xfId="4415"/>
    <cellStyle name="Header2 2 10 2 7 2" xfId="15612"/>
    <cellStyle name="Header2 2 10 2 7 3" xfId="26780"/>
    <cellStyle name="Header2 2 10 2 7 4" xfId="37945"/>
    <cellStyle name="Header2 2 10 2 7 5" xfId="49138"/>
    <cellStyle name="Header2 2 10 2 8" xfId="5046"/>
    <cellStyle name="Header2 2 10 2 8 2" xfId="16243"/>
    <cellStyle name="Header2 2 10 2 8 3" xfId="27411"/>
    <cellStyle name="Header2 2 10 2 8 4" xfId="38576"/>
    <cellStyle name="Header2 2 10 2 8 5" xfId="49769"/>
    <cellStyle name="Header2 2 10 2 9" xfId="5879"/>
    <cellStyle name="Header2 2 10 2 9 2" xfId="17076"/>
    <cellStyle name="Header2 2 10 2 9 3" xfId="28244"/>
    <cellStyle name="Header2 2 10 2 9 4" xfId="39409"/>
    <cellStyle name="Header2 2 10 2 9 5" xfId="50602"/>
    <cellStyle name="Header2 2 10 20" xfId="6670"/>
    <cellStyle name="Header2 2 10 20 2" xfId="17867"/>
    <cellStyle name="Header2 2 10 20 3" xfId="29035"/>
    <cellStyle name="Header2 2 10 20 4" xfId="40200"/>
    <cellStyle name="Header2 2 10 20 5" xfId="51393"/>
    <cellStyle name="Header2 2 10 21" xfId="7303"/>
    <cellStyle name="Header2 2 10 21 2" xfId="18500"/>
    <cellStyle name="Header2 2 10 21 3" xfId="29668"/>
    <cellStyle name="Header2 2 10 21 4" xfId="40833"/>
    <cellStyle name="Header2 2 10 21 5" xfId="52026"/>
    <cellStyle name="Header2 2 10 22" xfId="7937"/>
    <cellStyle name="Header2 2 10 22 2" xfId="19134"/>
    <cellStyle name="Header2 2 10 22 3" xfId="30302"/>
    <cellStyle name="Header2 2 10 22 4" xfId="41467"/>
    <cellStyle name="Header2 2 10 22 5" xfId="52660"/>
    <cellStyle name="Header2 2 10 23" xfId="8883"/>
    <cellStyle name="Header2 2 10 23 2" xfId="20080"/>
    <cellStyle name="Header2 2 10 23 3" xfId="31248"/>
    <cellStyle name="Header2 2 10 23 4" xfId="42413"/>
    <cellStyle name="Header2 2 10 23 5" xfId="53606"/>
    <cellStyle name="Header2 2 10 24" xfId="10315"/>
    <cellStyle name="Header2 2 10 24 2" xfId="21512"/>
    <cellStyle name="Header2 2 10 24 3" xfId="32680"/>
    <cellStyle name="Header2 2 10 24 4" xfId="43845"/>
    <cellStyle name="Header2 2 10 24 5" xfId="55038"/>
    <cellStyle name="Header2 2 10 25" xfId="10654"/>
    <cellStyle name="Header2 2 10 25 2" xfId="21851"/>
    <cellStyle name="Header2 2 10 25 3" xfId="33019"/>
    <cellStyle name="Header2 2 10 25 4" xfId="44184"/>
    <cellStyle name="Header2 2 10 25 5" xfId="55377"/>
    <cellStyle name="Header2 2 10 26" xfId="11301"/>
    <cellStyle name="Header2 2 10 27" xfId="22471"/>
    <cellStyle name="Header2 2 10 28" xfId="33638"/>
    <cellStyle name="Header2 2 10 29" xfId="44823"/>
    <cellStyle name="Header2 2 10 3" xfId="220"/>
    <cellStyle name="Header2 2 10 3 10" xfId="6789"/>
    <cellStyle name="Header2 2 10 3 10 2" xfId="17986"/>
    <cellStyle name="Header2 2 10 3 10 3" xfId="29154"/>
    <cellStyle name="Header2 2 10 3 10 4" xfId="40319"/>
    <cellStyle name="Header2 2 10 3 10 5" xfId="51512"/>
    <cellStyle name="Header2 2 10 3 11" xfId="7423"/>
    <cellStyle name="Header2 2 10 3 11 2" xfId="18620"/>
    <cellStyle name="Header2 2 10 3 11 3" xfId="29788"/>
    <cellStyle name="Header2 2 10 3 11 4" xfId="40953"/>
    <cellStyle name="Header2 2 10 3 11 5" xfId="52146"/>
    <cellStyle name="Header2 2 10 3 12" xfId="8057"/>
    <cellStyle name="Header2 2 10 3 12 2" xfId="19254"/>
    <cellStyle name="Header2 2 10 3 12 3" xfId="30422"/>
    <cellStyle name="Header2 2 10 3 12 4" xfId="41587"/>
    <cellStyle name="Header2 2 10 3 12 5" xfId="52780"/>
    <cellStyle name="Header2 2 10 3 13" xfId="9045"/>
    <cellStyle name="Header2 2 10 3 13 2" xfId="20242"/>
    <cellStyle name="Header2 2 10 3 13 3" xfId="31410"/>
    <cellStyle name="Header2 2 10 3 13 4" xfId="42575"/>
    <cellStyle name="Header2 2 10 3 13 5" xfId="53768"/>
    <cellStyle name="Header2 2 10 3 14" xfId="10342"/>
    <cellStyle name="Header2 2 10 3 14 2" xfId="21539"/>
    <cellStyle name="Header2 2 10 3 14 3" xfId="32707"/>
    <cellStyle name="Header2 2 10 3 14 4" xfId="43872"/>
    <cellStyle name="Header2 2 10 3 14 5" xfId="55065"/>
    <cellStyle name="Header2 2 10 3 15" xfId="10773"/>
    <cellStyle name="Header2 2 10 3 15 2" xfId="21970"/>
    <cellStyle name="Header2 2 10 3 15 3" xfId="33138"/>
    <cellStyle name="Header2 2 10 3 15 4" xfId="44303"/>
    <cellStyle name="Header2 2 10 3 15 5" xfId="55496"/>
    <cellStyle name="Header2 2 10 3 16" xfId="11420"/>
    <cellStyle name="Header2 2 10 3 17" xfId="22590"/>
    <cellStyle name="Header2 2 10 3 18" xfId="33757"/>
    <cellStyle name="Header2 2 10 3 19" xfId="44943"/>
    <cellStyle name="Header2 2 10 3 2" xfId="869"/>
    <cellStyle name="Header2 2 10 3 2 2" xfId="12066"/>
    <cellStyle name="Header2 2 10 3 2 3" xfId="23234"/>
    <cellStyle name="Header2 2 10 3 2 4" xfId="34399"/>
    <cellStyle name="Header2 2 10 3 2 5" xfId="45592"/>
    <cellStyle name="Header2 2 10 3 3" xfId="1621"/>
    <cellStyle name="Header2 2 10 3 3 2" xfId="12818"/>
    <cellStyle name="Header2 2 10 3 3 3" xfId="23986"/>
    <cellStyle name="Header2 2 10 3 3 4" xfId="35151"/>
    <cellStyle name="Header2 2 10 3 3 5" xfId="46344"/>
    <cellStyle name="Header2 2 10 3 4" xfId="2242"/>
    <cellStyle name="Header2 2 10 3 4 2" xfId="13439"/>
    <cellStyle name="Header2 2 10 3 4 3" xfId="24607"/>
    <cellStyle name="Header2 2 10 3 4 4" xfId="35772"/>
    <cellStyle name="Header2 2 10 3 4 5" xfId="46965"/>
    <cellStyle name="Header2 2 10 3 5" xfId="3204"/>
    <cellStyle name="Header2 2 10 3 5 2" xfId="14401"/>
    <cellStyle name="Header2 2 10 3 5 3" xfId="25569"/>
    <cellStyle name="Header2 2 10 3 5 4" xfId="36734"/>
    <cellStyle name="Header2 2 10 3 5 5" xfId="47927"/>
    <cellStyle name="Header2 2 10 3 6" xfId="3838"/>
    <cellStyle name="Header2 2 10 3 6 2" xfId="15035"/>
    <cellStyle name="Header2 2 10 3 6 3" xfId="26203"/>
    <cellStyle name="Header2 2 10 3 6 4" xfId="37368"/>
    <cellStyle name="Header2 2 10 3 6 5" xfId="48561"/>
    <cellStyle name="Header2 2 10 3 7" xfId="4471"/>
    <cellStyle name="Header2 2 10 3 7 2" xfId="15668"/>
    <cellStyle name="Header2 2 10 3 7 3" xfId="26836"/>
    <cellStyle name="Header2 2 10 3 7 4" xfId="38001"/>
    <cellStyle name="Header2 2 10 3 7 5" xfId="49194"/>
    <cellStyle name="Header2 2 10 3 8" xfId="5102"/>
    <cellStyle name="Header2 2 10 3 8 2" xfId="16299"/>
    <cellStyle name="Header2 2 10 3 8 3" xfId="27467"/>
    <cellStyle name="Header2 2 10 3 8 4" xfId="38632"/>
    <cellStyle name="Header2 2 10 3 8 5" xfId="49825"/>
    <cellStyle name="Header2 2 10 3 9" xfId="5833"/>
    <cellStyle name="Header2 2 10 3 9 2" xfId="17030"/>
    <cellStyle name="Header2 2 10 3 9 3" xfId="28198"/>
    <cellStyle name="Header2 2 10 3 9 4" xfId="39363"/>
    <cellStyle name="Header2 2 10 3 9 5" xfId="50556"/>
    <cellStyle name="Header2 2 10 4" xfId="289"/>
    <cellStyle name="Header2 2 10 4 10" xfId="6858"/>
    <cellStyle name="Header2 2 10 4 10 2" xfId="18055"/>
    <cellStyle name="Header2 2 10 4 10 3" xfId="29223"/>
    <cellStyle name="Header2 2 10 4 10 4" xfId="40388"/>
    <cellStyle name="Header2 2 10 4 10 5" xfId="51581"/>
    <cellStyle name="Header2 2 10 4 11" xfId="7492"/>
    <cellStyle name="Header2 2 10 4 11 2" xfId="18689"/>
    <cellStyle name="Header2 2 10 4 11 3" xfId="29857"/>
    <cellStyle name="Header2 2 10 4 11 4" xfId="41022"/>
    <cellStyle name="Header2 2 10 4 11 5" xfId="52215"/>
    <cellStyle name="Header2 2 10 4 12" xfId="8126"/>
    <cellStyle name="Header2 2 10 4 12 2" xfId="19323"/>
    <cellStyle name="Header2 2 10 4 12 3" xfId="30491"/>
    <cellStyle name="Header2 2 10 4 12 4" xfId="41656"/>
    <cellStyle name="Header2 2 10 4 12 5" xfId="52849"/>
    <cellStyle name="Header2 2 10 4 13" xfId="9177"/>
    <cellStyle name="Header2 2 10 4 13 2" xfId="20374"/>
    <cellStyle name="Header2 2 10 4 13 3" xfId="31542"/>
    <cellStyle name="Header2 2 10 4 13 4" xfId="42707"/>
    <cellStyle name="Header2 2 10 4 13 5" xfId="53900"/>
    <cellStyle name="Header2 2 10 4 14" xfId="8530"/>
    <cellStyle name="Header2 2 10 4 14 2" xfId="19727"/>
    <cellStyle name="Header2 2 10 4 14 3" xfId="30895"/>
    <cellStyle name="Header2 2 10 4 14 4" xfId="42060"/>
    <cellStyle name="Header2 2 10 4 14 5" xfId="53253"/>
    <cellStyle name="Header2 2 10 4 15" xfId="10842"/>
    <cellStyle name="Header2 2 10 4 15 2" xfId="22039"/>
    <cellStyle name="Header2 2 10 4 15 3" xfId="33207"/>
    <cellStyle name="Header2 2 10 4 15 4" xfId="44372"/>
    <cellStyle name="Header2 2 10 4 15 5" xfId="55565"/>
    <cellStyle name="Header2 2 10 4 16" xfId="11489"/>
    <cellStyle name="Header2 2 10 4 17" xfId="22659"/>
    <cellStyle name="Header2 2 10 4 18" xfId="33826"/>
    <cellStyle name="Header2 2 10 4 19" xfId="45012"/>
    <cellStyle name="Header2 2 10 4 2" xfId="938"/>
    <cellStyle name="Header2 2 10 4 2 2" xfId="12135"/>
    <cellStyle name="Header2 2 10 4 2 3" xfId="23303"/>
    <cellStyle name="Header2 2 10 4 2 4" xfId="34468"/>
    <cellStyle name="Header2 2 10 4 2 5" xfId="45661"/>
    <cellStyle name="Header2 2 10 4 3" xfId="1493"/>
    <cellStyle name="Header2 2 10 4 3 2" xfId="12690"/>
    <cellStyle name="Header2 2 10 4 3 3" xfId="23858"/>
    <cellStyle name="Header2 2 10 4 3 4" xfId="35023"/>
    <cellStyle name="Header2 2 10 4 3 5" xfId="46216"/>
    <cellStyle name="Header2 2 10 4 4" xfId="2639"/>
    <cellStyle name="Header2 2 10 4 4 2" xfId="13836"/>
    <cellStyle name="Header2 2 10 4 4 3" xfId="25004"/>
    <cellStyle name="Header2 2 10 4 4 4" xfId="36169"/>
    <cellStyle name="Header2 2 10 4 4 5" xfId="47362"/>
    <cellStyle name="Header2 2 10 4 5" xfId="3273"/>
    <cellStyle name="Header2 2 10 4 5 2" xfId="14470"/>
    <cellStyle name="Header2 2 10 4 5 3" xfId="25638"/>
    <cellStyle name="Header2 2 10 4 5 4" xfId="36803"/>
    <cellStyle name="Header2 2 10 4 5 5" xfId="47996"/>
    <cellStyle name="Header2 2 10 4 6" xfId="3907"/>
    <cellStyle name="Header2 2 10 4 6 2" xfId="15104"/>
    <cellStyle name="Header2 2 10 4 6 3" xfId="26272"/>
    <cellStyle name="Header2 2 10 4 6 4" xfId="37437"/>
    <cellStyle name="Header2 2 10 4 6 5" xfId="48630"/>
    <cellStyle name="Header2 2 10 4 7" xfId="4540"/>
    <cellStyle name="Header2 2 10 4 7 2" xfId="15737"/>
    <cellStyle name="Header2 2 10 4 7 3" xfId="26905"/>
    <cellStyle name="Header2 2 10 4 7 4" xfId="38070"/>
    <cellStyle name="Header2 2 10 4 7 5" xfId="49263"/>
    <cellStyle name="Header2 2 10 4 8" xfId="5171"/>
    <cellStyle name="Header2 2 10 4 8 2" xfId="16368"/>
    <cellStyle name="Header2 2 10 4 8 3" xfId="27536"/>
    <cellStyle name="Header2 2 10 4 8 4" xfId="38701"/>
    <cellStyle name="Header2 2 10 4 8 5" xfId="49894"/>
    <cellStyle name="Header2 2 10 4 9" xfId="6225"/>
    <cellStyle name="Header2 2 10 4 9 2" xfId="17422"/>
    <cellStyle name="Header2 2 10 4 9 3" xfId="28590"/>
    <cellStyle name="Header2 2 10 4 9 4" xfId="39755"/>
    <cellStyle name="Header2 2 10 4 9 5" xfId="50948"/>
    <cellStyle name="Header2 2 10 5" xfId="297"/>
    <cellStyle name="Header2 2 10 5 10" xfId="6866"/>
    <cellStyle name="Header2 2 10 5 10 2" xfId="18063"/>
    <cellStyle name="Header2 2 10 5 10 3" xfId="29231"/>
    <cellStyle name="Header2 2 10 5 10 4" xfId="40396"/>
    <cellStyle name="Header2 2 10 5 10 5" xfId="51589"/>
    <cellStyle name="Header2 2 10 5 11" xfId="7500"/>
    <cellStyle name="Header2 2 10 5 11 2" xfId="18697"/>
    <cellStyle name="Header2 2 10 5 11 3" xfId="29865"/>
    <cellStyle name="Header2 2 10 5 11 4" xfId="41030"/>
    <cellStyle name="Header2 2 10 5 11 5" xfId="52223"/>
    <cellStyle name="Header2 2 10 5 12" xfId="8134"/>
    <cellStyle name="Header2 2 10 5 12 2" xfId="19331"/>
    <cellStyle name="Header2 2 10 5 12 3" xfId="30499"/>
    <cellStyle name="Header2 2 10 5 12 4" xfId="41664"/>
    <cellStyle name="Header2 2 10 5 12 5" xfId="52857"/>
    <cellStyle name="Header2 2 10 5 13" xfId="9185"/>
    <cellStyle name="Header2 2 10 5 13 2" xfId="20382"/>
    <cellStyle name="Header2 2 10 5 13 3" xfId="31550"/>
    <cellStyle name="Header2 2 10 5 13 4" xfId="42715"/>
    <cellStyle name="Header2 2 10 5 13 5" xfId="53908"/>
    <cellStyle name="Header2 2 10 5 14" xfId="10266"/>
    <cellStyle name="Header2 2 10 5 14 2" xfId="21463"/>
    <cellStyle name="Header2 2 10 5 14 3" xfId="32631"/>
    <cellStyle name="Header2 2 10 5 14 4" xfId="43796"/>
    <cellStyle name="Header2 2 10 5 14 5" xfId="54989"/>
    <cellStyle name="Header2 2 10 5 15" xfId="10850"/>
    <cellStyle name="Header2 2 10 5 15 2" xfId="22047"/>
    <cellStyle name="Header2 2 10 5 15 3" xfId="33215"/>
    <cellStyle name="Header2 2 10 5 15 4" xfId="44380"/>
    <cellStyle name="Header2 2 10 5 15 5" xfId="55573"/>
    <cellStyle name="Header2 2 10 5 16" xfId="11497"/>
    <cellStyle name="Header2 2 10 5 17" xfId="22667"/>
    <cellStyle name="Header2 2 10 5 18" xfId="33834"/>
    <cellStyle name="Header2 2 10 5 19" xfId="45020"/>
    <cellStyle name="Header2 2 10 5 2" xfId="946"/>
    <cellStyle name="Header2 2 10 5 2 2" xfId="12143"/>
    <cellStyle name="Header2 2 10 5 2 3" xfId="23311"/>
    <cellStyle name="Header2 2 10 5 2 4" xfId="34476"/>
    <cellStyle name="Header2 2 10 5 2 5" xfId="45669"/>
    <cellStyle name="Header2 2 10 5 3" xfId="1669"/>
    <cellStyle name="Header2 2 10 5 3 2" xfId="12866"/>
    <cellStyle name="Header2 2 10 5 3 3" xfId="24034"/>
    <cellStyle name="Header2 2 10 5 3 4" xfId="35199"/>
    <cellStyle name="Header2 2 10 5 3 5" xfId="46392"/>
    <cellStyle name="Header2 2 10 5 4" xfId="2647"/>
    <cellStyle name="Header2 2 10 5 4 2" xfId="13844"/>
    <cellStyle name="Header2 2 10 5 4 3" xfId="25012"/>
    <cellStyle name="Header2 2 10 5 4 4" xfId="36177"/>
    <cellStyle name="Header2 2 10 5 4 5" xfId="47370"/>
    <cellStyle name="Header2 2 10 5 5" xfId="3281"/>
    <cellStyle name="Header2 2 10 5 5 2" xfId="14478"/>
    <cellStyle name="Header2 2 10 5 5 3" xfId="25646"/>
    <cellStyle name="Header2 2 10 5 5 4" xfId="36811"/>
    <cellStyle name="Header2 2 10 5 5 5" xfId="48004"/>
    <cellStyle name="Header2 2 10 5 6" xfId="3915"/>
    <cellStyle name="Header2 2 10 5 6 2" xfId="15112"/>
    <cellStyle name="Header2 2 10 5 6 3" xfId="26280"/>
    <cellStyle name="Header2 2 10 5 6 4" xfId="37445"/>
    <cellStyle name="Header2 2 10 5 6 5" xfId="48638"/>
    <cellStyle name="Header2 2 10 5 7" xfId="4548"/>
    <cellStyle name="Header2 2 10 5 7 2" xfId="15745"/>
    <cellStyle name="Header2 2 10 5 7 3" xfId="26913"/>
    <cellStyle name="Header2 2 10 5 7 4" xfId="38078"/>
    <cellStyle name="Header2 2 10 5 7 5" xfId="49271"/>
    <cellStyle name="Header2 2 10 5 8" xfId="5179"/>
    <cellStyle name="Header2 2 10 5 8 2" xfId="16376"/>
    <cellStyle name="Header2 2 10 5 8 3" xfId="27544"/>
    <cellStyle name="Header2 2 10 5 8 4" xfId="38709"/>
    <cellStyle name="Header2 2 10 5 8 5" xfId="49902"/>
    <cellStyle name="Header2 2 10 5 9" xfId="6233"/>
    <cellStyle name="Header2 2 10 5 9 2" xfId="17430"/>
    <cellStyle name="Header2 2 10 5 9 3" xfId="28598"/>
    <cellStyle name="Header2 2 10 5 9 4" xfId="39763"/>
    <cellStyle name="Header2 2 10 5 9 5" xfId="50956"/>
    <cellStyle name="Header2 2 10 6" xfId="324"/>
    <cellStyle name="Header2 2 10 6 10" xfId="6893"/>
    <cellStyle name="Header2 2 10 6 10 2" xfId="18090"/>
    <cellStyle name="Header2 2 10 6 10 3" xfId="29258"/>
    <cellStyle name="Header2 2 10 6 10 4" xfId="40423"/>
    <cellStyle name="Header2 2 10 6 10 5" xfId="51616"/>
    <cellStyle name="Header2 2 10 6 11" xfId="7527"/>
    <cellStyle name="Header2 2 10 6 11 2" xfId="18724"/>
    <cellStyle name="Header2 2 10 6 11 3" xfId="29892"/>
    <cellStyle name="Header2 2 10 6 11 4" xfId="41057"/>
    <cellStyle name="Header2 2 10 6 11 5" xfId="52250"/>
    <cellStyle name="Header2 2 10 6 12" xfId="8161"/>
    <cellStyle name="Header2 2 10 6 12 2" xfId="19358"/>
    <cellStyle name="Header2 2 10 6 12 3" xfId="30526"/>
    <cellStyle name="Header2 2 10 6 12 4" xfId="41691"/>
    <cellStyle name="Header2 2 10 6 12 5" xfId="52884"/>
    <cellStyle name="Header2 2 10 6 13" xfId="9212"/>
    <cellStyle name="Header2 2 10 6 13 2" xfId="20409"/>
    <cellStyle name="Header2 2 10 6 13 3" xfId="31577"/>
    <cellStyle name="Header2 2 10 6 13 4" xfId="42742"/>
    <cellStyle name="Header2 2 10 6 13 5" xfId="53935"/>
    <cellStyle name="Header2 2 10 6 14" xfId="10236"/>
    <cellStyle name="Header2 2 10 6 14 2" xfId="21433"/>
    <cellStyle name="Header2 2 10 6 14 3" xfId="32601"/>
    <cellStyle name="Header2 2 10 6 14 4" xfId="43766"/>
    <cellStyle name="Header2 2 10 6 14 5" xfId="54959"/>
    <cellStyle name="Header2 2 10 6 15" xfId="10877"/>
    <cellStyle name="Header2 2 10 6 15 2" xfId="22074"/>
    <cellStyle name="Header2 2 10 6 15 3" xfId="33242"/>
    <cellStyle name="Header2 2 10 6 15 4" xfId="44407"/>
    <cellStyle name="Header2 2 10 6 15 5" xfId="55600"/>
    <cellStyle name="Header2 2 10 6 16" xfId="11524"/>
    <cellStyle name="Header2 2 10 6 17" xfId="22694"/>
    <cellStyle name="Header2 2 10 6 18" xfId="33861"/>
    <cellStyle name="Header2 2 10 6 19" xfId="45047"/>
    <cellStyle name="Header2 2 10 6 2" xfId="973"/>
    <cellStyle name="Header2 2 10 6 2 2" xfId="12170"/>
    <cellStyle name="Header2 2 10 6 2 3" xfId="23338"/>
    <cellStyle name="Header2 2 10 6 2 4" xfId="34503"/>
    <cellStyle name="Header2 2 10 6 2 5" xfId="45696"/>
    <cellStyle name="Header2 2 10 6 3" xfId="1578"/>
    <cellStyle name="Header2 2 10 6 3 2" xfId="12775"/>
    <cellStyle name="Header2 2 10 6 3 3" xfId="23943"/>
    <cellStyle name="Header2 2 10 6 3 4" xfId="35108"/>
    <cellStyle name="Header2 2 10 6 3 5" xfId="46301"/>
    <cellStyle name="Header2 2 10 6 4" xfId="2674"/>
    <cellStyle name="Header2 2 10 6 4 2" xfId="13871"/>
    <cellStyle name="Header2 2 10 6 4 3" xfId="25039"/>
    <cellStyle name="Header2 2 10 6 4 4" xfId="36204"/>
    <cellStyle name="Header2 2 10 6 4 5" xfId="47397"/>
    <cellStyle name="Header2 2 10 6 5" xfId="3308"/>
    <cellStyle name="Header2 2 10 6 5 2" xfId="14505"/>
    <cellStyle name="Header2 2 10 6 5 3" xfId="25673"/>
    <cellStyle name="Header2 2 10 6 5 4" xfId="36838"/>
    <cellStyle name="Header2 2 10 6 5 5" xfId="48031"/>
    <cellStyle name="Header2 2 10 6 6" xfId="3942"/>
    <cellStyle name="Header2 2 10 6 6 2" xfId="15139"/>
    <cellStyle name="Header2 2 10 6 6 3" xfId="26307"/>
    <cellStyle name="Header2 2 10 6 6 4" xfId="37472"/>
    <cellStyle name="Header2 2 10 6 6 5" xfId="48665"/>
    <cellStyle name="Header2 2 10 6 7" xfId="4575"/>
    <cellStyle name="Header2 2 10 6 7 2" xfId="15772"/>
    <cellStyle name="Header2 2 10 6 7 3" xfId="26940"/>
    <cellStyle name="Header2 2 10 6 7 4" xfId="38105"/>
    <cellStyle name="Header2 2 10 6 7 5" xfId="49298"/>
    <cellStyle name="Header2 2 10 6 8" xfId="5206"/>
    <cellStyle name="Header2 2 10 6 8 2" xfId="16403"/>
    <cellStyle name="Header2 2 10 6 8 3" xfId="27571"/>
    <cellStyle name="Header2 2 10 6 8 4" xfId="38736"/>
    <cellStyle name="Header2 2 10 6 8 5" xfId="49929"/>
    <cellStyle name="Header2 2 10 6 9" xfId="6260"/>
    <cellStyle name="Header2 2 10 6 9 2" xfId="17457"/>
    <cellStyle name="Header2 2 10 6 9 3" xfId="28625"/>
    <cellStyle name="Header2 2 10 6 9 4" xfId="39790"/>
    <cellStyle name="Header2 2 10 6 9 5" xfId="50983"/>
    <cellStyle name="Header2 2 10 7" xfId="457"/>
    <cellStyle name="Header2 2 10 7 10" xfId="7026"/>
    <cellStyle name="Header2 2 10 7 10 2" xfId="18223"/>
    <cellStyle name="Header2 2 10 7 10 3" xfId="29391"/>
    <cellStyle name="Header2 2 10 7 10 4" xfId="40556"/>
    <cellStyle name="Header2 2 10 7 10 5" xfId="51749"/>
    <cellStyle name="Header2 2 10 7 11" xfId="7660"/>
    <cellStyle name="Header2 2 10 7 11 2" xfId="18857"/>
    <cellStyle name="Header2 2 10 7 11 3" xfId="30025"/>
    <cellStyle name="Header2 2 10 7 11 4" xfId="41190"/>
    <cellStyle name="Header2 2 10 7 11 5" xfId="52383"/>
    <cellStyle name="Header2 2 10 7 12" xfId="8294"/>
    <cellStyle name="Header2 2 10 7 12 2" xfId="19491"/>
    <cellStyle name="Header2 2 10 7 12 3" xfId="30659"/>
    <cellStyle name="Header2 2 10 7 12 4" xfId="41824"/>
    <cellStyle name="Header2 2 10 7 12 5" xfId="53017"/>
    <cellStyle name="Header2 2 10 7 13" xfId="9345"/>
    <cellStyle name="Header2 2 10 7 13 2" xfId="20542"/>
    <cellStyle name="Header2 2 10 7 13 3" xfId="31710"/>
    <cellStyle name="Header2 2 10 7 13 4" xfId="42875"/>
    <cellStyle name="Header2 2 10 7 13 5" xfId="54068"/>
    <cellStyle name="Header2 2 10 7 14" xfId="9915"/>
    <cellStyle name="Header2 2 10 7 14 2" xfId="21112"/>
    <cellStyle name="Header2 2 10 7 14 3" xfId="32280"/>
    <cellStyle name="Header2 2 10 7 14 4" xfId="43445"/>
    <cellStyle name="Header2 2 10 7 14 5" xfId="54638"/>
    <cellStyle name="Header2 2 10 7 15" xfId="11010"/>
    <cellStyle name="Header2 2 10 7 15 2" xfId="22207"/>
    <cellStyle name="Header2 2 10 7 15 3" xfId="33375"/>
    <cellStyle name="Header2 2 10 7 15 4" xfId="44540"/>
    <cellStyle name="Header2 2 10 7 15 5" xfId="55733"/>
    <cellStyle name="Header2 2 10 7 16" xfId="11657"/>
    <cellStyle name="Header2 2 10 7 17" xfId="22827"/>
    <cellStyle name="Header2 2 10 7 18" xfId="33994"/>
    <cellStyle name="Header2 2 10 7 19" xfId="45180"/>
    <cellStyle name="Header2 2 10 7 2" xfId="1106"/>
    <cellStyle name="Header2 2 10 7 2 2" xfId="12303"/>
    <cellStyle name="Header2 2 10 7 2 3" xfId="23471"/>
    <cellStyle name="Header2 2 10 7 2 4" xfId="34636"/>
    <cellStyle name="Header2 2 10 7 2 5" xfId="45829"/>
    <cellStyle name="Header2 2 10 7 3" xfId="1915"/>
    <cellStyle name="Header2 2 10 7 3 2" xfId="13112"/>
    <cellStyle name="Header2 2 10 7 3 3" xfId="24280"/>
    <cellStyle name="Header2 2 10 7 3 4" xfId="35445"/>
    <cellStyle name="Header2 2 10 7 3 5" xfId="46638"/>
    <cellStyle name="Header2 2 10 7 4" xfId="2807"/>
    <cellStyle name="Header2 2 10 7 4 2" xfId="14004"/>
    <cellStyle name="Header2 2 10 7 4 3" xfId="25172"/>
    <cellStyle name="Header2 2 10 7 4 4" xfId="36337"/>
    <cellStyle name="Header2 2 10 7 4 5" xfId="47530"/>
    <cellStyle name="Header2 2 10 7 5" xfId="3441"/>
    <cellStyle name="Header2 2 10 7 5 2" xfId="14638"/>
    <cellStyle name="Header2 2 10 7 5 3" xfId="25806"/>
    <cellStyle name="Header2 2 10 7 5 4" xfId="36971"/>
    <cellStyle name="Header2 2 10 7 5 5" xfId="48164"/>
    <cellStyle name="Header2 2 10 7 6" xfId="4075"/>
    <cellStyle name="Header2 2 10 7 6 2" xfId="15272"/>
    <cellStyle name="Header2 2 10 7 6 3" xfId="26440"/>
    <cellStyle name="Header2 2 10 7 6 4" xfId="37605"/>
    <cellStyle name="Header2 2 10 7 6 5" xfId="48798"/>
    <cellStyle name="Header2 2 10 7 7" xfId="4708"/>
    <cellStyle name="Header2 2 10 7 7 2" xfId="15905"/>
    <cellStyle name="Header2 2 10 7 7 3" xfId="27073"/>
    <cellStyle name="Header2 2 10 7 7 4" xfId="38238"/>
    <cellStyle name="Header2 2 10 7 7 5" xfId="49431"/>
    <cellStyle name="Header2 2 10 7 8" xfId="5339"/>
    <cellStyle name="Header2 2 10 7 8 2" xfId="16536"/>
    <cellStyle name="Header2 2 10 7 8 3" xfId="27704"/>
    <cellStyle name="Header2 2 10 7 8 4" xfId="38869"/>
    <cellStyle name="Header2 2 10 7 8 5" xfId="50062"/>
    <cellStyle name="Header2 2 10 7 9" xfId="6393"/>
    <cellStyle name="Header2 2 10 7 9 2" xfId="17590"/>
    <cellStyle name="Header2 2 10 7 9 3" xfId="28758"/>
    <cellStyle name="Header2 2 10 7 9 4" xfId="39923"/>
    <cellStyle name="Header2 2 10 7 9 5" xfId="51116"/>
    <cellStyle name="Header2 2 10 8" xfId="509"/>
    <cellStyle name="Header2 2 10 8 10" xfId="7078"/>
    <cellStyle name="Header2 2 10 8 10 2" xfId="18275"/>
    <cellStyle name="Header2 2 10 8 10 3" xfId="29443"/>
    <cellStyle name="Header2 2 10 8 10 4" xfId="40608"/>
    <cellStyle name="Header2 2 10 8 10 5" xfId="51801"/>
    <cellStyle name="Header2 2 10 8 11" xfId="7712"/>
    <cellStyle name="Header2 2 10 8 11 2" xfId="18909"/>
    <cellStyle name="Header2 2 10 8 11 3" xfId="30077"/>
    <cellStyle name="Header2 2 10 8 11 4" xfId="41242"/>
    <cellStyle name="Header2 2 10 8 11 5" xfId="52435"/>
    <cellStyle name="Header2 2 10 8 12" xfId="8346"/>
    <cellStyle name="Header2 2 10 8 12 2" xfId="19543"/>
    <cellStyle name="Header2 2 10 8 12 3" xfId="30711"/>
    <cellStyle name="Header2 2 10 8 12 4" xfId="41876"/>
    <cellStyle name="Header2 2 10 8 12 5" xfId="53069"/>
    <cellStyle name="Header2 2 10 8 13" xfId="9397"/>
    <cellStyle name="Header2 2 10 8 13 2" xfId="20594"/>
    <cellStyle name="Header2 2 10 8 13 3" xfId="31762"/>
    <cellStyle name="Header2 2 10 8 13 4" xfId="42927"/>
    <cellStyle name="Header2 2 10 8 13 5" xfId="54120"/>
    <cellStyle name="Header2 2 10 8 14" xfId="9616"/>
    <cellStyle name="Header2 2 10 8 14 2" xfId="20813"/>
    <cellStyle name="Header2 2 10 8 14 3" xfId="31981"/>
    <cellStyle name="Header2 2 10 8 14 4" xfId="43146"/>
    <cellStyle name="Header2 2 10 8 14 5" xfId="54339"/>
    <cellStyle name="Header2 2 10 8 15" xfId="11062"/>
    <cellStyle name="Header2 2 10 8 15 2" xfId="22259"/>
    <cellStyle name="Header2 2 10 8 15 3" xfId="33427"/>
    <cellStyle name="Header2 2 10 8 15 4" xfId="44592"/>
    <cellStyle name="Header2 2 10 8 15 5" xfId="55785"/>
    <cellStyle name="Header2 2 10 8 16" xfId="11709"/>
    <cellStyle name="Header2 2 10 8 17" xfId="22879"/>
    <cellStyle name="Header2 2 10 8 18" xfId="34046"/>
    <cellStyle name="Header2 2 10 8 19" xfId="45232"/>
    <cellStyle name="Header2 2 10 8 2" xfId="1158"/>
    <cellStyle name="Header2 2 10 8 2 2" xfId="12355"/>
    <cellStyle name="Header2 2 10 8 2 3" xfId="23523"/>
    <cellStyle name="Header2 2 10 8 2 4" xfId="34688"/>
    <cellStyle name="Header2 2 10 8 2 5" xfId="45881"/>
    <cellStyle name="Header2 2 10 8 3" xfId="1844"/>
    <cellStyle name="Header2 2 10 8 3 2" xfId="13041"/>
    <cellStyle name="Header2 2 10 8 3 3" xfId="24209"/>
    <cellStyle name="Header2 2 10 8 3 4" xfId="35374"/>
    <cellStyle name="Header2 2 10 8 3 5" xfId="46567"/>
    <cellStyle name="Header2 2 10 8 4" xfId="2859"/>
    <cellStyle name="Header2 2 10 8 4 2" xfId="14056"/>
    <cellStyle name="Header2 2 10 8 4 3" xfId="25224"/>
    <cellStyle name="Header2 2 10 8 4 4" xfId="36389"/>
    <cellStyle name="Header2 2 10 8 4 5" xfId="47582"/>
    <cellStyle name="Header2 2 10 8 5" xfId="3493"/>
    <cellStyle name="Header2 2 10 8 5 2" xfId="14690"/>
    <cellStyle name="Header2 2 10 8 5 3" xfId="25858"/>
    <cellStyle name="Header2 2 10 8 5 4" xfId="37023"/>
    <cellStyle name="Header2 2 10 8 5 5" xfId="48216"/>
    <cellStyle name="Header2 2 10 8 6" xfId="4127"/>
    <cellStyle name="Header2 2 10 8 6 2" xfId="15324"/>
    <cellStyle name="Header2 2 10 8 6 3" xfId="26492"/>
    <cellStyle name="Header2 2 10 8 6 4" xfId="37657"/>
    <cellStyle name="Header2 2 10 8 6 5" xfId="48850"/>
    <cellStyle name="Header2 2 10 8 7" xfId="4760"/>
    <cellStyle name="Header2 2 10 8 7 2" xfId="15957"/>
    <cellStyle name="Header2 2 10 8 7 3" xfId="27125"/>
    <cellStyle name="Header2 2 10 8 7 4" xfId="38290"/>
    <cellStyle name="Header2 2 10 8 7 5" xfId="49483"/>
    <cellStyle name="Header2 2 10 8 8" xfId="5391"/>
    <cellStyle name="Header2 2 10 8 8 2" xfId="16588"/>
    <cellStyle name="Header2 2 10 8 8 3" xfId="27756"/>
    <cellStyle name="Header2 2 10 8 8 4" xfId="38921"/>
    <cellStyle name="Header2 2 10 8 8 5" xfId="50114"/>
    <cellStyle name="Header2 2 10 8 9" xfId="6445"/>
    <cellStyle name="Header2 2 10 8 9 2" xfId="17642"/>
    <cellStyle name="Header2 2 10 8 9 3" xfId="28810"/>
    <cellStyle name="Header2 2 10 8 9 4" xfId="39975"/>
    <cellStyle name="Header2 2 10 8 9 5" xfId="51168"/>
    <cellStyle name="Header2 2 10 9" xfId="567"/>
    <cellStyle name="Header2 2 10 9 10" xfId="7136"/>
    <cellStyle name="Header2 2 10 9 10 2" xfId="18333"/>
    <cellStyle name="Header2 2 10 9 10 3" xfId="29501"/>
    <cellStyle name="Header2 2 10 9 10 4" xfId="40666"/>
    <cellStyle name="Header2 2 10 9 10 5" xfId="51859"/>
    <cellStyle name="Header2 2 10 9 11" xfId="7770"/>
    <cellStyle name="Header2 2 10 9 11 2" xfId="18967"/>
    <cellStyle name="Header2 2 10 9 11 3" xfId="30135"/>
    <cellStyle name="Header2 2 10 9 11 4" xfId="41300"/>
    <cellStyle name="Header2 2 10 9 11 5" xfId="52493"/>
    <cellStyle name="Header2 2 10 9 12" xfId="8404"/>
    <cellStyle name="Header2 2 10 9 12 2" xfId="19601"/>
    <cellStyle name="Header2 2 10 9 12 3" xfId="30769"/>
    <cellStyle name="Header2 2 10 9 12 4" xfId="41934"/>
    <cellStyle name="Header2 2 10 9 12 5" xfId="53127"/>
    <cellStyle name="Header2 2 10 9 13" xfId="9455"/>
    <cellStyle name="Header2 2 10 9 13 2" xfId="20652"/>
    <cellStyle name="Header2 2 10 9 13 3" xfId="31820"/>
    <cellStyle name="Header2 2 10 9 13 4" xfId="42985"/>
    <cellStyle name="Header2 2 10 9 13 5" xfId="54178"/>
    <cellStyle name="Header2 2 10 9 14" xfId="10363"/>
    <cellStyle name="Header2 2 10 9 14 2" xfId="21560"/>
    <cellStyle name="Header2 2 10 9 14 3" xfId="32728"/>
    <cellStyle name="Header2 2 10 9 14 4" xfId="43893"/>
    <cellStyle name="Header2 2 10 9 14 5" xfId="55086"/>
    <cellStyle name="Header2 2 10 9 15" xfId="11120"/>
    <cellStyle name="Header2 2 10 9 15 2" xfId="22317"/>
    <cellStyle name="Header2 2 10 9 15 3" xfId="33485"/>
    <cellStyle name="Header2 2 10 9 15 4" xfId="44650"/>
    <cellStyle name="Header2 2 10 9 15 5" xfId="55843"/>
    <cellStyle name="Header2 2 10 9 16" xfId="11767"/>
    <cellStyle name="Header2 2 10 9 17" xfId="22937"/>
    <cellStyle name="Header2 2 10 9 18" xfId="34104"/>
    <cellStyle name="Header2 2 10 9 19" xfId="45290"/>
    <cellStyle name="Header2 2 10 9 2" xfId="1216"/>
    <cellStyle name="Header2 2 10 9 2 2" xfId="12413"/>
    <cellStyle name="Header2 2 10 9 2 3" xfId="23581"/>
    <cellStyle name="Header2 2 10 9 2 4" xfId="34746"/>
    <cellStyle name="Header2 2 10 9 2 5" xfId="45939"/>
    <cellStyle name="Header2 2 10 9 3" xfId="1647"/>
    <cellStyle name="Header2 2 10 9 3 2" xfId="12844"/>
    <cellStyle name="Header2 2 10 9 3 3" xfId="24012"/>
    <cellStyle name="Header2 2 10 9 3 4" xfId="35177"/>
    <cellStyle name="Header2 2 10 9 3 5" xfId="46370"/>
    <cellStyle name="Header2 2 10 9 4" xfId="2917"/>
    <cellStyle name="Header2 2 10 9 4 2" xfId="14114"/>
    <cellStyle name="Header2 2 10 9 4 3" xfId="25282"/>
    <cellStyle name="Header2 2 10 9 4 4" xfId="36447"/>
    <cellStyle name="Header2 2 10 9 4 5" xfId="47640"/>
    <cellStyle name="Header2 2 10 9 5" xfId="3551"/>
    <cellStyle name="Header2 2 10 9 5 2" xfId="14748"/>
    <cellStyle name="Header2 2 10 9 5 3" xfId="25916"/>
    <cellStyle name="Header2 2 10 9 5 4" xfId="37081"/>
    <cellStyle name="Header2 2 10 9 5 5" xfId="48274"/>
    <cellStyle name="Header2 2 10 9 6" xfId="4185"/>
    <cellStyle name="Header2 2 10 9 6 2" xfId="15382"/>
    <cellStyle name="Header2 2 10 9 6 3" xfId="26550"/>
    <cellStyle name="Header2 2 10 9 6 4" xfId="37715"/>
    <cellStyle name="Header2 2 10 9 6 5" xfId="48908"/>
    <cellStyle name="Header2 2 10 9 7" xfId="4818"/>
    <cellStyle name="Header2 2 10 9 7 2" xfId="16015"/>
    <cellStyle name="Header2 2 10 9 7 3" xfId="27183"/>
    <cellStyle name="Header2 2 10 9 7 4" xfId="38348"/>
    <cellStyle name="Header2 2 10 9 7 5" xfId="49541"/>
    <cellStyle name="Header2 2 10 9 8" xfId="5449"/>
    <cellStyle name="Header2 2 10 9 8 2" xfId="16646"/>
    <cellStyle name="Header2 2 10 9 8 3" xfId="27814"/>
    <cellStyle name="Header2 2 10 9 8 4" xfId="38979"/>
    <cellStyle name="Header2 2 10 9 8 5" xfId="50172"/>
    <cellStyle name="Header2 2 10 9 9" xfId="6503"/>
    <cellStyle name="Header2 2 10 9 9 2" xfId="17700"/>
    <cellStyle name="Header2 2 10 9 9 3" xfId="28868"/>
    <cellStyle name="Header2 2 10 9 9 4" xfId="40033"/>
    <cellStyle name="Header2 2 10 9 9 5" xfId="51226"/>
    <cellStyle name="Header2 2 11" xfId="103"/>
    <cellStyle name="Header2 2 11 10" xfId="642"/>
    <cellStyle name="Header2 2 11 10 10" xfId="7211"/>
    <cellStyle name="Header2 2 11 10 10 2" xfId="18408"/>
    <cellStyle name="Header2 2 11 10 10 3" xfId="29576"/>
    <cellStyle name="Header2 2 11 10 10 4" xfId="40741"/>
    <cellStyle name="Header2 2 11 10 10 5" xfId="51934"/>
    <cellStyle name="Header2 2 11 10 11" xfId="7845"/>
    <cellStyle name="Header2 2 11 10 11 2" xfId="19042"/>
    <cellStyle name="Header2 2 11 10 11 3" xfId="30210"/>
    <cellStyle name="Header2 2 11 10 11 4" xfId="41375"/>
    <cellStyle name="Header2 2 11 10 11 5" xfId="52568"/>
    <cellStyle name="Header2 2 11 10 12" xfId="8479"/>
    <cellStyle name="Header2 2 11 10 12 2" xfId="19676"/>
    <cellStyle name="Header2 2 11 10 12 3" xfId="30844"/>
    <cellStyle name="Header2 2 11 10 12 4" xfId="42009"/>
    <cellStyle name="Header2 2 11 10 12 5" xfId="53202"/>
    <cellStyle name="Header2 2 11 10 13" xfId="9530"/>
    <cellStyle name="Header2 2 11 10 13 2" xfId="20727"/>
    <cellStyle name="Header2 2 11 10 13 3" xfId="31895"/>
    <cellStyle name="Header2 2 11 10 13 4" xfId="43060"/>
    <cellStyle name="Header2 2 11 10 13 5" xfId="54253"/>
    <cellStyle name="Header2 2 11 10 14" xfId="9672"/>
    <cellStyle name="Header2 2 11 10 14 2" xfId="20869"/>
    <cellStyle name="Header2 2 11 10 14 3" xfId="32037"/>
    <cellStyle name="Header2 2 11 10 14 4" xfId="43202"/>
    <cellStyle name="Header2 2 11 10 14 5" xfId="54395"/>
    <cellStyle name="Header2 2 11 10 15" xfId="11195"/>
    <cellStyle name="Header2 2 11 10 15 2" xfId="22392"/>
    <cellStyle name="Header2 2 11 10 15 3" xfId="33560"/>
    <cellStyle name="Header2 2 11 10 15 4" xfId="44725"/>
    <cellStyle name="Header2 2 11 10 15 5" xfId="55918"/>
    <cellStyle name="Header2 2 11 10 16" xfId="11842"/>
    <cellStyle name="Header2 2 11 10 17" xfId="23012"/>
    <cellStyle name="Header2 2 11 10 18" xfId="34179"/>
    <cellStyle name="Header2 2 11 10 19" xfId="45365"/>
    <cellStyle name="Header2 2 11 10 2" xfId="1291"/>
    <cellStyle name="Header2 2 11 10 2 2" xfId="12488"/>
    <cellStyle name="Header2 2 11 10 2 3" xfId="23656"/>
    <cellStyle name="Header2 2 11 10 2 4" xfId="34821"/>
    <cellStyle name="Header2 2 11 10 2 5" xfId="46014"/>
    <cellStyle name="Header2 2 11 10 3" xfId="1863"/>
    <cellStyle name="Header2 2 11 10 3 2" xfId="13060"/>
    <cellStyle name="Header2 2 11 10 3 3" xfId="24228"/>
    <cellStyle name="Header2 2 11 10 3 4" xfId="35393"/>
    <cellStyle name="Header2 2 11 10 3 5" xfId="46586"/>
    <cellStyle name="Header2 2 11 10 4" xfId="2992"/>
    <cellStyle name="Header2 2 11 10 4 2" xfId="14189"/>
    <cellStyle name="Header2 2 11 10 4 3" xfId="25357"/>
    <cellStyle name="Header2 2 11 10 4 4" xfId="36522"/>
    <cellStyle name="Header2 2 11 10 4 5" xfId="47715"/>
    <cellStyle name="Header2 2 11 10 5" xfId="3626"/>
    <cellStyle name="Header2 2 11 10 5 2" xfId="14823"/>
    <cellStyle name="Header2 2 11 10 5 3" xfId="25991"/>
    <cellStyle name="Header2 2 11 10 5 4" xfId="37156"/>
    <cellStyle name="Header2 2 11 10 5 5" xfId="48349"/>
    <cellStyle name="Header2 2 11 10 6" xfId="4260"/>
    <cellStyle name="Header2 2 11 10 6 2" xfId="15457"/>
    <cellStyle name="Header2 2 11 10 6 3" xfId="26625"/>
    <cellStyle name="Header2 2 11 10 6 4" xfId="37790"/>
    <cellStyle name="Header2 2 11 10 6 5" xfId="48983"/>
    <cellStyle name="Header2 2 11 10 7" xfId="4893"/>
    <cellStyle name="Header2 2 11 10 7 2" xfId="16090"/>
    <cellStyle name="Header2 2 11 10 7 3" xfId="27258"/>
    <cellStyle name="Header2 2 11 10 7 4" xfId="38423"/>
    <cellStyle name="Header2 2 11 10 7 5" xfId="49616"/>
    <cellStyle name="Header2 2 11 10 8" xfId="5524"/>
    <cellStyle name="Header2 2 11 10 8 2" xfId="16721"/>
    <cellStyle name="Header2 2 11 10 8 3" xfId="27889"/>
    <cellStyle name="Header2 2 11 10 8 4" xfId="39054"/>
    <cellStyle name="Header2 2 11 10 8 5" xfId="50247"/>
    <cellStyle name="Header2 2 11 10 9" xfId="6578"/>
    <cellStyle name="Header2 2 11 10 9 2" xfId="17775"/>
    <cellStyle name="Header2 2 11 10 9 3" xfId="28943"/>
    <cellStyle name="Header2 2 11 10 9 4" xfId="40108"/>
    <cellStyle name="Header2 2 11 10 9 5" xfId="51301"/>
    <cellStyle name="Header2 2 11 11" xfId="479"/>
    <cellStyle name="Header2 2 11 11 10" xfId="7048"/>
    <cellStyle name="Header2 2 11 11 10 2" xfId="18245"/>
    <cellStyle name="Header2 2 11 11 10 3" xfId="29413"/>
    <cellStyle name="Header2 2 11 11 10 4" xfId="40578"/>
    <cellStyle name="Header2 2 11 11 10 5" xfId="51771"/>
    <cellStyle name="Header2 2 11 11 11" xfId="7682"/>
    <cellStyle name="Header2 2 11 11 11 2" xfId="18879"/>
    <cellStyle name="Header2 2 11 11 11 3" xfId="30047"/>
    <cellStyle name="Header2 2 11 11 11 4" xfId="41212"/>
    <cellStyle name="Header2 2 11 11 11 5" xfId="52405"/>
    <cellStyle name="Header2 2 11 11 12" xfId="8316"/>
    <cellStyle name="Header2 2 11 11 12 2" xfId="19513"/>
    <cellStyle name="Header2 2 11 11 12 3" xfId="30681"/>
    <cellStyle name="Header2 2 11 11 12 4" xfId="41846"/>
    <cellStyle name="Header2 2 11 11 12 5" xfId="53039"/>
    <cellStyle name="Header2 2 11 11 13" xfId="9367"/>
    <cellStyle name="Header2 2 11 11 13 2" xfId="20564"/>
    <cellStyle name="Header2 2 11 11 13 3" xfId="31732"/>
    <cellStyle name="Header2 2 11 11 13 4" xfId="42897"/>
    <cellStyle name="Header2 2 11 11 13 5" xfId="54090"/>
    <cellStyle name="Header2 2 11 11 14" xfId="10374"/>
    <cellStyle name="Header2 2 11 11 14 2" xfId="21571"/>
    <cellStyle name="Header2 2 11 11 14 3" xfId="32739"/>
    <cellStyle name="Header2 2 11 11 14 4" xfId="43904"/>
    <cellStyle name="Header2 2 11 11 14 5" xfId="55097"/>
    <cellStyle name="Header2 2 11 11 15" xfId="11032"/>
    <cellStyle name="Header2 2 11 11 15 2" xfId="22229"/>
    <cellStyle name="Header2 2 11 11 15 3" xfId="33397"/>
    <cellStyle name="Header2 2 11 11 15 4" xfId="44562"/>
    <cellStyle name="Header2 2 11 11 15 5" xfId="55755"/>
    <cellStyle name="Header2 2 11 11 16" xfId="11679"/>
    <cellStyle name="Header2 2 11 11 17" xfId="22849"/>
    <cellStyle name="Header2 2 11 11 18" xfId="34016"/>
    <cellStyle name="Header2 2 11 11 19" xfId="45202"/>
    <cellStyle name="Header2 2 11 11 2" xfId="1128"/>
    <cellStyle name="Header2 2 11 11 2 2" xfId="12325"/>
    <cellStyle name="Header2 2 11 11 2 3" xfId="23493"/>
    <cellStyle name="Header2 2 11 11 2 4" xfId="34658"/>
    <cellStyle name="Header2 2 11 11 2 5" xfId="45851"/>
    <cellStyle name="Header2 2 11 11 3" xfId="1686"/>
    <cellStyle name="Header2 2 11 11 3 2" xfId="12883"/>
    <cellStyle name="Header2 2 11 11 3 3" xfId="24051"/>
    <cellStyle name="Header2 2 11 11 3 4" xfId="35216"/>
    <cellStyle name="Header2 2 11 11 3 5" xfId="46409"/>
    <cellStyle name="Header2 2 11 11 4" xfId="2829"/>
    <cellStyle name="Header2 2 11 11 4 2" xfId="14026"/>
    <cellStyle name="Header2 2 11 11 4 3" xfId="25194"/>
    <cellStyle name="Header2 2 11 11 4 4" xfId="36359"/>
    <cellStyle name="Header2 2 11 11 4 5" xfId="47552"/>
    <cellStyle name="Header2 2 11 11 5" xfId="3463"/>
    <cellStyle name="Header2 2 11 11 5 2" xfId="14660"/>
    <cellStyle name="Header2 2 11 11 5 3" xfId="25828"/>
    <cellStyle name="Header2 2 11 11 5 4" xfId="36993"/>
    <cellStyle name="Header2 2 11 11 5 5" xfId="48186"/>
    <cellStyle name="Header2 2 11 11 6" xfId="4097"/>
    <cellStyle name="Header2 2 11 11 6 2" xfId="15294"/>
    <cellStyle name="Header2 2 11 11 6 3" xfId="26462"/>
    <cellStyle name="Header2 2 11 11 6 4" xfId="37627"/>
    <cellStyle name="Header2 2 11 11 6 5" xfId="48820"/>
    <cellStyle name="Header2 2 11 11 7" xfId="4730"/>
    <cellStyle name="Header2 2 11 11 7 2" xfId="15927"/>
    <cellStyle name="Header2 2 11 11 7 3" xfId="27095"/>
    <cellStyle name="Header2 2 11 11 7 4" xfId="38260"/>
    <cellStyle name="Header2 2 11 11 7 5" xfId="49453"/>
    <cellStyle name="Header2 2 11 11 8" xfId="5361"/>
    <cellStyle name="Header2 2 11 11 8 2" xfId="16558"/>
    <cellStyle name="Header2 2 11 11 8 3" xfId="27726"/>
    <cellStyle name="Header2 2 11 11 8 4" xfId="38891"/>
    <cellStyle name="Header2 2 11 11 8 5" xfId="50084"/>
    <cellStyle name="Header2 2 11 11 9" xfId="6415"/>
    <cellStyle name="Header2 2 11 11 9 2" xfId="17612"/>
    <cellStyle name="Header2 2 11 11 9 3" xfId="28780"/>
    <cellStyle name="Header2 2 11 11 9 4" xfId="39945"/>
    <cellStyle name="Header2 2 11 11 9 5" xfId="51138"/>
    <cellStyle name="Header2 2 11 12" xfId="752"/>
    <cellStyle name="Header2 2 11 12 2" xfId="11950"/>
    <cellStyle name="Header2 2 11 12 3" xfId="23118"/>
    <cellStyle name="Header2 2 11 12 4" xfId="34283"/>
    <cellStyle name="Header2 2 11 12 5" xfId="45475"/>
    <cellStyle name="Header2 2 11 13" xfId="1437"/>
    <cellStyle name="Header2 2 11 13 2" xfId="12634"/>
    <cellStyle name="Header2 2 11 13 3" xfId="23802"/>
    <cellStyle name="Header2 2 11 13 4" xfId="34967"/>
    <cellStyle name="Header2 2 11 13 5" xfId="46160"/>
    <cellStyle name="Header2 2 11 14" xfId="2616"/>
    <cellStyle name="Header2 2 11 14 2" xfId="13813"/>
    <cellStyle name="Header2 2 11 14 3" xfId="24981"/>
    <cellStyle name="Header2 2 11 14 4" xfId="36146"/>
    <cellStyle name="Header2 2 11 14 5" xfId="47339"/>
    <cellStyle name="Header2 2 11 15" xfId="3087"/>
    <cellStyle name="Header2 2 11 15 2" xfId="14284"/>
    <cellStyle name="Header2 2 11 15 3" xfId="25452"/>
    <cellStyle name="Header2 2 11 15 4" xfId="36617"/>
    <cellStyle name="Header2 2 11 15 5" xfId="47810"/>
    <cellStyle name="Header2 2 11 16" xfId="3721"/>
    <cellStyle name="Header2 2 11 16 2" xfId="14918"/>
    <cellStyle name="Header2 2 11 16 3" xfId="26086"/>
    <cellStyle name="Header2 2 11 16 4" xfId="37251"/>
    <cellStyle name="Header2 2 11 16 5" xfId="48444"/>
    <cellStyle name="Header2 2 11 17" xfId="4354"/>
    <cellStyle name="Header2 2 11 17 2" xfId="15551"/>
    <cellStyle name="Header2 2 11 17 3" xfId="26719"/>
    <cellStyle name="Header2 2 11 17 4" xfId="37884"/>
    <cellStyle name="Header2 2 11 17 5" xfId="49077"/>
    <cellStyle name="Header2 2 11 18" xfId="4986"/>
    <cellStyle name="Header2 2 11 18 2" xfId="16183"/>
    <cellStyle name="Header2 2 11 18 3" xfId="27351"/>
    <cellStyle name="Header2 2 11 18 4" xfId="38516"/>
    <cellStyle name="Header2 2 11 18 5" xfId="49709"/>
    <cellStyle name="Header2 2 11 19" xfId="5900"/>
    <cellStyle name="Header2 2 11 19 2" xfId="17097"/>
    <cellStyle name="Header2 2 11 19 3" xfId="28265"/>
    <cellStyle name="Header2 2 11 19 4" xfId="39430"/>
    <cellStyle name="Header2 2 11 19 5" xfId="50623"/>
    <cellStyle name="Header2 2 11 2" xfId="167"/>
    <cellStyle name="Header2 2 11 2 10" xfId="6736"/>
    <cellStyle name="Header2 2 11 2 10 2" xfId="17933"/>
    <cellStyle name="Header2 2 11 2 10 3" xfId="29101"/>
    <cellStyle name="Header2 2 11 2 10 4" xfId="40266"/>
    <cellStyle name="Header2 2 11 2 10 5" xfId="51459"/>
    <cellStyle name="Header2 2 11 2 11" xfId="7370"/>
    <cellStyle name="Header2 2 11 2 11 2" xfId="18567"/>
    <cellStyle name="Header2 2 11 2 11 3" xfId="29735"/>
    <cellStyle name="Header2 2 11 2 11 4" xfId="40900"/>
    <cellStyle name="Header2 2 11 2 11 5" xfId="52093"/>
    <cellStyle name="Header2 2 11 2 12" xfId="8004"/>
    <cellStyle name="Header2 2 11 2 12 2" xfId="19201"/>
    <cellStyle name="Header2 2 11 2 12 3" xfId="30369"/>
    <cellStyle name="Header2 2 11 2 12 4" xfId="41534"/>
    <cellStyle name="Header2 2 11 2 12 5" xfId="52727"/>
    <cellStyle name="Header2 2 11 2 13" xfId="8830"/>
    <cellStyle name="Header2 2 11 2 13 2" xfId="20027"/>
    <cellStyle name="Header2 2 11 2 13 3" xfId="31195"/>
    <cellStyle name="Header2 2 11 2 13 4" xfId="42360"/>
    <cellStyle name="Header2 2 11 2 13 5" xfId="53553"/>
    <cellStyle name="Header2 2 11 2 14" xfId="9886"/>
    <cellStyle name="Header2 2 11 2 14 2" xfId="21083"/>
    <cellStyle name="Header2 2 11 2 14 3" xfId="32251"/>
    <cellStyle name="Header2 2 11 2 14 4" xfId="43416"/>
    <cellStyle name="Header2 2 11 2 14 5" xfId="54609"/>
    <cellStyle name="Header2 2 11 2 15" xfId="10720"/>
    <cellStyle name="Header2 2 11 2 15 2" xfId="21917"/>
    <cellStyle name="Header2 2 11 2 15 3" xfId="33085"/>
    <cellStyle name="Header2 2 11 2 15 4" xfId="44250"/>
    <cellStyle name="Header2 2 11 2 15 5" xfId="55443"/>
    <cellStyle name="Header2 2 11 2 16" xfId="11367"/>
    <cellStyle name="Header2 2 11 2 17" xfId="22537"/>
    <cellStyle name="Header2 2 11 2 18" xfId="33704"/>
    <cellStyle name="Header2 2 11 2 19" xfId="44890"/>
    <cellStyle name="Header2 2 11 2 2" xfId="816"/>
    <cellStyle name="Header2 2 11 2 2 2" xfId="12013"/>
    <cellStyle name="Header2 2 11 2 2 3" xfId="23181"/>
    <cellStyle name="Header2 2 11 2 2 4" xfId="34346"/>
    <cellStyle name="Header2 2 11 2 2 5" xfId="45539"/>
    <cellStyle name="Header2 2 11 2 3" xfId="1528"/>
    <cellStyle name="Header2 2 11 2 3 2" xfId="12725"/>
    <cellStyle name="Header2 2 11 2 3 3" xfId="23893"/>
    <cellStyle name="Header2 2 11 2 3 4" xfId="35058"/>
    <cellStyle name="Header2 2 11 2 3 5" xfId="46251"/>
    <cellStyle name="Header2 2 11 2 4" xfId="2064"/>
    <cellStyle name="Header2 2 11 2 4 2" xfId="13261"/>
    <cellStyle name="Header2 2 11 2 4 3" xfId="24429"/>
    <cellStyle name="Header2 2 11 2 4 4" xfId="35594"/>
    <cellStyle name="Header2 2 11 2 4 5" xfId="46787"/>
    <cellStyle name="Header2 2 11 2 5" xfId="3151"/>
    <cellStyle name="Header2 2 11 2 5 2" xfId="14348"/>
    <cellStyle name="Header2 2 11 2 5 3" xfId="25516"/>
    <cellStyle name="Header2 2 11 2 5 4" xfId="36681"/>
    <cellStyle name="Header2 2 11 2 5 5" xfId="47874"/>
    <cellStyle name="Header2 2 11 2 6" xfId="3785"/>
    <cellStyle name="Header2 2 11 2 6 2" xfId="14982"/>
    <cellStyle name="Header2 2 11 2 6 3" xfId="26150"/>
    <cellStyle name="Header2 2 11 2 6 4" xfId="37315"/>
    <cellStyle name="Header2 2 11 2 6 5" xfId="48508"/>
    <cellStyle name="Header2 2 11 2 7" xfId="4418"/>
    <cellStyle name="Header2 2 11 2 7 2" xfId="15615"/>
    <cellStyle name="Header2 2 11 2 7 3" xfId="26783"/>
    <cellStyle name="Header2 2 11 2 7 4" xfId="37948"/>
    <cellStyle name="Header2 2 11 2 7 5" xfId="49141"/>
    <cellStyle name="Header2 2 11 2 8" xfId="5049"/>
    <cellStyle name="Header2 2 11 2 8 2" xfId="16246"/>
    <cellStyle name="Header2 2 11 2 8 3" xfId="27414"/>
    <cellStyle name="Header2 2 11 2 8 4" xfId="38579"/>
    <cellStyle name="Header2 2 11 2 8 5" xfId="49772"/>
    <cellStyle name="Header2 2 11 2 9" xfId="5618"/>
    <cellStyle name="Header2 2 11 2 9 2" xfId="16815"/>
    <cellStyle name="Header2 2 11 2 9 3" xfId="27983"/>
    <cellStyle name="Header2 2 11 2 9 4" xfId="39148"/>
    <cellStyle name="Header2 2 11 2 9 5" xfId="50341"/>
    <cellStyle name="Header2 2 11 20" xfId="6673"/>
    <cellStyle name="Header2 2 11 20 2" xfId="17870"/>
    <cellStyle name="Header2 2 11 20 3" xfId="29038"/>
    <cellStyle name="Header2 2 11 20 4" xfId="40203"/>
    <cellStyle name="Header2 2 11 20 5" xfId="51396"/>
    <cellStyle name="Header2 2 11 21" xfId="7306"/>
    <cellStyle name="Header2 2 11 21 2" xfId="18503"/>
    <cellStyle name="Header2 2 11 21 3" xfId="29671"/>
    <cellStyle name="Header2 2 11 21 4" xfId="40836"/>
    <cellStyle name="Header2 2 11 21 5" xfId="52029"/>
    <cellStyle name="Header2 2 11 22" xfId="7940"/>
    <cellStyle name="Header2 2 11 22 2" xfId="19137"/>
    <cellStyle name="Header2 2 11 22 3" xfId="30305"/>
    <cellStyle name="Header2 2 11 22 4" xfId="41470"/>
    <cellStyle name="Header2 2 11 22 5" xfId="52663"/>
    <cellStyle name="Header2 2 11 23" xfId="7277"/>
    <cellStyle name="Header2 2 11 23 2" xfId="18474"/>
    <cellStyle name="Header2 2 11 23 3" xfId="29642"/>
    <cellStyle name="Header2 2 11 23 4" xfId="40807"/>
    <cellStyle name="Header2 2 11 23 5" xfId="52000"/>
    <cellStyle name="Header2 2 11 24" xfId="7906"/>
    <cellStyle name="Header2 2 11 24 2" xfId="19103"/>
    <cellStyle name="Header2 2 11 24 3" xfId="30271"/>
    <cellStyle name="Header2 2 11 24 4" xfId="41436"/>
    <cellStyle name="Header2 2 11 24 5" xfId="52629"/>
    <cellStyle name="Header2 2 11 25" xfId="10657"/>
    <cellStyle name="Header2 2 11 25 2" xfId="21854"/>
    <cellStyle name="Header2 2 11 25 3" xfId="33022"/>
    <cellStyle name="Header2 2 11 25 4" xfId="44187"/>
    <cellStyle name="Header2 2 11 25 5" xfId="55380"/>
    <cellStyle name="Header2 2 11 26" xfId="11304"/>
    <cellStyle name="Header2 2 11 27" xfId="22474"/>
    <cellStyle name="Header2 2 11 28" xfId="33641"/>
    <cellStyle name="Header2 2 11 29" xfId="44826"/>
    <cellStyle name="Header2 2 11 3" xfId="223"/>
    <cellStyle name="Header2 2 11 3 10" xfId="6792"/>
    <cellStyle name="Header2 2 11 3 10 2" xfId="17989"/>
    <cellStyle name="Header2 2 11 3 10 3" xfId="29157"/>
    <cellStyle name="Header2 2 11 3 10 4" xfId="40322"/>
    <cellStyle name="Header2 2 11 3 10 5" xfId="51515"/>
    <cellStyle name="Header2 2 11 3 11" xfId="7426"/>
    <cellStyle name="Header2 2 11 3 11 2" xfId="18623"/>
    <cellStyle name="Header2 2 11 3 11 3" xfId="29791"/>
    <cellStyle name="Header2 2 11 3 11 4" xfId="40956"/>
    <cellStyle name="Header2 2 11 3 11 5" xfId="52149"/>
    <cellStyle name="Header2 2 11 3 12" xfId="8060"/>
    <cellStyle name="Header2 2 11 3 12 2" xfId="19257"/>
    <cellStyle name="Header2 2 11 3 12 3" xfId="30425"/>
    <cellStyle name="Header2 2 11 3 12 4" xfId="41590"/>
    <cellStyle name="Header2 2 11 3 12 5" xfId="52783"/>
    <cellStyle name="Header2 2 11 3 13" xfId="8783"/>
    <cellStyle name="Header2 2 11 3 13 2" xfId="19980"/>
    <cellStyle name="Header2 2 11 3 13 3" xfId="31148"/>
    <cellStyle name="Header2 2 11 3 13 4" xfId="42313"/>
    <cellStyle name="Header2 2 11 3 13 5" xfId="53506"/>
    <cellStyle name="Header2 2 11 3 14" xfId="9751"/>
    <cellStyle name="Header2 2 11 3 14 2" xfId="20948"/>
    <cellStyle name="Header2 2 11 3 14 3" xfId="32116"/>
    <cellStyle name="Header2 2 11 3 14 4" xfId="43281"/>
    <cellStyle name="Header2 2 11 3 14 5" xfId="54474"/>
    <cellStyle name="Header2 2 11 3 15" xfId="10776"/>
    <cellStyle name="Header2 2 11 3 15 2" xfId="21973"/>
    <cellStyle name="Header2 2 11 3 15 3" xfId="33141"/>
    <cellStyle name="Header2 2 11 3 15 4" xfId="44306"/>
    <cellStyle name="Header2 2 11 3 15 5" xfId="55499"/>
    <cellStyle name="Header2 2 11 3 16" xfId="11423"/>
    <cellStyle name="Header2 2 11 3 17" xfId="22593"/>
    <cellStyle name="Header2 2 11 3 18" xfId="33760"/>
    <cellStyle name="Header2 2 11 3 19" xfId="44946"/>
    <cellStyle name="Header2 2 11 3 2" xfId="872"/>
    <cellStyle name="Header2 2 11 3 2 2" xfId="12069"/>
    <cellStyle name="Header2 2 11 3 2 3" xfId="23237"/>
    <cellStyle name="Header2 2 11 3 2 4" xfId="34402"/>
    <cellStyle name="Header2 2 11 3 2 5" xfId="45595"/>
    <cellStyle name="Header2 2 11 3 3" xfId="1458"/>
    <cellStyle name="Header2 2 11 3 3 2" xfId="12655"/>
    <cellStyle name="Header2 2 11 3 3 3" xfId="23823"/>
    <cellStyle name="Header2 2 11 3 3 4" xfId="34988"/>
    <cellStyle name="Header2 2 11 3 3 5" xfId="46181"/>
    <cellStyle name="Header2 2 11 3 4" xfId="2158"/>
    <cellStyle name="Header2 2 11 3 4 2" xfId="13355"/>
    <cellStyle name="Header2 2 11 3 4 3" xfId="24523"/>
    <cellStyle name="Header2 2 11 3 4 4" xfId="35688"/>
    <cellStyle name="Header2 2 11 3 4 5" xfId="46881"/>
    <cellStyle name="Header2 2 11 3 5" xfId="3207"/>
    <cellStyle name="Header2 2 11 3 5 2" xfId="14404"/>
    <cellStyle name="Header2 2 11 3 5 3" xfId="25572"/>
    <cellStyle name="Header2 2 11 3 5 4" xfId="36737"/>
    <cellStyle name="Header2 2 11 3 5 5" xfId="47930"/>
    <cellStyle name="Header2 2 11 3 6" xfId="3841"/>
    <cellStyle name="Header2 2 11 3 6 2" xfId="15038"/>
    <cellStyle name="Header2 2 11 3 6 3" xfId="26206"/>
    <cellStyle name="Header2 2 11 3 6 4" xfId="37371"/>
    <cellStyle name="Header2 2 11 3 6 5" xfId="48564"/>
    <cellStyle name="Header2 2 11 3 7" xfId="4474"/>
    <cellStyle name="Header2 2 11 3 7 2" xfId="15671"/>
    <cellStyle name="Header2 2 11 3 7 3" xfId="26839"/>
    <cellStyle name="Header2 2 11 3 7 4" xfId="38004"/>
    <cellStyle name="Header2 2 11 3 7 5" xfId="49197"/>
    <cellStyle name="Header2 2 11 3 8" xfId="5105"/>
    <cellStyle name="Header2 2 11 3 8 2" xfId="16302"/>
    <cellStyle name="Header2 2 11 3 8 3" xfId="27470"/>
    <cellStyle name="Header2 2 11 3 8 4" xfId="38635"/>
    <cellStyle name="Header2 2 11 3 8 5" xfId="49828"/>
    <cellStyle name="Header2 2 11 3 9" xfId="6022"/>
    <cellStyle name="Header2 2 11 3 9 2" xfId="17219"/>
    <cellStyle name="Header2 2 11 3 9 3" xfId="28387"/>
    <cellStyle name="Header2 2 11 3 9 4" xfId="39552"/>
    <cellStyle name="Header2 2 11 3 9 5" xfId="50745"/>
    <cellStyle name="Header2 2 11 4" xfId="294"/>
    <cellStyle name="Header2 2 11 4 10" xfId="6863"/>
    <cellStyle name="Header2 2 11 4 10 2" xfId="18060"/>
    <cellStyle name="Header2 2 11 4 10 3" xfId="29228"/>
    <cellStyle name="Header2 2 11 4 10 4" xfId="40393"/>
    <cellStyle name="Header2 2 11 4 10 5" xfId="51586"/>
    <cellStyle name="Header2 2 11 4 11" xfId="7497"/>
    <cellStyle name="Header2 2 11 4 11 2" xfId="18694"/>
    <cellStyle name="Header2 2 11 4 11 3" xfId="29862"/>
    <cellStyle name="Header2 2 11 4 11 4" xfId="41027"/>
    <cellStyle name="Header2 2 11 4 11 5" xfId="52220"/>
    <cellStyle name="Header2 2 11 4 12" xfId="8131"/>
    <cellStyle name="Header2 2 11 4 12 2" xfId="19328"/>
    <cellStyle name="Header2 2 11 4 12 3" xfId="30496"/>
    <cellStyle name="Header2 2 11 4 12 4" xfId="41661"/>
    <cellStyle name="Header2 2 11 4 12 5" xfId="52854"/>
    <cellStyle name="Header2 2 11 4 13" xfId="9182"/>
    <cellStyle name="Header2 2 11 4 13 2" xfId="20379"/>
    <cellStyle name="Header2 2 11 4 13 3" xfId="31547"/>
    <cellStyle name="Header2 2 11 4 13 4" xfId="42712"/>
    <cellStyle name="Header2 2 11 4 13 5" xfId="53905"/>
    <cellStyle name="Header2 2 11 4 14" xfId="10187"/>
    <cellStyle name="Header2 2 11 4 14 2" xfId="21384"/>
    <cellStyle name="Header2 2 11 4 14 3" xfId="32552"/>
    <cellStyle name="Header2 2 11 4 14 4" xfId="43717"/>
    <cellStyle name="Header2 2 11 4 14 5" xfId="54910"/>
    <cellStyle name="Header2 2 11 4 15" xfId="10847"/>
    <cellStyle name="Header2 2 11 4 15 2" xfId="22044"/>
    <cellStyle name="Header2 2 11 4 15 3" xfId="33212"/>
    <cellStyle name="Header2 2 11 4 15 4" xfId="44377"/>
    <cellStyle name="Header2 2 11 4 15 5" xfId="55570"/>
    <cellStyle name="Header2 2 11 4 16" xfId="11494"/>
    <cellStyle name="Header2 2 11 4 17" xfId="22664"/>
    <cellStyle name="Header2 2 11 4 18" xfId="33831"/>
    <cellStyle name="Header2 2 11 4 19" xfId="45017"/>
    <cellStyle name="Header2 2 11 4 2" xfId="943"/>
    <cellStyle name="Header2 2 11 4 2 2" xfId="12140"/>
    <cellStyle name="Header2 2 11 4 2 3" xfId="23308"/>
    <cellStyle name="Header2 2 11 4 2 4" xfId="34473"/>
    <cellStyle name="Header2 2 11 4 2 5" xfId="45666"/>
    <cellStyle name="Header2 2 11 4 3" xfId="1832"/>
    <cellStyle name="Header2 2 11 4 3 2" xfId="13029"/>
    <cellStyle name="Header2 2 11 4 3 3" xfId="24197"/>
    <cellStyle name="Header2 2 11 4 3 4" xfId="35362"/>
    <cellStyle name="Header2 2 11 4 3 5" xfId="46555"/>
    <cellStyle name="Header2 2 11 4 4" xfId="2644"/>
    <cellStyle name="Header2 2 11 4 4 2" xfId="13841"/>
    <cellStyle name="Header2 2 11 4 4 3" xfId="25009"/>
    <cellStyle name="Header2 2 11 4 4 4" xfId="36174"/>
    <cellStyle name="Header2 2 11 4 4 5" xfId="47367"/>
    <cellStyle name="Header2 2 11 4 5" xfId="3278"/>
    <cellStyle name="Header2 2 11 4 5 2" xfId="14475"/>
    <cellStyle name="Header2 2 11 4 5 3" xfId="25643"/>
    <cellStyle name="Header2 2 11 4 5 4" xfId="36808"/>
    <cellStyle name="Header2 2 11 4 5 5" xfId="48001"/>
    <cellStyle name="Header2 2 11 4 6" xfId="3912"/>
    <cellStyle name="Header2 2 11 4 6 2" xfId="15109"/>
    <cellStyle name="Header2 2 11 4 6 3" xfId="26277"/>
    <cellStyle name="Header2 2 11 4 6 4" xfId="37442"/>
    <cellStyle name="Header2 2 11 4 6 5" xfId="48635"/>
    <cellStyle name="Header2 2 11 4 7" xfId="4545"/>
    <cellStyle name="Header2 2 11 4 7 2" xfId="15742"/>
    <cellStyle name="Header2 2 11 4 7 3" xfId="26910"/>
    <cellStyle name="Header2 2 11 4 7 4" xfId="38075"/>
    <cellStyle name="Header2 2 11 4 7 5" xfId="49268"/>
    <cellStyle name="Header2 2 11 4 8" xfId="5176"/>
    <cellStyle name="Header2 2 11 4 8 2" xfId="16373"/>
    <cellStyle name="Header2 2 11 4 8 3" xfId="27541"/>
    <cellStyle name="Header2 2 11 4 8 4" xfId="38706"/>
    <cellStyle name="Header2 2 11 4 8 5" xfId="49899"/>
    <cellStyle name="Header2 2 11 4 9" xfId="6230"/>
    <cellStyle name="Header2 2 11 4 9 2" xfId="17427"/>
    <cellStyle name="Header2 2 11 4 9 3" xfId="28595"/>
    <cellStyle name="Header2 2 11 4 9 4" xfId="39760"/>
    <cellStyle name="Header2 2 11 4 9 5" xfId="50953"/>
    <cellStyle name="Header2 2 11 5" xfId="248"/>
    <cellStyle name="Header2 2 11 5 10" xfId="6817"/>
    <cellStyle name="Header2 2 11 5 10 2" xfId="18014"/>
    <cellStyle name="Header2 2 11 5 10 3" xfId="29182"/>
    <cellStyle name="Header2 2 11 5 10 4" xfId="40347"/>
    <cellStyle name="Header2 2 11 5 10 5" xfId="51540"/>
    <cellStyle name="Header2 2 11 5 11" xfId="7451"/>
    <cellStyle name="Header2 2 11 5 11 2" xfId="18648"/>
    <cellStyle name="Header2 2 11 5 11 3" xfId="29816"/>
    <cellStyle name="Header2 2 11 5 11 4" xfId="40981"/>
    <cellStyle name="Header2 2 11 5 11 5" xfId="52174"/>
    <cellStyle name="Header2 2 11 5 12" xfId="8085"/>
    <cellStyle name="Header2 2 11 5 12 2" xfId="19282"/>
    <cellStyle name="Header2 2 11 5 12 3" xfId="30450"/>
    <cellStyle name="Header2 2 11 5 12 4" xfId="41615"/>
    <cellStyle name="Header2 2 11 5 12 5" xfId="52808"/>
    <cellStyle name="Header2 2 11 5 13" xfId="8691"/>
    <cellStyle name="Header2 2 11 5 13 2" xfId="19888"/>
    <cellStyle name="Header2 2 11 5 13 3" xfId="31056"/>
    <cellStyle name="Header2 2 11 5 13 4" xfId="42221"/>
    <cellStyle name="Header2 2 11 5 13 5" xfId="53414"/>
    <cellStyle name="Header2 2 11 5 14" xfId="10527"/>
    <cellStyle name="Header2 2 11 5 14 2" xfId="21724"/>
    <cellStyle name="Header2 2 11 5 14 3" xfId="32892"/>
    <cellStyle name="Header2 2 11 5 14 4" xfId="44057"/>
    <cellStyle name="Header2 2 11 5 14 5" xfId="55250"/>
    <cellStyle name="Header2 2 11 5 15" xfId="10801"/>
    <cellStyle name="Header2 2 11 5 15 2" xfId="21998"/>
    <cellStyle name="Header2 2 11 5 15 3" xfId="33166"/>
    <cellStyle name="Header2 2 11 5 15 4" xfId="44331"/>
    <cellStyle name="Header2 2 11 5 15 5" xfId="55524"/>
    <cellStyle name="Header2 2 11 5 16" xfId="11448"/>
    <cellStyle name="Header2 2 11 5 17" xfId="22618"/>
    <cellStyle name="Header2 2 11 5 18" xfId="33785"/>
    <cellStyle name="Header2 2 11 5 19" xfId="44971"/>
    <cellStyle name="Header2 2 11 5 2" xfId="897"/>
    <cellStyle name="Header2 2 11 5 2 2" xfId="12094"/>
    <cellStyle name="Header2 2 11 5 2 3" xfId="23262"/>
    <cellStyle name="Header2 2 11 5 2 4" xfId="34427"/>
    <cellStyle name="Header2 2 11 5 2 5" xfId="45620"/>
    <cellStyle name="Header2 2 11 5 3" xfId="1390"/>
    <cellStyle name="Header2 2 11 5 3 2" xfId="12587"/>
    <cellStyle name="Header2 2 11 5 3 3" xfId="23755"/>
    <cellStyle name="Header2 2 11 5 3 4" xfId="34920"/>
    <cellStyle name="Header2 2 11 5 3 5" xfId="46113"/>
    <cellStyle name="Header2 2 11 5 4" xfId="2567"/>
    <cellStyle name="Header2 2 11 5 4 2" xfId="13764"/>
    <cellStyle name="Header2 2 11 5 4 3" xfId="24932"/>
    <cellStyle name="Header2 2 11 5 4 4" xfId="36097"/>
    <cellStyle name="Header2 2 11 5 4 5" xfId="47290"/>
    <cellStyle name="Header2 2 11 5 5" xfId="3232"/>
    <cellStyle name="Header2 2 11 5 5 2" xfId="14429"/>
    <cellStyle name="Header2 2 11 5 5 3" xfId="25597"/>
    <cellStyle name="Header2 2 11 5 5 4" xfId="36762"/>
    <cellStyle name="Header2 2 11 5 5 5" xfId="47955"/>
    <cellStyle name="Header2 2 11 5 6" xfId="3866"/>
    <cellStyle name="Header2 2 11 5 6 2" xfId="15063"/>
    <cellStyle name="Header2 2 11 5 6 3" xfId="26231"/>
    <cellStyle name="Header2 2 11 5 6 4" xfId="37396"/>
    <cellStyle name="Header2 2 11 5 6 5" xfId="48589"/>
    <cellStyle name="Header2 2 11 5 7" xfId="4499"/>
    <cellStyle name="Header2 2 11 5 7 2" xfId="15696"/>
    <cellStyle name="Header2 2 11 5 7 3" xfId="26864"/>
    <cellStyle name="Header2 2 11 5 7 4" xfId="38029"/>
    <cellStyle name="Header2 2 11 5 7 5" xfId="49222"/>
    <cellStyle name="Header2 2 11 5 8" xfId="5130"/>
    <cellStyle name="Header2 2 11 5 8 2" xfId="16327"/>
    <cellStyle name="Header2 2 11 5 8 3" xfId="27495"/>
    <cellStyle name="Header2 2 11 5 8 4" xfId="38660"/>
    <cellStyle name="Header2 2 11 5 8 5" xfId="49853"/>
    <cellStyle name="Header2 2 11 5 9" xfId="6050"/>
    <cellStyle name="Header2 2 11 5 9 2" xfId="17247"/>
    <cellStyle name="Header2 2 11 5 9 3" xfId="28415"/>
    <cellStyle name="Header2 2 11 5 9 4" xfId="39580"/>
    <cellStyle name="Header2 2 11 5 9 5" xfId="50773"/>
    <cellStyle name="Header2 2 11 6" xfId="337"/>
    <cellStyle name="Header2 2 11 6 10" xfId="6906"/>
    <cellStyle name="Header2 2 11 6 10 2" xfId="18103"/>
    <cellStyle name="Header2 2 11 6 10 3" xfId="29271"/>
    <cellStyle name="Header2 2 11 6 10 4" xfId="40436"/>
    <cellStyle name="Header2 2 11 6 10 5" xfId="51629"/>
    <cellStyle name="Header2 2 11 6 11" xfId="7540"/>
    <cellStyle name="Header2 2 11 6 11 2" xfId="18737"/>
    <cellStyle name="Header2 2 11 6 11 3" xfId="29905"/>
    <cellStyle name="Header2 2 11 6 11 4" xfId="41070"/>
    <cellStyle name="Header2 2 11 6 11 5" xfId="52263"/>
    <cellStyle name="Header2 2 11 6 12" xfId="8174"/>
    <cellStyle name="Header2 2 11 6 12 2" xfId="19371"/>
    <cellStyle name="Header2 2 11 6 12 3" xfId="30539"/>
    <cellStyle name="Header2 2 11 6 12 4" xfId="41704"/>
    <cellStyle name="Header2 2 11 6 12 5" xfId="52897"/>
    <cellStyle name="Header2 2 11 6 13" xfId="9225"/>
    <cellStyle name="Header2 2 11 6 13 2" xfId="20422"/>
    <cellStyle name="Header2 2 11 6 13 3" xfId="31590"/>
    <cellStyle name="Header2 2 11 6 13 4" xfId="42755"/>
    <cellStyle name="Header2 2 11 6 13 5" xfId="53948"/>
    <cellStyle name="Header2 2 11 6 14" xfId="10221"/>
    <cellStyle name="Header2 2 11 6 14 2" xfId="21418"/>
    <cellStyle name="Header2 2 11 6 14 3" xfId="32586"/>
    <cellStyle name="Header2 2 11 6 14 4" xfId="43751"/>
    <cellStyle name="Header2 2 11 6 14 5" xfId="54944"/>
    <cellStyle name="Header2 2 11 6 15" xfId="10890"/>
    <cellStyle name="Header2 2 11 6 15 2" xfId="22087"/>
    <cellStyle name="Header2 2 11 6 15 3" xfId="33255"/>
    <cellStyle name="Header2 2 11 6 15 4" xfId="44420"/>
    <cellStyle name="Header2 2 11 6 15 5" xfId="55613"/>
    <cellStyle name="Header2 2 11 6 16" xfId="11537"/>
    <cellStyle name="Header2 2 11 6 17" xfId="22707"/>
    <cellStyle name="Header2 2 11 6 18" xfId="33874"/>
    <cellStyle name="Header2 2 11 6 19" xfId="45060"/>
    <cellStyle name="Header2 2 11 6 2" xfId="986"/>
    <cellStyle name="Header2 2 11 6 2 2" xfId="12183"/>
    <cellStyle name="Header2 2 11 6 2 3" xfId="23351"/>
    <cellStyle name="Header2 2 11 6 2 4" xfId="34516"/>
    <cellStyle name="Header2 2 11 6 2 5" xfId="45709"/>
    <cellStyle name="Header2 2 11 6 3" xfId="1351"/>
    <cellStyle name="Header2 2 11 6 3 2" xfId="12548"/>
    <cellStyle name="Header2 2 11 6 3 3" xfId="23716"/>
    <cellStyle name="Header2 2 11 6 3 4" xfId="34881"/>
    <cellStyle name="Header2 2 11 6 3 5" xfId="46074"/>
    <cellStyle name="Header2 2 11 6 4" xfId="2687"/>
    <cellStyle name="Header2 2 11 6 4 2" xfId="13884"/>
    <cellStyle name="Header2 2 11 6 4 3" xfId="25052"/>
    <cellStyle name="Header2 2 11 6 4 4" xfId="36217"/>
    <cellStyle name="Header2 2 11 6 4 5" xfId="47410"/>
    <cellStyle name="Header2 2 11 6 5" xfId="3321"/>
    <cellStyle name="Header2 2 11 6 5 2" xfId="14518"/>
    <cellStyle name="Header2 2 11 6 5 3" xfId="25686"/>
    <cellStyle name="Header2 2 11 6 5 4" xfId="36851"/>
    <cellStyle name="Header2 2 11 6 5 5" xfId="48044"/>
    <cellStyle name="Header2 2 11 6 6" xfId="3955"/>
    <cellStyle name="Header2 2 11 6 6 2" xfId="15152"/>
    <cellStyle name="Header2 2 11 6 6 3" xfId="26320"/>
    <cellStyle name="Header2 2 11 6 6 4" xfId="37485"/>
    <cellStyle name="Header2 2 11 6 6 5" xfId="48678"/>
    <cellStyle name="Header2 2 11 6 7" xfId="4588"/>
    <cellStyle name="Header2 2 11 6 7 2" xfId="15785"/>
    <cellStyle name="Header2 2 11 6 7 3" xfId="26953"/>
    <cellStyle name="Header2 2 11 6 7 4" xfId="38118"/>
    <cellStyle name="Header2 2 11 6 7 5" xfId="49311"/>
    <cellStyle name="Header2 2 11 6 8" xfId="5219"/>
    <cellStyle name="Header2 2 11 6 8 2" xfId="16416"/>
    <cellStyle name="Header2 2 11 6 8 3" xfId="27584"/>
    <cellStyle name="Header2 2 11 6 8 4" xfId="38749"/>
    <cellStyle name="Header2 2 11 6 8 5" xfId="49942"/>
    <cellStyle name="Header2 2 11 6 9" xfId="6273"/>
    <cellStyle name="Header2 2 11 6 9 2" xfId="17470"/>
    <cellStyle name="Header2 2 11 6 9 3" xfId="28638"/>
    <cellStyle name="Header2 2 11 6 9 4" xfId="39803"/>
    <cellStyle name="Header2 2 11 6 9 5" xfId="50996"/>
    <cellStyle name="Header2 2 11 7" xfId="430"/>
    <cellStyle name="Header2 2 11 7 10" xfId="6999"/>
    <cellStyle name="Header2 2 11 7 10 2" xfId="18196"/>
    <cellStyle name="Header2 2 11 7 10 3" xfId="29364"/>
    <cellStyle name="Header2 2 11 7 10 4" xfId="40529"/>
    <cellStyle name="Header2 2 11 7 10 5" xfId="51722"/>
    <cellStyle name="Header2 2 11 7 11" xfId="7633"/>
    <cellStyle name="Header2 2 11 7 11 2" xfId="18830"/>
    <cellStyle name="Header2 2 11 7 11 3" xfId="29998"/>
    <cellStyle name="Header2 2 11 7 11 4" xfId="41163"/>
    <cellStyle name="Header2 2 11 7 11 5" xfId="52356"/>
    <cellStyle name="Header2 2 11 7 12" xfId="8267"/>
    <cellStyle name="Header2 2 11 7 12 2" xfId="19464"/>
    <cellStyle name="Header2 2 11 7 12 3" xfId="30632"/>
    <cellStyle name="Header2 2 11 7 12 4" xfId="41797"/>
    <cellStyle name="Header2 2 11 7 12 5" xfId="52990"/>
    <cellStyle name="Header2 2 11 7 13" xfId="9318"/>
    <cellStyle name="Header2 2 11 7 13 2" xfId="20515"/>
    <cellStyle name="Header2 2 11 7 13 3" xfId="31683"/>
    <cellStyle name="Header2 2 11 7 13 4" xfId="42848"/>
    <cellStyle name="Header2 2 11 7 13 5" xfId="54041"/>
    <cellStyle name="Header2 2 11 7 14" xfId="10405"/>
    <cellStyle name="Header2 2 11 7 14 2" xfId="21602"/>
    <cellStyle name="Header2 2 11 7 14 3" xfId="32770"/>
    <cellStyle name="Header2 2 11 7 14 4" xfId="43935"/>
    <cellStyle name="Header2 2 11 7 14 5" xfId="55128"/>
    <cellStyle name="Header2 2 11 7 15" xfId="10983"/>
    <cellStyle name="Header2 2 11 7 15 2" xfId="22180"/>
    <cellStyle name="Header2 2 11 7 15 3" xfId="33348"/>
    <cellStyle name="Header2 2 11 7 15 4" xfId="44513"/>
    <cellStyle name="Header2 2 11 7 15 5" xfId="55706"/>
    <cellStyle name="Header2 2 11 7 16" xfId="11630"/>
    <cellStyle name="Header2 2 11 7 17" xfId="22800"/>
    <cellStyle name="Header2 2 11 7 18" xfId="33967"/>
    <cellStyle name="Header2 2 11 7 19" xfId="45153"/>
    <cellStyle name="Header2 2 11 7 2" xfId="1079"/>
    <cellStyle name="Header2 2 11 7 2 2" xfId="12276"/>
    <cellStyle name="Header2 2 11 7 2 3" xfId="23444"/>
    <cellStyle name="Header2 2 11 7 2 4" xfId="34609"/>
    <cellStyle name="Header2 2 11 7 2 5" xfId="45802"/>
    <cellStyle name="Header2 2 11 7 3" xfId="1665"/>
    <cellStyle name="Header2 2 11 7 3 2" xfId="12862"/>
    <cellStyle name="Header2 2 11 7 3 3" xfId="24030"/>
    <cellStyle name="Header2 2 11 7 3 4" xfId="35195"/>
    <cellStyle name="Header2 2 11 7 3 5" xfId="46388"/>
    <cellStyle name="Header2 2 11 7 4" xfId="2780"/>
    <cellStyle name="Header2 2 11 7 4 2" xfId="13977"/>
    <cellStyle name="Header2 2 11 7 4 3" xfId="25145"/>
    <cellStyle name="Header2 2 11 7 4 4" xfId="36310"/>
    <cellStyle name="Header2 2 11 7 4 5" xfId="47503"/>
    <cellStyle name="Header2 2 11 7 5" xfId="3414"/>
    <cellStyle name="Header2 2 11 7 5 2" xfId="14611"/>
    <cellStyle name="Header2 2 11 7 5 3" xfId="25779"/>
    <cellStyle name="Header2 2 11 7 5 4" xfId="36944"/>
    <cellStyle name="Header2 2 11 7 5 5" xfId="48137"/>
    <cellStyle name="Header2 2 11 7 6" xfId="4048"/>
    <cellStyle name="Header2 2 11 7 6 2" xfId="15245"/>
    <cellStyle name="Header2 2 11 7 6 3" xfId="26413"/>
    <cellStyle name="Header2 2 11 7 6 4" xfId="37578"/>
    <cellStyle name="Header2 2 11 7 6 5" xfId="48771"/>
    <cellStyle name="Header2 2 11 7 7" xfId="4681"/>
    <cellStyle name="Header2 2 11 7 7 2" xfId="15878"/>
    <cellStyle name="Header2 2 11 7 7 3" xfId="27046"/>
    <cellStyle name="Header2 2 11 7 7 4" xfId="38211"/>
    <cellStyle name="Header2 2 11 7 7 5" xfId="49404"/>
    <cellStyle name="Header2 2 11 7 8" xfId="5312"/>
    <cellStyle name="Header2 2 11 7 8 2" xfId="16509"/>
    <cellStyle name="Header2 2 11 7 8 3" xfId="27677"/>
    <cellStyle name="Header2 2 11 7 8 4" xfId="38842"/>
    <cellStyle name="Header2 2 11 7 8 5" xfId="50035"/>
    <cellStyle name="Header2 2 11 7 9" xfId="6366"/>
    <cellStyle name="Header2 2 11 7 9 2" xfId="17563"/>
    <cellStyle name="Header2 2 11 7 9 3" xfId="28731"/>
    <cellStyle name="Header2 2 11 7 9 4" xfId="39896"/>
    <cellStyle name="Header2 2 11 7 9 5" xfId="51089"/>
    <cellStyle name="Header2 2 11 8" xfId="512"/>
    <cellStyle name="Header2 2 11 8 10" xfId="7081"/>
    <cellStyle name="Header2 2 11 8 10 2" xfId="18278"/>
    <cellStyle name="Header2 2 11 8 10 3" xfId="29446"/>
    <cellStyle name="Header2 2 11 8 10 4" xfId="40611"/>
    <cellStyle name="Header2 2 11 8 10 5" xfId="51804"/>
    <cellStyle name="Header2 2 11 8 11" xfId="7715"/>
    <cellStyle name="Header2 2 11 8 11 2" xfId="18912"/>
    <cellStyle name="Header2 2 11 8 11 3" xfId="30080"/>
    <cellStyle name="Header2 2 11 8 11 4" xfId="41245"/>
    <cellStyle name="Header2 2 11 8 11 5" xfId="52438"/>
    <cellStyle name="Header2 2 11 8 12" xfId="8349"/>
    <cellStyle name="Header2 2 11 8 12 2" xfId="19546"/>
    <cellStyle name="Header2 2 11 8 12 3" xfId="30714"/>
    <cellStyle name="Header2 2 11 8 12 4" xfId="41879"/>
    <cellStyle name="Header2 2 11 8 12 5" xfId="53072"/>
    <cellStyle name="Header2 2 11 8 13" xfId="9400"/>
    <cellStyle name="Header2 2 11 8 13 2" xfId="20597"/>
    <cellStyle name="Header2 2 11 8 13 3" xfId="31765"/>
    <cellStyle name="Header2 2 11 8 13 4" xfId="42930"/>
    <cellStyle name="Header2 2 11 8 13 5" xfId="54123"/>
    <cellStyle name="Header2 2 11 8 14" xfId="10398"/>
    <cellStyle name="Header2 2 11 8 14 2" xfId="21595"/>
    <cellStyle name="Header2 2 11 8 14 3" xfId="32763"/>
    <cellStyle name="Header2 2 11 8 14 4" xfId="43928"/>
    <cellStyle name="Header2 2 11 8 14 5" xfId="55121"/>
    <cellStyle name="Header2 2 11 8 15" xfId="11065"/>
    <cellStyle name="Header2 2 11 8 15 2" xfId="22262"/>
    <cellStyle name="Header2 2 11 8 15 3" xfId="33430"/>
    <cellStyle name="Header2 2 11 8 15 4" xfId="44595"/>
    <cellStyle name="Header2 2 11 8 15 5" xfId="55788"/>
    <cellStyle name="Header2 2 11 8 16" xfId="11712"/>
    <cellStyle name="Header2 2 11 8 17" xfId="22882"/>
    <cellStyle name="Header2 2 11 8 18" xfId="34049"/>
    <cellStyle name="Header2 2 11 8 19" xfId="45235"/>
    <cellStyle name="Header2 2 11 8 2" xfId="1161"/>
    <cellStyle name="Header2 2 11 8 2 2" xfId="12358"/>
    <cellStyle name="Header2 2 11 8 2 3" xfId="23526"/>
    <cellStyle name="Header2 2 11 8 2 4" xfId="34691"/>
    <cellStyle name="Header2 2 11 8 2 5" xfId="45884"/>
    <cellStyle name="Header2 2 11 8 3" xfId="1677"/>
    <cellStyle name="Header2 2 11 8 3 2" xfId="12874"/>
    <cellStyle name="Header2 2 11 8 3 3" xfId="24042"/>
    <cellStyle name="Header2 2 11 8 3 4" xfId="35207"/>
    <cellStyle name="Header2 2 11 8 3 5" xfId="46400"/>
    <cellStyle name="Header2 2 11 8 4" xfId="2862"/>
    <cellStyle name="Header2 2 11 8 4 2" xfId="14059"/>
    <cellStyle name="Header2 2 11 8 4 3" xfId="25227"/>
    <cellStyle name="Header2 2 11 8 4 4" xfId="36392"/>
    <cellStyle name="Header2 2 11 8 4 5" xfId="47585"/>
    <cellStyle name="Header2 2 11 8 5" xfId="3496"/>
    <cellStyle name="Header2 2 11 8 5 2" xfId="14693"/>
    <cellStyle name="Header2 2 11 8 5 3" xfId="25861"/>
    <cellStyle name="Header2 2 11 8 5 4" xfId="37026"/>
    <cellStyle name="Header2 2 11 8 5 5" xfId="48219"/>
    <cellStyle name="Header2 2 11 8 6" xfId="4130"/>
    <cellStyle name="Header2 2 11 8 6 2" xfId="15327"/>
    <cellStyle name="Header2 2 11 8 6 3" xfId="26495"/>
    <cellStyle name="Header2 2 11 8 6 4" xfId="37660"/>
    <cellStyle name="Header2 2 11 8 6 5" xfId="48853"/>
    <cellStyle name="Header2 2 11 8 7" xfId="4763"/>
    <cellStyle name="Header2 2 11 8 7 2" xfId="15960"/>
    <cellStyle name="Header2 2 11 8 7 3" xfId="27128"/>
    <cellStyle name="Header2 2 11 8 7 4" xfId="38293"/>
    <cellStyle name="Header2 2 11 8 7 5" xfId="49486"/>
    <cellStyle name="Header2 2 11 8 8" xfId="5394"/>
    <cellStyle name="Header2 2 11 8 8 2" xfId="16591"/>
    <cellStyle name="Header2 2 11 8 8 3" xfId="27759"/>
    <cellStyle name="Header2 2 11 8 8 4" xfId="38924"/>
    <cellStyle name="Header2 2 11 8 8 5" xfId="50117"/>
    <cellStyle name="Header2 2 11 8 9" xfId="6448"/>
    <cellStyle name="Header2 2 11 8 9 2" xfId="17645"/>
    <cellStyle name="Header2 2 11 8 9 3" xfId="28813"/>
    <cellStyle name="Header2 2 11 8 9 4" xfId="39978"/>
    <cellStyle name="Header2 2 11 8 9 5" xfId="51171"/>
    <cellStyle name="Header2 2 11 9" xfId="570"/>
    <cellStyle name="Header2 2 11 9 10" xfId="7139"/>
    <cellStyle name="Header2 2 11 9 10 2" xfId="18336"/>
    <cellStyle name="Header2 2 11 9 10 3" xfId="29504"/>
    <cellStyle name="Header2 2 11 9 10 4" xfId="40669"/>
    <cellStyle name="Header2 2 11 9 10 5" xfId="51862"/>
    <cellStyle name="Header2 2 11 9 11" xfId="7773"/>
    <cellStyle name="Header2 2 11 9 11 2" xfId="18970"/>
    <cellStyle name="Header2 2 11 9 11 3" xfId="30138"/>
    <cellStyle name="Header2 2 11 9 11 4" xfId="41303"/>
    <cellStyle name="Header2 2 11 9 11 5" xfId="52496"/>
    <cellStyle name="Header2 2 11 9 12" xfId="8407"/>
    <cellStyle name="Header2 2 11 9 12 2" xfId="19604"/>
    <cellStyle name="Header2 2 11 9 12 3" xfId="30772"/>
    <cellStyle name="Header2 2 11 9 12 4" xfId="41937"/>
    <cellStyle name="Header2 2 11 9 12 5" xfId="53130"/>
    <cellStyle name="Header2 2 11 9 13" xfId="9458"/>
    <cellStyle name="Header2 2 11 9 13 2" xfId="20655"/>
    <cellStyle name="Header2 2 11 9 13 3" xfId="31823"/>
    <cellStyle name="Header2 2 11 9 13 4" xfId="42988"/>
    <cellStyle name="Header2 2 11 9 13 5" xfId="54181"/>
    <cellStyle name="Header2 2 11 9 14" xfId="9585"/>
    <cellStyle name="Header2 2 11 9 14 2" xfId="20782"/>
    <cellStyle name="Header2 2 11 9 14 3" xfId="31950"/>
    <cellStyle name="Header2 2 11 9 14 4" xfId="43115"/>
    <cellStyle name="Header2 2 11 9 14 5" xfId="54308"/>
    <cellStyle name="Header2 2 11 9 15" xfId="11123"/>
    <cellStyle name="Header2 2 11 9 15 2" xfId="22320"/>
    <cellStyle name="Header2 2 11 9 15 3" xfId="33488"/>
    <cellStyle name="Header2 2 11 9 15 4" xfId="44653"/>
    <cellStyle name="Header2 2 11 9 15 5" xfId="55846"/>
    <cellStyle name="Header2 2 11 9 16" xfId="11770"/>
    <cellStyle name="Header2 2 11 9 17" xfId="22940"/>
    <cellStyle name="Header2 2 11 9 18" xfId="34107"/>
    <cellStyle name="Header2 2 11 9 19" xfId="45293"/>
    <cellStyle name="Header2 2 11 9 2" xfId="1219"/>
    <cellStyle name="Header2 2 11 9 2 2" xfId="12416"/>
    <cellStyle name="Header2 2 11 9 2 3" xfId="23584"/>
    <cellStyle name="Header2 2 11 9 2 4" xfId="34749"/>
    <cellStyle name="Header2 2 11 9 2 5" xfId="45942"/>
    <cellStyle name="Header2 2 11 9 3" xfId="1485"/>
    <cellStyle name="Header2 2 11 9 3 2" xfId="12682"/>
    <cellStyle name="Header2 2 11 9 3 3" xfId="23850"/>
    <cellStyle name="Header2 2 11 9 3 4" xfId="35015"/>
    <cellStyle name="Header2 2 11 9 3 5" xfId="46208"/>
    <cellStyle name="Header2 2 11 9 4" xfId="2920"/>
    <cellStyle name="Header2 2 11 9 4 2" xfId="14117"/>
    <cellStyle name="Header2 2 11 9 4 3" xfId="25285"/>
    <cellStyle name="Header2 2 11 9 4 4" xfId="36450"/>
    <cellStyle name="Header2 2 11 9 4 5" xfId="47643"/>
    <cellStyle name="Header2 2 11 9 5" xfId="3554"/>
    <cellStyle name="Header2 2 11 9 5 2" xfId="14751"/>
    <cellStyle name="Header2 2 11 9 5 3" xfId="25919"/>
    <cellStyle name="Header2 2 11 9 5 4" xfId="37084"/>
    <cellStyle name="Header2 2 11 9 5 5" xfId="48277"/>
    <cellStyle name="Header2 2 11 9 6" xfId="4188"/>
    <cellStyle name="Header2 2 11 9 6 2" xfId="15385"/>
    <cellStyle name="Header2 2 11 9 6 3" xfId="26553"/>
    <cellStyle name="Header2 2 11 9 6 4" xfId="37718"/>
    <cellStyle name="Header2 2 11 9 6 5" xfId="48911"/>
    <cellStyle name="Header2 2 11 9 7" xfId="4821"/>
    <cellStyle name="Header2 2 11 9 7 2" xfId="16018"/>
    <cellStyle name="Header2 2 11 9 7 3" xfId="27186"/>
    <cellStyle name="Header2 2 11 9 7 4" xfId="38351"/>
    <cellStyle name="Header2 2 11 9 7 5" xfId="49544"/>
    <cellStyle name="Header2 2 11 9 8" xfId="5452"/>
    <cellStyle name="Header2 2 11 9 8 2" xfId="16649"/>
    <cellStyle name="Header2 2 11 9 8 3" xfId="27817"/>
    <cellStyle name="Header2 2 11 9 8 4" xfId="38982"/>
    <cellStyle name="Header2 2 11 9 8 5" xfId="50175"/>
    <cellStyle name="Header2 2 11 9 9" xfId="6506"/>
    <cellStyle name="Header2 2 11 9 9 2" xfId="17703"/>
    <cellStyle name="Header2 2 11 9 9 3" xfId="28871"/>
    <cellStyle name="Header2 2 11 9 9 4" xfId="40036"/>
    <cellStyle name="Header2 2 11 9 9 5" xfId="51229"/>
    <cellStyle name="Header2 2 12" xfId="107"/>
    <cellStyle name="Header2 2 12 10" xfId="641"/>
    <cellStyle name="Header2 2 12 10 10" xfId="7210"/>
    <cellStyle name="Header2 2 12 10 10 2" xfId="18407"/>
    <cellStyle name="Header2 2 12 10 10 3" xfId="29575"/>
    <cellStyle name="Header2 2 12 10 10 4" xfId="40740"/>
    <cellStyle name="Header2 2 12 10 10 5" xfId="51933"/>
    <cellStyle name="Header2 2 12 10 11" xfId="7844"/>
    <cellStyle name="Header2 2 12 10 11 2" xfId="19041"/>
    <cellStyle name="Header2 2 12 10 11 3" xfId="30209"/>
    <cellStyle name="Header2 2 12 10 11 4" xfId="41374"/>
    <cellStyle name="Header2 2 12 10 11 5" xfId="52567"/>
    <cellStyle name="Header2 2 12 10 12" xfId="8478"/>
    <cellStyle name="Header2 2 12 10 12 2" xfId="19675"/>
    <cellStyle name="Header2 2 12 10 12 3" xfId="30843"/>
    <cellStyle name="Header2 2 12 10 12 4" xfId="42008"/>
    <cellStyle name="Header2 2 12 10 12 5" xfId="53201"/>
    <cellStyle name="Header2 2 12 10 13" xfId="9529"/>
    <cellStyle name="Header2 2 12 10 13 2" xfId="20726"/>
    <cellStyle name="Header2 2 12 10 13 3" xfId="31894"/>
    <cellStyle name="Header2 2 12 10 13 4" xfId="43059"/>
    <cellStyle name="Header2 2 12 10 13 5" xfId="54252"/>
    <cellStyle name="Header2 2 12 10 14" xfId="10471"/>
    <cellStyle name="Header2 2 12 10 14 2" xfId="21668"/>
    <cellStyle name="Header2 2 12 10 14 3" xfId="32836"/>
    <cellStyle name="Header2 2 12 10 14 4" xfId="44001"/>
    <cellStyle name="Header2 2 12 10 14 5" xfId="55194"/>
    <cellStyle name="Header2 2 12 10 15" xfId="11194"/>
    <cellStyle name="Header2 2 12 10 15 2" xfId="22391"/>
    <cellStyle name="Header2 2 12 10 15 3" xfId="33559"/>
    <cellStyle name="Header2 2 12 10 15 4" xfId="44724"/>
    <cellStyle name="Header2 2 12 10 15 5" xfId="55917"/>
    <cellStyle name="Header2 2 12 10 16" xfId="11841"/>
    <cellStyle name="Header2 2 12 10 17" xfId="23011"/>
    <cellStyle name="Header2 2 12 10 18" xfId="34178"/>
    <cellStyle name="Header2 2 12 10 19" xfId="45364"/>
    <cellStyle name="Header2 2 12 10 2" xfId="1290"/>
    <cellStyle name="Header2 2 12 10 2 2" xfId="12487"/>
    <cellStyle name="Header2 2 12 10 2 3" xfId="23655"/>
    <cellStyle name="Header2 2 12 10 2 4" xfId="34820"/>
    <cellStyle name="Header2 2 12 10 2 5" xfId="46013"/>
    <cellStyle name="Header2 2 12 10 3" xfId="1406"/>
    <cellStyle name="Header2 2 12 10 3 2" xfId="12603"/>
    <cellStyle name="Header2 2 12 10 3 3" xfId="23771"/>
    <cellStyle name="Header2 2 12 10 3 4" xfId="34936"/>
    <cellStyle name="Header2 2 12 10 3 5" xfId="46129"/>
    <cellStyle name="Header2 2 12 10 4" xfId="2991"/>
    <cellStyle name="Header2 2 12 10 4 2" xfId="14188"/>
    <cellStyle name="Header2 2 12 10 4 3" xfId="25356"/>
    <cellStyle name="Header2 2 12 10 4 4" xfId="36521"/>
    <cellStyle name="Header2 2 12 10 4 5" xfId="47714"/>
    <cellStyle name="Header2 2 12 10 5" xfId="3625"/>
    <cellStyle name="Header2 2 12 10 5 2" xfId="14822"/>
    <cellStyle name="Header2 2 12 10 5 3" xfId="25990"/>
    <cellStyle name="Header2 2 12 10 5 4" xfId="37155"/>
    <cellStyle name="Header2 2 12 10 5 5" xfId="48348"/>
    <cellStyle name="Header2 2 12 10 6" xfId="4259"/>
    <cellStyle name="Header2 2 12 10 6 2" xfId="15456"/>
    <cellStyle name="Header2 2 12 10 6 3" xfId="26624"/>
    <cellStyle name="Header2 2 12 10 6 4" xfId="37789"/>
    <cellStyle name="Header2 2 12 10 6 5" xfId="48982"/>
    <cellStyle name="Header2 2 12 10 7" xfId="4892"/>
    <cellStyle name="Header2 2 12 10 7 2" xfId="16089"/>
    <cellStyle name="Header2 2 12 10 7 3" xfId="27257"/>
    <cellStyle name="Header2 2 12 10 7 4" xfId="38422"/>
    <cellStyle name="Header2 2 12 10 7 5" xfId="49615"/>
    <cellStyle name="Header2 2 12 10 8" xfId="5523"/>
    <cellStyle name="Header2 2 12 10 8 2" xfId="16720"/>
    <cellStyle name="Header2 2 12 10 8 3" xfId="27888"/>
    <cellStyle name="Header2 2 12 10 8 4" xfId="39053"/>
    <cellStyle name="Header2 2 12 10 8 5" xfId="50246"/>
    <cellStyle name="Header2 2 12 10 9" xfId="6577"/>
    <cellStyle name="Header2 2 12 10 9 2" xfId="17774"/>
    <cellStyle name="Header2 2 12 10 9 3" xfId="28942"/>
    <cellStyle name="Header2 2 12 10 9 4" xfId="40107"/>
    <cellStyle name="Header2 2 12 10 9 5" xfId="51300"/>
    <cellStyle name="Header2 2 12 11" xfId="664"/>
    <cellStyle name="Header2 2 12 11 10" xfId="7233"/>
    <cellStyle name="Header2 2 12 11 10 2" xfId="18430"/>
    <cellStyle name="Header2 2 12 11 10 3" xfId="29598"/>
    <cellStyle name="Header2 2 12 11 10 4" xfId="40763"/>
    <cellStyle name="Header2 2 12 11 10 5" xfId="51956"/>
    <cellStyle name="Header2 2 12 11 11" xfId="7867"/>
    <cellStyle name="Header2 2 12 11 11 2" xfId="19064"/>
    <cellStyle name="Header2 2 12 11 11 3" xfId="30232"/>
    <cellStyle name="Header2 2 12 11 11 4" xfId="41397"/>
    <cellStyle name="Header2 2 12 11 11 5" xfId="52590"/>
    <cellStyle name="Header2 2 12 11 12" xfId="8501"/>
    <cellStyle name="Header2 2 12 11 12 2" xfId="19698"/>
    <cellStyle name="Header2 2 12 11 12 3" xfId="30866"/>
    <cellStyle name="Header2 2 12 11 12 4" xfId="42031"/>
    <cellStyle name="Header2 2 12 11 12 5" xfId="53224"/>
    <cellStyle name="Header2 2 12 11 13" xfId="9552"/>
    <cellStyle name="Header2 2 12 11 13 2" xfId="20749"/>
    <cellStyle name="Header2 2 12 11 13 3" xfId="31917"/>
    <cellStyle name="Header2 2 12 11 13 4" xfId="43082"/>
    <cellStyle name="Header2 2 12 11 13 5" xfId="54275"/>
    <cellStyle name="Header2 2 12 11 14" xfId="10118"/>
    <cellStyle name="Header2 2 12 11 14 2" xfId="21315"/>
    <cellStyle name="Header2 2 12 11 14 3" xfId="32483"/>
    <cellStyle name="Header2 2 12 11 14 4" xfId="43648"/>
    <cellStyle name="Header2 2 12 11 14 5" xfId="54841"/>
    <cellStyle name="Header2 2 12 11 15" xfId="11217"/>
    <cellStyle name="Header2 2 12 11 15 2" xfId="22414"/>
    <cellStyle name="Header2 2 12 11 15 3" xfId="33582"/>
    <cellStyle name="Header2 2 12 11 15 4" xfId="44747"/>
    <cellStyle name="Header2 2 12 11 15 5" xfId="55940"/>
    <cellStyle name="Header2 2 12 11 16" xfId="11864"/>
    <cellStyle name="Header2 2 12 11 17" xfId="23034"/>
    <cellStyle name="Header2 2 12 11 18" xfId="34201"/>
    <cellStyle name="Header2 2 12 11 19" xfId="45387"/>
    <cellStyle name="Header2 2 12 11 2" xfId="1313"/>
    <cellStyle name="Header2 2 12 11 2 2" xfId="12510"/>
    <cellStyle name="Header2 2 12 11 2 3" xfId="23678"/>
    <cellStyle name="Header2 2 12 11 2 4" xfId="34843"/>
    <cellStyle name="Header2 2 12 11 2 5" xfId="46036"/>
    <cellStyle name="Header2 2 12 11 3" xfId="1853"/>
    <cellStyle name="Header2 2 12 11 3 2" xfId="13050"/>
    <cellStyle name="Header2 2 12 11 3 3" xfId="24218"/>
    <cellStyle name="Header2 2 12 11 3 4" xfId="35383"/>
    <cellStyle name="Header2 2 12 11 3 5" xfId="46576"/>
    <cellStyle name="Header2 2 12 11 4" xfId="3014"/>
    <cellStyle name="Header2 2 12 11 4 2" xfId="14211"/>
    <cellStyle name="Header2 2 12 11 4 3" xfId="25379"/>
    <cellStyle name="Header2 2 12 11 4 4" xfId="36544"/>
    <cellStyle name="Header2 2 12 11 4 5" xfId="47737"/>
    <cellStyle name="Header2 2 12 11 5" xfId="3648"/>
    <cellStyle name="Header2 2 12 11 5 2" xfId="14845"/>
    <cellStyle name="Header2 2 12 11 5 3" xfId="26013"/>
    <cellStyle name="Header2 2 12 11 5 4" xfId="37178"/>
    <cellStyle name="Header2 2 12 11 5 5" xfId="48371"/>
    <cellStyle name="Header2 2 12 11 6" xfId="4282"/>
    <cellStyle name="Header2 2 12 11 6 2" xfId="15479"/>
    <cellStyle name="Header2 2 12 11 6 3" xfId="26647"/>
    <cellStyle name="Header2 2 12 11 6 4" xfId="37812"/>
    <cellStyle name="Header2 2 12 11 6 5" xfId="49005"/>
    <cellStyle name="Header2 2 12 11 7" xfId="4915"/>
    <cellStyle name="Header2 2 12 11 7 2" xfId="16112"/>
    <cellStyle name="Header2 2 12 11 7 3" xfId="27280"/>
    <cellStyle name="Header2 2 12 11 7 4" xfId="38445"/>
    <cellStyle name="Header2 2 12 11 7 5" xfId="49638"/>
    <cellStyle name="Header2 2 12 11 8" xfId="5546"/>
    <cellStyle name="Header2 2 12 11 8 2" xfId="16743"/>
    <cellStyle name="Header2 2 12 11 8 3" xfId="27911"/>
    <cellStyle name="Header2 2 12 11 8 4" xfId="39076"/>
    <cellStyle name="Header2 2 12 11 8 5" xfId="50269"/>
    <cellStyle name="Header2 2 12 11 9" xfId="6600"/>
    <cellStyle name="Header2 2 12 11 9 2" xfId="17797"/>
    <cellStyle name="Header2 2 12 11 9 3" xfId="28965"/>
    <cellStyle name="Header2 2 12 11 9 4" xfId="40130"/>
    <cellStyle name="Header2 2 12 11 9 5" xfId="51323"/>
    <cellStyle name="Header2 2 12 12" xfId="756"/>
    <cellStyle name="Header2 2 12 12 2" xfId="11954"/>
    <cellStyle name="Header2 2 12 12 3" xfId="23122"/>
    <cellStyle name="Header2 2 12 12 4" xfId="34287"/>
    <cellStyle name="Header2 2 12 12 5" xfId="45479"/>
    <cellStyle name="Header2 2 12 13" xfId="1830"/>
    <cellStyle name="Header2 2 12 13 2" xfId="13027"/>
    <cellStyle name="Header2 2 12 13 3" xfId="24195"/>
    <cellStyle name="Header2 2 12 13 4" xfId="35360"/>
    <cellStyle name="Header2 2 12 13 5" xfId="46553"/>
    <cellStyle name="Header2 2 12 14" xfId="2420"/>
    <cellStyle name="Header2 2 12 14 2" xfId="13617"/>
    <cellStyle name="Header2 2 12 14 3" xfId="24785"/>
    <cellStyle name="Header2 2 12 14 4" xfId="35950"/>
    <cellStyle name="Header2 2 12 14 5" xfId="47143"/>
    <cellStyle name="Header2 2 12 15" xfId="3091"/>
    <cellStyle name="Header2 2 12 15 2" xfId="14288"/>
    <cellStyle name="Header2 2 12 15 3" xfId="25456"/>
    <cellStyle name="Header2 2 12 15 4" xfId="36621"/>
    <cellStyle name="Header2 2 12 15 5" xfId="47814"/>
    <cellStyle name="Header2 2 12 16" xfId="3725"/>
    <cellStyle name="Header2 2 12 16 2" xfId="14922"/>
    <cellStyle name="Header2 2 12 16 3" xfId="26090"/>
    <cellStyle name="Header2 2 12 16 4" xfId="37255"/>
    <cellStyle name="Header2 2 12 16 5" xfId="48448"/>
    <cellStyle name="Header2 2 12 17" xfId="4358"/>
    <cellStyle name="Header2 2 12 17 2" xfId="15555"/>
    <cellStyle name="Header2 2 12 17 3" xfId="26723"/>
    <cellStyle name="Header2 2 12 17 4" xfId="37888"/>
    <cellStyle name="Header2 2 12 17 5" xfId="49081"/>
    <cellStyle name="Header2 2 12 18" xfId="4990"/>
    <cellStyle name="Header2 2 12 18 2" xfId="16187"/>
    <cellStyle name="Header2 2 12 18 3" xfId="27355"/>
    <cellStyle name="Header2 2 12 18 4" xfId="38520"/>
    <cellStyle name="Header2 2 12 18 5" xfId="49713"/>
    <cellStyle name="Header2 2 12 19" xfId="5688"/>
    <cellStyle name="Header2 2 12 19 2" xfId="16885"/>
    <cellStyle name="Header2 2 12 19 3" xfId="28053"/>
    <cellStyle name="Header2 2 12 19 4" xfId="39218"/>
    <cellStyle name="Header2 2 12 19 5" xfId="50411"/>
    <cellStyle name="Header2 2 12 2" xfId="171"/>
    <cellStyle name="Header2 2 12 2 10" xfId="6740"/>
    <cellStyle name="Header2 2 12 2 10 2" xfId="17937"/>
    <cellStyle name="Header2 2 12 2 10 3" xfId="29105"/>
    <cellStyle name="Header2 2 12 2 10 4" xfId="40270"/>
    <cellStyle name="Header2 2 12 2 10 5" xfId="51463"/>
    <cellStyle name="Header2 2 12 2 11" xfId="7374"/>
    <cellStyle name="Header2 2 12 2 11 2" xfId="18571"/>
    <cellStyle name="Header2 2 12 2 11 3" xfId="29739"/>
    <cellStyle name="Header2 2 12 2 11 4" xfId="40904"/>
    <cellStyle name="Header2 2 12 2 11 5" xfId="52097"/>
    <cellStyle name="Header2 2 12 2 12" xfId="8008"/>
    <cellStyle name="Header2 2 12 2 12 2" xfId="19205"/>
    <cellStyle name="Header2 2 12 2 12 3" xfId="30373"/>
    <cellStyle name="Header2 2 12 2 12 4" xfId="41538"/>
    <cellStyle name="Header2 2 12 2 12 5" xfId="52731"/>
    <cellStyle name="Header2 2 12 2 13" xfId="9155"/>
    <cellStyle name="Header2 2 12 2 13 2" xfId="20352"/>
    <cellStyle name="Header2 2 12 2 13 3" xfId="31520"/>
    <cellStyle name="Header2 2 12 2 13 4" xfId="42685"/>
    <cellStyle name="Header2 2 12 2 13 5" xfId="53878"/>
    <cellStyle name="Header2 2 12 2 14" xfId="10536"/>
    <cellStyle name="Header2 2 12 2 14 2" xfId="21733"/>
    <cellStyle name="Header2 2 12 2 14 3" xfId="32901"/>
    <cellStyle name="Header2 2 12 2 14 4" xfId="44066"/>
    <cellStyle name="Header2 2 12 2 14 5" xfId="55259"/>
    <cellStyle name="Header2 2 12 2 15" xfId="10724"/>
    <cellStyle name="Header2 2 12 2 15 2" xfId="21921"/>
    <cellStyle name="Header2 2 12 2 15 3" xfId="33089"/>
    <cellStyle name="Header2 2 12 2 15 4" xfId="44254"/>
    <cellStyle name="Header2 2 12 2 15 5" xfId="55447"/>
    <cellStyle name="Header2 2 12 2 16" xfId="11371"/>
    <cellStyle name="Header2 2 12 2 17" xfId="22541"/>
    <cellStyle name="Header2 2 12 2 18" xfId="33708"/>
    <cellStyle name="Header2 2 12 2 19" xfId="44894"/>
    <cellStyle name="Header2 2 12 2 2" xfId="820"/>
    <cellStyle name="Header2 2 12 2 2 2" xfId="12017"/>
    <cellStyle name="Header2 2 12 2 2 3" xfId="23185"/>
    <cellStyle name="Header2 2 12 2 2 4" xfId="34350"/>
    <cellStyle name="Header2 2 12 2 2 5" xfId="45543"/>
    <cellStyle name="Header2 2 12 2 3" xfId="1411"/>
    <cellStyle name="Header2 2 12 2 3 2" xfId="12608"/>
    <cellStyle name="Header2 2 12 2 3 3" xfId="23776"/>
    <cellStyle name="Header2 2 12 2 3 4" xfId="34941"/>
    <cellStyle name="Header2 2 12 2 3 5" xfId="46134"/>
    <cellStyle name="Header2 2 12 2 4" xfId="1980"/>
    <cellStyle name="Header2 2 12 2 4 2" xfId="13177"/>
    <cellStyle name="Header2 2 12 2 4 3" xfId="24345"/>
    <cellStyle name="Header2 2 12 2 4 4" xfId="35510"/>
    <cellStyle name="Header2 2 12 2 4 5" xfId="46703"/>
    <cellStyle name="Header2 2 12 2 5" xfId="3155"/>
    <cellStyle name="Header2 2 12 2 5 2" xfId="14352"/>
    <cellStyle name="Header2 2 12 2 5 3" xfId="25520"/>
    <cellStyle name="Header2 2 12 2 5 4" xfId="36685"/>
    <cellStyle name="Header2 2 12 2 5 5" xfId="47878"/>
    <cellStyle name="Header2 2 12 2 6" xfId="3789"/>
    <cellStyle name="Header2 2 12 2 6 2" xfId="14986"/>
    <cellStyle name="Header2 2 12 2 6 3" xfId="26154"/>
    <cellStyle name="Header2 2 12 2 6 4" xfId="37319"/>
    <cellStyle name="Header2 2 12 2 6 5" xfId="48512"/>
    <cellStyle name="Header2 2 12 2 7" xfId="4422"/>
    <cellStyle name="Header2 2 12 2 7 2" xfId="15619"/>
    <cellStyle name="Header2 2 12 2 7 3" xfId="26787"/>
    <cellStyle name="Header2 2 12 2 7 4" xfId="37952"/>
    <cellStyle name="Header2 2 12 2 7 5" xfId="49145"/>
    <cellStyle name="Header2 2 12 2 8" xfId="5053"/>
    <cellStyle name="Header2 2 12 2 8 2" xfId="16250"/>
    <cellStyle name="Header2 2 12 2 8 3" xfId="27418"/>
    <cellStyle name="Header2 2 12 2 8 4" xfId="38583"/>
    <cellStyle name="Header2 2 12 2 8 5" xfId="49776"/>
    <cellStyle name="Header2 2 12 2 9" xfId="5681"/>
    <cellStyle name="Header2 2 12 2 9 2" xfId="16878"/>
    <cellStyle name="Header2 2 12 2 9 3" xfId="28046"/>
    <cellStyle name="Header2 2 12 2 9 4" xfId="39211"/>
    <cellStyle name="Header2 2 12 2 9 5" xfId="50404"/>
    <cellStyle name="Header2 2 12 20" xfId="6677"/>
    <cellStyle name="Header2 2 12 20 2" xfId="17874"/>
    <cellStyle name="Header2 2 12 20 3" xfId="29042"/>
    <cellStyle name="Header2 2 12 20 4" xfId="40207"/>
    <cellStyle name="Header2 2 12 20 5" xfId="51400"/>
    <cellStyle name="Header2 2 12 21" xfId="7310"/>
    <cellStyle name="Header2 2 12 21 2" xfId="18507"/>
    <cellStyle name="Header2 2 12 21 3" xfId="29675"/>
    <cellStyle name="Header2 2 12 21 4" xfId="40840"/>
    <cellStyle name="Header2 2 12 21 5" xfId="52033"/>
    <cellStyle name="Header2 2 12 22" xfId="7944"/>
    <cellStyle name="Header2 2 12 22 2" xfId="19141"/>
    <cellStyle name="Header2 2 12 22 3" xfId="30309"/>
    <cellStyle name="Header2 2 12 22 4" xfId="41474"/>
    <cellStyle name="Header2 2 12 22 5" xfId="52667"/>
    <cellStyle name="Header2 2 12 23" xfId="9070"/>
    <cellStyle name="Header2 2 12 23 2" xfId="20267"/>
    <cellStyle name="Header2 2 12 23 3" xfId="31435"/>
    <cellStyle name="Header2 2 12 23 4" xfId="42600"/>
    <cellStyle name="Header2 2 12 23 5" xfId="53793"/>
    <cellStyle name="Header2 2 12 24" xfId="9736"/>
    <cellStyle name="Header2 2 12 24 2" xfId="20933"/>
    <cellStyle name="Header2 2 12 24 3" xfId="32101"/>
    <cellStyle name="Header2 2 12 24 4" xfId="43266"/>
    <cellStyle name="Header2 2 12 24 5" xfId="54459"/>
    <cellStyle name="Header2 2 12 25" xfId="10661"/>
    <cellStyle name="Header2 2 12 25 2" xfId="21858"/>
    <cellStyle name="Header2 2 12 25 3" xfId="33026"/>
    <cellStyle name="Header2 2 12 25 4" xfId="44191"/>
    <cellStyle name="Header2 2 12 25 5" xfId="55384"/>
    <cellStyle name="Header2 2 12 26" xfId="11308"/>
    <cellStyle name="Header2 2 12 27" xfId="22478"/>
    <cellStyle name="Header2 2 12 28" xfId="33645"/>
    <cellStyle name="Header2 2 12 29" xfId="44830"/>
    <cellStyle name="Header2 2 12 3" xfId="227"/>
    <cellStyle name="Header2 2 12 3 10" xfId="6796"/>
    <cellStyle name="Header2 2 12 3 10 2" xfId="17993"/>
    <cellStyle name="Header2 2 12 3 10 3" xfId="29161"/>
    <cellStyle name="Header2 2 12 3 10 4" xfId="40326"/>
    <cellStyle name="Header2 2 12 3 10 5" xfId="51519"/>
    <cellStyle name="Header2 2 12 3 11" xfId="7430"/>
    <cellStyle name="Header2 2 12 3 11 2" xfId="18627"/>
    <cellStyle name="Header2 2 12 3 11 3" xfId="29795"/>
    <cellStyle name="Header2 2 12 3 11 4" xfId="40960"/>
    <cellStyle name="Header2 2 12 3 11 5" xfId="52153"/>
    <cellStyle name="Header2 2 12 3 12" xfId="8064"/>
    <cellStyle name="Header2 2 12 3 12 2" xfId="19261"/>
    <cellStyle name="Header2 2 12 3 12 3" xfId="30429"/>
    <cellStyle name="Header2 2 12 3 12 4" xfId="41594"/>
    <cellStyle name="Header2 2 12 3 12 5" xfId="52787"/>
    <cellStyle name="Header2 2 12 3 13" xfId="8644"/>
    <cellStyle name="Header2 2 12 3 13 2" xfId="19841"/>
    <cellStyle name="Header2 2 12 3 13 3" xfId="31009"/>
    <cellStyle name="Header2 2 12 3 13 4" xfId="42174"/>
    <cellStyle name="Header2 2 12 3 13 5" xfId="53367"/>
    <cellStyle name="Header2 2 12 3 14" xfId="10204"/>
    <cellStyle name="Header2 2 12 3 14 2" xfId="21401"/>
    <cellStyle name="Header2 2 12 3 14 3" xfId="32569"/>
    <cellStyle name="Header2 2 12 3 14 4" xfId="43734"/>
    <cellStyle name="Header2 2 12 3 14 5" xfId="54927"/>
    <cellStyle name="Header2 2 12 3 15" xfId="10780"/>
    <cellStyle name="Header2 2 12 3 15 2" xfId="21977"/>
    <cellStyle name="Header2 2 12 3 15 3" xfId="33145"/>
    <cellStyle name="Header2 2 12 3 15 4" xfId="44310"/>
    <cellStyle name="Header2 2 12 3 15 5" xfId="55503"/>
    <cellStyle name="Header2 2 12 3 16" xfId="11427"/>
    <cellStyle name="Header2 2 12 3 17" xfId="22597"/>
    <cellStyle name="Header2 2 12 3 18" xfId="33764"/>
    <cellStyle name="Header2 2 12 3 19" xfId="44950"/>
    <cellStyle name="Header2 2 12 3 2" xfId="876"/>
    <cellStyle name="Header2 2 12 3 2 2" xfId="12073"/>
    <cellStyle name="Header2 2 12 3 2 3" xfId="23241"/>
    <cellStyle name="Header2 2 12 3 2 4" xfId="34406"/>
    <cellStyle name="Header2 2 12 3 2 5" xfId="45599"/>
    <cellStyle name="Header2 2 12 3 3" xfId="1852"/>
    <cellStyle name="Header2 2 12 3 3 2" xfId="13049"/>
    <cellStyle name="Header2 2 12 3 3 3" xfId="24217"/>
    <cellStyle name="Header2 2 12 3 3 4" xfId="35382"/>
    <cellStyle name="Header2 2 12 3 3 5" xfId="46575"/>
    <cellStyle name="Header2 2 12 3 4" xfId="2039"/>
    <cellStyle name="Header2 2 12 3 4 2" xfId="13236"/>
    <cellStyle name="Header2 2 12 3 4 3" xfId="24404"/>
    <cellStyle name="Header2 2 12 3 4 4" xfId="35569"/>
    <cellStyle name="Header2 2 12 3 4 5" xfId="46762"/>
    <cellStyle name="Header2 2 12 3 5" xfId="3211"/>
    <cellStyle name="Header2 2 12 3 5 2" xfId="14408"/>
    <cellStyle name="Header2 2 12 3 5 3" xfId="25576"/>
    <cellStyle name="Header2 2 12 3 5 4" xfId="36741"/>
    <cellStyle name="Header2 2 12 3 5 5" xfId="47934"/>
    <cellStyle name="Header2 2 12 3 6" xfId="3845"/>
    <cellStyle name="Header2 2 12 3 6 2" xfId="15042"/>
    <cellStyle name="Header2 2 12 3 6 3" xfId="26210"/>
    <cellStyle name="Header2 2 12 3 6 4" xfId="37375"/>
    <cellStyle name="Header2 2 12 3 6 5" xfId="48568"/>
    <cellStyle name="Header2 2 12 3 7" xfId="4478"/>
    <cellStyle name="Header2 2 12 3 7 2" xfId="15675"/>
    <cellStyle name="Header2 2 12 3 7 3" xfId="26843"/>
    <cellStyle name="Header2 2 12 3 7 4" xfId="38008"/>
    <cellStyle name="Header2 2 12 3 7 5" xfId="49201"/>
    <cellStyle name="Header2 2 12 3 8" xfId="5109"/>
    <cellStyle name="Header2 2 12 3 8 2" xfId="16306"/>
    <cellStyle name="Header2 2 12 3 8 3" xfId="27474"/>
    <cellStyle name="Header2 2 12 3 8 4" xfId="38639"/>
    <cellStyle name="Header2 2 12 3 8 5" xfId="49832"/>
    <cellStyle name="Header2 2 12 3 9" xfId="5926"/>
    <cellStyle name="Header2 2 12 3 9 2" xfId="17123"/>
    <cellStyle name="Header2 2 12 3 9 3" xfId="28291"/>
    <cellStyle name="Header2 2 12 3 9 4" xfId="39456"/>
    <cellStyle name="Header2 2 12 3 9 5" xfId="50649"/>
    <cellStyle name="Header2 2 12 4" xfId="301"/>
    <cellStyle name="Header2 2 12 4 10" xfId="6870"/>
    <cellStyle name="Header2 2 12 4 10 2" xfId="18067"/>
    <cellStyle name="Header2 2 12 4 10 3" xfId="29235"/>
    <cellStyle name="Header2 2 12 4 10 4" xfId="40400"/>
    <cellStyle name="Header2 2 12 4 10 5" xfId="51593"/>
    <cellStyle name="Header2 2 12 4 11" xfId="7504"/>
    <cellStyle name="Header2 2 12 4 11 2" xfId="18701"/>
    <cellStyle name="Header2 2 12 4 11 3" xfId="29869"/>
    <cellStyle name="Header2 2 12 4 11 4" xfId="41034"/>
    <cellStyle name="Header2 2 12 4 11 5" xfId="52227"/>
    <cellStyle name="Header2 2 12 4 12" xfId="8138"/>
    <cellStyle name="Header2 2 12 4 12 2" xfId="19335"/>
    <cellStyle name="Header2 2 12 4 12 3" xfId="30503"/>
    <cellStyle name="Header2 2 12 4 12 4" xfId="41668"/>
    <cellStyle name="Header2 2 12 4 12 5" xfId="52861"/>
    <cellStyle name="Header2 2 12 4 13" xfId="9189"/>
    <cellStyle name="Header2 2 12 4 13 2" xfId="20386"/>
    <cellStyle name="Header2 2 12 4 13 3" xfId="31554"/>
    <cellStyle name="Header2 2 12 4 13 4" xfId="42719"/>
    <cellStyle name="Header2 2 12 4 13 5" xfId="53912"/>
    <cellStyle name="Header2 2 12 4 14" xfId="9836"/>
    <cellStyle name="Header2 2 12 4 14 2" xfId="21033"/>
    <cellStyle name="Header2 2 12 4 14 3" xfId="32201"/>
    <cellStyle name="Header2 2 12 4 14 4" xfId="43366"/>
    <cellStyle name="Header2 2 12 4 14 5" xfId="54559"/>
    <cellStyle name="Header2 2 12 4 15" xfId="10854"/>
    <cellStyle name="Header2 2 12 4 15 2" xfId="22051"/>
    <cellStyle name="Header2 2 12 4 15 3" xfId="33219"/>
    <cellStyle name="Header2 2 12 4 15 4" xfId="44384"/>
    <cellStyle name="Header2 2 12 4 15 5" xfId="55577"/>
    <cellStyle name="Header2 2 12 4 16" xfId="11501"/>
    <cellStyle name="Header2 2 12 4 17" xfId="22671"/>
    <cellStyle name="Header2 2 12 4 18" xfId="33838"/>
    <cellStyle name="Header2 2 12 4 19" xfId="45024"/>
    <cellStyle name="Header2 2 12 4 2" xfId="950"/>
    <cellStyle name="Header2 2 12 4 2 2" xfId="12147"/>
    <cellStyle name="Header2 2 12 4 2 3" xfId="23315"/>
    <cellStyle name="Header2 2 12 4 2 4" xfId="34480"/>
    <cellStyle name="Header2 2 12 4 2 5" xfId="45673"/>
    <cellStyle name="Header2 2 12 4 3" xfId="1436"/>
    <cellStyle name="Header2 2 12 4 3 2" xfId="12633"/>
    <cellStyle name="Header2 2 12 4 3 3" xfId="23801"/>
    <cellStyle name="Header2 2 12 4 3 4" xfId="34966"/>
    <cellStyle name="Header2 2 12 4 3 5" xfId="46159"/>
    <cellStyle name="Header2 2 12 4 4" xfId="2651"/>
    <cellStyle name="Header2 2 12 4 4 2" xfId="13848"/>
    <cellStyle name="Header2 2 12 4 4 3" xfId="25016"/>
    <cellStyle name="Header2 2 12 4 4 4" xfId="36181"/>
    <cellStyle name="Header2 2 12 4 4 5" xfId="47374"/>
    <cellStyle name="Header2 2 12 4 5" xfId="3285"/>
    <cellStyle name="Header2 2 12 4 5 2" xfId="14482"/>
    <cellStyle name="Header2 2 12 4 5 3" xfId="25650"/>
    <cellStyle name="Header2 2 12 4 5 4" xfId="36815"/>
    <cellStyle name="Header2 2 12 4 5 5" xfId="48008"/>
    <cellStyle name="Header2 2 12 4 6" xfId="3919"/>
    <cellStyle name="Header2 2 12 4 6 2" xfId="15116"/>
    <cellStyle name="Header2 2 12 4 6 3" xfId="26284"/>
    <cellStyle name="Header2 2 12 4 6 4" xfId="37449"/>
    <cellStyle name="Header2 2 12 4 6 5" xfId="48642"/>
    <cellStyle name="Header2 2 12 4 7" xfId="4552"/>
    <cellStyle name="Header2 2 12 4 7 2" xfId="15749"/>
    <cellStyle name="Header2 2 12 4 7 3" xfId="26917"/>
    <cellStyle name="Header2 2 12 4 7 4" xfId="38082"/>
    <cellStyle name="Header2 2 12 4 7 5" xfId="49275"/>
    <cellStyle name="Header2 2 12 4 8" xfId="5183"/>
    <cellStyle name="Header2 2 12 4 8 2" xfId="16380"/>
    <cellStyle name="Header2 2 12 4 8 3" xfId="27548"/>
    <cellStyle name="Header2 2 12 4 8 4" xfId="38713"/>
    <cellStyle name="Header2 2 12 4 8 5" xfId="49906"/>
    <cellStyle name="Header2 2 12 4 9" xfId="6237"/>
    <cellStyle name="Header2 2 12 4 9 2" xfId="17434"/>
    <cellStyle name="Header2 2 12 4 9 3" xfId="28602"/>
    <cellStyle name="Header2 2 12 4 9 4" xfId="39767"/>
    <cellStyle name="Header2 2 12 4 9 5" xfId="50960"/>
    <cellStyle name="Header2 2 12 5" xfId="342"/>
    <cellStyle name="Header2 2 12 5 10" xfId="6911"/>
    <cellStyle name="Header2 2 12 5 10 2" xfId="18108"/>
    <cellStyle name="Header2 2 12 5 10 3" xfId="29276"/>
    <cellStyle name="Header2 2 12 5 10 4" xfId="40441"/>
    <cellStyle name="Header2 2 12 5 10 5" xfId="51634"/>
    <cellStyle name="Header2 2 12 5 11" xfId="7545"/>
    <cellStyle name="Header2 2 12 5 11 2" xfId="18742"/>
    <cellStyle name="Header2 2 12 5 11 3" xfId="29910"/>
    <cellStyle name="Header2 2 12 5 11 4" xfId="41075"/>
    <cellStyle name="Header2 2 12 5 11 5" xfId="52268"/>
    <cellStyle name="Header2 2 12 5 12" xfId="8179"/>
    <cellStyle name="Header2 2 12 5 12 2" xfId="19376"/>
    <cellStyle name="Header2 2 12 5 12 3" xfId="30544"/>
    <cellStyle name="Header2 2 12 5 12 4" xfId="41709"/>
    <cellStyle name="Header2 2 12 5 12 5" xfId="52902"/>
    <cellStyle name="Header2 2 12 5 13" xfId="9230"/>
    <cellStyle name="Header2 2 12 5 13 2" xfId="20427"/>
    <cellStyle name="Header2 2 12 5 13 3" xfId="31595"/>
    <cellStyle name="Header2 2 12 5 13 4" xfId="42760"/>
    <cellStyle name="Header2 2 12 5 13 5" xfId="53953"/>
    <cellStyle name="Header2 2 12 5 14" xfId="10331"/>
    <cellStyle name="Header2 2 12 5 14 2" xfId="21528"/>
    <cellStyle name="Header2 2 12 5 14 3" xfId="32696"/>
    <cellStyle name="Header2 2 12 5 14 4" xfId="43861"/>
    <cellStyle name="Header2 2 12 5 14 5" xfId="55054"/>
    <cellStyle name="Header2 2 12 5 15" xfId="10895"/>
    <cellStyle name="Header2 2 12 5 15 2" xfId="22092"/>
    <cellStyle name="Header2 2 12 5 15 3" xfId="33260"/>
    <cellStyle name="Header2 2 12 5 15 4" xfId="44425"/>
    <cellStyle name="Header2 2 12 5 15 5" xfId="55618"/>
    <cellStyle name="Header2 2 12 5 16" xfId="11542"/>
    <cellStyle name="Header2 2 12 5 17" xfId="22712"/>
    <cellStyle name="Header2 2 12 5 18" xfId="33879"/>
    <cellStyle name="Header2 2 12 5 19" xfId="45065"/>
    <cellStyle name="Header2 2 12 5 2" xfId="991"/>
    <cellStyle name="Header2 2 12 5 2 2" xfId="12188"/>
    <cellStyle name="Header2 2 12 5 2 3" xfId="23356"/>
    <cellStyle name="Header2 2 12 5 2 4" xfId="34521"/>
    <cellStyle name="Header2 2 12 5 2 5" xfId="45714"/>
    <cellStyle name="Header2 2 12 5 3" xfId="1708"/>
    <cellStyle name="Header2 2 12 5 3 2" xfId="12905"/>
    <cellStyle name="Header2 2 12 5 3 3" xfId="24073"/>
    <cellStyle name="Header2 2 12 5 3 4" xfId="35238"/>
    <cellStyle name="Header2 2 12 5 3 5" xfId="46431"/>
    <cellStyle name="Header2 2 12 5 4" xfId="2692"/>
    <cellStyle name="Header2 2 12 5 4 2" xfId="13889"/>
    <cellStyle name="Header2 2 12 5 4 3" xfId="25057"/>
    <cellStyle name="Header2 2 12 5 4 4" xfId="36222"/>
    <cellStyle name="Header2 2 12 5 4 5" xfId="47415"/>
    <cellStyle name="Header2 2 12 5 5" xfId="3326"/>
    <cellStyle name="Header2 2 12 5 5 2" xfId="14523"/>
    <cellStyle name="Header2 2 12 5 5 3" xfId="25691"/>
    <cellStyle name="Header2 2 12 5 5 4" xfId="36856"/>
    <cellStyle name="Header2 2 12 5 5 5" xfId="48049"/>
    <cellStyle name="Header2 2 12 5 6" xfId="3960"/>
    <cellStyle name="Header2 2 12 5 6 2" xfId="15157"/>
    <cellStyle name="Header2 2 12 5 6 3" xfId="26325"/>
    <cellStyle name="Header2 2 12 5 6 4" xfId="37490"/>
    <cellStyle name="Header2 2 12 5 6 5" xfId="48683"/>
    <cellStyle name="Header2 2 12 5 7" xfId="4593"/>
    <cellStyle name="Header2 2 12 5 7 2" xfId="15790"/>
    <cellStyle name="Header2 2 12 5 7 3" xfId="26958"/>
    <cellStyle name="Header2 2 12 5 7 4" xfId="38123"/>
    <cellStyle name="Header2 2 12 5 7 5" xfId="49316"/>
    <cellStyle name="Header2 2 12 5 8" xfId="5224"/>
    <cellStyle name="Header2 2 12 5 8 2" xfId="16421"/>
    <cellStyle name="Header2 2 12 5 8 3" xfId="27589"/>
    <cellStyle name="Header2 2 12 5 8 4" xfId="38754"/>
    <cellStyle name="Header2 2 12 5 8 5" xfId="49947"/>
    <cellStyle name="Header2 2 12 5 9" xfId="6278"/>
    <cellStyle name="Header2 2 12 5 9 2" xfId="17475"/>
    <cellStyle name="Header2 2 12 5 9 3" xfId="28643"/>
    <cellStyle name="Header2 2 12 5 9 4" xfId="39808"/>
    <cellStyle name="Header2 2 12 5 9 5" xfId="51001"/>
    <cellStyle name="Header2 2 12 6" xfId="406"/>
    <cellStyle name="Header2 2 12 6 10" xfId="6975"/>
    <cellStyle name="Header2 2 12 6 10 2" xfId="18172"/>
    <cellStyle name="Header2 2 12 6 10 3" xfId="29340"/>
    <cellStyle name="Header2 2 12 6 10 4" xfId="40505"/>
    <cellStyle name="Header2 2 12 6 10 5" xfId="51698"/>
    <cellStyle name="Header2 2 12 6 11" xfId="7609"/>
    <cellStyle name="Header2 2 12 6 11 2" xfId="18806"/>
    <cellStyle name="Header2 2 12 6 11 3" xfId="29974"/>
    <cellStyle name="Header2 2 12 6 11 4" xfId="41139"/>
    <cellStyle name="Header2 2 12 6 11 5" xfId="52332"/>
    <cellStyle name="Header2 2 12 6 12" xfId="8243"/>
    <cellStyle name="Header2 2 12 6 12 2" xfId="19440"/>
    <cellStyle name="Header2 2 12 6 12 3" xfId="30608"/>
    <cellStyle name="Header2 2 12 6 12 4" xfId="41773"/>
    <cellStyle name="Header2 2 12 6 12 5" xfId="52966"/>
    <cellStyle name="Header2 2 12 6 13" xfId="9294"/>
    <cellStyle name="Header2 2 12 6 13 2" xfId="20491"/>
    <cellStyle name="Header2 2 12 6 13 3" xfId="31659"/>
    <cellStyle name="Header2 2 12 6 13 4" xfId="42824"/>
    <cellStyle name="Header2 2 12 6 13 5" xfId="54017"/>
    <cellStyle name="Header2 2 12 6 14" xfId="10510"/>
    <cellStyle name="Header2 2 12 6 14 2" xfId="21707"/>
    <cellStyle name="Header2 2 12 6 14 3" xfId="32875"/>
    <cellStyle name="Header2 2 12 6 14 4" xfId="44040"/>
    <cellStyle name="Header2 2 12 6 14 5" xfId="55233"/>
    <cellStyle name="Header2 2 12 6 15" xfId="10959"/>
    <cellStyle name="Header2 2 12 6 15 2" xfId="22156"/>
    <cellStyle name="Header2 2 12 6 15 3" xfId="33324"/>
    <cellStyle name="Header2 2 12 6 15 4" xfId="44489"/>
    <cellStyle name="Header2 2 12 6 15 5" xfId="55682"/>
    <cellStyle name="Header2 2 12 6 16" xfId="11606"/>
    <cellStyle name="Header2 2 12 6 17" xfId="22776"/>
    <cellStyle name="Header2 2 12 6 18" xfId="33943"/>
    <cellStyle name="Header2 2 12 6 19" xfId="45129"/>
    <cellStyle name="Header2 2 12 6 2" xfId="1055"/>
    <cellStyle name="Header2 2 12 6 2 2" xfId="12252"/>
    <cellStyle name="Header2 2 12 6 2 3" xfId="23420"/>
    <cellStyle name="Header2 2 12 6 2 4" xfId="34585"/>
    <cellStyle name="Header2 2 12 6 2 5" xfId="45778"/>
    <cellStyle name="Header2 2 12 6 3" xfId="1807"/>
    <cellStyle name="Header2 2 12 6 3 2" xfId="13004"/>
    <cellStyle name="Header2 2 12 6 3 3" xfId="24172"/>
    <cellStyle name="Header2 2 12 6 3 4" xfId="35337"/>
    <cellStyle name="Header2 2 12 6 3 5" xfId="46530"/>
    <cellStyle name="Header2 2 12 6 4" xfId="2756"/>
    <cellStyle name="Header2 2 12 6 4 2" xfId="13953"/>
    <cellStyle name="Header2 2 12 6 4 3" xfId="25121"/>
    <cellStyle name="Header2 2 12 6 4 4" xfId="36286"/>
    <cellStyle name="Header2 2 12 6 4 5" xfId="47479"/>
    <cellStyle name="Header2 2 12 6 5" xfId="3390"/>
    <cellStyle name="Header2 2 12 6 5 2" xfId="14587"/>
    <cellStyle name="Header2 2 12 6 5 3" xfId="25755"/>
    <cellStyle name="Header2 2 12 6 5 4" xfId="36920"/>
    <cellStyle name="Header2 2 12 6 5 5" xfId="48113"/>
    <cellStyle name="Header2 2 12 6 6" xfId="4024"/>
    <cellStyle name="Header2 2 12 6 6 2" xfId="15221"/>
    <cellStyle name="Header2 2 12 6 6 3" xfId="26389"/>
    <cellStyle name="Header2 2 12 6 6 4" xfId="37554"/>
    <cellStyle name="Header2 2 12 6 6 5" xfId="48747"/>
    <cellStyle name="Header2 2 12 6 7" xfId="4657"/>
    <cellStyle name="Header2 2 12 6 7 2" xfId="15854"/>
    <cellStyle name="Header2 2 12 6 7 3" xfId="27022"/>
    <cellStyle name="Header2 2 12 6 7 4" xfId="38187"/>
    <cellStyle name="Header2 2 12 6 7 5" xfId="49380"/>
    <cellStyle name="Header2 2 12 6 8" xfId="5288"/>
    <cellStyle name="Header2 2 12 6 8 2" xfId="16485"/>
    <cellStyle name="Header2 2 12 6 8 3" xfId="27653"/>
    <cellStyle name="Header2 2 12 6 8 4" xfId="38818"/>
    <cellStyle name="Header2 2 12 6 8 5" xfId="50011"/>
    <cellStyle name="Header2 2 12 6 9" xfId="6342"/>
    <cellStyle name="Header2 2 12 6 9 2" xfId="17539"/>
    <cellStyle name="Header2 2 12 6 9 3" xfId="28707"/>
    <cellStyle name="Header2 2 12 6 9 4" xfId="39872"/>
    <cellStyle name="Header2 2 12 6 9 5" xfId="51065"/>
    <cellStyle name="Header2 2 12 7" xfId="469"/>
    <cellStyle name="Header2 2 12 7 10" xfId="7038"/>
    <cellStyle name="Header2 2 12 7 10 2" xfId="18235"/>
    <cellStyle name="Header2 2 12 7 10 3" xfId="29403"/>
    <cellStyle name="Header2 2 12 7 10 4" xfId="40568"/>
    <cellStyle name="Header2 2 12 7 10 5" xfId="51761"/>
    <cellStyle name="Header2 2 12 7 11" xfId="7672"/>
    <cellStyle name="Header2 2 12 7 11 2" xfId="18869"/>
    <cellStyle name="Header2 2 12 7 11 3" xfId="30037"/>
    <cellStyle name="Header2 2 12 7 11 4" xfId="41202"/>
    <cellStyle name="Header2 2 12 7 11 5" xfId="52395"/>
    <cellStyle name="Header2 2 12 7 12" xfId="8306"/>
    <cellStyle name="Header2 2 12 7 12 2" xfId="19503"/>
    <cellStyle name="Header2 2 12 7 12 3" xfId="30671"/>
    <cellStyle name="Header2 2 12 7 12 4" xfId="41836"/>
    <cellStyle name="Header2 2 12 7 12 5" xfId="53029"/>
    <cellStyle name="Header2 2 12 7 13" xfId="9357"/>
    <cellStyle name="Header2 2 12 7 13 2" xfId="20554"/>
    <cellStyle name="Header2 2 12 7 13 3" xfId="31722"/>
    <cellStyle name="Header2 2 12 7 13 4" xfId="42887"/>
    <cellStyle name="Header2 2 12 7 13 5" xfId="54080"/>
    <cellStyle name="Header2 2 12 7 14" xfId="10602"/>
    <cellStyle name="Header2 2 12 7 14 2" xfId="21799"/>
    <cellStyle name="Header2 2 12 7 14 3" xfId="32967"/>
    <cellStyle name="Header2 2 12 7 14 4" xfId="44132"/>
    <cellStyle name="Header2 2 12 7 14 5" xfId="55325"/>
    <cellStyle name="Header2 2 12 7 15" xfId="11022"/>
    <cellStyle name="Header2 2 12 7 15 2" xfId="22219"/>
    <cellStyle name="Header2 2 12 7 15 3" xfId="33387"/>
    <cellStyle name="Header2 2 12 7 15 4" xfId="44552"/>
    <cellStyle name="Header2 2 12 7 15 5" xfId="55745"/>
    <cellStyle name="Header2 2 12 7 16" xfId="11669"/>
    <cellStyle name="Header2 2 12 7 17" xfId="22839"/>
    <cellStyle name="Header2 2 12 7 18" xfId="34006"/>
    <cellStyle name="Header2 2 12 7 19" xfId="45192"/>
    <cellStyle name="Header2 2 12 7 2" xfId="1118"/>
    <cellStyle name="Header2 2 12 7 2 2" xfId="12315"/>
    <cellStyle name="Header2 2 12 7 2 3" xfId="23483"/>
    <cellStyle name="Header2 2 12 7 2 4" xfId="34648"/>
    <cellStyle name="Header2 2 12 7 2 5" xfId="45841"/>
    <cellStyle name="Header2 2 12 7 3" xfId="1901"/>
    <cellStyle name="Header2 2 12 7 3 2" xfId="13098"/>
    <cellStyle name="Header2 2 12 7 3 3" xfId="24266"/>
    <cellStyle name="Header2 2 12 7 3 4" xfId="35431"/>
    <cellStyle name="Header2 2 12 7 3 5" xfId="46624"/>
    <cellStyle name="Header2 2 12 7 4" xfId="2819"/>
    <cellStyle name="Header2 2 12 7 4 2" xfId="14016"/>
    <cellStyle name="Header2 2 12 7 4 3" xfId="25184"/>
    <cellStyle name="Header2 2 12 7 4 4" xfId="36349"/>
    <cellStyle name="Header2 2 12 7 4 5" xfId="47542"/>
    <cellStyle name="Header2 2 12 7 5" xfId="3453"/>
    <cellStyle name="Header2 2 12 7 5 2" xfId="14650"/>
    <cellStyle name="Header2 2 12 7 5 3" xfId="25818"/>
    <cellStyle name="Header2 2 12 7 5 4" xfId="36983"/>
    <cellStyle name="Header2 2 12 7 5 5" xfId="48176"/>
    <cellStyle name="Header2 2 12 7 6" xfId="4087"/>
    <cellStyle name="Header2 2 12 7 6 2" xfId="15284"/>
    <cellStyle name="Header2 2 12 7 6 3" xfId="26452"/>
    <cellStyle name="Header2 2 12 7 6 4" xfId="37617"/>
    <cellStyle name="Header2 2 12 7 6 5" xfId="48810"/>
    <cellStyle name="Header2 2 12 7 7" xfId="4720"/>
    <cellStyle name="Header2 2 12 7 7 2" xfId="15917"/>
    <cellStyle name="Header2 2 12 7 7 3" xfId="27085"/>
    <cellStyle name="Header2 2 12 7 7 4" xfId="38250"/>
    <cellStyle name="Header2 2 12 7 7 5" xfId="49443"/>
    <cellStyle name="Header2 2 12 7 8" xfId="5351"/>
    <cellStyle name="Header2 2 12 7 8 2" xfId="16548"/>
    <cellStyle name="Header2 2 12 7 8 3" xfId="27716"/>
    <cellStyle name="Header2 2 12 7 8 4" xfId="38881"/>
    <cellStyle name="Header2 2 12 7 8 5" xfId="50074"/>
    <cellStyle name="Header2 2 12 7 9" xfId="6405"/>
    <cellStyle name="Header2 2 12 7 9 2" xfId="17602"/>
    <cellStyle name="Header2 2 12 7 9 3" xfId="28770"/>
    <cellStyle name="Header2 2 12 7 9 4" xfId="39935"/>
    <cellStyle name="Header2 2 12 7 9 5" xfId="51128"/>
    <cellStyle name="Header2 2 12 8" xfId="516"/>
    <cellStyle name="Header2 2 12 8 10" xfId="7085"/>
    <cellStyle name="Header2 2 12 8 10 2" xfId="18282"/>
    <cellStyle name="Header2 2 12 8 10 3" xfId="29450"/>
    <cellStyle name="Header2 2 12 8 10 4" xfId="40615"/>
    <cellStyle name="Header2 2 12 8 10 5" xfId="51808"/>
    <cellStyle name="Header2 2 12 8 11" xfId="7719"/>
    <cellStyle name="Header2 2 12 8 11 2" xfId="18916"/>
    <cellStyle name="Header2 2 12 8 11 3" xfId="30084"/>
    <cellStyle name="Header2 2 12 8 11 4" xfId="41249"/>
    <cellStyle name="Header2 2 12 8 11 5" xfId="52442"/>
    <cellStyle name="Header2 2 12 8 12" xfId="8353"/>
    <cellStyle name="Header2 2 12 8 12 2" xfId="19550"/>
    <cellStyle name="Header2 2 12 8 12 3" xfId="30718"/>
    <cellStyle name="Header2 2 12 8 12 4" xfId="41883"/>
    <cellStyle name="Header2 2 12 8 12 5" xfId="53076"/>
    <cellStyle name="Header2 2 12 8 13" xfId="9404"/>
    <cellStyle name="Header2 2 12 8 13 2" xfId="20601"/>
    <cellStyle name="Header2 2 12 8 13 3" xfId="31769"/>
    <cellStyle name="Header2 2 12 8 13 4" xfId="42934"/>
    <cellStyle name="Header2 2 12 8 13 5" xfId="54127"/>
    <cellStyle name="Header2 2 12 8 14" xfId="9810"/>
    <cellStyle name="Header2 2 12 8 14 2" xfId="21007"/>
    <cellStyle name="Header2 2 12 8 14 3" xfId="32175"/>
    <cellStyle name="Header2 2 12 8 14 4" xfId="43340"/>
    <cellStyle name="Header2 2 12 8 14 5" xfId="54533"/>
    <cellStyle name="Header2 2 12 8 15" xfId="11069"/>
    <cellStyle name="Header2 2 12 8 15 2" xfId="22266"/>
    <cellStyle name="Header2 2 12 8 15 3" xfId="33434"/>
    <cellStyle name="Header2 2 12 8 15 4" xfId="44599"/>
    <cellStyle name="Header2 2 12 8 15 5" xfId="55792"/>
    <cellStyle name="Header2 2 12 8 16" xfId="11716"/>
    <cellStyle name="Header2 2 12 8 17" xfId="22886"/>
    <cellStyle name="Header2 2 12 8 18" xfId="34053"/>
    <cellStyle name="Header2 2 12 8 19" xfId="45239"/>
    <cellStyle name="Header2 2 12 8 2" xfId="1165"/>
    <cellStyle name="Header2 2 12 8 2 2" xfId="12362"/>
    <cellStyle name="Header2 2 12 8 2 3" xfId="23530"/>
    <cellStyle name="Header2 2 12 8 2 4" xfId="34695"/>
    <cellStyle name="Header2 2 12 8 2 5" xfId="45888"/>
    <cellStyle name="Header2 2 12 8 3" xfId="1447"/>
    <cellStyle name="Header2 2 12 8 3 2" xfId="12644"/>
    <cellStyle name="Header2 2 12 8 3 3" xfId="23812"/>
    <cellStyle name="Header2 2 12 8 3 4" xfId="34977"/>
    <cellStyle name="Header2 2 12 8 3 5" xfId="46170"/>
    <cellStyle name="Header2 2 12 8 4" xfId="2866"/>
    <cellStyle name="Header2 2 12 8 4 2" xfId="14063"/>
    <cellStyle name="Header2 2 12 8 4 3" xfId="25231"/>
    <cellStyle name="Header2 2 12 8 4 4" xfId="36396"/>
    <cellStyle name="Header2 2 12 8 4 5" xfId="47589"/>
    <cellStyle name="Header2 2 12 8 5" xfId="3500"/>
    <cellStyle name="Header2 2 12 8 5 2" xfId="14697"/>
    <cellStyle name="Header2 2 12 8 5 3" xfId="25865"/>
    <cellStyle name="Header2 2 12 8 5 4" xfId="37030"/>
    <cellStyle name="Header2 2 12 8 5 5" xfId="48223"/>
    <cellStyle name="Header2 2 12 8 6" xfId="4134"/>
    <cellStyle name="Header2 2 12 8 6 2" xfId="15331"/>
    <cellStyle name="Header2 2 12 8 6 3" xfId="26499"/>
    <cellStyle name="Header2 2 12 8 6 4" xfId="37664"/>
    <cellStyle name="Header2 2 12 8 6 5" xfId="48857"/>
    <cellStyle name="Header2 2 12 8 7" xfId="4767"/>
    <cellStyle name="Header2 2 12 8 7 2" xfId="15964"/>
    <cellStyle name="Header2 2 12 8 7 3" xfId="27132"/>
    <cellStyle name="Header2 2 12 8 7 4" xfId="38297"/>
    <cellStyle name="Header2 2 12 8 7 5" xfId="49490"/>
    <cellStyle name="Header2 2 12 8 8" xfId="5398"/>
    <cellStyle name="Header2 2 12 8 8 2" xfId="16595"/>
    <cellStyle name="Header2 2 12 8 8 3" xfId="27763"/>
    <cellStyle name="Header2 2 12 8 8 4" xfId="38928"/>
    <cellStyle name="Header2 2 12 8 8 5" xfId="50121"/>
    <cellStyle name="Header2 2 12 8 9" xfId="6452"/>
    <cellStyle name="Header2 2 12 8 9 2" xfId="17649"/>
    <cellStyle name="Header2 2 12 8 9 3" xfId="28817"/>
    <cellStyle name="Header2 2 12 8 9 4" xfId="39982"/>
    <cellStyle name="Header2 2 12 8 9 5" xfId="51175"/>
    <cellStyle name="Header2 2 12 9" xfId="574"/>
    <cellStyle name="Header2 2 12 9 10" xfId="7143"/>
    <cellStyle name="Header2 2 12 9 10 2" xfId="18340"/>
    <cellStyle name="Header2 2 12 9 10 3" xfId="29508"/>
    <cellStyle name="Header2 2 12 9 10 4" xfId="40673"/>
    <cellStyle name="Header2 2 12 9 10 5" xfId="51866"/>
    <cellStyle name="Header2 2 12 9 11" xfId="7777"/>
    <cellStyle name="Header2 2 12 9 11 2" xfId="18974"/>
    <cellStyle name="Header2 2 12 9 11 3" xfId="30142"/>
    <cellStyle name="Header2 2 12 9 11 4" xfId="41307"/>
    <cellStyle name="Header2 2 12 9 11 5" xfId="52500"/>
    <cellStyle name="Header2 2 12 9 12" xfId="8411"/>
    <cellStyle name="Header2 2 12 9 12 2" xfId="19608"/>
    <cellStyle name="Header2 2 12 9 12 3" xfId="30776"/>
    <cellStyle name="Header2 2 12 9 12 4" xfId="41941"/>
    <cellStyle name="Header2 2 12 9 12 5" xfId="53134"/>
    <cellStyle name="Header2 2 12 9 13" xfId="9462"/>
    <cellStyle name="Header2 2 12 9 13 2" xfId="20659"/>
    <cellStyle name="Header2 2 12 9 13 3" xfId="31827"/>
    <cellStyle name="Header2 2 12 9 13 4" xfId="42992"/>
    <cellStyle name="Header2 2 12 9 13 5" xfId="54185"/>
    <cellStyle name="Header2 2 12 9 14" xfId="10541"/>
    <cellStyle name="Header2 2 12 9 14 2" xfId="21738"/>
    <cellStyle name="Header2 2 12 9 14 3" xfId="32906"/>
    <cellStyle name="Header2 2 12 9 14 4" xfId="44071"/>
    <cellStyle name="Header2 2 12 9 14 5" xfId="55264"/>
    <cellStyle name="Header2 2 12 9 15" xfId="11127"/>
    <cellStyle name="Header2 2 12 9 15 2" xfId="22324"/>
    <cellStyle name="Header2 2 12 9 15 3" xfId="33492"/>
    <cellStyle name="Header2 2 12 9 15 4" xfId="44657"/>
    <cellStyle name="Header2 2 12 9 15 5" xfId="55850"/>
    <cellStyle name="Header2 2 12 9 16" xfId="11774"/>
    <cellStyle name="Header2 2 12 9 17" xfId="22944"/>
    <cellStyle name="Header2 2 12 9 18" xfId="34111"/>
    <cellStyle name="Header2 2 12 9 19" xfId="45297"/>
    <cellStyle name="Header2 2 12 9 2" xfId="1223"/>
    <cellStyle name="Header2 2 12 9 2 2" xfId="12420"/>
    <cellStyle name="Header2 2 12 9 2 3" xfId="23588"/>
    <cellStyle name="Header2 2 12 9 2 4" xfId="34753"/>
    <cellStyle name="Header2 2 12 9 2 5" xfId="45946"/>
    <cellStyle name="Header2 2 12 9 3" xfId="1368"/>
    <cellStyle name="Header2 2 12 9 3 2" xfId="12565"/>
    <cellStyle name="Header2 2 12 9 3 3" xfId="23733"/>
    <cellStyle name="Header2 2 12 9 3 4" xfId="34898"/>
    <cellStyle name="Header2 2 12 9 3 5" xfId="46091"/>
    <cellStyle name="Header2 2 12 9 4" xfId="2924"/>
    <cellStyle name="Header2 2 12 9 4 2" xfId="14121"/>
    <cellStyle name="Header2 2 12 9 4 3" xfId="25289"/>
    <cellStyle name="Header2 2 12 9 4 4" xfId="36454"/>
    <cellStyle name="Header2 2 12 9 4 5" xfId="47647"/>
    <cellStyle name="Header2 2 12 9 5" xfId="3558"/>
    <cellStyle name="Header2 2 12 9 5 2" xfId="14755"/>
    <cellStyle name="Header2 2 12 9 5 3" xfId="25923"/>
    <cellStyle name="Header2 2 12 9 5 4" xfId="37088"/>
    <cellStyle name="Header2 2 12 9 5 5" xfId="48281"/>
    <cellStyle name="Header2 2 12 9 6" xfId="4192"/>
    <cellStyle name="Header2 2 12 9 6 2" xfId="15389"/>
    <cellStyle name="Header2 2 12 9 6 3" xfId="26557"/>
    <cellStyle name="Header2 2 12 9 6 4" xfId="37722"/>
    <cellStyle name="Header2 2 12 9 6 5" xfId="48915"/>
    <cellStyle name="Header2 2 12 9 7" xfId="4825"/>
    <cellStyle name="Header2 2 12 9 7 2" xfId="16022"/>
    <cellStyle name="Header2 2 12 9 7 3" xfId="27190"/>
    <cellStyle name="Header2 2 12 9 7 4" xfId="38355"/>
    <cellStyle name="Header2 2 12 9 7 5" xfId="49548"/>
    <cellStyle name="Header2 2 12 9 8" xfId="5456"/>
    <cellStyle name="Header2 2 12 9 8 2" xfId="16653"/>
    <cellStyle name="Header2 2 12 9 8 3" xfId="27821"/>
    <cellStyle name="Header2 2 12 9 8 4" xfId="38986"/>
    <cellStyle name="Header2 2 12 9 8 5" xfId="50179"/>
    <cellStyle name="Header2 2 12 9 9" xfId="6510"/>
    <cellStyle name="Header2 2 12 9 9 2" xfId="17707"/>
    <cellStyle name="Header2 2 12 9 9 3" xfId="28875"/>
    <cellStyle name="Header2 2 12 9 9 4" xfId="40040"/>
    <cellStyle name="Header2 2 12 9 9 5" xfId="51233"/>
    <cellStyle name="Header2 2 13" xfId="113"/>
    <cellStyle name="Header2 2 13 10" xfId="640"/>
    <cellStyle name="Header2 2 13 10 10" xfId="7209"/>
    <cellStyle name="Header2 2 13 10 10 2" xfId="18406"/>
    <cellStyle name="Header2 2 13 10 10 3" xfId="29574"/>
    <cellStyle name="Header2 2 13 10 10 4" xfId="40739"/>
    <cellStyle name="Header2 2 13 10 10 5" xfId="51932"/>
    <cellStyle name="Header2 2 13 10 11" xfId="7843"/>
    <cellStyle name="Header2 2 13 10 11 2" xfId="19040"/>
    <cellStyle name="Header2 2 13 10 11 3" xfId="30208"/>
    <cellStyle name="Header2 2 13 10 11 4" xfId="41373"/>
    <cellStyle name="Header2 2 13 10 11 5" xfId="52566"/>
    <cellStyle name="Header2 2 13 10 12" xfId="8477"/>
    <cellStyle name="Header2 2 13 10 12 2" xfId="19674"/>
    <cellStyle name="Header2 2 13 10 12 3" xfId="30842"/>
    <cellStyle name="Header2 2 13 10 12 4" xfId="42007"/>
    <cellStyle name="Header2 2 13 10 12 5" xfId="53200"/>
    <cellStyle name="Header2 2 13 10 13" xfId="9528"/>
    <cellStyle name="Header2 2 13 10 13 2" xfId="20725"/>
    <cellStyle name="Header2 2 13 10 13 3" xfId="31893"/>
    <cellStyle name="Header2 2 13 10 13 4" xfId="43058"/>
    <cellStyle name="Header2 2 13 10 13 5" xfId="54251"/>
    <cellStyle name="Header2 2 13 10 14" xfId="10614"/>
    <cellStyle name="Header2 2 13 10 14 2" xfId="21811"/>
    <cellStyle name="Header2 2 13 10 14 3" xfId="32979"/>
    <cellStyle name="Header2 2 13 10 14 4" xfId="44144"/>
    <cellStyle name="Header2 2 13 10 14 5" xfId="55337"/>
    <cellStyle name="Header2 2 13 10 15" xfId="11193"/>
    <cellStyle name="Header2 2 13 10 15 2" xfId="22390"/>
    <cellStyle name="Header2 2 13 10 15 3" xfId="33558"/>
    <cellStyle name="Header2 2 13 10 15 4" xfId="44723"/>
    <cellStyle name="Header2 2 13 10 15 5" xfId="55916"/>
    <cellStyle name="Header2 2 13 10 16" xfId="11840"/>
    <cellStyle name="Header2 2 13 10 17" xfId="23010"/>
    <cellStyle name="Header2 2 13 10 18" xfId="34177"/>
    <cellStyle name="Header2 2 13 10 19" xfId="45363"/>
    <cellStyle name="Header2 2 13 10 2" xfId="1289"/>
    <cellStyle name="Header2 2 13 10 2 2" xfId="12486"/>
    <cellStyle name="Header2 2 13 10 2 3" xfId="23654"/>
    <cellStyle name="Header2 2 13 10 2 4" xfId="34819"/>
    <cellStyle name="Header2 2 13 10 2 5" xfId="46012"/>
    <cellStyle name="Header2 2 13 10 3" xfId="1825"/>
    <cellStyle name="Header2 2 13 10 3 2" xfId="13022"/>
    <cellStyle name="Header2 2 13 10 3 3" xfId="24190"/>
    <cellStyle name="Header2 2 13 10 3 4" xfId="35355"/>
    <cellStyle name="Header2 2 13 10 3 5" xfId="46548"/>
    <cellStyle name="Header2 2 13 10 4" xfId="2990"/>
    <cellStyle name="Header2 2 13 10 4 2" xfId="14187"/>
    <cellStyle name="Header2 2 13 10 4 3" xfId="25355"/>
    <cellStyle name="Header2 2 13 10 4 4" xfId="36520"/>
    <cellStyle name="Header2 2 13 10 4 5" xfId="47713"/>
    <cellStyle name="Header2 2 13 10 5" xfId="3624"/>
    <cellStyle name="Header2 2 13 10 5 2" xfId="14821"/>
    <cellStyle name="Header2 2 13 10 5 3" xfId="25989"/>
    <cellStyle name="Header2 2 13 10 5 4" xfId="37154"/>
    <cellStyle name="Header2 2 13 10 5 5" xfId="48347"/>
    <cellStyle name="Header2 2 13 10 6" xfId="4258"/>
    <cellStyle name="Header2 2 13 10 6 2" xfId="15455"/>
    <cellStyle name="Header2 2 13 10 6 3" xfId="26623"/>
    <cellStyle name="Header2 2 13 10 6 4" xfId="37788"/>
    <cellStyle name="Header2 2 13 10 6 5" xfId="48981"/>
    <cellStyle name="Header2 2 13 10 7" xfId="4891"/>
    <cellStyle name="Header2 2 13 10 7 2" xfId="16088"/>
    <cellStyle name="Header2 2 13 10 7 3" xfId="27256"/>
    <cellStyle name="Header2 2 13 10 7 4" xfId="38421"/>
    <cellStyle name="Header2 2 13 10 7 5" xfId="49614"/>
    <cellStyle name="Header2 2 13 10 8" xfId="5522"/>
    <cellStyle name="Header2 2 13 10 8 2" xfId="16719"/>
    <cellStyle name="Header2 2 13 10 8 3" xfId="27887"/>
    <cellStyle name="Header2 2 13 10 8 4" xfId="39052"/>
    <cellStyle name="Header2 2 13 10 8 5" xfId="50245"/>
    <cellStyle name="Header2 2 13 10 9" xfId="6576"/>
    <cellStyle name="Header2 2 13 10 9 2" xfId="17773"/>
    <cellStyle name="Header2 2 13 10 9 3" xfId="28941"/>
    <cellStyle name="Header2 2 13 10 9 4" xfId="40106"/>
    <cellStyle name="Header2 2 13 10 9 5" xfId="51299"/>
    <cellStyle name="Header2 2 13 11" xfId="651"/>
    <cellStyle name="Header2 2 13 11 10" xfId="7220"/>
    <cellStyle name="Header2 2 13 11 10 2" xfId="18417"/>
    <cellStyle name="Header2 2 13 11 10 3" xfId="29585"/>
    <cellStyle name="Header2 2 13 11 10 4" xfId="40750"/>
    <cellStyle name="Header2 2 13 11 10 5" xfId="51943"/>
    <cellStyle name="Header2 2 13 11 11" xfId="7854"/>
    <cellStyle name="Header2 2 13 11 11 2" xfId="19051"/>
    <cellStyle name="Header2 2 13 11 11 3" xfId="30219"/>
    <cellStyle name="Header2 2 13 11 11 4" xfId="41384"/>
    <cellStyle name="Header2 2 13 11 11 5" xfId="52577"/>
    <cellStyle name="Header2 2 13 11 12" xfId="8488"/>
    <cellStyle name="Header2 2 13 11 12 2" xfId="19685"/>
    <cellStyle name="Header2 2 13 11 12 3" xfId="30853"/>
    <cellStyle name="Header2 2 13 11 12 4" xfId="42018"/>
    <cellStyle name="Header2 2 13 11 12 5" xfId="53211"/>
    <cellStyle name="Header2 2 13 11 13" xfId="9539"/>
    <cellStyle name="Header2 2 13 11 13 2" xfId="20736"/>
    <cellStyle name="Header2 2 13 11 13 3" xfId="31904"/>
    <cellStyle name="Header2 2 13 11 13 4" xfId="43069"/>
    <cellStyle name="Header2 2 13 11 13 5" xfId="54262"/>
    <cellStyle name="Header2 2 13 11 14" xfId="10580"/>
    <cellStyle name="Header2 2 13 11 14 2" xfId="21777"/>
    <cellStyle name="Header2 2 13 11 14 3" xfId="32945"/>
    <cellStyle name="Header2 2 13 11 14 4" xfId="44110"/>
    <cellStyle name="Header2 2 13 11 14 5" xfId="55303"/>
    <cellStyle name="Header2 2 13 11 15" xfId="11204"/>
    <cellStyle name="Header2 2 13 11 15 2" xfId="22401"/>
    <cellStyle name="Header2 2 13 11 15 3" xfId="33569"/>
    <cellStyle name="Header2 2 13 11 15 4" xfId="44734"/>
    <cellStyle name="Header2 2 13 11 15 5" xfId="55927"/>
    <cellStyle name="Header2 2 13 11 16" xfId="11851"/>
    <cellStyle name="Header2 2 13 11 17" xfId="23021"/>
    <cellStyle name="Header2 2 13 11 18" xfId="34188"/>
    <cellStyle name="Header2 2 13 11 19" xfId="45374"/>
    <cellStyle name="Header2 2 13 11 2" xfId="1300"/>
    <cellStyle name="Header2 2 13 11 2 2" xfId="12497"/>
    <cellStyle name="Header2 2 13 11 2 3" xfId="23665"/>
    <cellStyle name="Header2 2 13 11 2 4" xfId="34830"/>
    <cellStyle name="Header2 2 13 11 2 5" xfId="46023"/>
    <cellStyle name="Header2 2 13 11 3" xfId="1923"/>
    <cellStyle name="Header2 2 13 11 3 2" xfId="13120"/>
    <cellStyle name="Header2 2 13 11 3 3" xfId="24288"/>
    <cellStyle name="Header2 2 13 11 3 4" xfId="35453"/>
    <cellStyle name="Header2 2 13 11 3 5" xfId="46646"/>
    <cellStyle name="Header2 2 13 11 4" xfId="3001"/>
    <cellStyle name="Header2 2 13 11 4 2" xfId="14198"/>
    <cellStyle name="Header2 2 13 11 4 3" xfId="25366"/>
    <cellStyle name="Header2 2 13 11 4 4" xfId="36531"/>
    <cellStyle name="Header2 2 13 11 4 5" xfId="47724"/>
    <cellStyle name="Header2 2 13 11 5" xfId="3635"/>
    <cellStyle name="Header2 2 13 11 5 2" xfId="14832"/>
    <cellStyle name="Header2 2 13 11 5 3" xfId="26000"/>
    <cellStyle name="Header2 2 13 11 5 4" xfId="37165"/>
    <cellStyle name="Header2 2 13 11 5 5" xfId="48358"/>
    <cellStyle name="Header2 2 13 11 6" xfId="4269"/>
    <cellStyle name="Header2 2 13 11 6 2" xfId="15466"/>
    <cellStyle name="Header2 2 13 11 6 3" xfId="26634"/>
    <cellStyle name="Header2 2 13 11 6 4" xfId="37799"/>
    <cellStyle name="Header2 2 13 11 6 5" xfId="48992"/>
    <cellStyle name="Header2 2 13 11 7" xfId="4902"/>
    <cellStyle name="Header2 2 13 11 7 2" xfId="16099"/>
    <cellStyle name="Header2 2 13 11 7 3" xfId="27267"/>
    <cellStyle name="Header2 2 13 11 7 4" xfId="38432"/>
    <cellStyle name="Header2 2 13 11 7 5" xfId="49625"/>
    <cellStyle name="Header2 2 13 11 8" xfId="5533"/>
    <cellStyle name="Header2 2 13 11 8 2" xfId="16730"/>
    <cellStyle name="Header2 2 13 11 8 3" xfId="27898"/>
    <cellStyle name="Header2 2 13 11 8 4" xfId="39063"/>
    <cellStyle name="Header2 2 13 11 8 5" xfId="50256"/>
    <cellStyle name="Header2 2 13 11 9" xfId="6587"/>
    <cellStyle name="Header2 2 13 11 9 2" xfId="17784"/>
    <cellStyle name="Header2 2 13 11 9 3" xfId="28952"/>
    <cellStyle name="Header2 2 13 11 9 4" xfId="40117"/>
    <cellStyle name="Header2 2 13 11 9 5" xfId="51310"/>
    <cellStyle name="Header2 2 13 12" xfId="762"/>
    <cellStyle name="Header2 2 13 12 2" xfId="11959"/>
    <cellStyle name="Header2 2 13 12 3" xfId="23127"/>
    <cellStyle name="Header2 2 13 12 4" xfId="34292"/>
    <cellStyle name="Header2 2 13 12 5" xfId="45485"/>
    <cellStyle name="Header2 2 13 13" xfId="1488"/>
    <cellStyle name="Header2 2 13 13 2" xfId="12685"/>
    <cellStyle name="Header2 2 13 13 3" xfId="23853"/>
    <cellStyle name="Header2 2 13 13 4" xfId="35018"/>
    <cellStyle name="Header2 2 13 13 5" xfId="46211"/>
    <cellStyle name="Header2 2 13 14" xfId="2077"/>
    <cellStyle name="Header2 2 13 14 2" xfId="13274"/>
    <cellStyle name="Header2 2 13 14 3" xfId="24442"/>
    <cellStyle name="Header2 2 13 14 4" xfId="35607"/>
    <cellStyle name="Header2 2 13 14 5" xfId="46800"/>
    <cellStyle name="Header2 2 13 15" xfId="3097"/>
    <cellStyle name="Header2 2 13 15 2" xfId="14294"/>
    <cellStyle name="Header2 2 13 15 3" xfId="25462"/>
    <cellStyle name="Header2 2 13 15 4" xfId="36627"/>
    <cellStyle name="Header2 2 13 15 5" xfId="47820"/>
    <cellStyle name="Header2 2 13 16" xfId="3731"/>
    <cellStyle name="Header2 2 13 16 2" xfId="14928"/>
    <cellStyle name="Header2 2 13 16 3" xfId="26096"/>
    <cellStyle name="Header2 2 13 16 4" xfId="37261"/>
    <cellStyle name="Header2 2 13 16 5" xfId="48454"/>
    <cellStyle name="Header2 2 13 17" xfId="4364"/>
    <cellStyle name="Header2 2 13 17 2" xfId="15561"/>
    <cellStyle name="Header2 2 13 17 3" xfId="26729"/>
    <cellStyle name="Header2 2 13 17 4" xfId="37894"/>
    <cellStyle name="Header2 2 13 17 5" xfId="49087"/>
    <cellStyle name="Header2 2 13 18" xfId="4995"/>
    <cellStyle name="Header2 2 13 18 2" xfId="16192"/>
    <cellStyle name="Header2 2 13 18 3" xfId="27360"/>
    <cellStyle name="Header2 2 13 18 4" xfId="38525"/>
    <cellStyle name="Header2 2 13 18 5" xfId="49718"/>
    <cellStyle name="Header2 2 13 19" xfId="5605"/>
    <cellStyle name="Header2 2 13 19 2" xfId="16802"/>
    <cellStyle name="Header2 2 13 19 3" xfId="27970"/>
    <cellStyle name="Header2 2 13 19 4" xfId="39135"/>
    <cellStyle name="Header2 2 13 19 5" xfId="50328"/>
    <cellStyle name="Header2 2 13 2" xfId="176"/>
    <cellStyle name="Header2 2 13 2 10" xfId="6745"/>
    <cellStyle name="Header2 2 13 2 10 2" xfId="17942"/>
    <cellStyle name="Header2 2 13 2 10 3" xfId="29110"/>
    <cellStyle name="Header2 2 13 2 10 4" xfId="40275"/>
    <cellStyle name="Header2 2 13 2 10 5" xfId="51468"/>
    <cellStyle name="Header2 2 13 2 11" xfId="7379"/>
    <cellStyle name="Header2 2 13 2 11 2" xfId="18576"/>
    <cellStyle name="Header2 2 13 2 11 3" xfId="29744"/>
    <cellStyle name="Header2 2 13 2 11 4" xfId="40909"/>
    <cellStyle name="Header2 2 13 2 11 5" xfId="52102"/>
    <cellStyle name="Header2 2 13 2 12" xfId="8013"/>
    <cellStyle name="Header2 2 13 2 12 2" xfId="19210"/>
    <cellStyle name="Header2 2 13 2 12 3" xfId="30378"/>
    <cellStyle name="Header2 2 13 2 12 4" xfId="41543"/>
    <cellStyle name="Header2 2 13 2 12 5" xfId="52736"/>
    <cellStyle name="Header2 2 13 2 13" xfId="9058"/>
    <cellStyle name="Header2 2 13 2 13 2" xfId="20255"/>
    <cellStyle name="Header2 2 13 2 13 3" xfId="31423"/>
    <cellStyle name="Header2 2 13 2 13 4" xfId="42588"/>
    <cellStyle name="Header2 2 13 2 13 5" xfId="53781"/>
    <cellStyle name="Header2 2 13 2 14" xfId="10320"/>
    <cellStyle name="Header2 2 13 2 14 2" xfId="21517"/>
    <cellStyle name="Header2 2 13 2 14 3" xfId="32685"/>
    <cellStyle name="Header2 2 13 2 14 4" xfId="43850"/>
    <cellStyle name="Header2 2 13 2 14 5" xfId="55043"/>
    <cellStyle name="Header2 2 13 2 15" xfId="10729"/>
    <cellStyle name="Header2 2 13 2 15 2" xfId="21926"/>
    <cellStyle name="Header2 2 13 2 15 3" xfId="33094"/>
    <cellStyle name="Header2 2 13 2 15 4" xfId="44259"/>
    <cellStyle name="Header2 2 13 2 15 5" xfId="55452"/>
    <cellStyle name="Header2 2 13 2 16" xfId="11376"/>
    <cellStyle name="Header2 2 13 2 17" xfId="22546"/>
    <cellStyle name="Header2 2 13 2 18" xfId="33713"/>
    <cellStyle name="Header2 2 13 2 19" xfId="44899"/>
    <cellStyle name="Header2 2 13 2 2" xfId="825"/>
    <cellStyle name="Header2 2 13 2 2 2" xfId="12022"/>
    <cellStyle name="Header2 2 13 2 2 3" xfId="23190"/>
    <cellStyle name="Header2 2 13 2 2 4" xfId="34355"/>
    <cellStyle name="Header2 2 13 2 2 5" xfId="45548"/>
    <cellStyle name="Header2 2 13 2 3" xfId="1641"/>
    <cellStyle name="Header2 2 13 2 3 2" xfId="12838"/>
    <cellStyle name="Header2 2 13 2 3 3" xfId="24006"/>
    <cellStyle name="Header2 2 13 2 3 4" xfId="35171"/>
    <cellStyle name="Header2 2 13 2 3 5" xfId="46364"/>
    <cellStyle name="Header2 2 13 2 4" xfId="2348"/>
    <cellStyle name="Header2 2 13 2 4 2" xfId="13545"/>
    <cellStyle name="Header2 2 13 2 4 3" xfId="24713"/>
    <cellStyle name="Header2 2 13 2 4 4" xfId="35878"/>
    <cellStyle name="Header2 2 13 2 4 5" xfId="47071"/>
    <cellStyle name="Header2 2 13 2 5" xfId="3160"/>
    <cellStyle name="Header2 2 13 2 5 2" xfId="14357"/>
    <cellStyle name="Header2 2 13 2 5 3" xfId="25525"/>
    <cellStyle name="Header2 2 13 2 5 4" xfId="36690"/>
    <cellStyle name="Header2 2 13 2 5 5" xfId="47883"/>
    <cellStyle name="Header2 2 13 2 6" xfId="3794"/>
    <cellStyle name="Header2 2 13 2 6 2" xfId="14991"/>
    <cellStyle name="Header2 2 13 2 6 3" xfId="26159"/>
    <cellStyle name="Header2 2 13 2 6 4" xfId="37324"/>
    <cellStyle name="Header2 2 13 2 6 5" xfId="48517"/>
    <cellStyle name="Header2 2 13 2 7" xfId="4427"/>
    <cellStyle name="Header2 2 13 2 7 2" xfId="15624"/>
    <cellStyle name="Header2 2 13 2 7 3" xfId="26792"/>
    <cellStyle name="Header2 2 13 2 7 4" xfId="37957"/>
    <cellStyle name="Header2 2 13 2 7 5" xfId="49150"/>
    <cellStyle name="Header2 2 13 2 8" xfId="5058"/>
    <cellStyle name="Header2 2 13 2 8 2" xfId="16255"/>
    <cellStyle name="Header2 2 13 2 8 3" xfId="27423"/>
    <cellStyle name="Header2 2 13 2 8 4" xfId="38588"/>
    <cellStyle name="Header2 2 13 2 8 5" xfId="49781"/>
    <cellStyle name="Header2 2 13 2 9" xfId="3095"/>
    <cellStyle name="Header2 2 13 2 9 2" xfId="14292"/>
    <cellStyle name="Header2 2 13 2 9 3" xfId="25460"/>
    <cellStyle name="Header2 2 13 2 9 4" xfId="36625"/>
    <cellStyle name="Header2 2 13 2 9 5" xfId="47818"/>
    <cellStyle name="Header2 2 13 20" xfId="6682"/>
    <cellStyle name="Header2 2 13 20 2" xfId="17879"/>
    <cellStyle name="Header2 2 13 20 3" xfId="29047"/>
    <cellStyle name="Header2 2 13 20 4" xfId="40212"/>
    <cellStyle name="Header2 2 13 20 5" xfId="51405"/>
    <cellStyle name="Header2 2 13 21" xfId="7316"/>
    <cellStyle name="Header2 2 13 21 2" xfId="18513"/>
    <cellStyle name="Header2 2 13 21 3" xfId="29681"/>
    <cellStyle name="Header2 2 13 21 4" xfId="40846"/>
    <cellStyle name="Header2 2 13 21 5" xfId="52039"/>
    <cellStyle name="Header2 2 13 22" xfId="7950"/>
    <cellStyle name="Header2 2 13 22 2" xfId="19147"/>
    <cellStyle name="Header2 2 13 22 3" xfId="30315"/>
    <cellStyle name="Header2 2 13 22 4" xfId="41480"/>
    <cellStyle name="Header2 2 13 22 5" xfId="52673"/>
    <cellStyle name="Header2 2 13 23" xfId="8791"/>
    <cellStyle name="Header2 2 13 23 2" xfId="19988"/>
    <cellStyle name="Header2 2 13 23 3" xfId="31156"/>
    <cellStyle name="Header2 2 13 23 4" xfId="42321"/>
    <cellStyle name="Header2 2 13 23 5" xfId="53514"/>
    <cellStyle name="Header2 2 13 24" xfId="10209"/>
    <cellStyle name="Header2 2 13 24 2" xfId="21406"/>
    <cellStyle name="Header2 2 13 24 3" xfId="32574"/>
    <cellStyle name="Header2 2 13 24 4" xfId="43739"/>
    <cellStyle name="Header2 2 13 24 5" xfId="54932"/>
    <cellStyle name="Header2 2 13 25" xfId="10666"/>
    <cellStyle name="Header2 2 13 25 2" xfId="21863"/>
    <cellStyle name="Header2 2 13 25 3" xfId="33031"/>
    <cellStyle name="Header2 2 13 25 4" xfId="44196"/>
    <cellStyle name="Header2 2 13 25 5" xfId="55389"/>
    <cellStyle name="Header2 2 13 26" xfId="11313"/>
    <cellStyle name="Header2 2 13 27" xfId="22483"/>
    <cellStyle name="Header2 2 13 28" xfId="33650"/>
    <cellStyle name="Header2 2 13 29" xfId="44836"/>
    <cellStyle name="Header2 2 13 3" xfId="232"/>
    <cellStyle name="Header2 2 13 3 10" xfId="6801"/>
    <cellStyle name="Header2 2 13 3 10 2" xfId="17998"/>
    <cellStyle name="Header2 2 13 3 10 3" xfId="29166"/>
    <cellStyle name="Header2 2 13 3 10 4" xfId="40331"/>
    <cellStyle name="Header2 2 13 3 10 5" xfId="51524"/>
    <cellStyle name="Header2 2 13 3 11" xfId="7435"/>
    <cellStyle name="Header2 2 13 3 11 2" xfId="18632"/>
    <cellStyle name="Header2 2 13 3 11 3" xfId="29800"/>
    <cellStyle name="Header2 2 13 3 11 4" xfId="40965"/>
    <cellStyle name="Header2 2 13 3 11 5" xfId="52158"/>
    <cellStyle name="Header2 2 13 3 12" xfId="8069"/>
    <cellStyle name="Header2 2 13 3 12 2" xfId="19266"/>
    <cellStyle name="Header2 2 13 3 12 3" xfId="30434"/>
    <cellStyle name="Header2 2 13 3 12 4" xfId="41599"/>
    <cellStyle name="Header2 2 13 3 12 5" xfId="52792"/>
    <cellStyle name="Header2 2 13 3 13" xfId="8981"/>
    <cellStyle name="Header2 2 13 3 13 2" xfId="20178"/>
    <cellStyle name="Header2 2 13 3 13 3" xfId="31346"/>
    <cellStyle name="Header2 2 13 3 13 4" xfId="42511"/>
    <cellStyle name="Header2 2 13 3 13 5" xfId="53704"/>
    <cellStyle name="Header2 2 13 3 14" xfId="10282"/>
    <cellStyle name="Header2 2 13 3 14 2" xfId="21479"/>
    <cellStyle name="Header2 2 13 3 14 3" xfId="32647"/>
    <cellStyle name="Header2 2 13 3 14 4" xfId="43812"/>
    <cellStyle name="Header2 2 13 3 14 5" xfId="55005"/>
    <cellStyle name="Header2 2 13 3 15" xfId="10785"/>
    <cellStyle name="Header2 2 13 3 15 2" xfId="21982"/>
    <cellStyle name="Header2 2 13 3 15 3" xfId="33150"/>
    <cellStyle name="Header2 2 13 3 15 4" xfId="44315"/>
    <cellStyle name="Header2 2 13 3 15 5" xfId="55508"/>
    <cellStyle name="Header2 2 13 3 16" xfId="11432"/>
    <cellStyle name="Header2 2 13 3 17" xfId="22602"/>
    <cellStyle name="Header2 2 13 3 18" xfId="33769"/>
    <cellStyle name="Header2 2 13 3 19" xfId="44955"/>
    <cellStyle name="Header2 2 13 3 2" xfId="881"/>
    <cellStyle name="Header2 2 13 3 2 2" xfId="12078"/>
    <cellStyle name="Header2 2 13 3 2 3" xfId="23246"/>
    <cellStyle name="Header2 2 13 3 2 4" xfId="34411"/>
    <cellStyle name="Header2 2 13 3 2 5" xfId="45604"/>
    <cellStyle name="Header2 2 13 3 3" xfId="1539"/>
    <cellStyle name="Header2 2 13 3 3 2" xfId="12736"/>
    <cellStyle name="Header2 2 13 3 3 3" xfId="23904"/>
    <cellStyle name="Header2 2 13 3 3 4" xfId="35069"/>
    <cellStyle name="Header2 2 13 3 3 5" xfId="46262"/>
    <cellStyle name="Header2 2 13 3 4" xfId="2267"/>
    <cellStyle name="Header2 2 13 3 4 2" xfId="13464"/>
    <cellStyle name="Header2 2 13 3 4 3" xfId="24632"/>
    <cellStyle name="Header2 2 13 3 4 4" xfId="35797"/>
    <cellStyle name="Header2 2 13 3 4 5" xfId="46990"/>
    <cellStyle name="Header2 2 13 3 5" xfId="3216"/>
    <cellStyle name="Header2 2 13 3 5 2" xfId="14413"/>
    <cellStyle name="Header2 2 13 3 5 3" xfId="25581"/>
    <cellStyle name="Header2 2 13 3 5 4" xfId="36746"/>
    <cellStyle name="Header2 2 13 3 5 5" xfId="47939"/>
    <cellStyle name="Header2 2 13 3 6" xfId="3850"/>
    <cellStyle name="Header2 2 13 3 6 2" xfId="15047"/>
    <cellStyle name="Header2 2 13 3 6 3" xfId="26215"/>
    <cellStyle name="Header2 2 13 3 6 4" xfId="37380"/>
    <cellStyle name="Header2 2 13 3 6 5" xfId="48573"/>
    <cellStyle name="Header2 2 13 3 7" xfId="4483"/>
    <cellStyle name="Header2 2 13 3 7 2" xfId="15680"/>
    <cellStyle name="Header2 2 13 3 7 3" xfId="26848"/>
    <cellStyle name="Header2 2 13 3 7 4" xfId="38013"/>
    <cellStyle name="Header2 2 13 3 7 5" xfId="49206"/>
    <cellStyle name="Header2 2 13 3 8" xfId="5114"/>
    <cellStyle name="Header2 2 13 3 8 2" xfId="16311"/>
    <cellStyle name="Header2 2 13 3 8 3" xfId="27479"/>
    <cellStyle name="Header2 2 13 3 8 4" xfId="38644"/>
    <cellStyle name="Header2 2 13 3 8 5" xfId="49837"/>
    <cellStyle name="Header2 2 13 3 9" xfId="5933"/>
    <cellStyle name="Header2 2 13 3 9 2" xfId="17130"/>
    <cellStyle name="Header2 2 13 3 9 3" xfId="28298"/>
    <cellStyle name="Header2 2 13 3 9 4" xfId="39463"/>
    <cellStyle name="Header2 2 13 3 9 5" xfId="50656"/>
    <cellStyle name="Header2 2 13 4" xfId="195"/>
    <cellStyle name="Header2 2 13 4 10" xfId="6764"/>
    <cellStyle name="Header2 2 13 4 10 2" xfId="17961"/>
    <cellStyle name="Header2 2 13 4 10 3" xfId="29129"/>
    <cellStyle name="Header2 2 13 4 10 4" xfId="40294"/>
    <cellStyle name="Header2 2 13 4 10 5" xfId="51487"/>
    <cellStyle name="Header2 2 13 4 11" xfId="7398"/>
    <cellStyle name="Header2 2 13 4 11 2" xfId="18595"/>
    <cellStyle name="Header2 2 13 4 11 3" xfId="29763"/>
    <cellStyle name="Header2 2 13 4 11 4" xfId="40928"/>
    <cellStyle name="Header2 2 13 4 11 5" xfId="52121"/>
    <cellStyle name="Header2 2 13 4 12" xfId="8032"/>
    <cellStyle name="Header2 2 13 4 12 2" xfId="19229"/>
    <cellStyle name="Header2 2 13 4 12 3" xfId="30397"/>
    <cellStyle name="Header2 2 13 4 12 4" xfId="41562"/>
    <cellStyle name="Header2 2 13 4 12 5" xfId="52755"/>
    <cellStyle name="Header2 2 13 4 13" xfId="9075"/>
    <cellStyle name="Header2 2 13 4 13 2" xfId="20272"/>
    <cellStyle name="Header2 2 13 4 13 3" xfId="31440"/>
    <cellStyle name="Header2 2 13 4 13 4" xfId="42605"/>
    <cellStyle name="Header2 2 13 4 13 5" xfId="53798"/>
    <cellStyle name="Header2 2 13 4 14" xfId="10508"/>
    <cellStyle name="Header2 2 13 4 14 2" xfId="21705"/>
    <cellStyle name="Header2 2 13 4 14 3" xfId="32873"/>
    <cellStyle name="Header2 2 13 4 14 4" xfId="44038"/>
    <cellStyle name="Header2 2 13 4 14 5" xfId="55231"/>
    <cellStyle name="Header2 2 13 4 15" xfId="10748"/>
    <cellStyle name="Header2 2 13 4 15 2" xfId="21945"/>
    <cellStyle name="Header2 2 13 4 15 3" xfId="33113"/>
    <cellStyle name="Header2 2 13 4 15 4" xfId="44278"/>
    <cellStyle name="Header2 2 13 4 15 5" xfId="55471"/>
    <cellStyle name="Header2 2 13 4 16" xfId="11395"/>
    <cellStyle name="Header2 2 13 4 17" xfId="22565"/>
    <cellStyle name="Header2 2 13 4 18" xfId="33732"/>
    <cellStyle name="Header2 2 13 4 19" xfId="44918"/>
    <cellStyle name="Header2 2 13 4 2" xfId="844"/>
    <cellStyle name="Header2 2 13 4 2 2" xfId="12041"/>
    <cellStyle name="Header2 2 13 4 2 3" xfId="23209"/>
    <cellStyle name="Header2 2 13 4 2 4" xfId="34374"/>
    <cellStyle name="Header2 2 13 4 2 5" xfId="45567"/>
    <cellStyle name="Header2 2 13 4 3" xfId="1805"/>
    <cellStyle name="Header2 2 13 4 3 2" xfId="13002"/>
    <cellStyle name="Header2 2 13 4 3 3" xfId="24170"/>
    <cellStyle name="Header2 2 13 4 3 4" xfId="35335"/>
    <cellStyle name="Header2 2 13 4 3 5" xfId="46528"/>
    <cellStyle name="Header2 2 13 4 4" xfId="2511"/>
    <cellStyle name="Header2 2 13 4 4 2" xfId="13708"/>
    <cellStyle name="Header2 2 13 4 4 3" xfId="24876"/>
    <cellStyle name="Header2 2 13 4 4 4" xfId="36041"/>
    <cellStyle name="Header2 2 13 4 4 5" xfId="47234"/>
    <cellStyle name="Header2 2 13 4 5" xfId="3179"/>
    <cellStyle name="Header2 2 13 4 5 2" xfId="14376"/>
    <cellStyle name="Header2 2 13 4 5 3" xfId="25544"/>
    <cellStyle name="Header2 2 13 4 5 4" xfId="36709"/>
    <cellStyle name="Header2 2 13 4 5 5" xfId="47902"/>
    <cellStyle name="Header2 2 13 4 6" xfId="3813"/>
    <cellStyle name="Header2 2 13 4 6 2" xfId="15010"/>
    <cellStyle name="Header2 2 13 4 6 3" xfId="26178"/>
    <cellStyle name="Header2 2 13 4 6 4" xfId="37343"/>
    <cellStyle name="Header2 2 13 4 6 5" xfId="48536"/>
    <cellStyle name="Header2 2 13 4 7" xfId="4446"/>
    <cellStyle name="Header2 2 13 4 7 2" xfId="15643"/>
    <cellStyle name="Header2 2 13 4 7 3" xfId="26811"/>
    <cellStyle name="Header2 2 13 4 7 4" xfId="37976"/>
    <cellStyle name="Header2 2 13 4 7 5" xfId="49169"/>
    <cellStyle name="Header2 2 13 4 8" xfId="5077"/>
    <cellStyle name="Header2 2 13 4 8 2" xfId="16274"/>
    <cellStyle name="Header2 2 13 4 8 3" xfId="27442"/>
    <cellStyle name="Header2 2 13 4 8 4" xfId="38607"/>
    <cellStyle name="Header2 2 13 4 8 5" xfId="49800"/>
    <cellStyle name="Header2 2 13 4 9" xfId="6119"/>
    <cellStyle name="Header2 2 13 4 9 2" xfId="17316"/>
    <cellStyle name="Header2 2 13 4 9 3" xfId="28484"/>
    <cellStyle name="Header2 2 13 4 9 4" xfId="39649"/>
    <cellStyle name="Header2 2 13 4 9 5" xfId="50842"/>
    <cellStyle name="Header2 2 13 5" xfId="352"/>
    <cellStyle name="Header2 2 13 5 10" xfId="6921"/>
    <cellStyle name="Header2 2 13 5 10 2" xfId="18118"/>
    <cellStyle name="Header2 2 13 5 10 3" xfId="29286"/>
    <cellStyle name="Header2 2 13 5 10 4" xfId="40451"/>
    <cellStyle name="Header2 2 13 5 10 5" xfId="51644"/>
    <cellStyle name="Header2 2 13 5 11" xfId="7555"/>
    <cellStyle name="Header2 2 13 5 11 2" xfId="18752"/>
    <cellStyle name="Header2 2 13 5 11 3" xfId="29920"/>
    <cellStyle name="Header2 2 13 5 11 4" xfId="41085"/>
    <cellStyle name="Header2 2 13 5 11 5" xfId="52278"/>
    <cellStyle name="Header2 2 13 5 12" xfId="8189"/>
    <cellStyle name="Header2 2 13 5 12 2" xfId="19386"/>
    <cellStyle name="Header2 2 13 5 12 3" xfId="30554"/>
    <cellStyle name="Header2 2 13 5 12 4" xfId="41719"/>
    <cellStyle name="Header2 2 13 5 12 5" xfId="52912"/>
    <cellStyle name="Header2 2 13 5 13" xfId="9240"/>
    <cellStyle name="Header2 2 13 5 13 2" xfId="20437"/>
    <cellStyle name="Header2 2 13 5 13 3" xfId="31605"/>
    <cellStyle name="Header2 2 13 5 13 4" xfId="42770"/>
    <cellStyle name="Header2 2 13 5 13 5" xfId="53963"/>
    <cellStyle name="Header2 2 13 5 14" xfId="10367"/>
    <cellStyle name="Header2 2 13 5 14 2" xfId="21564"/>
    <cellStyle name="Header2 2 13 5 14 3" xfId="32732"/>
    <cellStyle name="Header2 2 13 5 14 4" xfId="43897"/>
    <cellStyle name="Header2 2 13 5 14 5" xfId="55090"/>
    <cellStyle name="Header2 2 13 5 15" xfId="10905"/>
    <cellStyle name="Header2 2 13 5 15 2" xfId="22102"/>
    <cellStyle name="Header2 2 13 5 15 3" xfId="33270"/>
    <cellStyle name="Header2 2 13 5 15 4" xfId="44435"/>
    <cellStyle name="Header2 2 13 5 15 5" xfId="55628"/>
    <cellStyle name="Header2 2 13 5 16" xfId="11552"/>
    <cellStyle name="Header2 2 13 5 17" xfId="22722"/>
    <cellStyle name="Header2 2 13 5 18" xfId="33889"/>
    <cellStyle name="Header2 2 13 5 19" xfId="45075"/>
    <cellStyle name="Header2 2 13 5 2" xfId="1001"/>
    <cellStyle name="Header2 2 13 5 2 2" xfId="12198"/>
    <cellStyle name="Header2 2 13 5 2 3" xfId="23366"/>
    <cellStyle name="Header2 2 13 5 2 4" xfId="34531"/>
    <cellStyle name="Header2 2 13 5 2 5" xfId="45724"/>
    <cellStyle name="Header2 2 13 5 3" xfId="1756"/>
    <cellStyle name="Header2 2 13 5 3 2" xfId="12953"/>
    <cellStyle name="Header2 2 13 5 3 3" xfId="24121"/>
    <cellStyle name="Header2 2 13 5 3 4" xfId="35286"/>
    <cellStyle name="Header2 2 13 5 3 5" xfId="46479"/>
    <cellStyle name="Header2 2 13 5 4" xfId="2702"/>
    <cellStyle name="Header2 2 13 5 4 2" xfId="13899"/>
    <cellStyle name="Header2 2 13 5 4 3" xfId="25067"/>
    <cellStyle name="Header2 2 13 5 4 4" xfId="36232"/>
    <cellStyle name="Header2 2 13 5 4 5" xfId="47425"/>
    <cellStyle name="Header2 2 13 5 5" xfId="3336"/>
    <cellStyle name="Header2 2 13 5 5 2" xfId="14533"/>
    <cellStyle name="Header2 2 13 5 5 3" xfId="25701"/>
    <cellStyle name="Header2 2 13 5 5 4" xfId="36866"/>
    <cellStyle name="Header2 2 13 5 5 5" xfId="48059"/>
    <cellStyle name="Header2 2 13 5 6" xfId="3970"/>
    <cellStyle name="Header2 2 13 5 6 2" xfId="15167"/>
    <cellStyle name="Header2 2 13 5 6 3" xfId="26335"/>
    <cellStyle name="Header2 2 13 5 6 4" xfId="37500"/>
    <cellStyle name="Header2 2 13 5 6 5" xfId="48693"/>
    <cellStyle name="Header2 2 13 5 7" xfId="4603"/>
    <cellStyle name="Header2 2 13 5 7 2" xfId="15800"/>
    <cellStyle name="Header2 2 13 5 7 3" xfId="26968"/>
    <cellStyle name="Header2 2 13 5 7 4" xfId="38133"/>
    <cellStyle name="Header2 2 13 5 7 5" xfId="49326"/>
    <cellStyle name="Header2 2 13 5 8" xfId="5234"/>
    <cellStyle name="Header2 2 13 5 8 2" xfId="16431"/>
    <cellStyle name="Header2 2 13 5 8 3" xfId="27599"/>
    <cellStyle name="Header2 2 13 5 8 4" xfId="38764"/>
    <cellStyle name="Header2 2 13 5 8 5" xfId="49957"/>
    <cellStyle name="Header2 2 13 5 9" xfId="6288"/>
    <cellStyle name="Header2 2 13 5 9 2" xfId="17485"/>
    <cellStyle name="Header2 2 13 5 9 3" xfId="28653"/>
    <cellStyle name="Header2 2 13 5 9 4" xfId="39818"/>
    <cellStyle name="Header2 2 13 5 9 5" xfId="51011"/>
    <cellStyle name="Header2 2 13 6" xfId="317"/>
    <cellStyle name="Header2 2 13 6 10" xfId="6886"/>
    <cellStyle name="Header2 2 13 6 10 2" xfId="18083"/>
    <cellStyle name="Header2 2 13 6 10 3" xfId="29251"/>
    <cellStyle name="Header2 2 13 6 10 4" xfId="40416"/>
    <cellStyle name="Header2 2 13 6 10 5" xfId="51609"/>
    <cellStyle name="Header2 2 13 6 11" xfId="7520"/>
    <cellStyle name="Header2 2 13 6 11 2" xfId="18717"/>
    <cellStyle name="Header2 2 13 6 11 3" xfId="29885"/>
    <cellStyle name="Header2 2 13 6 11 4" xfId="41050"/>
    <cellStyle name="Header2 2 13 6 11 5" xfId="52243"/>
    <cellStyle name="Header2 2 13 6 12" xfId="8154"/>
    <cellStyle name="Header2 2 13 6 12 2" xfId="19351"/>
    <cellStyle name="Header2 2 13 6 12 3" xfId="30519"/>
    <cellStyle name="Header2 2 13 6 12 4" xfId="41684"/>
    <cellStyle name="Header2 2 13 6 12 5" xfId="52877"/>
    <cellStyle name="Header2 2 13 6 13" xfId="9205"/>
    <cellStyle name="Header2 2 13 6 13 2" xfId="20402"/>
    <cellStyle name="Header2 2 13 6 13 3" xfId="31570"/>
    <cellStyle name="Header2 2 13 6 13 4" xfId="42735"/>
    <cellStyle name="Header2 2 13 6 13 5" xfId="53928"/>
    <cellStyle name="Header2 2 13 6 14" xfId="10549"/>
    <cellStyle name="Header2 2 13 6 14 2" xfId="21746"/>
    <cellStyle name="Header2 2 13 6 14 3" xfId="32914"/>
    <cellStyle name="Header2 2 13 6 14 4" xfId="44079"/>
    <cellStyle name="Header2 2 13 6 14 5" xfId="55272"/>
    <cellStyle name="Header2 2 13 6 15" xfId="10870"/>
    <cellStyle name="Header2 2 13 6 15 2" xfId="22067"/>
    <cellStyle name="Header2 2 13 6 15 3" xfId="33235"/>
    <cellStyle name="Header2 2 13 6 15 4" xfId="44400"/>
    <cellStyle name="Header2 2 13 6 15 5" xfId="55593"/>
    <cellStyle name="Header2 2 13 6 16" xfId="11517"/>
    <cellStyle name="Header2 2 13 6 17" xfId="22687"/>
    <cellStyle name="Header2 2 13 6 18" xfId="33854"/>
    <cellStyle name="Header2 2 13 6 19" xfId="45040"/>
    <cellStyle name="Header2 2 13 6 2" xfId="966"/>
    <cellStyle name="Header2 2 13 6 2 2" xfId="12163"/>
    <cellStyle name="Header2 2 13 6 2 3" xfId="23331"/>
    <cellStyle name="Header2 2 13 6 2 4" xfId="34496"/>
    <cellStyle name="Header2 2 13 6 2 5" xfId="45689"/>
    <cellStyle name="Header2 2 13 6 3" xfId="1921"/>
    <cellStyle name="Header2 2 13 6 3 2" xfId="13118"/>
    <cellStyle name="Header2 2 13 6 3 3" xfId="24286"/>
    <cellStyle name="Header2 2 13 6 3 4" xfId="35451"/>
    <cellStyle name="Header2 2 13 6 3 5" xfId="46644"/>
    <cellStyle name="Header2 2 13 6 4" xfId="2667"/>
    <cellStyle name="Header2 2 13 6 4 2" xfId="13864"/>
    <cellStyle name="Header2 2 13 6 4 3" xfId="25032"/>
    <cellStyle name="Header2 2 13 6 4 4" xfId="36197"/>
    <cellStyle name="Header2 2 13 6 4 5" xfId="47390"/>
    <cellStyle name="Header2 2 13 6 5" xfId="3301"/>
    <cellStyle name="Header2 2 13 6 5 2" xfId="14498"/>
    <cellStyle name="Header2 2 13 6 5 3" xfId="25666"/>
    <cellStyle name="Header2 2 13 6 5 4" xfId="36831"/>
    <cellStyle name="Header2 2 13 6 5 5" xfId="48024"/>
    <cellStyle name="Header2 2 13 6 6" xfId="3935"/>
    <cellStyle name="Header2 2 13 6 6 2" xfId="15132"/>
    <cellStyle name="Header2 2 13 6 6 3" xfId="26300"/>
    <cellStyle name="Header2 2 13 6 6 4" xfId="37465"/>
    <cellStyle name="Header2 2 13 6 6 5" xfId="48658"/>
    <cellStyle name="Header2 2 13 6 7" xfId="4568"/>
    <cellStyle name="Header2 2 13 6 7 2" xfId="15765"/>
    <cellStyle name="Header2 2 13 6 7 3" xfId="26933"/>
    <cellStyle name="Header2 2 13 6 7 4" xfId="38098"/>
    <cellStyle name="Header2 2 13 6 7 5" xfId="49291"/>
    <cellStyle name="Header2 2 13 6 8" xfId="5199"/>
    <cellStyle name="Header2 2 13 6 8 2" xfId="16396"/>
    <cellStyle name="Header2 2 13 6 8 3" xfId="27564"/>
    <cellStyle name="Header2 2 13 6 8 4" xfId="38729"/>
    <cellStyle name="Header2 2 13 6 8 5" xfId="49922"/>
    <cellStyle name="Header2 2 13 6 9" xfId="6253"/>
    <cellStyle name="Header2 2 13 6 9 2" xfId="17450"/>
    <cellStyle name="Header2 2 13 6 9 3" xfId="28618"/>
    <cellStyle name="Header2 2 13 6 9 4" xfId="39783"/>
    <cellStyle name="Header2 2 13 6 9 5" xfId="50976"/>
    <cellStyle name="Header2 2 13 7" xfId="476"/>
    <cellStyle name="Header2 2 13 7 10" xfId="7045"/>
    <cellStyle name="Header2 2 13 7 10 2" xfId="18242"/>
    <cellStyle name="Header2 2 13 7 10 3" xfId="29410"/>
    <cellStyle name="Header2 2 13 7 10 4" xfId="40575"/>
    <cellStyle name="Header2 2 13 7 10 5" xfId="51768"/>
    <cellStyle name="Header2 2 13 7 11" xfId="7679"/>
    <cellStyle name="Header2 2 13 7 11 2" xfId="18876"/>
    <cellStyle name="Header2 2 13 7 11 3" xfId="30044"/>
    <cellStyle name="Header2 2 13 7 11 4" xfId="41209"/>
    <cellStyle name="Header2 2 13 7 11 5" xfId="52402"/>
    <cellStyle name="Header2 2 13 7 12" xfId="8313"/>
    <cellStyle name="Header2 2 13 7 12 2" xfId="19510"/>
    <cellStyle name="Header2 2 13 7 12 3" xfId="30678"/>
    <cellStyle name="Header2 2 13 7 12 4" xfId="41843"/>
    <cellStyle name="Header2 2 13 7 12 5" xfId="53036"/>
    <cellStyle name="Header2 2 13 7 13" xfId="9364"/>
    <cellStyle name="Header2 2 13 7 13 2" xfId="20561"/>
    <cellStyle name="Header2 2 13 7 13 3" xfId="31729"/>
    <cellStyle name="Header2 2 13 7 13 4" xfId="42894"/>
    <cellStyle name="Header2 2 13 7 13 5" xfId="54087"/>
    <cellStyle name="Header2 2 13 7 14" xfId="8965"/>
    <cellStyle name="Header2 2 13 7 14 2" xfId="20162"/>
    <cellStyle name="Header2 2 13 7 14 3" xfId="31330"/>
    <cellStyle name="Header2 2 13 7 14 4" xfId="42495"/>
    <cellStyle name="Header2 2 13 7 14 5" xfId="53688"/>
    <cellStyle name="Header2 2 13 7 15" xfId="11029"/>
    <cellStyle name="Header2 2 13 7 15 2" xfId="22226"/>
    <cellStyle name="Header2 2 13 7 15 3" xfId="33394"/>
    <cellStyle name="Header2 2 13 7 15 4" xfId="44559"/>
    <cellStyle name="Header2 2 13 7 15 5" xfId="55752"/>
    <cellStyle name="Header2 2 13 7 16" xfId="11676"/>
    <cellStyle name="Header2 2 13 7 17" xfId="22846"/>
    <cellStyle name="Header2 2 13 7 18" xfId="34013"/>
    <cellStyle name="Header2 2 13 7 19" xfId="45199"/>
    <cellStyle name="Header2 2 13 7 2" xfId="1125"/>
    <cellStyle name="Header2 2 13 7 2 2" xfId="12322"/>
    <cellStyle name="Header2 2 13 7 2 3" xfId="23490"/>
    <cellStyle name="Header2 2 13 7 2 4" xfId="34655"/>
    <cellStyle name="Header2 2 13 7 2 5" xfId="45848"/>
    <cellStyle name="Header2 2 13 7 3" xfId="1860"/>
    <cellStyle name="Header2 2 13 7 3 2" xfId="13057"/>
    <cellStyle name="Header2 2 13 7 3 3" xfId="24225"/>
    <cellStyle name="Header2 2 13 7 3 4" xfId="35390"/>
    <cellStyle name="Header2 2 13 7 3 5" xfId="46583"/>
    <cellStyle name="Header2 2 13 7 4" xfId="2826"/>
    <cellStyle name="Header2 2 13 7 4 2" xfId="14023"/>
    <cellStyle name="Header2 2 13 7 4 3" xfId="25191"/>
    <cellStyle name="Header2 2 13 7 4 4" xfId="36356"/>
    <cellStyle name="Header2 2 13 7 4 5" xfId="47549"/>
    <cellStyle name="Header2 2 13 7 5" xfId="3460"/>
    <cellStyle name="Header2 2 13 7 5 2" xfId="14657"/>
    <cellStyle name="Header2 2 13 7 5 3" xfId="25825"/>
    <cellStyle name="Header2 2 13 7 5 4" xfId="36990"/>
    <cellStyle name="Header2 2 13 7 5 5" xfId="48183"/>
    <cellStyle name="Header2 2 13 7 6" xfId="4094"/>
    <cellStyle name="Header2 2 13 7 6 2" xfId="15291"/>
    <cellStyle name="Header2 2 13 7 6 3" xfId="26459"/>
    <cellStyle name="Header2 2 13 7 6 4" xfId="37624"/>
    <cellStyle name="Header2 2 13 7 6 5" xfId="48817"/>
    <cellStyle name="Header2 2 13 7 7" xfId="4727"/>
    <cellStyle name="Header2 2 13 7 7 2" xfId="15924"/>
    <cellStyle name="Header2 2 13 7 7 3" xfId="27092"/>
    <cellStyle name="Header2 2 13 7 7 4" xfId="38257"/>
    <cellStyle name="Header2 2 13 7 7 5" xfId="49450"/>
    <cellStyle name="Header2 2 13 7 8" xfId="5358"/>
    <cellStyle name="Header2 2 13 7 8 2" xfId="16555"/>
    <cellStyle name="Header2 2 13 7 8 3" xfId="27723"/>
    <cellStyle name="Header2 2 13 7 8 4" xfId="38888"/>
    <cellStyle name="Header2 2 13 7 8 5" xfId="50081"/>
    <cellStyle name="Header2 2 13 7 9" xfId="6412"/>
    <cellStyle name="Header2 2 13 7 9 2" xfId="17609"/>
    <cellStyle name="Header2 2 13 7 9 3" xfId="28777"/>
    <cellStyle name="Header2 2 13 7 9 4" xfId="39942"/>
    <cellStyle name="Header2 2 13 7 9 5" xfId="51135"/>
    <cellStyle name="Header2 2 13 8" xfId="522"/>
    <cellStyle name="Header2 2 13 8 10" xfId="7091"/>
    <cellStyle name="Header2 2 13 8 10 2" xfId="18288"/>
    <cellStyle name="Header2 2 13 8 10 3" xfId="29456"/>
    <cellStyle name="Header2 2 13 8 10 4" xfId="40621"/>
    <cellStyle name="Header2 2 13 8 10 5" xfId="51814"/>
    <cellStyle name="Header2 2 13 8 11" xfId="7725"/>
    <cellStyle name="Header2 2 13 8 11 2" xfId="18922"/>
    <cellStyle name="Header2 2 13 8 11 3" xfId="30090"/>
    <cellStyle name="Header2 2 13 8 11 4" xfId="41255"/>
    <cellStyle name="Header2 2 13 8 11 5" xfId="52448"/>
    <cellStyle name="Header2 2 13 8 12" xfId="8359"/>
    <cellStyle name="Header2 2 13 8 12 2" xfId="19556"/>
    <cellStyle name="Header2 2 13 8 12 3" xfId="30724"/>
    <cellStyle name="Header2 2 13 8 12 4" xfId="41889"/>
    <cellStyle name="Header2 2 13 8 12 5" xfId="53082"/>
    <cellStyle name="Header2 2 13 8 13" xfId="9410"/>
    <cellStyle name="Header2 2 13 8 13 2" xfId="20607"/>
    <cellStyle name="Header2 2 13 8 13 3" xfId="31775"/>
    <cellStyle name="Header2 2 13 8 13 4" xfId="42940"/>
    <cellStyle name="Header2 2 13 8 13 5" xfId="54133"/>
    <cellStyle name="Header2 2 13 8 14" xfId="10428"/>
    <cellStyle name="Header2 2 13 8 14 2" xfId="21625"/>
    <cellStyle name="Header2 2 13 8 14 3" xfId="32793"/>
    <cellStyle name="Header2 2 13 8 14 4" xfId="43958"/>
    <cellStyle name="Header2 2 13 8 14 5" xfId="55151"/>
    <cellStyle name="Header2 2 13 8 15" xfId="11075"/>
    <cellStyle name="Header2 2 13 8 15 2" xfId="22272"/>
    <cellStyle name="Header2 2 13 8 15 3" xfId="33440"/>
    <cellStyle name="Header2 2 13 8 15 4" xfId="44605"/>
    <cellStyle name="Header2 2 13 8 15 5" xfId="55798"/>
    <cellStyle name="Header2 2 13 8 16" xfId="11722"/>
    <cellStyle name="Header2 2 13 8 17" xfId="22892"/>
    <cellStyle name="Header2 2 13 8 18" xfId="34059"/>
    <cellStyle name="Header2 2 13 8 19" xfId="45245"/>
    <cellStyle name="Header2 2 13 8 2" xfId="1171"/>
    <cellStyle name="Header2 2 13 8 2 2" xfId="12368"/>
    <cellStyle name="Header2 2 13 8 2 3" xfId="23536"/>
    <cellStyle name="Header2 2 13 8 2 4" xfId="34701"/>
    <cellStyle name="Header2 2 13 8 2 5" xfId="45894"/>
    <cellStyle name="Header2 2 13 8 3" xfId="1702"/>
    <cellStyle name="Header2 2 13 8 3 2" xfId="12899"/>
    <cellStyle name="Header2 2 13 8 3 3" xfId="24067"/>
    <cellStyle name="Header2 2 13 8 3 4" xfId="35232"/>
    <cellStyle name="Header2 2 13 8 3 5" xfId="46425"/>
    <cellStyle name="Header2 2 13 8 4" xfId="2872"/>
    <cellStyle name="Header2 2 13 8 4 2" xfId="14069"/>
    <cellStyle name="Header2 2 13 8 4 3" xfId="25237"/>
    <cellStyle name="Header2 2 13 8 4 4" xfId="36402"/>
    <cellStyle name="Header2 2 13 8 4 5" xfId="47595"/>
    <cellStyle name="Header2 2 13 8 5" xfId="3506"/>
    <cellStyle name="Header2 2 13 8 5 2" xfId="14703"/>
    <cellStyle name="Header2 2 13 8 5 3" xfId="25871"/>
    <cellStyle name="Header2 2 13 8 5 4" xfId="37036"/>
    <cellStyle name="Header2 2 13 8 5 5" xfId="48229"/>
    <cellStyle name="Header2 2 13 8 6" xfId="4140"/>
    <cellStyle name="Header2 2 13 8 6 2" xfId="15337"/>
    <cellStyle name="Header2 2 13 8 6 3" xfId="26505"/>
    <cellStyle name="Header2 2 13 8 6 4" xfId="37670"/>
    <cellStyle name="Header2 2 13 8 6 5" xfId="48863"/>
    <cellStyle name="Header2 2 13 8 7" xfId="4773"/>
    <cellStyle name="Header2 2 13 8 7 2" xfId="15970"/>
    <cellStyle name="Header2 2 13 8 7 3" xfId="27138"/>
    <cellStyle name="Header2 2 13 8 7 4" xfId="38303"/>
    <cellStyle name="Header2 2 13 8 7 5" xfId="49496"/>
    <cellStyle name="Header2 2 13 8 8" xfId="5404"/>
    <cellStyle name="Header2 2 13 8 8 2" xfId="16601"/>
    <cellStyle name="Header2 2 13 8 8 3" xfId="27769"/>
    <cellStyle name="Header2 2 13 8 8 4" xfId="38934"/>
    <cellStyle name="Header2 2 13 8 8 5" xfId="50127"/>
    <cellStyle name="Header2 2 13 8 9" xfId="6458"/>
    <cellStyle name="Header2 2 13 8 9 2" xfId="17655"/>
    <cellStyle name="Header2 2 13 8 9 3" xfId="28823"/>
    <cellStyle name="Header2 2 13 8 9 4" xfId="39988"/>
    <cellStyle name="Header2 2 13 8 9 5" xfId="51181"/>
    <cellStyle name="Header2 2 13 9" xfId="580"/>
    <cellStyle name="Header2 2 13 9 10" xfId="7149"/>
    <cellStyle name="Header2 2 13 9 10 2" xfId="18346"/>
    <cellStyle name="Header2 2 13 9 10 3" xfId="29514"/>
    <cellStyle name="Header2 2 13 9 10 4" xfId="40679"/>
    <cellStyle name="Header2 2 13 9 10 5" xfId="51872"/>
    <cellStyle name="Header2 2 13 9 11" xfId="7783"/>
    <cellStyle name="Header2 2 13 9 11 2" xfId="18980"/>
    <cellStyle name="Header2 2 13 9 11 3" xfId="30148"/>
    <cellStyle name="Header2 2 13 9 11 4" xfId="41313"/>
    <cellStyle name="Header2 2 13 9 11 5" xfId="52506"/>
    <cellStyle name="Header2 2 13 9 12" xfId="8417"/>
    <cellStyle name="Header2 2 13 9 12 2" xfId="19614"/>
    <cellStyle name="Header2 2 13 9 12 3" xfId="30782"/>
    <cellStyle name="Header2 2 13 9 12 4" xfId="41947"/>
    <cellStyle name="Header2 2 13 9 12 5" xfId="53140"/>
    <cellStyle name="Header2 2 13 9 13" xfId="9468"/>
    <cellStyle name="Header2 2 13 9 13 2" xfId="20665"/>
    <cellStyle name="Header2 2 13 9 13 3" xfId="31833"/>
    <cellStyle name="Header2 2 13 9 13 4" xfId="42998"/>
    <cellStyle name="Header2 2 13 9 13 5" xfId="54191"/>
    <cellStyle name="Header2 2 13 9 14" xfId="10400"/>
    <cellStyle name="Header2 2 13 9 14 2" xfId="21597"/>
    <cellStyle name="Header2 2 13 9 14 3" xfId="32765"/>
    <cellStyle name="Header2 2 13 9 14 4" xfId="43930"/>
    <cellStyle name="Header2 2 13 9 14 5" xfId="55123"/>
    <cellStyle name="Header2 2 13 9 15" xfId="11133"/>
    <cellStyle name="Header2 2 13 9 15 2" xfId="22330"/>
    <cellStyle name="Header2 2 13 9 15 3" xfId="33498"/>
    <cellStyle name="Header2 2 13 9 15 4" xfId="44663"/>
    <cellStyle name="Header2 2 13 9 15 5" xfId="55856"/>
    <cellStyle name="Header2 2 13 9 16" xfId="11780"/>
    <cellStyle name="Header2 2 13 9 17" xfId="22950"/>
    <cellStyle name="Header2 2 13 9 18" xfId="34117"/>
    <cellStyle name="Header2 2 13 9 19" xfId="45303"/>
    <cellStyle name="Header2 2 13 9 2" xfId="1229"/>
    <cellStyle name="Header2 2 13 9 2 2" xfId="12426"/>
    <cellStyle name="Header2 2 13 9 2 3" xfId="23594"/>
    <cellStyle name="Header2 2 13 9 2 4" xfId="34759"/>
    <cellStyle name="Header2 2 13 9 2 5" xfId="45952"/>
    <cellStyle name="Header2 2 13 9 3" xfId="1694"/>
    <cellStyle name="Header2 2 13 9 3 2" xfId="12891"/>
    <cellStyle name="Header2 2 13 9 3 3" xfId="24059"/>
    <cellStyle name="Header2 2 13 9 3 4" xfId="35224"/>
    <cellStyle name="Header2 2 13 9 3 5" xfId="46417"/>
    <cellStyle name="Header2 2 13 9 4" xfId="2930"/>
    <cellStyle name="Header2 2 13 9 4 2" xfId="14127"/>
    <cellStyle name="Header2 2 13 9 4 3" xfId="25295"/>
    <cellStyle name="Header2 2 13 9 4 4" xfId="36460"/>
    <cellStyle name="Header2 2 13 9 4 5" xfId="47653"/>
    <cellStyle name="Header2 2 13 9 5" xfId="3564"/>
    <cellStyle name="Header2 2 13 9 5 2" xfId="14761"/>
    <cellStyle name="Header2 2 13 9 5 3" xfId="25929"/>
    <cellStyle name="Header2 2 13 9 5 4" xfId="37094"/>
    <cellStyle name="Header2 2 13 9 5 5" xfId="48287"/>
    <cellStyle name="Header2 2 13 9 6" xfId="4198"/>
    <cellStyle name="Header2 2 13 9 6 2" xfId="15395"/>
    <cellStyle name="Header2 2 13 9 6 3" xfId="26563"/>
    <cellStyle name="Header2 2 13 9 6 4" xfId="37728"/>
    <cellStyle name="Header2 2 13 9 6 5" xfId="48921"/>
    <cellStyle name="Header2 2 13 9 7" xfId="4831"/>
    <cellStyle name="Header2 2 13 9 7 2" xfId="16028"/>
    <cellStyle name="Header2 2 13 9 7 3" xfId="27196"/>
    <cellStyle name="Header2 2 13 9 7 4" xfId="38361"/>
    <cellStyle name="Header2 2 13 9 7 5" xfId="49554"/>
    <cellStyle name="Header2 2 13 9 8" xfId="5462"/>
    <cellStyle name="Header2 2 13 9 8 2" xfId="16659"/>
    <cellStyle name="Header2 2 13 9 8 3" xfId="27827"/>
    <cellStyle name="Header2 2 13 9 8 4" xfId="38992"/>
    <cellStyle name="Header2 2 13 9 8 5" xfId="50185"/>
    <cellStyle name="Header2 2 13 9 9" xfId="6516"/>
    <cellStyle name="Header2 2 13 9 9 2" xfId="17713"/>
    <cellStyle name="Header2 2 13 9 9 3" xfId="28881"/>
    <cellStyle name="Header2 2 13 9 9 4" xfId="40046"/>
    <cellStyle name="Header2 2 13 9 9 5" xfId="51239"/>
    <cellStyle name="Header2 2 14" xfId="116"/>
    <cellStyle name="Header2 2 14 10" xfId="541"/>
    <cellStyle name="Header2 2 14 10 10" xfId="7110"/>
    <cellStyle name="Header2 2 14 10 10 2" xfId="18307"/>
    <cellStyle name="Header2 2 14 10 10 3" xfId="29475"/>
    <cellStyle name="Header2 2 14 10 10 4" xfId="40640"/>
    <cellStyle name="Header2 2 14 10 10 5" xfId="51833"/>
    <cellStyle name="Header2 2 14 10 11" xfId="7744"/>
    <cellStyle name="Header2 2 14 10 11 2" xfId="18941"/>
    <cellStyle name="Header2 2 14 10 11 3" xfId="30109"/>
    <cellStyle name="Header2 2 14 10 11 4" xfId="41274"/>
    <cellStyle name="Header2 2 14 10 11 5" xfId="52467"/>
    <cellStyle name="Header2 2 14 10 12" xfId="8378"/>
    <cellStyle name="Header2 2 14 10 12 2" xfId="19575"/>
    <cellStyle name="Header2 2 14 10 12 3" xfId="30743"/>
    <cellStyle name="Header2 2 14 10 12 4" xfId="41908"/>
    <cellStyle name="Header2 2 14 10 12 5" xfId="53101"/>
    <cellStyle name="Header2 2 14 10 13" xfId="9429"/>
    <cellStyle name="Header2 2 14 10 13 2" xfId="20626"/>
    <cellStyle name="Header2 2 14 10 13 3" xfId="31794"/>
    <cellStyle name="Header2 2 14 10 13 4" xfId="42959"/>
    <cellStyle name="Header2 2 14 10 13 5" xfId="54152"/>
    <cellStyle name="Header2 2 14 10 14" xfId="10573"/>
    <cellStyle name="Header2 2 14 10 14 2" xfId="21770"/>
    <cellStyle name="Header2 2 14 10 14 3" xfId="32938"/>
    <cellStyle name="Header2 2 14 10 14 4" xfId="44103"/>
    <cellStyle name="Header2 2 14 10 14 5" xfId="55296"/>
    <cellStyle name="Header2 2 14 10 15" xfId="11094"/>
    <cellStyle name="Header2 2 14 10 15 2" xfId="22291"/>
    <cellStyle name="Header2 2 14 10 15 3" xfId="33459"/>
    <cellStyle name="Header2 2 14 10 15 4" xfId="44624"/>
    <cellStyle name="Header2 2 14 10 15 5" xfId="55817"/>
    <cellStyle name="Header2 2 14 10 16" xfId="11741"/>
    <cellStyle name="Header2 2 14 10 17" xfId="22911"/>
    <cellStyle name="Header2 2 14 10 18" xfId="34078"/>
    <cellStyle name="Header2 2 14 10 19" xfId="45264"/>
    <cellStyle name="Header2 2 14 10 2" xfId="1190"/>
    <cellStyle name="Header2 2 14 10 2 2" xfId="12387"/>
    <cellStyle name="Header2 2 14 10 2 3" xfId="23555"/>
    <cellStyle name="Header2 2 14 10 2 4" xfId="34720"/>
    <cellStyle name="Header2 2 14 10 2 5" xfId="45913"/>
    <cellStyle name="Header2 2 14 10 3" xfId="1377"/>
    <cellStyle name="Header2 2 14 10 3 2" xfId="12574"/>
    <cellStyle name="Header2 2 14 10 3 3" xfId="23742"/>
    <cellStyle name="Header2 2 14 10 3 4" xfId="34907"/>
    <cellStyle name="Header2 2 14 10 3 5" xfId="46100"/>
    <cellStyle name="Header2 2 14 10 4" xfId="2891"/>
    <cellStyle name="Header2 2 14 10 4 2" xfId="14088"/>
    <cellStyle name="Header2 2 14 10 4 3" xfId="25256"/>
    <cellStyle name="Header2 2 14 10 4 4" xfId="36421"/>
    <cellStyle name="Header2 2 14 10 4 5" xfId="47614"/>
    <cellStyle name="Header2 2 14 10 5" xfId="3525"/>
    <cellStyle name="Header2 2 14 10 5 2" xfId="14722"/>
    <cellStyle name="Header2 2 14 10 5 3" xfId="25890"/>
    <cellStyle name="Header2 2 14 10 5 4" xfId="37055"/>
    <cellStyle name="Header2 2 14 10 5 5" xfId="48248"/>
    <cellStyle name="Header2 2 14 10 6" xfId="4159"/>
    <cellStyle name="Header2 2 14 10 6 2" xfId="15356"/>
    <cellStyle name="Header2 2 14 10 6 3" xfId="26524"/>
    <cellStyle name="Header2 2 14 10 6 4" xfId="37689"/>
    <cellStyle name="Header2 2 14 10 6 5" xfId="48882"/>
    <cellStyle name="Header2 2 14 10 7" xfId="4792"/>
    <cellStyle name="Header2 2 14 10 7 2" xfId="15989"/>
    <cellStyle name="Header2 2 14 10 7 3" xfId="27157"/>
    <cellStyle name="Header2 2 14 10 7 4" xfId="38322"/>
    <cellStyle name="Header2 2 14 10 7 5" xfId="49515"/>
    <cellStyle name="Header2 2 14 10 8" xfId="5423"/>
    <cellStyle name="Header2 2 14 10 8 2" xfId="16620"/>
    <cellStyle name="Header2 2 14 10 8 3" xfId="27788"/>
    <cellStyle name="Header2 2 14 10 8 4" xfId="38953"/>
    <cellStyle name="Header2 2 14 10 8 5" xfId="50146"/>
    <cellStyle name="Header2 2 14 10 9" xfId="6477"/>
    <cellStyle name="Header2 2 14 10 9 2" xfId="17674"/>
    <cellStyle name="Header2 2 14 10 9 3" xfId="28842"/>
    <cellStyle name="Header2 2 14 10 9 4" xfId="40007"/>
    <cellStyle name="Header2 2 14 10 9 5" xfId="51200"/>
    <cellStyle name="Header2 2 14 11" xfId="685"/>
    <cellStyle name="Header2 2 14 11 10" xfId="7254"/>
    <cellStyle name="Header2 2 14 11 10 2" xfId="18451"/>
    <cellStyle name="Header2 2 14 11 10 3" xfId="29619"/>
    <cellStyle name="Header2 2 14 11 10 4" xfId="40784"/>
    <cellStyle name="Header2 2 14 11 10 5" xfId="51977"/>
    <cellStyle name="Header2 2 14 11 11" xfId="7888"/>
    <cellStyle name="Header2 2 14 11 11 2" xfId="19085"/>
    <cellStyle name="Header2 2 14 11 11 3" xfId="30253"/>
    <cellStyle name="Header2 2 14 11 11 4" xfId="41418"/>
    <cellStyle name="Header2 2 14 11 11 5" xfId="52611"/>
    <cellStyle name="Header2 2 14 11 12" xfId="8522"/>
    <cellStyle name="Header2 2 14 11 12 2" xfId="19719"/>
    <cellStyle name="Header2 2 14 11 12 3" xfId="30887"/>
    <cellStyle name="Header2 2 14 11 12 4" xfId="42052"/>
    <cellStyle name="Header2 2 14 11 12 5" xfId="53245"/>
    <cellStyle name="Header2 2 14 11 13" xfId="9573"/>
    <cellStyle name="Header2 2 14 11 13 2" xfId="20770"/>
    <cellStyle name="Header2 2 14 11 13 3" xfId="31938"/>
    <cellStyle name="Header2 2 14 11 13 4" xfId="43103"/>
    <cellStyle name="Header2 2 14 11 13 5" xfId="54296"/>
    <cellStyle name="Header2 2 14 11 14" xfId="10530"/>
    <cellStyle name="Header2 2 14 11 14 2" xfId="21727"/>
    <cellStyle name="Header2 2 14 11 14 3" xfId="32895"/>
    <cellStyle name="Header2 2 14 11 14 4" xfId="44060"/>
    <cellStyle name="Header2 2 14 11 14 5" xfId="55253"/>
    <cellStyle name="Header2 2 14 11 15" xfId="11238"/>
    <cellStyle name="Header2 2 14 11 15 2" xfId="22435"/>
    <cellStyle name="Header2 2 14 11 15 3" xfId="33603"/>
    <cellStyle name="Header2 2 14 11 15 4" xfId="44768"/>
    <cellStyle name="Header2 2 14 11 15 5" xfId="55961"/>
    <cellStyle name="Header2 2 14 11 16" xfId="11885"/>
    <cellStyle name="Header2 2 14 11 17" xfId="23055"/>
    <cellStyle name="Header2 2 14 11 18" xfId="34222"/>
    <cellStyle name="Header2 2 14 11 19" xfId="45408"/>
    <cellStyle name="Header2 2 14 11 2" xfId="1334"/>
    <cellStyle name="Header2 2 14 11 2 2" xfId="12531"/>
    <cellStyle name="Header2 2 14 11 2 3" xfId="23699"/>
    <cellStyle name="Header2 2 14 11 2 4" xfId="34864"/>
    <cellStyle name="Header2 2 14 11 2 5" xfId="46057"/>
    <cellStyle name="Header2 2 14 11 3" xfId="1391"/>
    <cellStyle name="Header2 2 14 11 3 2" xfId="12588"/>
    <cellStyle name="Header2 2 14 11 3 3" xfId="23756"/>
    <cellStyle name="Header2 2 14 11 3 4" xfId="34921"/>
    <cellStyle name="Header2 2 14 11 3 5" xfId="46114"/>
    <cellStyle name="Header2 2 14 11 4" xfId="3035"/>
    <cellStyle name="Header2 2 14 11 4 2" xfId="14232"/>
    <cellStyle name="Header2 2 14 11 4 3" xfId="25400"/>
    <cellStyle name="Header2 2 14 11 4 4" xfId="36565"/>
    <cellStyle name="Header2 2 14 11 4 5" xfId="47758"/>
    <cellStyle name="Header2 2 14 11 5" xfId="3669"/>
    <cellStyle name="Header2 2 14 11 5 2" xfId="14866"/>
    <cellStyle name="Header2 2 14 11 5 3" xfId="26034"/>
    <cellStyle name="Header2 2 14 11 5 4" xfId="37199"/>
    <cellStyle name="Header2 2 14 11 5 5" xfId="48392"/>
    <cellStyle name="Header2 2 14 11 6" xfId="4303"/>
    <cellStyle name="Header2 2 14 11 6 2" xfId="15500"/>
    <cellStyle name="Header2 2 14 11 6 3" xfId="26668"/>
    <cellStyle name="Header2 2 14 11 6 4" xfId="37833"/>
    <cellStyle name="Header2 2 14 11 6 5" xfId="49026"/>
    <cellStyle name="Header2 2 14 11 7" xfId="4936"/>
    <cellStyle name="Header2 2 14 11 7 2" xfId="16133"/>
    <cellStyle name="Header2 2 14 11 7 3" xfId="27301"/>
    <cellStyle name="Header2 2 14 11 7 4" xfId="38466"/>
    <cellStyle name="Header2 2 14 11 7 5" xfId="49659"/>
    <cellStyle name="Header2 2 14 11 8" xfId="5567"/>
    <cellStyle name="Header2 2 14 11 8 2" xfId="16764"/>
    <cellStyle name="Header2 2 14 11 8 3" xfId="27932"/>
    <cellStyle name="Header2 2 14 11 8 4" xfId="39097"/>
    <cellStyle name="Header2 2 14 11 8 5" xfId="50290"/>
    <cellStyle name="Header2 2 14 11 9" xfId="6621"/>
    <cellStyle name="Header2 2 14 11 9 2" xfId="17818"/>
    <cellStyle name="Header2 2 14 11 9 3" xfId="28986"/>
    <cellStyle name="Header2 2 14 11 9 4" xfId="40151"/>
    <cellStyle name="Header2 2 14 11 9 5" xfId="51344"/>
    <cellStyle name="Header2 2 14 12" xfId="765"/>
    <cellStyle name="Header2 2 14 12 2" xfId="11962"/>
    <cellStyle name="Header2 2 14 12 3" xfId="23130"/>
    <cellStyle name="Header2 2 14 12 4" xfId="34295"/>
    <cellStyle name="Header2 2 14 12 5" xfId="45488"/>
    <cellStyle name="Header2 2 14 13" xfId="1922"/>
    <cellStyle name="Header2 2 14 13 2" xfId="13119"/>
    <cellStyle name="Header2 2 14 13 3" xfId="24287"/>
    <cellStyle name="Header2 2 14 13 4" xfId="35452"/>
    <cellStyle name="Header2 2 14 13 5" xfId="46645"/>
    <cellStyle name="Header2 2 14 14" xfId="2012"/>
    <cellStyle name="Header2 2 14 14 2" xfId="13209"/>
    <cellStyle name="Header2 2 14 14 3" xfId="24377"/>
    <cellStyle name="Header2 2 14 14 4" xfId="35542"/>
    <cellStyle name="Header2 2 14 14 5" xfId="46735"/>
    <cellStyle name="Header2 2 14 15" xfId="3100"/>
    <cellStyle name="Header2 2 14 15 2" xfId="14297"/>
    <cellStyle name="Header2 2 14 15 3" xfId="25465"/>
    <cellStyle name="Header2 2 14 15 4" xfId="36630"/>
    <cellStyle name="Header2 2 14 15 5" xfId="47823"/>
    <cellStyle name="Header2 2 14 16" xfId="3734"/>
    <cellStyle name="Header2 2 14 16 2" xfId="14931"/>
    <cellStyle name="Header2 2 14 16 3" xfId="26099"/>
    <cellStyle name="Header2 2 14 16 4" xfId="37264"/>
    <cellStyle name="Header2 2 14 16 5" xfId="48457"/>
    <cellStyle name="Header2 2 14 17" xfId="4367"/>
    <cellStyle name="Header2 2 14 17 2" xfId="15564"/>
    <cellStyle name="Header2 2 14 17 3" xfId="26732"/>
    <cellStyle name="Header2 2 14 17 4" xfId="37897"/>
    <cellStyle name="Header2 2 14 17 5" xfId="49090"/>
    <cellStyle name="Header2 2 14 18" xfId="4998"/>
    <cellStyle name="Header2 2 14 18 2" xfId="16195"/>
    <cellStyle name="Header2 2 14 18 3" xfId="27363"/>
    <cellStyle name="Header2 2 14 18 4" xfId="38528"/>
    <cellStyle name="Header2 2 14 18 5" xfId="49721"/>
    <cellStyle name="Header2 2 14 19" xfId="6033"/>
    <cellStyle name="Header2 2 14 19 2" xfId="17230"/>
    <cellStyle name="Header2 2 14 19 3" xfId="28398"/>
    <cellStyle name="Header2 2 14 19 4" xfId="39563"/>
    <cellStyle name="Header2 2 14 19 5" xfId="50756"/>
    <cellStyle name="Header2 2 14 2" xfId="179"/>
    <cellStyle name="Header2 2 14 2 10" xfId="6748"/>
    <cellStyle name="Header2 2 14 2 10 2" xfId="17945"/>
    <cellStyle name="Header2 2 14 2 10 3" xfId="29113"/>
    <cellStyle name="Header2 2 14 2 10 4" xfId="40278"/>
    <cellStyle name="Header2 2 14 2 10 5" xfId="51471"/>
    <cellStyle name="Header2 2 14 2 11" xfId="7382"/>
    <cellStyle name="Header2 2 14 2 11 2" xfId="18579"/>
    <cellStyle name="Header2 2 14 2 11 3" xfId="29747"/>
    <cellStyle name="Header2 2 14 2 11 4" xfId="40912"/>
    <cellStyle name="Header2 2 14 2 11 5" xfId="52105"/>
    <cellStyle name="Header2 2 14 2 12" xfId="8016"/>
    <cellStyle name="Header2 2 14 2 12 2" xfId="19213"/>
    <cellStyle name="Header2 2 14 2 12 3" xfId="30381"/>
    <cellStyle name="Header2 2 14 2 12 4" xfId="41546"/>
    <cellStyle name="Header2 2 14 2 12 5" xfId="52739"/>
    <cellStyle name="Header2 2 14 2 13" xfId="8888"/>
    <cellStyle name="Header2 2 14 2 13 2" xfId="20085"/>
    <cellStyle name="Header2 2 14 2 13 3" xfId="31253"/>
    <cellStyle name="Header2 2 14 2 13 4" xfId="42418"/>
    <cellStyle name="Header2 2 14 2 13 5" xfId="53611"/>
    <cellStyle name="Header2 2 14 2 14" xfId="9746"/>
    <cellStyle name="Header2 2 14 2 14 2" xfId="20943"/>
    <cellStyle name="Header2 2 14 2 14 3" xfId="32111"/>
    <cellStyle name="Header2 2 14 2 14 4" xfId="43276"/>
    <cellStyle name="Header2 2 14 2 14 5" xfId="54469"/>
    <cellStyle name="Header2 2 14 2 15" xfId="10732"/>
    <cellStyle name="Header2 2 14 2 15 2" xfId="21929"/>
    <cellStyle name="Header2 2 14 2 15 3" xfId="33097"/>
    <cellStyle name="Header2 2 14 2 15 4" xfId="44262"/>
    <cellStyle name="Header2 2 14 2 15 5" xfId="55455"/>
    <cellStyle name="Header2 2 14 2 16" xfId="11379"/>
    <cellStyle name="Header2 2 14 2 17" xfId="22549"/>
    <cellStyle name="Header2 2 14 2 18" xfId="33716"/>
    <cellStyle name="Header2 2 14 2 19" xfId="44902"/>
    <cellStyle name="Header2 2 14 2 2" xfId="828"/>
    <cellStyle name="Header2 2 14 2 2 2" xfId="12025"/>
    <cellStyle name="Header2 2 14 2 2 3" xfId="23193"/>
    <cellStyle name="Header2 2 14 2 2 4" xfId="34358"/>
    <cellStyle name="Header2 2 14 2 2 5" xfId="45551"/>
    <cellStyle name="Header2 2 14 2 3" xfId="1469"/>
    <cellStyle name="Header2 2 14 2 3 2" xfId="12666"/>
    <cellStyle name="Header2 2 14 2 3 3" xfId="23834"/>
    <cellStyle name="Header2 2 14 2 3 4" xfId="34999"/>
    <cellStyle name="Header2 2 14 2 3 5" xfId="46192"/>
    <cellStyle name="Header2 2 14 2 4" xfId="2171"/>
    <cellStyle name="Header2 2 14 2 4 2" xfId="13368"/>
    <cellStyle name="Header2 2 14 2 4 3" xfId="24536"/>
    <cellStyle name="Header2 2 14 2 4 4" xfId="35701"/>
    <cellStyle name="Header2 2 14 2 4 5" xfId="46894"/>
    <cellStyle name="Header2 2 14 2 5" xfId="3163"/>
    <cellStyle name="Header2 2 14 2 5 2" xfId="14360"/>
    <cellStyle name="Header2 2 14 2 5 3" xfId="25528"/>
    <cellStyle name="Header2 2 14 2 5 4" xfId="36693"/>
    <cellStyle name="Header2 2 14 2 5 5" xfId="47886"/>
    <cellStyle name="Header2 2 14 2 6" xfId="3797"/>
    <cellStyle name="Header2 2 14 2 6 2" xfId="14994"/>
    <cellStyle name="Header2 2 14 2 6 3" xfId="26162"/>
    <cellStyle name="Header2 2 14 2 6 4" xfId="37327"/>
    <cellStyle name="Header2 2 14 2 6 5" xfId="48520"/>
    <cellStyle name="Header2 2 14 2 7" xfId="4430"/>
    <cellStyle name="Header2 2 14 2 7 2" xfId="15627"/>
    <cellStyle name="Header2 2 14 2 7 3" xfId="26795"/>
    <cellStyle name="Header2 2 14 2 7 4" xfId="37960"/>
    <cellStyle name="Header2 2 14 2 7 5" xfId="49153"/>
    <cellStyle name="Header2 2 14 2 8" xfId="5061"/>
    <cellStyle name="Header2 2 14 2 8 2" xfId="16258"/>
    <cellStyle name="Header2 2 14 2 8 3" xfId="27426"/>
    <cellStyle name="Header2 2 14 2 8 4" xfId="38591"/>
    <cellStyle name="Header2 2 14 2 8 5" xfId="49784"/>
    <cellStyle name="Header2 2 14 2 9" xfId="5744"/>
    <cellStyle name="Header2 2 14 2 9 2" xfId="16941"/>
    <cellStyle name="Header2 2 14 2 9 3" xfId="28109"/>
    <cellStyle name="Header2 2 14 2 9 4" xfId="39274"/>
    <cellStyle name="Header2 2 14 2 9 5" xfId="50467"/>
    <cellStyle name="Header2 2 14 20" xfId="6685"/>
    <cellStyle name="Header2 2 14 20 2" xfId="17882"/>
    <cellStyle name="Header2 2 14 20 3" xfId="29050"/>
    <cellStyle name="Header2 2 14 20 4" xfId="40215"/>
    <cellStyle name="Header2 2 14 20 5" xfId="51408"/>
    <cellStyle name="Header2 2 14 21" xfId="7319"/>
    <cellStyle name="Header2 2 14 21 2" xfId="18516"/>
    <cellStyle name="Header2 2 14 21 3" xfId="29684"/>
    <cellStyle name="Header2 2 14 21 4" xfId="40849"/>
    <cellStyle name="Header2 2 14 21 5" xfId="52042"/>
    <cellStyle name="Header2 2 14 22" xfId="7953"/>
    <cellStyle name="Header2 2 14 22 2" xfId="19150"/>
    <cellStyle name="Header2 2 14 22 3" xfId="30318"/>
    <cellStyle name="Header2 2 14 22 4" xfId="41483"/>
    <cellStyle name="Header2 2 14 22 5" xfId="52676"/>
    <cellStyle name="Header2 2 14 23" xfId="8619"/>
    <cellStyle name="Header2 2 14 23 2" xfId="19816"/>
    <cellStyle name="Header2 2 14 23 3" xfId="30984"/>
    <cellStyle name="Header2 2 14 23 4" xfId="42149"/>
    <cellStyle name="Header2 2 14 23 5" xfId="53342"/>
    <cellStyle name="Header2 2 14 24" xfId="10600"/>
    <cellStyle name="Header2 2 14 24 2" xfId="21797"/>
    <cellStyle name="Header2 2 14 24 3" xfId="32965"/>
    <cellStyle name="Header2 2 14 24 4" xfId="44130"/>
    <cellStyle name="Header2 2 14 24 5" xfId="55323"/>
    <cellStyle name="Header2 2 14 25" xfId="10669"/>
    <cellStyle name="Header2 2 14 25 2" xfId="21866"/>
    <cellStyle name="Header2 2 14 25 3" xfId="33034"/>
    <cellStyle name="Header2 2 14 25 4" xfId="44199"/>
    <cellStyle name="Header2 2 14 25 5" xfId="55392"/>
    <cellStyle name="Header2 2 14 26" xfId="11316"/>
    <cellStyle name="Header2 2 14 27" xfId="22486"/>
    <cellStyle name="Header2 2 14 28" xfId="33653"/>
    <cellStyle name="Header2 2 14 29" xfId="44839"/>
    <cellStyle name="Header2 2 14 3" xfId="235"/>
    <cellStyle name="Header2 2 14 3 10" xfId="6804"/>
    <cellStyle name="Header2 2 14 3 10 2" xfId="18001"/>
    <cellStyle name="Header2 2 14 3 10 3" xfId="29169"/>
    <cellStyle name="Header2 2 14 3 10 4" xfId="40334"/>
    <cellStyle name="Header2 2 14 3 10 5" xfId="51527"/>
    <cellStyle name="Header2 2 14 3 11" xfId="7438"/>
    <cellStyle name="Header2 2 14 3 11 2" xfId="18635"/>
    <cellStyle name="Header2 2 14 3 11 3" xfId="29803"/>
    <cellStyle name="Header2 2 14 3 11 4" xfId="40968"/>
    <cellStyle name="Header2 2 14 3 11 5" xfId="52161"/>
    <cellStyle name="Header2 2 14 3 12" xfId="8072"/>
    <cellStyle name="Header2 2 14 3 12 2" xfId="19269"/>
    <cellStyle name="Header2 2 14 3 12 3" xfId="30437"/>
    <cellStyle name="Header2 2 14 3 12 4" xfId="41602"/>
    <cellStyle name="Header2 2 14 3 12 5" xfId="52795"/>
    <cellStyle name="Header2 2 14 3 13" xfId="8808"/>
    <cellStyle name="Header2 2 14 3 13 2" xfId="20005"/>
    <cellStyle name="Header2 2 14 3 13 3" xfId="31173"/>
    <cellStyle name="Header2 2 14 3 13 4" xfId="42338"/>
    <cellStyle name="Header2 2 14 3 13 5" xfId="53531"/>
    <cellStyle name="Header2 2 14 3 14" xfId="9853"/>
    <cellStyle name="Header2 2 14 3 14 2" xfId="21050"/>
    <cellStyle name="Header2 2 14 3 14 3" xfId="32218"/>
    <cellStyle name="Header2 2 14 3 14 4" xfId="43383"/>
    <cellStyle name="Header2 2 14 3 14 5" xfId="54576"/>
    <cellStyle name="Header2 2 14 3 15" xfId="10788"/>
    <cellStyle name="Header2 2 14 3 15 2" xfId="21985"/>
    <cellStyle name="Header2 2 14 3 15 3" xfId="33153"/>
    <cellStyle name="Header2 2 14 3 15 4" xfId="44318"/>
    <cellStyle name="Header2 2 14 3 15 5" xfId="55511"/>
    <cellStyle name="Header2 2 14 3 16" xfId="11435"/>
    <cellStyle name="Header2 2 14 3 17" xfId="22605"/>
    <cellStyle name="Header2 2 14 3 18" xfId="33772"/>
    <cellStyle name="Header2 2 14 3 19" xfId="44958"/>
    <cellStyle name="Header2 2 14 3 2" xfId="884"/>
    <cellStyle name="Header2 2 14 3 2 2" xfId="12081"/>
    <cellStyle name="Header2 2 14 3 2 3" xfId="23249"/>
    <cellStyle name="Header2 2 14 3 2 4" xfId="34414"/>
    <cellStyle name="Header2 2 14 3 2 5" xfId="45607"/>
    <cellStyle name="Header2 2 14 3 3" xfId="1891"/>
    <cellStyle name="Header2 2 14 3 3 2" xfId="13088"/>
    <cellStyle name="Header2 2 14 3 3 3" xfId="24256"/>
    <cellStyle name="Header2 2 14 3 3 4" xfId="35421"/>
    <cellStyle name="Header2 2 14 3 3 5" xfId="46614"/>
    <cellStyle name="Header2 2 14 3 4" xfId="2097"/>
    <cellStyle name="Header2 2 14 3 4 2" xfId="13294"/>
    <cellStyle name="Header2 2 14 3 4 3" xfId="24462"/>
    <cellStyle name="Header2 2 14 3 4 4" xfId="35627"/>
    <cellStyle name="Header2 2 14 3 4 5" xfId="46820"/>
    <cellStyle name="Header2 2 14 3 5" xfId="3219"/>
    <cellStyle name="Header2 2 14 3 5 2" xfId="14416"/>
    <cellStyle name="Header2 2 14 3 5 3" xfId="25584"/>
    <cellStyle name="Header2 2 14 3 5 4" xfId="36749"/>
    <cellStyle name="Header2 2 14 3 5 5" xfId="47942"/>
    <cellStyle name="Header2 2 14 3 6" xfId="3853"/>
    <cellStyle name="Header2 2 14 3 6 2" xfId="15050"/>
    <cellStyle name="Header2 2 14 3 6 3" xfId="26218"/>
    <cellStyle name="Header2 2 14 3 6 4" xfId="37383"/>
    <cellStyle name="Header2 2 14 3 6 5" xfId="48576"/>
    <cellStyle name="Header2 2 14 3 7" xfId="4486"/>
    <cellStyle name="Header2 2 14 3 7 2" xfId="15683"/>
    <cellStyle name="Header2 2 14 3 7 3" xfId="26851"/>
    <cellStyle name="Header2 2 14 3 7 4" xfId="38016"/>
    <cellStyle name="Header2 2 14 3 7 5" xfId="49209"/>
    <cellStyle name="Header2 2 14 3 8" xfId="5117"/>
    <cellStyle name="Header2 2 14 3 8 2" xfId="16314"/>
    <cellStyle name="Header2 2 14 3 8 3" xfId="27482"/>
    <cellStyle name="Header2 2 14 3 8 4" xfId="38647"/>
    <cellStyle name="Header2 2 14 3 8 5" xfId="49840"/>
    <cellStyle name="Header2 2 14 3 9" xfId="5619"/>
    <cellStyle name="Header2 2 14 3 9 2" xfId="16816"/>
    <cellStyle name="Header2 2 14 3 9 3" xfId="27984"/>
    <cellStyle name="Header2 2 14 3 9 4" xfId="39149"/>
    <cellStyle name="Header2 2 14 3 9 5" xfId="50342"/>
    <cellStyle name="Header2 2 14 4" xfId="295"/>
    <cellStyle name="Header2 2 14 4 10" xfId="6864"/>
    <cellStyle name="Header2 2 14 4 10 2" xfId="18061"/>
    <cellStyle name="Header2 2 14 4 10 3" xfId="29229"/>
    <cellStyle name="Header2 2 14 4 10 4" xfId="40394"/>
    <cellStyle name="Header2 2 14 4 10 5" xfId="51587"/>
    <cellStyle name="Header2 2 14 4 11" xfId="7498"/>
    <cellStyle name="Header2 2 14 4 11 2" xfId="18695"/>
    <cellStyle name="Header2 2 14 4 11 3" xfId="29863"/>
    <cellStyle name="Header2 2 14 4 11 4" xfId="41028"/>
    <cellStyle name="Header2 2 14 4 11 5" xfId="52221"/>
    <cellStyle name="Header2 2 14 4 12" xfId="8132"/>
    <cellStyle name="Header2 2 14 4 12 2" xfId="19329"/>
    <cellStyle name="Header2 2 14 4 12 3" xfId="30497"/>
    <cellStyle name="Header2 2 14 4 12 4" xfId="41662"/>
    <cellStyle name="Header2 2 14 4 12 5" xfId="52855"/>
    <cellStyle name="Header2 2 14 4 13" xfId="9183"/>
    <cellStyle name="Header2 2 14 4 13 2" xfId="20380"/>
    <cellStyle name="Header2 2 14 4 13 3" xfId="31548"/>
    <cellStyle name="Header2 2 14 4 13 4" xfId="42713"/>
    <cellStyle name="Header2 2 14 4 13 5" xfId="53906"/>
    <cellStyle name="Header2 2 14 4 14" xfId="10478"/>
    <cellStyle name="Header2 2 14 4 14 2" xfId="21675"/>
    <cellStyle name="Header2 2 14 4 14 3" xfId="32843"/>
    <cellStyle name="Header2 2 14 4 14 4" xfId="44008"/>
    <cellStyle name="Header2 2 14 4 14 5" xfId="55201"/>
    <cellStyle name="Header2 2 14 4 15" xfId="10848"/>
    <cellStyle name="Header2 2 14 4 15 2" xfId="22045"/>
    <cellStyle name="Header2 2 14 4 15 3" xfId="33213"/>
    <cellStyle name="Header2 2 14 4 15 4" xfId="44378"/>
    <cellStyle name="Header2 2 14 4 15 5" xfId="55571"/>
    <cellStyle name="Header2 2 14 4 16" xfId="11495"/>
    <cellStyle name="Header2 2 14 4 17" xfId="22665"/>
    <cellStyle name="Header2 2 14 4 18" xfId="33832"/>
    <cellStyle name="Header2 2 14 4 19" xfId="45018"/>
    <cellStyle name="Header2 2 14 4 2" xfId="944"/>
    <cellStyle name="Header2 2 14 4 2 2" xfId="12141"/>
    <cellStyle name="Header2 2 14 4 2 3" xfId="23309"/>
    <cellStyle name="Header2 2 14 4 2 4" xfId="34474"/>
    <cellStyle name="Header2 2 14 4 2 5" xfId="45667"/>
    <cellStyle name="Header2 2 14 4 3" xfId="1774"/>
    <cellStyle name="Header2 2 14 4 3 2" xfId="12971"/>
    <cellStyle name="Header2 2 14 4 3 3" xfId="24139"/>
    <cellStyle name="Header2 2 14 4 3 4" xfId="35304"/>
    <cellStyle name="Header2 2 14 4 3 5" xfId="46497"/>
    <cellStyle name="Header2 2 14 4 4" xfId="2645"/>
    <cellStyle name="Header2 2 14 4 4 2" xfId="13842"/>
    <cellStyle name="Header2 2 14 4 4 3" xfId="25010"/>
    <cellStyle name="Header2 2 14 4 4 4" xfId="36175"/>
    <cellStyle name="Header2 2 14 4 4 5" xfId="47368"/>
    <cellStyle name="Header2 2 14 4 5" xfId="3279"/>
    <cellStyle name="Header2 2 14 4 5 2" xfId="14476"/>
    <cellStyle name="Header2 2 14 4 5 3" xfId="25644"/>
    <cellStyle name="Header2 2 14 4 5 4" xfId="36809"/>
    <cellStyle name="Header2 2 14 4 5 5" xfId="48002"/>
    <cellStyle name="Header2 2 14 4 6" xfId="3913"/>
    <cellStyle name="Header2 2 14 4 6 2" xfId="15110"/>
    <cellStyle name="Header2 2 14 4 6 3" xfId="26278"/>
    <cellStyle name="Header2 2 14 4 6 4" xfId="37443"/>
    <cellStyle name="Header2 2 14 4 6 5" xfId="48636"/>
    <cellStyle name="Header2 2 14 4 7" xfId="4546"/>
    <cellStyle name="Header2 2 14 4 7 2" xfId="15743"/>
    <cellStyle name="Header2 2 14 4 7 3" xfId="26911"/>
    <cellStyle name="Header2 2 14 4 7 4" xfId="38076"/>
    <cellStyle name="Header2 2 14 4 7 5" xfId="49269"/>
    <cellStyle name="Header2 2 14 4 8" xfId="5177"/>
    <cellStyle name="Header2 2 14 4 8 2" xfId="16374"/>
    <cellStyle name="Header2 2 14 4 8 3" xfId="27542"/>
    <cellStyle name="Header2 2 14 4 8 4" xfId="38707"/>
    <cellStyle name="Header2 2 14 4 8 5" xfId="49900"/>
    <cellStyle name="Header2 2 14 4 9" xfId="6231"/>
    <cellStyle name="Header2 2 14 4 9 2" xfId="17428"/>
    <cellStyle name="Header2 2 14 4 9 3" xfId="28596"/>
    <cellStyle name="Header2 2 14 4 9 4" xfId="39761"/>
    <cellStyle name="Header2 2 14 4 9 5" xfId="50954"/>
    <cellStyle name="Header2 2 14 5" xfId="258"/>
    <cellStyle name="Header2 2 14 5 10" xfId="6827"/>
    <cellStyle name="Header2 2 14 5 10 2" xfId="18024"/>
    <cellStyle name="Header2 2 14 5 10 3" xfId="29192"/>
    <cellStyle name="Header2 2 14 5 10 4" xfId="40357"/>
    <cellStyle name="Header2 2 14 5 10 5" xfId="51550"/>
    <cellStyle name="Header2 2 14 5 11" xfId="7461"/>
    <cellStyle name="Header2 2 14 5 11 2" xfId="18658"/>
    <cellStyle name="Header2 2 14 5 11 3" xfId="29826"/>
    <cellStyle name="Header2 2 14 5 11 4" xfId="40991"/>
    <cellStyle name="Header2 2 14 5 11 5" xfId="52184"/>
    <cellStyle name="Header2 2 14 5 12" xfId="8095"/>
    <cellStyle name="Header2 2 14 5 12 2" xfId="19292"/>
    <cellStyle name="Header2 2 14 5 12 3" xfId="30460"/>
    <cellStyle name="Header2 2 14 5 12 4" xfId="41625"/>
    <cellStyle name="Header2 2 14 5 12 5" xfId="52818"/>
    <cellStyle name="Header2 2 14 5 13" xfId="8755"/>
    <cellStyle name="Header2 2 14 5 13 2" xfId="19952"/>
    <cellStyle name="Header2 2 14 5 13 3" xfId="31120"/>
    <cellStyle name="Header2 2 14 5 13 4" xfId="42285"/>
    <cellStyle name="Header2 2 14 5 13 5" xfId="53478"/>
    <cellStyle name="Header2 2 14 5 14" xfId="9884"/>
    <cellStyle name="Header2 2 14 5 14 2" xfId="21081"/>
    <cellStyle name="Header2 2 14 5 14 3" xfId="32249"/>
    <cellStyle name="Header2 2 14 5 14 4" xfId="43414"/>
    <cellStyle name="Header2 2 14 5 14 5" xfId="54607"/>
    <cellStyle name="Header2 2 14 5 15" xfId="10811"/>
    <cellStyle name="Header2 2 14 5 15 2" xfId="22008"/>
    <cellStyle name="Header2 2 14 5 15 3" xfId="33176"/>
    <cellStyle name="Header2 2 14 5 15 4" xfId="44341"/>
    <cellStyle name="Header2 2 14 5 15 5" xfId="55534"/>
    <cellStyle name="Header2 2 14 5 16" xfId="11458"/>
    <cellStyle name="Header2 2 14 5 17" xfId="22628"/>
    <cellStyle name="Header2 2 14 5 18" xfId="33795"/>
    <cellStyle name="Header2 2 14 5 19" xfId="44981"/>
    <cellStyle name="Header2 2 14 5 2" xfId="907"/>
    <cellStyle name="Header2 2 14 5 2 2" xfId="12104"/>
    <cellStyle name="Header2 2 14 5 2 3" xfId="23272"/>
    <cellStyle name="Header2 2 14 5 2 4" xfId="34437"/>
    <cellStyle name="Header2 2 14 5 2 5" xfId="45630"/>
    <cellStyle name="Header2 2 14 5 3" xfId="1964"/>
    <cellStyle name="Header2 2 14 5 3 2" xfId="13161"/>
    <cellStyle name="Header2 2 14 5 3 3" xfId="24329"/>
    <cellStyle name="Header2 2 14 5 3 4" xfId="35494"/>
    <cellStyle name="Header2 2 14 5 3 5" xfId="46687"/>
    <cellStyle name="Header2 2 14 5 4" xfId="2592"/>
    <cellStyle name="Header2 2 14 5 4 2" xfId="13789"/>
    <cellStyle name="Header2 2 14 5 4 3" xfId="24957"/>
    <cellStyle name="Header2 2 14 5 4 4" xfId="36122"/>
    <cellStyle name="Header2 2 14 5 4 5" xfId="47315"/>
    <cellStyle name="Header2 2 14 5 5" xfId="3242"/>
    <cellStyle name="Header2 2 14 5 5 2" xfId="14439"/>
    <cellStyle name="Header2 2 14 5 5 3" xfId="25607"/>
    <cellStyle name="Header2 2 14 5 5 4" xfId="36772"/>
    <cellStyle name="Header2 2 14 5 5 5" xfId="47965"/>
    <cellStyle name="Header2 2 14 5 6" xfId="3876"/>
    <cellStyle name="Header2 2 14 5 6 2" xfId="15073"/>
    <cellStyle name="Header2 2 14 5 6 3" xfId="26241"/>
    <cellStyle name="Header2 2 14 5 6 4" xfId="37406"/>
    <cellStyle name="Header2 2 14 5 6 5" xfId="48599"/>
    <cellStyle name="Header2 2 14 5 7" xfId="4509"/>
    <cellStyle name="Header2 2 14 5 7 2" xfId="15706"/>
    <cellStyle name="Header2 2 14 5 7 3" xfId="26874"/>
    <cellStyle name="Header2 2 14 5 7 4" xfId="38039"/>
    <cellStyle name="Header2 2 14 5 7 5" xfId="49232"/>
    <cellStyle name="Header2 2 14 5 8" xfId="5140"/>
    <cellStyle name="Header2 2 14 5 8 2" xfId="16337"/>
    <cellStyle name="Header2 2 14 5 8 3" xfId="27505"/>
    <cellStyle name="Header2 2 14 5 8 4" xfId="38670"/>
    <cellStyle name="Header2 2 14 5 8 5" xfId="49863"/>
    <cellStyle name="Header2 2 14 5 9" xfId="6052"/>
    <cellStyle name="Header2 2 14 5 9 2" xfId="17249"/>
    <cellStyle name="Header2 2 14 5 9 3" xfId="28417"/>
    <cellStyle name="Header2 2 14 5 9 4" xfId="39582"/>
    <cellStyle name="Header2 2 14 5 9 5" xfId="50775"/>
    <cellStyle name="Header2 2 14 6" xfId="373"/>
    <cellStyle name="Header2 2 14 6 10" xfId="6942"/>
    <cellStyle name="Header2 2 14 6 10 2" xfId="18139"/>
    <cellStyle name="Header2 2 14 6 10 3" xfId="29307"/>
    <cellStyle name="Header2 2 14 6 10 4" xfId="40472"/>
    <cellStyle name="Header2 2 14 6 10 5" xfId="51665"/>
    <cellStyle name="Header2 2 14 6 11" xfId="7576"/>
    <cellStyle name="Header2 2 14 6 11 2" xfId="18773"/>
    <cellStyle name="Header2 2 14 6 11 3" xfId="29941"/>
    <cellStyle name="Header2 2 14 6 11 4" xfId="41106"/>
    <cellStyle name="Header2 2 14 6 11 5" xfId="52299"/>
    <cellStyle name="Header2 2 14 6 12" xfId="8210"/>
    <cellStyle name="Header2 2 14 6 12 2" xfId="19407"/>
    <cellStyle name="Header2 2 14 6 12 3" xfId="30575"/>
    <cellStyle name="Header2 2 14 6 12 4" xfId="41740"/>
    <cellStyle name="Header2 2 14 6 12 5" xfId="52933"/>
    <cellStyle name="Header2 2 14 6 13" xfId="9261"/>
    <cellStyle name="Header2 2 14 6 13 2" xfId="20458"/>
    <cellStyle name="Header2 2 14 6 13 3" xfId="31626"/>
    <cellStyle name="Header2 2 14 6 13 4" xfId="42791"/>
    <cellStyle name="Header2 2 14 6 13 5" xfId="53984"/>
    <cellStyle name="Header2 2 14 6 14" xfId="10519"/>
    <cellStyle name="Header2 2 14 6 14 2" xfId="21716"/>
    <cellStyle name="Header2 2 14 6 14 3" xfId="32884"/>
    <cellStyle name="Header2 2 14 6 14 4" xfId="44049"/>
    <cellStyle name="Header2 2 14 6 14 5" xfId="55242"/>
    <cellStyle name="Header2 2 14 6 15" xfId="10926"/>
    <cellStyle name="Header2 2 14 6 15 2" xfId="22123"/>
    <cellStyle name="Header2 2 14 6 15 3" xfId="33291"/>
    <cellStyle name="Header2 2 14 6 15 4" xfId="44456"/>
    <cellStyle name="Header2 2 14 6 15 5" xfId="55649"/>
    <cellStyle name="Header2 2 14 6 16" xfId="11573"/>
    <cellStyle name="Header2 2 14 6 17" xfId="22743"/>
    <cellStyle name="Header2 2 14 6 18" xfId="33910"/>
    <cellStyle name="Header2 2 14 6 19" xfId="45096"/>
    <cellStyle name="Header2 2 14 6 2" xfId="1022"/>
    <cellStyle name="Header2 2 14 6 2 2" xfId="12219"/>
    <cellStyle name="Header2 2 14 6 2 3" xfId="23387"/>
    <cellStyle name="Header2 2 14 6 2 4" xfId="34552"/>
    <cellStyle name="Header2 2 14 6 2 5" xfId="45745"/>
    <cellStyle name="Header2 2 14 6 3" xfId="1816"/>
    <cellStyle name="Header2 2 14 6 3 2" xfId="13013"/>
    <cellStyle name="Header2 2 14 6 3 3" xfId="24181"/>
    <cellStyle name="Header2 2 14 6 3 4" xfId="35346"/>
    <cellStyle name="Header2 2 14 6 3 5" xfId="46539"/>
    <cellStyle name="Header2 2 14 6 4" xfId="2723"/>
    <cellStyle name="Header2 2 14 6 4 2" xfId="13920"/>
    <cellStyle name="Header2 2 14 6 4 3" xfId="25088"/>
    <cellStyle name="Header2 2 14 6 4 4" xfId="36253"/>
    <cellStyle name="Header2 2 14 6 4 5" xfId="47446"/>
    <cellStyle name="Header2 2 14 6 5" xfId="3357"/>
    <cellStyle name="Header2 2 14 6 5 2" xfId="14554"/>
    <cellStyle name="Header2 2 14 6 5 3" xfId="25722"/>
    <cellStyle name="Header2 2 14 6 5 4" xfId="36887"/>
    <cellStyle name="Header2 2 14 6 5 5" xfId="48080"/>
    <cellStyle name="Header2 2 14 6 6" xfId="3991"/>
    <cellStyle name="Header2 2 14 6 6 2" xfId="15188"/>
    <cellStyle name="Header2 2 14 6 6 3" xfId="26356"/>
    <cellStyle name="Header2 2 14 6 6 4" xfId="37521"/>
    <cellStyle name="Header2 2 14 6 6 5" xfId="48714"/>
    <cellStyle name="Header2 2 14 6 7" xfId="4624"/>
    <cellStyle name="Header2 2 14 6 7 2" xfId="15821"/>
    <cellStyle name="Header2 2 14 6 7 3" xfId="26989"/>
    <cellStyle name="Header2 2 14 6 7 4" xfId="38154"/>
    <cellStyle name="Header2 2 14 6 7 5" xfId="49347"/>
    <cellStyle name="Header2 2 14 6 8" xfId="5255"/>
    <cellStyle name="Header2 2 14 6 8 2" xfId="16452"/>
    <cellStyle name="Header2 2 14 6 8 3" xfId="27620"/>
    <cellStyle name="Header2 2 14 6 8 4" xfId="38785"/>
    <cellStyle name="Header2 2 14 6 8 5" xfId="49978"/>
    <cellStyle name="Header2 2 14 6 9" xfId="6309"/>
    <cellStyle name="Header2 2 14 6 9 2" xfId="17506"/>
    <cellStyle name="Header2 2 14 6 9 3" xfId="28674"/>
    <cellStyle name="Header2 2 14 6 9 4" xfId="39839"/>
    <cellStyle name="Header2 2 14 6 9 5" xfId="51032"/>
    <cellStyle name="Header2 2 14 7" xfId="460"/>
    <cellStyle name="Header2 2 14 7 10" xfId="7029"/>
    <cellStyle name="Header2 2 14 7 10 2" xfId="18226"/>
    <cellStyle name="Header2 2 14 7 10 3" xfId="29394"/>
    <cellStyle name="Header2 2 14 7 10 4" xfId="40559"/>
    <cellStyle name="Header2 2 14 7 10 5" xfId="51752"/>
    <cellStyle name="Header2 2 14 7 11" xfId="7663"/>
    <cellStyle name="Header2 2 14 7 11 2" xfId="18860"/>
    <cellStyle name="Header2 2 14 7 11 3" xfId="30028"/>
    <cellStyle name="Header2 2 14 7 11 4" xfId="41193"/>
    <cellStyle name="Header2 2 14 7 11 5" xfId="52386"/>
    <cellStyle name="Header2 2 14 7 12" xfId="8297"/>
    <cellStyle name="Header2 2 14 7 12 2" xfId="19494"/>
    <cellStyle name="Header2 2 14 7 12 3" xfId="30662"/>
    <cellStyle name="Header2 2 14 7 12 4" xfId="41827"/>
    <cellStyle name="Header2 2 14 7 12 5" xfId="53020"/>
    <cellStyle name="Header2 2 14 7 13" xfId="9348"/>
    <cellStyle name="Header2 2 14 7 13 2" xfId="20545"/>
    <cellStyle name="Header2 2 14 7 13 3" xfId="31713"/>
    <cellStyle name="Header2 2 14 7 13 4" xfId="42878"/>
    <cellStyle name="Header2 2 14 7 13 5" xfId="54071"/>
    <cellStyle name="Header2 2 14 7 14" xfId="9815"/>
    <cellStyle name="Header2 2 14 7 14 2" xfId="21012"/>
    <cellStyle name="Header2 2 14 7 14 3" xfId="32180"/>
    <cellStyle name="Header2 2 14 7 14 4" xfId="43345"/>
    <cellStyle name="Header2 2 14 7 14 5" xfId="54538"/>
    <cellStyle name="Header2 2 14 7 15" xfId="11013"/>
    <cellStyle name="Header2 2 14 7 15 2" xfId="22210"/>
    <cellStyle name="Header2 2 14 7 15 3" xfId="33378"/>
    <cellStyle name="Header2 2 14 7 15 4" xfId="44543"/>
    <cellStyle name="Header2 2 14 7 15 5" xfId="55736"/>
    <cellStyle name="Header2 2 14 7 16" xfId="11660"/>
    <cellStyle name="Header2 2 14 7 17" xfId="22830"/>
    <cellStyle name="Header2 2 14 7 18" xfId="33997"/>
    <cellStyle name="Header2 2 14 7 19" xfId="45183"/>
    <cellStyle name="Header2 2 14 7 2" xfId="1109"/>
    <cellStyle name="Header2 2 14 7 2 2" xfId="12306"/>
    <cellStyle name="Header2 2 14 7 2 3" xfId="23474"/>
    <cellStyle name="Header2 2 14 7 2 4" xfId="34639"/>
    <cellStyle name="Header2 2 14 7 2 5" xfId="45832"/>
    <cellStyle name="Header2 2 14 7 3" xfId="1848"/>
    <cellStyle name="Header2 2 14 7 3 2" xfId="13045"/>
    <cellStyle name="Header2 2 14 7 3 3" xfId="24213"/>
    <cellStyle name="Header2 2 14 7 3 4" xfId="35378"/>
    <cellStyle name="Header2 2 14 7 3 5" xfId="46571"/>
    <cellStyle name="Header2 2 14 7 4" xfId="2810"/>
    <cellStyle name="Header2 2 14 7 4 2" xfId="14007"/>
    <cellStyle name="Header2 2 14 7 4 3" xfId="25175"/>
    <cellStyle name="Header2 2 14 7 4 4" xfId="36340"/>
    <cellStyle name="Header2 2 14 7 4 5" xfId="47533"/>
    <cellStyle name="Header2 2 14 7 5" xfId="3444"/>
    <cellStyle name="Header2 2 14 7 5 2" xfId="14641"/>
    <cellStyle name="Header2 2 14 7 5 3" xfId="25809"/>
    <cellStyle name="Header2 2 14 7 5 4" xfId="36974"/>
    <cellStyle name="Header2 2 14 7 5 5" xfId="48167"/>
    <cellStyle name="Header2 2 14 7 6" xfId="4078"/>
    <cellStyle name="Header2 2 14 7 6 2" xfId="15275"/>
    <cellStyle name="Header2 2 14 7 6 3" xfId="26443"/>
    <cellStyle name="Header2 2 14 7 6 4" xfId="37608"/>
    <cellStyle name="Header2 2 14 7 6 5" xfId="48801"/>
    <cellStyle name="Header2 2 14 7 7" xfId="4711"/>
    <cellStyle name="Header2 2 14 7 7 2" xfId="15908"/>
    <cellStyle name="Header2 2 14 7 7 3" xfId="27076"/>
    <cellStyle name="Header2 2 14 7 7 4" xfId="38241"/>
    <cellStyle name="Header2 2 14 7 7 5" xfId="49434"/>
    <cellStyle name="Header2 2 14 7 8" xfId="5342"/>
    <cellStyle name="Header2 2 14 7 8 2" xfId="16539"/>
    <cellStyle name="Header2 2 14 7 8 3" xfId="27707"/>
    <cellStyle name="Header2 2 14 7 8 4" xfId="38872"/>
    <cellStyle name="Header2 2 14 7 8 5" xfId="50065"/>
    <cellStyle name="Header2 2 14 7 9" xfId="6396"/>
    <cellStyle name="Header2 2 14 7 9 2" xfId="17593"/>
    <cellStyle name="Header2 2 14 7 9 3" xfId="28761"/>
    <cellStyle name="Header2 2 14 7 9 4" xfId="39926"/>
    <cellStyle name="Header2 2 14 7 9 5" xfId="51119"/>
    <cellStyle name="Header2 2 14 8" xfId="525"/>
    <cellStyle name="Header2 2 14 8 10" xfId="7094"/>
    <cellStyle name="Header2 2 14 8 10 2" xfId="18291"/>
    <cellStyle name="Header2 2 14 8 10 3" xfId="29459"/>
    <cellStyle name="Header2 2 14 8 10 4" xfId="40624"/>
    <cellStyle name="Header2 2 14 8 10 5" xfId="51817"/>
    <cellStyle name="Header2 2 14 8 11" xfId="7728"/>
    <cellStyle name="Header2 2 14 8 11 2" xfId="18925"/>
    <cellStyle name="Header2 2 14 8 11 3" xfId="30093"/>
    <cellStyle name="Header2 2 14 8 11 4" xfId="41258"/>
    <cellStyle name="Header2 2 14 8 11 5" xfId="52451"/>
    <cellStyle name="Header2 2 14 8 12" xfId="8362"/>
    <cellStyle name="Header2 2 14 8 12 2" xfId="19559"/>
    <cellStyle name="Header2 2 14 8 12 3" xfId="30727"/>
    <cellStyle name="Header2 2 14 8 12 4" xfId="41892"/>
    <cellStyle name="Header2 2 14 8 12 5" xfId="53085"/>
    <cellStyle name="Header2 2 14 8 13" xfId="9413"/>
    <cellStyle name="Header2 2 14 8 13 2" xfId="20610"/>
    <cellStyle name="Header2 2 14 8 13 3" xfId="31778"/>
    <cellStyle name="Header2 2 14 8 13 4" xfId="42943"/>
    <cellStyle name="Header2 2 14 8 13 5" xfId="54136"/>
    <cellStyle name="Header2 2 14 8 14" xfId="10299"/>
    <cellStyle name="Header2 2 14 8 14 2" xfId="21496"/>
    <cellStyle name="Header2 2 14 8 14 3" xfId="32664"/>
    <cellStyle name="Header2 2 14 8 14 4" xfId="43829"/>
    <cellStyle name="Header2 2 14 8 14 5" xfId="55022"/>
    <cellStyle name="Header2 2 14 8 15" xfId="11078"/>
    <cellStyle name="Header2 2 14 8 15 2" xfId="22275"/>
    <cellStyle name="Header2 2 14 8 15 3" xfId="33443"/>
    <cellStyle name="Header2 2 14 8 15 4" xfId="44608"/>
    <cellStyle name="Header2 2 14 8 15 5" xfId="55801"/>
    <cellStyle name="Header2 2 14 8 16" xfId="11725"/>
    <cellStyle name="Header2 2 14 8 17" xfId="22895"/>
    <cellStyle name="Header2 2 14 8 18" xfId="34062"/>
    <cellStyle name="Header2 2 14 8 19" xfId="45248"/>
    <cellStyle name="Header2 2 14 8 2" xfId="1174"/>
    <cellStyle name="Header2 2 14 8 2 2" xfId="12371"/>
    <cellStyle name="Header2 2 14 8 2 3" xfId="23539"/>
    <cellStyle name="Header2 2 14 8 2 4" xfId="34704"/>
    <cellStyle name="Header2 2 14 8 2 5" xfId="45897"/>
    <cellStyle name="Header2 2 14 8 3" xfId="1354"/>
    <cellStyle name="Header2 2 14 8 3 2" xfId="12551"/>
    <cellStyle name="Header2 2 14 8 3 3" xfId="23719"/>
    <cellStyle name="Header2 2 14 8 3 4" xfId="34884"/>
    <cellStyle name="Header2 2 14 8 3 5" xfId="46077"/>
    <cellStyle name="Header2 2 14 8 4" xfId="2875"/>
    <cellStyle name="Header2 2 14 8 4 2" xfId="14072"/>
    <cellStyle name="Header2 2 14 8 4 3" xfId="25240"/>
    <cellStyle name="Header2 2 14 8 4 4" xfId="36405"/>
    <cellStyle name="Header2 2 14 8 4 5" xfId="47598"/>
    <cellStyle name="Header2 2 14 8 5" xfId="3509"/>
    <cellStyle name="Header2 2 14 8 5 2" xfId="14706"/>
    <cellStyle name="Header2 2 14 8 5 3" xfId="25874"/>
    <cellStyle name="Header2 2 14 8 5 4" xfId="37039"/>
    <cellStyle name="Header2 2 14 8 5 5" xfId="48232"/>
    <cellStyle name="Header2 2 14 8 6" xfId="4143"/>
    <cellStyle name="Header2 2 14 8 6 2" xfId="15340"/>
    <cellStyle name="Header2 2 14 8 6 3" xfId="26508"/>
    <cellStyle name="Header2 2 14 8 6 4" xfId="37673"/>
    <cellStyle name="Header2 2 14 8 6 5" xfId="48866"/>
    <cellStyle name="Header2 2 14 8 7" xfId="4776"/>
    <cellStyle name="Header2 2 14 8 7 2" xfId="15973"/>
    <cellStyle name="Header2 2 14 8 7 3" xfId="27141"/>
    <cellStyle name="Header2 2 14 8 7 4" xfId="38306"/>
    <cellStyle name="Header2 2 14 8 7 5" xfId="49499"/>
    <cellStyle name="Header2 2 14 8 8" xfId="5407"/>
    <cellStyle name="Header2 2 14 8 8 2" xfId="16604"/>
    <cellStyle name="Header2 2 14 8 8 3" xfId="27772"/>
    <cellStyle name="Header2 2 14 8 8 4" xfId="38937"/>
    <cellStyle name="Header2 2 14 8 8 5" xfId="50130"/>
    <cellStyle name="Header2 2 14 8 9" xfId="6461"/>
    <cellStyle name="Header2 2 14 8 9 2" xfId="17658"/>
    <cellStyle name="Header2 2 14 8 9 3" xfId="28826"/>
    <cellStyle name="Header2 2 14 8 9 4" xfId="39991"/>
    <cellStyle name="Header2 2 14 8 9 5" xfId="51184"/>
    <cellStyle name="Header2 2 14 9" xfId="583"/>
    <cellStyle name="Header2 2 14 9 10" xfId="7152"/>
    <cellStyle name="Header2 2 14 9 10 2" xfId="18349"/>
    <cellStyle name="Header2 2 14 9 10 3" xfId="29517"/>
    <cellStyle name="Header2 2 14 9 10 4" xfId="40682"/>
    <cellStyle name="Header2 2 14 9 10 5" xfId="51875"/>
    <cellStyle name="Header2 2 14 9 11" xfId="7786"/>
    <cellStyle name="Header2 2 14 9 11 2" xfId="18983"/>
    <cellStyle name="Header2 2 14 9 11 3" xfId="30151"/>
    <cellStyle name="Header2 2 14 9 11 4" xfId="41316"/>
    <cellStyle name="Header2 2 14 9 11 5" xfId="52509"/>
    <cellStyle name="Header2 2 14 9 12" xfId="8420"/>
    <cellStyle name="Header2 2 14 9 12 2" xfId="19617"/>
    <cellStyle name="Header2 2 14 9 12 3" xfId="30785"/>
    <cellStyle name="Header2 2 14 9 12 4" xfId="41950"/>
    <cellStyle name="Header2 2 14 9 12 5" xfId="53143"/>
    <cellStyle name="Header2 2 14 9 13" xfId="9471"/>
    <cellStyle name="Header2 2 14 9 13 2" xfId="20668"/>
    <cellStyle name="Header2 2 14 9 13 3" xfId="31836"/>
    <cellStyle name="Header2 2 14 9 13 4" xfId="43001"/>
    <cellStyle name="Header2 2 14 9 13 5" xfId="54194"/>
    <cellStyle name="Header2 2 14 9 14" xfId="10326"/>
    <cellStyle name="Header2 2 14 9 14 2" xfId="21523"/>
    <cellStyle name="Header2 2 14 9 14 3" xfId="32691"/>
    <cellStyle name="Header2 2 14 9 14 4" xfId="43856"/>
    <cellStyle name="Header2 2 14 9 14 5" xfId="55049"/>
    <cellStyle name="Header2 2 14 9 15" xfId="11136"/>
    <cellStyle name="Header2 2 14 9 15 2" xfId="22333"/>
    <cellStyle name="Header2 2 14 9 15 3" xfId="33501"/>
    <cellStyle name="Header2 2 14 9 15 4" xfId="44666"/>
    <cellStyle name="Header2 2 14 9 15 5" xfId="55859"/>
    <cellStyle name="Header2 2 14 9 16" xfId="11783"/>
    <cellStyle name="Header2 2 14 9 17" xfId="22953"/>
    <cellStyle name="Header2 2 14 9 18" xfId="34120"/>
    <cellStyle name="Header2 2 14 9 19" xfId="45306"/>
    <cellStyle name="Header2 2 14 9 2" xfId="1232"/>
    <cellStyle name="Header2 2 14 9 2 2" xfId="12429"/>
    <cellStyle name="Header2 2 14 9 2 3" xfId="23597"/>
    <cellStyle name="Header2 2 14 9 2 4" xfId="34762"/>
    <cellStyle name="Header2 2 14 9 2 5" xfId="45955"/>
    <cellStyle name="Header2 2 14 9 3" xfId="1615"/>
    <cellStyle name="Header2 2 14 9 3 2" xfId="12812"/>
    <cellStyle name="Header2 2 14 9 3 3" xfId="23980"/>
    <cellStyle name="Header2 2 14 9 3 4" xfId="35145"/>
    <cellStyle name="Header2 2 14 9 3 5" xfId="46338"/>
    <cellStyle name="Header2 2 14 9 4" xfId="2933"/>
    <cellStyle name="Header2 2 14 9 4 2" xfId="14130"/>
    <cellStyle name="Header2 2 14 9 4 3" xfId="25298"/>
    <cellStyle name="Header2 2 14 9 4 4" xfId="36463"/>
    <cellStyle name="Header2 2 14 9 4 5" xfId="47656"/>
    <cellStyle name="Header2 2 14 9 5" xfId="3567"/>
    <cellStyle name="Header2 2 14 9 5 2" xfId="14764"/>
    <cellStyle name="Header2 2 14 9 5 3" xfId="25932"/>
    <cellStyle name="Header2 2 14 9 5 4" xfId="37097"/>
    <cellStyle name="Header2 2 14 9 5 5" xfId="48290"/>
    <cellStyle name="Header2 2 14 9 6" xfId="4201"/>
    <cellStyle name="Header2 2 14 9 6 2" xfId="15398"/>
    <cellStyle name="Header2 2 14 9 6 3" xfId="26566"/>
    <cellStyle name="Header2 2 14 9 6 4" xfId="37731"/>
    <cellStyle name="Header2 2 14 9 6 5" xfId="48924"/>
    <cellStyle name="Header2 2 14 9 7" xfId="4834"/>
    <cellStyle name="Header2 2 14 9 7 2" xfId="16031"/>
    <cellStyle name="Header2 2 14 9 7 3" xfId="27199"/>
    <cellStyle name="Header2 2 14 9 7 4" xfId="38364"/>
    <cellStyle name="Header2 2 14 9 7 5" xfId="49557"/>
    <cellStyle name="Header2 2 14 9 8" xfId="5465"/>
    <cellStyle name="Header2 2 14 9 8 2" xfId="16662"/>
    <cellStyle name="Header2 2 14 9 8 3" xfId="27830"/>
    <cellStyle name="Header2 2 14 9 8 4" xfId="38995"/>
    <cellStyle name="Header2 2 14 9 8 5" xfId="50188"/>
    <cellStyle name="Header2 2 14 9 9" xfId="6519"/>
    <cellStyle name="Header2 2 14 9 9 2" xfId="17716"/>
    <cellStyle name="Header2 2 14 9 9 3" xfId="28884"/>
    <cellStyle name="Header2 2 14 9 9 4" xfId="40049"/>
    <cellStyle name="Header2 2 14 9 9 5" xfId="51242"/>
    <cellStyle name="Header2 2 15" xfId="119"/>
    <cellStyle name="Header2 2 15 10" xfId="631"/>
    <cellStyle name="Header2 2 15 10 10" xfId="7200"/>
    <cellStyle name="Header2 2 15 10 10 2" xfId="18397"/>
    <cellStyle name="Header2 2 15 10 10 3" xfId="29565"/>
    <cellStyle name="Header2 2 15 10 10 4" xfId="40730"/>
    <cellStyle name="Header2 2 15 10 10 5" xfId="51923"/>
    <cellStyle name="Header2 2 15 10 11" xfId="7834"/>
    <cellStyle name="Header2 2 15 10 11 2" xfId="19031"/>
    <cellStyle name="Header2 2 15 10 11 3" xfId="30199"/>
    <cellStyle name="Header2 2 15 10 11 4" xfId="41364"/>
    <cellStyle name="Header2 2 15 10 11 5" xfId="52557"/>
    <cellStyle name="Header2 2 15 10 12" xfId="8468"/>
    <cellStyle name="Header2 2 15 10 12 2" xfId="19665"/>
    <cellStyle name="Header2 2 15 10 12 3" xfId="30833"/>
    <cellStyle name="Header2 2 15 10 12 4" xfId="41998"/>
    <cellStyle name="Header2 2 15 10 12 5" xfId="53191"/>
    <cellStyle name="Header2 2 15 10 13" xfId="9519"/>
    <cellStyle name="Header2 2 15 10 13 2" xfId="20716"/>
    <cellStyle name="Header2 2 15 10 13 3" xfId="31884"/>
    <cellStyle name="Header2 2 15 10 13 4" xfId="43049"/>
    <cellStyle name="Header2 2 15 10 13 5" xfId="54242"/>
    <cellStyle name="Header2 2 15 10 14" xfId="9608"/>
    <cellStyle name="Header2 2 15 10 14 2" xfId="20805"/>
    <cellStyle name="Header2 2 15 10 14 3" xfId="31973"/>
    <cellStyle name="Header2 2 15 10 14 4" xfId="43138"/>
    <cellStyle name="Header2 2 15 10 14 5" xfId="54331"/>
    <cellStyle name="Header2 2 15 10 15" xfId="11184"/>
    <cellStyle name="Header2 2 15 10 15 2" xfId="22381"/>
    <cellStyle name="Header2 2 15 10 15 3" xfId="33549"/>
    <cellStyle name="Header2 2 15 10 15 4" xfId="44714"/>
    <cellStyle name="Header2 2 15 10 15 5" xfId="55907"/>
    <cellStyle name="Header2 2 15 10 16" xfId="11831"/>
    <cellStyle name="Header2 2 15 10 17" xfId="23001"/>
    <cellStyle name="Header2 2 15 10 18" xfId="34168"/>
    <cellStyle name="Header2 2 15 10 19" xfId="45354"/>
    <cellStyle name="Header2 2 15 10 2" xfId="1280"/>
    <cellStyle name="Header2 2 15 10 2 2" xfId="12477"/>
    <cellStyle name="Header2 2 15 10 2 3" xfId="23645"/>
    <cellStyle name="Header2 2 15 10 2 4" xfId="34810"/>
    <cellStyle name="Header2 2 15 10 2 5" xfId="46003"/>
    <cellStyle name="Header2 2 15 10 3" xfId="1866"/>
    <cellStyle name="Header2 2 15 10 3 2" xfId="13063"/>
    <cellStyle name="Header2 2 15 10 3 3" xfId="24231"/>
    <cellStyle name="Header2 2 15 10 3 4" xfId="35396"/>
    <cellStyle name="Header2 2 15 10 3 5" xfId="46589"/>
    <cellStyle name="Header2 2 15 10 4" xfId="2981"/>
    <cellStyle name="Header2 2 15 10 4 2" xfId="14178"/>
    <cellStyle name="Header2 2 15 10 4 3" xfId="25346"/>
    <cellStyle name="Header2 2 15 10 4 4" xfId="36511"/>
    <cellStyle name="Header2 2 15 10 4 5" xfId="47704"/>
    <cellStyle name="Header2 2 15 10 5" xfId="3615"/>
    <cellStyle name="Header2 2 15 10 5 2" xfId="14812"/>
    <cellStyle name="Header2 2 15 10 5 3" xfId="25980"/>
    <cellStyle name="Header2 2 15 10 5 4" xfId="37145"/>
    <cellStyle name="Header2 2 15 10 5 5" xfId="48338"/>
    <cellStyle name="Header2 2 15 10 6" xfId="4249"/>
    <cellStyle name="Header2 2 15 10 6 2" xfId="15446"/>
    <cellStyle name="Header2 2 15 10 6 3" xfId="26614"/>
    <cellStyle name="Header2 2 15 10 6 4" xfId="37779"/>
    <cellStyle name="Header2 2 15 10 6 5" xfId="48972"/>
    <cellStyle name="Header2 2 15 10 7" xfId="4882"/>
    <cellStyle name="Header2 2 15 10 7 2" xfId="16079"/>
    <cellStyle name="Header2 2 15 10 7 3" xfId="27247"/>
    <cellStyle name="Header2 2 15 10 7 4" xfId="38412"/>
    <cellStyle name="Header2 2 15 10 7 5" xfId="49605"/>
    <cellStyle name="Header2 2 15 10 8" xfId="5513"/>
    <cellStyle name="Header2 2 15 10 8 2" xfId="16710"/>
    <cellStyle name="Header2 2 15 10 8 3" xfId="27878"/>
    <cellStyle name="Header2 2 15 10 8 4" xfId="39043"/>
    <cellStyle name="Header2 2 15 10 8 5" xfId="50236"/>
    <cellStyle name="Header2 2 15 10 9" xfId="6567"/>
    <cellStyle name="Header2 2 15 10 9 2" xfId="17764"/>
    <cellStyle name="Header2 2 15 10 9 3" xfId="28932"/>
    <cellStyle name="Header2 2 15 10 9 4" xfId="40097"/>
    <cellStyle name="Header2 2 15 10 9 5" xfId="51290"/>
    <cellStyle name="Header2 2 15 11" xfId="675"/>
    <cellStyle name="Header2 2 15 11 10" xfId="7244"/>
    <cellStyle name="Header2 2 15 11 10 2" xfId="18441"/>
    <cellStyle name="Header2 2 15 11 10 3" xfId="29609"/>
    <cellStyle name="Header2 2 15 11 10 4" xfId="40774"/>
    <cellStyle name="Header2 2 15 11 10 5" xfId="51967"/>
    <cellStyle name="Header2 2 15 11 11" xfId="7878"/>
    <cellStyle name="Header2 2 15 11 11 2" xfId="19075"/>
    <cellStyle name="Header2 2 15 11 11 3" xfId="30243"/>
    <cellStyle name="Header2 2 15 11 11 4" xfId="41408"/>
    <cellStyle name="Header2 2 15 11 11 5" xfId="52601"/>
    <cellStyle name="Header2 2 15 11 12" xfId="8512"/>
    <cellStyle name="Header2 2 15 11 12 2" xfId="19709"/>
    <cellStyle name="Header2 2 15 11 12 3" xfId="30877"/>
    <cellStyle name="Header2 2 15 11 12 4" xfId="42042"/>
    <cellStyle name="Header2 2 15 11 12 5" xfId="53235"/>
    <cellStyle name="Header2 2 15 11 13" xfId="9563"/>
    <cellStyle name="Header2 2 15 11 13 2" xfId="20760"/>
    <cellStyle name="Header2 2 15 11 13 3" xfId="31928"/>
    <cellStyle name="Header2 2 15 11 13 4" xfId="43093"/>
    <cellStyle name="Header2 2 15 11 13 5" xfId="54286"/>
    <cellStyle name="Header2 2 15 11 14" xfId="8537"/>
    <cellStyle name="Header2 2 15 11 14 2" xfId="19734"/>
    <cellStyle name="Header2 2 15 11 14 3" xfId="30902"/>
    <cellStyle name="Header2 2 15 11 14 4" xfId="42067"/>
    <cellStyle name="Header2 2 15 11 14 5" xfId="53260"/>
    <cellStyle name="Header2 2 15 11 15" xfId="11228"/>
    <cellStyle name="Header2 2 15 11 15 2" xfId="22425"/>
    <cellStyle name="Header2 2 15 11 15 3" xfId="33593"/>
    <cellStyle name="Header2 2 15 11 15 4" xfId="44758"/>
    <cellStyle name="Header2 2 15 11 15 5" xfId="55951"/>
    <cellStyle name="Header2 2 15 11 16" xfId="11875"/>
    <cellStyle name="Header2 2 15 11 17" xfId="23045"/>
    <cellStyle name="Header2 2 15 11 18" xfId="34212"/>
    <cellStyle name="Header2 2 15 11 19" xfId="45398"/>
    <cellStyle name="Header2 2 15 11 2" xfId="1324"/>
    <cellStyle name="Header2 2 15 11 2 2" xfId="12521"/>
    <cellStyle name="Header2 2 15 11 2 3" xfId="23689"/>
    <cellStyle name="Header2 2 15 11 2 4" xfId="34854"/>
    <cellStyle name="Header2 2 15 11 2 5" xfId="46047"/>
    <cellStyle name="Header2 2 15 11 3" xfId="1850"/>
    <cellStyle name="Header2 2 15 11 3 2" xfId="13047"/>
    <cellStyle name="Header2 2 15 11 3 3" xfId="24215"/>
    <cellStyle name="Header2 2 15 11 3 4" xfId="35380"/>
    <cellStyle name="Header2 2 15 11 3 5" xfId="46573"/>
    <cellStyle name="Header2 2 15 11 4" xfId="3025"/>
    <cellStyle name="Header2 2 15 11 4 2" xfId="14222"/>
    <cellStyle name="Header2 2 15 11 4 3" xfId="25390"/>
    <cellStyle name="Header2 2 15 11 4 4" xfId="36555"/>
    <cellStyle name="Header2 2 15 11 4 5" xfId="47748"/>
    <cellStyle name="Header2 2 15 11 5" xfId="3659"/>
    <cellStyle name="Header2 2 15 11 5 2" xfId="14856"/>
    <cellStyle name="Header2 2 15 11 5 3" xfId="26024"/>
    <cellStyle name="Header2 2 15 11 5 4" xfId="37189"/>
    <cellStyle name="Header2 2 15 11 5 5" xfId="48382"/>
    <cellStyle name="Header2 2 15 11 6" xfId="4293"/>
    <cellStyle name="Header2 2 15 11 6 2" xfId="15490"/>
    <cellStyle name="Header2 2 15 11 6 3" xfId="26658"/>
    <cellStyle name="Header2 2 15 11 6 4" xfId="37823"/>
    <cellStyle name="Header2 2 15 11 6 5" xfId="49016"/>
    <cellStyle name="Header2 2 15 11 7" xfId="4926"/>
    <cellStyle name="Header2 2 15 11 7 2" xfId="16123"/>
    <cellStyle name="Header2 2 15 11 7 3" xfId="27291"/>
    <cellStyle name="Header2 2 15 11 7 4" xfId="38456"/>
    <cellStyle name="Header2 2 15 11 7 5" xfId="49649"/>
    <cellStyle name="Header2 2 15 11 8" xfId="5557"/>
    <cellStyle name="Header2 2 15 11 8 2" xfId="16754"/>
    <cellStyle name="Header2 2 15 11 8 3" xfId="27922"/>
    <cellStyle name="Header2 2 15 11 8 4" xfId="39087"/>
    <cellStyle name="Header2 2 15 11 8 5" xfId="50280"/>
    <cellStyle name="Header2 2 15 11 9" xfId="6611"/>
    <cellStyle name="Header2 2 15 11 9 2" xfId="17808"/>
    <cellStyle name="Header2 2 15 11 9 3" xfId="28976"/>
    <cellStyle name="Header2 2 15 11 9 4" xfId="40141"/>
    <cellStyle name="Header2 2 15 11 9 5" xfId="51334"/>
    <cellStyle name="Header2 2 15 12" xfId="768"/>
    <cellStyle name="Header2 2 15 12 2" xfId="11965"/>
    <cellStyle name="Header2 2 15 12 3" xfId="23133"/>
    <cellStyle name="Header2 2 15 12 4" xfId="34298"/>
    <cellStyle name="Header2 2 15 12 5" xfId="45491"/>
    <cellStyle name="Header2 2 15 13" xfId="1768"/>
    <cellStyle name="Header2 2 15 13 2" xfId="12965"/>
    <cellStyle name="Header2 2 15 13 3" xfId="24133"/>
    <cellStyle name="Header2 2 15 13 4" xfId="35298"/>
    <cellStyle name="Header2 2 15 13 5" xfId="46491"/>
    <cellStyle name="Header2 2 15 14" xfId="2234"/>
    <cellStyle name="Header2 2 15 14 2" xfId="13431"/>
    <cellStyle name="Header2 2 15 14 3" xfId="24599"/>
    <cellStyle name="Header2 2 15 14 4" xfId="35764"/>
    <cellStyle name="Header2 2 15 14 5" xfId="46957"/>
    <cellStyle name="Header2 2 15 15" xfId="3103"/>
    <cellStyle name="Header2 2 15 15 2" xfId="14300"/>
    <cellStyle name="Header2 2 15 15 3" xfId="25468"/>
    <cellStyle name="Header2 2 15 15 4" xfId="36633"/>
    <cellStyle name="Header2 2 15 15 5" xfId="47826"/>
    <cellStyle name="Header2 2 15 16" xfId="3737"/>
    <cellStyle name="Header2 2 15 16 2" xfId="14934"/>
    <cellStyle name="Header2 2 15 16 3" xfId="26102"/>
    <cellStyle name="Header2 2 15 16 4" xfId="37267"/>
    <cellStyle name="Header2 2 15 16 5" xfId="48460"/>
    <cellStyle name="Header2 2 15 17" xfId="4370"/>
    <cellStyle name="Header2 2 15 17 2" xfId="15567"/>
    <cellStyle name="Header2 2 15 17 3" xfId="26735"/>
    <cellStyle name="Header2 2 15 17 4" xfId="37900"/>
    <cellStyle name="Header2 2 15 17 5" xfId="49093"/>
    <cellStyle name="Header2 2 15 18" xfId="5001"/>
    <cellStyle name="Header2 2 15 18 2" xfId="16198"/>
    <cellStyle name="Header2 2 15 18 3" xfId="27366"/>
    <cellStyle name="Header2 2 15 18 4" xfId="38531"/>
    <cellStyle name="Header2 2 15 18 5" xfId="49724"/>
    <cellStyle name="Header2 2 15 19" xfId="6197"/>
    <cellStyle name="Header2 2 15 19 2" xfId="17394"/>
    <cellStyle name="Header2 2 15 19 3" xfId="28562"/>
    <cellStyle name="Header2 2 15 19 4" xfId="39727"/>
    <cellStyle name="Header2 2 15 19 5" xfId="50920"/>
    <cellStyle name="Header2 2 15 2" xfId="182"/>
    <cellStyle name="Header2 2 15 2 10" xfId="6751"/>
    <cellStyle name="Header2 2 15 2 10 2" xfId="17948"/>
    <cellStyle name="Header2 2 15 2 10 3" xfId="29116"/>
    <cellStyle name="Header2 2 15 2 10 4" xfId="40281"/>
    <cellStyle name="Header2 2 15 2 10 5" xfId="51474"/>
    <cellStyle name="Header2 2 15 2 11" xfId="7385"/>
    <cellStyle name="Header2 2 15 2 11 2" xfId="18582"/>
    <cellStyle name="Header2 2 15 2 11 3" xfId="29750"/>
    <cellStyle name="Header2 2 15 2 11 4" xfId="40915"/>
    <cellStyle name="Header2 2 15 2 11 5" xfId="52108"/>
    <cellStyle name="Header2 2 15 2 12" xfId="8019"/>
    <cellStyle name="Header2 2 15 2 12 2" xfId="19216"/>
    <cellStyle name="Header2 2 15 2 12 3" xfId="30384"/>
    <cellStyle name="Header2 2 15 2 12 4" xfId="41549"/>
    <cellStyle name="Header2 2 15 2 12 5" xfId="52742"/>
    <cellStyle name="Header2 2 15 2 13" xfId="8713"/>
    <cellStyle name="Header2 2 15 2 13 2" xfId="19910"/>
    <cellStyle name="Header2 2 15 2 13 3" xfId="31078"/>
    <cellStyle name="Header2 2 15 2 13 4" xfId="42243"/>
    <cellStyle name="Header2 2 15 2 13 5" xfId="53436"/>
    <cellStyle name="Header2 2 15 2 14" xfId="10562"/>
    <cellStyle name="Header2 2 15 2 14 2" xfId="21759"/>
    <cellStyle name="Header2 2 15 2 14 3" xfId="32927"/>
    <cellStyle name="Header2 2 15 2 14 4" xfId="44092"/>
    <cellStyle name="Header2 2 15 2 14 5" xfId="55285"/>
    <cellStyle name="Header2 2 15 2 15" xfId="10735"/>
    <cellStyle name="Header2 2 15 2 15 2" xfId="21932"/>
    <cellStyle name="Header2 2 15 2 15 3" xfId="33100"/>
    <cellStyle name="Header2 2 15 2 15 4" xfId="44265"/>
    <cellStyle name="Header2 2 15 2 15 5" xfId="55458"/>
    <cellStyle name="Header2 2 15 2 16" xfId="11382"/>
    <cellStyle name="Header2 2 15 2 17" xfId="22552"/>
    <cellStyle name="Header2 2 15 2 18" xfId="33719"/>
    <cellStyle name="Header2 2 15 2 19" xfId="44905"/>
    <cellStyle name="Header2 2 15 2 2" xfId="831"/>
    <cellStyle name="Header2 2 15 2 2 2" xfId="12028"/>
    <cellStyle name="Header2 2 15 2 2 3" xfId="23196"/>
    <cellStyle name="Header2 2 15 2 2 4" xfId="34361"/>
    <cellStyle name="Header2 2 15 2 2 5" xfId="45554"/>
    <cellStyle name="Header2 2 15 2 3" xfId="1408"/>
    <cellStyle name="Header2 2 15 2 3 2" xfId="12605"/>
    <cellStyle name="Header2 2 15 2 3 3" xfId="23773"/>
    <cellStyle name="Header2 2 15 2 3 4" xfId="34938"/>
    <cellStyle name="Header2 2 15 2 3 5" xfId="46131"/>
    <cellStyle name="Header2 2 15 2 4" xfId="2573"/>
    <cellStyle name="Header2 2 15 2 4 2" xfId="13770"/>
    <cellStyle name="Header2 2 15 2 4 3" xfId="24938"/>
    <cellStyle name="Header2 2 15 2 4 4" xfId="36103"/>
    <cellStyle name="Header2 2 15 2 4 5" xfId="47296"/>
    <cellStyle name="Header2 2 15 2 5" xfId="3166"/>
    <cellStyle name="Header2 2 15 2 5 2" xfId="14363"/>
    <cellStyle name="Header2 2 15 2 5 3" xfId="25531"/>
    <cellStyle name="Header2 2 15 2 5 4" xfId="36696"/>
    <cellStyle name="Header2 2 15 2 5 5" xfId="47889"/>
    <cellStyle name="Header2 2 15 2 6" xfId="3800"/>
    <cellStyle name="Header2 2 15 2 6 2" xfId="14997"/>
    <cellStyle name="Header2 2 15 2 6 3" xfId="26165"/>
    <cellStyle name="Header2 2 15 2 6 4" xfId="37330"/>
    <cellStyle name="Header2 2 15 2 6 5" xfId="48523"/>
    <cellStyle name="Header2 2 15 2 7" xfId="4433"/>
    <cellStyle name="Header2 2 15 2 7 2" xfId="15630"/>
    <cellStyle name="Header2 2 15 2 7 3" xfId="26798"/>
    <cellStyle name="Header2 2 15 2 7 4" xfId="37963"/>
    <cellStyle name="Header2 2 15 2 7 5" xfId="49156"/>
    <cellStyle name="Header2 2 15 2 8" xfId="5064"/>
    <cellStyle name="Header2 2 15 2 8 2" xfId="16261"/>
    <cellStyle name="Header2 2 15 2 8 3" xfId="27429"/>
    <cellStyle name="Header2 2 15 2 8 4" xfId="38594"/>
    <cellStyle name="Header2 2 15 2 8 5" xfId="49787"/>
    <cellStyle name="Header2 2 15 2 9" xfId="5865"/>
    <cellStyle name="Header2 2 15 2 9 2" xfId="17062"/>
    <cellStyle name="Header2 2 15 2 9 3" xfId="28230"/>
    <cellStyle name="Header2 2 15 2 9 4" xfId="39395"/>
    <cellStyle name="Header2 2 15 2 9 5" xfId="50588"/>
    <cellStyle name="Header2 2 15 20" xfId="6688"/>
    <cellStyle name="Header2 2 15 20 2" xfId="17885"/>
    <cellStyle name="Header2 2 15 20 3" xfId="29053"/>
    <cellStyle name="Header2 2 15 20 4" xfId="40218"/>
    <cellStyle name="Header2 2 15 20 5" xfId="51411"/>
    <cellStyle name="Header2 2 15 21" xfId="7322"/>
    <cellStyle name="Header2 2 15 21 2" xfId="18519"/>
    <cellStyle name="Header2 2 15 21 3" xfId="29687"/>
    <cellStyle name="Header2 2 15 21 4" xfId="40852"/>
    <cellStyle name="Header2 2 15 21 5" xfId="52045"/>
    <cellStyle name="Header2 2 15 22" xfId="7956"/>
    <cellStyle name="Header2 2 15 22 2" xfId="19153"/>
    <cellStyle name="Header2 2 15 22 3" xfId="30321"/>
    <cellStyle name="Header2 2 15 22 4" xfId="41486"/>
    <cellStyle name="Header2 2 15 22 5" xfId="52679"/>
    <cellStyle name="Header2 2 15 23" xfId="8556"/>
    <cellStyle name="Header2 2 15 23 2" xfId="19753"/>
    <cellStyle name="Header2 2 15 23 3" xfId="30921"/>
    <cellStyle name="Header2 2 15 23 4" xfId="42086"/>
    <cellStyle name="Header2 2 15 23 5" xfId="53279"/>
    <cellStyle name="Header2 2 15 24" xfId="10472"/>
    <cellStyle name="Header2 2 15 24 2" xfId="21669"/>
    <cellStyle name="Header2 2 15 24 3" xfId="32837"/>
    <cellStyle name="Header2 2 15 24 4" xfId="44002"/>
    <cellStyle name="Header2 2 15 24 5" xfId="55195"/>
    <cellStyle name="Header2 2 15 25" xfId="10672"/>
    <cellStyle name="Header2 2 15 25 2" xfId="21869"/>
    <cellStyle name="Header2 2 15 25 3" xfId="33037"/>
    <cellStyle name="Header2 2 15 25 4" xfId="44202"/>
    <cellStyle name="Header2 2 15 25 5" xfId="55395"/>
    <cellStyle name="Header2 2 15 26" xfId="11319"/>
    <cellStyle name="Header2 2 15 27" xfId="22489"/>
    <cellStyle name="Header2 2 15 28" xfId="33656"/>
    <cellStyle name="Header2 2 15 29" xfId="44842"/>
    <cellStyle name="Header2 2 15 3" xfId="238"/>
    <cellStyle name="Header2 2 15 3 10" xfId="6807"/>
    <cellStyle name="Header2 2 15 3 10 2" xfId="18004"/>
    <cellStyle name="Header2 2 15 3 10 3" xfId="29172"/>
    <cellStyle name="Header2 2 15 3 10 4" xfId="40337"/>
    <cellStyle name="Header2 2 15 3 10 5" xfId="51530"/>
    <cellStyle name="Header2 2 15 3 11" xfId="7441"/>
    <cellStyle name="Header2 2 15 3 11 2" xfId="18638"/>
    <cellStyle name="Header2 2 15 3 11 3" xfId="29806"/>
    <cellStyle name="Header2 2 15 3 11 4" xfId="40971"/>
    <cellStyle name="Header2 2 15 3 11 5" xfId="52164"/>
    <cellStyle name="Header2 2 15 3 12" xfId="8075"/>
    <cellStyle name="Header2 2 15 3 12 2" xfId="19272"/>
    <cellStyle name="Header2 2 15 3 12 3" xfId="30440"/>
    <cellStyle name="Header2 2 15 3 12 4" xfId="41605"/>
    <cellStyle name="Header2 2 15 3 12 5" xfId="52798"/>
    <cellStyle name="Header2 2 15 3 13" xfId="8639"/>
    <cellStyle name="Header2 2 15 3 13 2" xfId="19836"/>
    <cellStyle name="Header2 2 15 3 13 3" xfId="31004"/>
    <cellStyle name="Header2 2 15 3 13 4" xfId="42169"/>
    <cellStyle name="Header2 2 15 3 13 5" xfId="53362"/>
    <cellStyle name="Header2 2 15 3 14" xfId="9881"/>
    <cellStyle name="Header2 2 15 3 14 2" xfId="21078"/>
    <cellStyle name="Header2 2 15 3 14 3" xfId="32246"/>
    <cellStyle name="Header2 2 15 3 14 4" xfId="43411"/>
    <cellStyle name="Header2 2 15 3 14 5" xfId="54604"/>
    <cellStyle name="Header2 2 15 3 15" xfId="10791"/>
    <cellStyle name="Header2 2 15 3 15 2" xfId="21988"/>
    <cellStyle name="Header2 2 15 3 15 3" xfId="33156"/>
    <cellStyle name="Header2 2 15 3 15 4" xfId="44321"/>
    <cellStyle name="Header2 2 15 3 15 5" xfId="55514"/>
    <cellStyle name="Header2 2 15 3 16" xfId="11438"/>
    <cellStyle name="Header2 2 15 3 17" xfId="22608"/>
    <cellStyle name="Header2 2 15 3 18" xfId="33775"/>
    <cellStyle name="Header2 2 15 3 19" xfId="44961"/>
    <cellStyle name="Header2 2 15 3 2" xfId="887"/>
    <cellStyle name="Header2 2 15 3 2 2" xfId="12084"/>
    <cellStyle name="Header2 2 15 3 2 3" xfId="23252"/>
    <cellStyle name="Header2 2 15 3 2 4" xfId="34417"/>
    <cellStyle name="Header2 2 15 3 2 5" xfId="45610"/>
    <cellStyle name="Header2 2 15 3 3" xfId="1849"/>
    <cellStyle name="Header2 2 15 3 3 2" xfId="13046"/>
    <cellStyle name="Header2 2 15 3 3 3" xfId="24214"/>
    <cellStyle name="Header2 2 15 3 3 4" xfId="35379"/>
    <cellStyle name="Header2 2 15 3 3 5" xfId="46572"/>
    <cellStyle name="Header2 2 15 3 4" xfId="2033"/>
    <cellStyle name="Header2 2 15 3 4 2" xfId="13230"/>
    <cellStyle name="Header2 2 15 3 4 3" xfId="24398"/>
    <cellStyle name="Header2 2 15 3 4 4" xfId="35563"/>
    <cellStyle name="Header2 2 15 3 4 5" xfId="46756"/>
    <cellStyle name="Header2 2 15 3 5" xfId="3222"/>
    <cellStyle name="Header2 2 15 3 5 2" xfId="14419"/>
    <cellStyle name="Header2 2 15 3 5 3" xfId="25587"/>
    <cellStyle name="Header2 2 15 3 5 4" xfId="36752"/>
    <cellStyle name="Header2 2 15 3 5 5" xfId="47945"/>
    <cellStyle name="Header2 2 15 3 6" xfId="3856"/>
    <cellStyle name="Header2 2 15 3 6 2" xfId="15053"/>
    <cellStyle name="Header2 2 15 3 6 3" xfId="26221"/>
    <cellStyle name="Header2 2 15 3 6 4" xfId="37386"/>
    <cellStyle name="Header2 2 15 3 6 5" xfId="48579"/>
    <cellStyle name="Header2 2 15 3 7" xfId="4489"/>
    <cellStyle name="Header2 2 15 3 7 2" xfId="15686"/>
    <cellStyle name="Header2 2 15 3 7 3" xfId="26854"/>
    <cellStyle name="Header2 2 15 3 7 4" xfId="38019"/>
    <cellStyle name="Header2 2 15 3 7 5" xfId="49212"/>
    <cellStyle name="Header2 2 15 3 8" xfId="5120"/>
    <cellStyle name="Header2 2 15 3 8 2" xfId="16317"/>
    <cellStyle name="Header2 2 15 3 8 3" xfId="27485"/>
    <cellStyle name="Header2 2 15 3 8 4" xfId="38650"/>
    <cellStyle name="Header2 2 15 3 8 5" xfId="49843"/>
    <cellStyle name="Header2 2 15 3 9" xfId="6139"/>
    <cellStyle name="Header2 2 15 3 9 2" xfId="17336"/>
    <cellStyle name="Header2 2 15 3 9 3" xfId="28504"/>
    <cellStyle name="Header2 2 15 3 9 4" xfId="39669"/>
    <cellStyle name="Header2 2 15 3 9 5" xfId="50862"/>
    <cellStyle name="Header2 2 15 4" xfId="50"/>
    <cellStyle name="Header2 2 15 4 10" xfId="6112"/>
    <cellStyle name="Header2 2 15 4 10 2" xfId="17309"/>
    <cellStyle name="Header2 2 15 4 10 3" xfId="28477"/>
    <cellStyle name="Header2 2 15 4 10 4" xfId="39642"/>
    <cellStyle name="Header2 2 15 4 10 5" xfId="50835"/>
    <cellStyle name="Header2 2 15 4 11" xfId="6063"/>
    <cellStyle name="Header2 2 15 4 11 2" xfId="17260"/>
    <cellStyle name="Header2 2 15 4 11 3" xfId="28428"/>
    <cellStyle name="Header2 2 15 4 11 4" xfId="39593"/>
    <cellStyle name="Header2 2 15 4 11 5" xfId="50786"/>
    <cellStyle name="Header2 2 15 4 12" xfId="5769"/>
    <cellStyle name="Header2 2 15 4 12 2" xfId="16966"/>
    <cellStyle name="Header2 2 15 4 12 3" xfId="28134"/>
    <cellStyle name="Header2 2 15 4 12 4" xfId="39299"/>
    <cellStyle name="Header2 2 15 4 12 5" xfId="50492"/>
    <cellStyle name="Header2 2 15 4 13" xfId="7907"/>
    <cellStyle name="Header2 2 15 4 13 2" xfId="19104"/>
    <cellStyle name="Header2 2 15 4 13 3" xfId="30272"/>
    <cellStyle name="Header2 2 15 4 13 4" xfId="41437"/>
    <cellStyle name="Header2 2 15 4 13 5" xfId="52630"/>
    <cellStyle name="Header2 2 15 4 14" xfId="8579"/>
    <cellStyle name="Header2 2 15 4 14 2" xfId="19776"/>
    <cellStyle name="Header2 2 15 4 14 3" xfId="30944"/>
    <cellStyle name="Header2 2 15 4 14 4" xfId="42109"/>
    <cellStyle name="Header2 2 15 4 14 5" xfId="53302"/>
    <cellStyle name="Header2 2 15 4 15" xfId="9583"/>
    <cellStyle name="Header2 2 15 4 15 2" xfId="20780"/>
    <cellStyle name="Header2 2 15 4 15 3" xfId="31948"/>
    <cellStyle name="Header2 2 15 4 15 4" xfId="43113"/>
    <cellStyle name="Header2 2 15 4 15 5" xfId="54306"/>
    <cellStyle name="Header2 2 15 4 16" xfId="11252"/>
    <cellStyle name="Header2 2 15 4 17" xfId="11919"/>
    <cellStyle name="Header2 2 15 4 18" xfId="22444"/>
    <cellStyle name="Header2 2 15 4 19" xfId="44779"/>
    <cellStyle name="Header2 2 15 4 2" xfId="705"/>
    <cellStyle name="Header2 2 15 4 2 2" xfId="11904"/>
    <cellStyle name="Header2 2 15 4 2 3" xfId="23073"/>
    <cellStyle name="Header2 2 15 4 2 4" xfId="34240"/>
    <cellStyle name="Header2 2 15 4 2 5" xfId="45428"/>
    <cellStyle name="Header2 2 15 4 3" xfId="693"/>
    <cellStyle name="Header2 2 15 4 3 2" xfId="11893"/>
    <cellStyle name="Header2 2 15 4 3 3" xfId="23063"/>
    <cellStyle name="Header2 2 15 4 3 4" xfId="34230"/>
    <cellStyle name="Header2 2 15 4 3 5" xfId="45416"/>
    <cellStyle name="Header2 2 15 4 4" xfId="1981"/>
    <cellStyle name="Header2 2 15 4 4 2" xfId="13178"/>
    <cellStyle name="Header2 2 15 4 4 3" xfId="24346"/>
    <cellStyle name="Header2 2 15 4 4 4" xfId="35511"/>
    <cellStyle name="Header2 2 15 4 4 5" xfId="46704"/>
    <cellStyle name="Header2 2 15 4 5" xfId="2037"/>
    <cellStyle name="Header2 2 15 4 5 2" xfId="13234"/>
    <cellStyle name="Header2 2 15 4 5 3" xfId="24402"/>
    <cellStyle name="Header2 2 15 4 5 4" xfId="35567"/>
    <cellStyle name="Header2 2 15 4 5 5" xfId="46760"/>
    <cellStyle name="Header2 2 15 4 6" xfId="1362"/>
    <cellStyle name="Header2 2 15 4 6 2" xfId="12559"/>
    <cellStyle name="Header2 2 15 4 6 3" xfId="23727"/>
    <cellStyle name="Header2 2 15 4 6 4" xfId="34892"/>
    <cellStyle name="Header2 2 15 4 6 5" xfId="46085"/>
    <cellStyle name="Header2 2 15 4 7" xfId="2340"/>
    <cellStyle name="Header2 2 15 4 7 2" xfId="13537"/>
    <cellStyle name="Header2 2 15 4 7 3" xfId="24705"/>
    <cellStyle name="Header2 2 15 4 7 4" xfId="35870"/>
    <cellStyle name="Header2 2 15 4 7 5" xfId="47063"/>
    <cellStyle name="Header2 2 15 4 8" xfId="3685"/>
    <cellStyle name="Header2 2 15 4 8 2" xfId="14882"/>
    <cellStyle name="Header2 2 15 4 8 3" xfId="26050"/>
    <cellStyle name="Header2 2 15 4 8 4" xfId="37215"/>
    <cellStyle name="Header2 2 15 4 8 5" xfId="48408"/>
    <cellStyle name="Header2 2 15 4 9" xfId="5779"/>
    <cellStyle name="Header2 2 15 4 9 2" xfId="16976"/>
    <cellStyle name="Header2 2 15 4 9 3" xfId="28144"/>
    <cellStyle name="Header2 2 15 4 9 4" xfId="39309"/>
    <cellStyle name="Header2 2 15 4 9 5" xfId="50502"/>
    <cellStyle name="Header2 2 15 5" xfId="321"/>
    <cellStyle name="Header2 2 15 5 10" xfId="6890"/>
    <cellStyle name="Header2 2 15 5 10 2" xfId="18087"/>
    <cellStyle name="Header2 2 15 5 10 3" xfId="29255"/>
    <cellStyle name="Header2 2 15 5 10 4" xfId="40420"/>
    <cellStyle name="Header2 2 15 5 10 5" xfId="51613"/>
    <cellStyle name="Header2 2 15 5 11" xfId="7524"/>
    <cellStyle name="Header2 2 15 5 11 2" xfId="18721"/>
    <cellStyle name="Header2 2 15 5 11 3" xfId="29889"/>
    <cellStyle name="Header2 2 15 5 11 4" xfId="41054"/>
    <cellStyle name="Header2 2 15 5 11 5" xfId="52247"/>
    <cellStyle name="Header2 2 15 5 12" xfId="8158"/>
    <cellStyle name="Header2 2 15 5 12 2" xfId="19355"/>
    <cellStyle name="Header2 2 15 5 12 3" xfId="30523"/>
    <cellStyle name="Header2 2 15 5 12 4" xfId="41688"/>
    <cellStyle name="Header2 2 15 5 12 5" xfId="52881"/>
    <cellStyle name="Header2 2 15 5 13" xfId="9209"/>
    <cellStyle name="Header2 2 15 5 13 2" xfId="20406"/>
    <cellStyle name="Header2 2 15 5 13 3" xfId="31574"/>
    <cellStyle name="Header2 2 15 5 13 4" xfId="42739"/>
    <cellStyle name="Header2 2 15 5 13 5" xfId="53932"/>
    <cellStyle name="Header2 2 15 5 14" xfId="10412"/>
    <cellStyle name="Header2 2 15 5 14 2" xfId="21609"/>
    <cellStyle name="Header2 2 15 5 14 3" xfId="32777"/>
    <cellStyle name="Header2 2 15 5 14 4" xfId="43942"/>
    <cellStyle name="Header2 2 15 5 14 5" xfId="55135"/>
    <cellStyle name="Header2 2 15 5 15" xfId="10874"/>
    <cellStyle name="Header2 2 15 5 15 2" xfId="22071"/>
    <cellStyle name="Header2 2 15 5 15 3" xfId="33239"/>
    <cellStyle name="Header2 2 15 5 15 4" xfId="44404"/>
    <cellStyle name="Header2 2 15 5 15 5" xfId="55597"/>
    <cellStyle name="Header2 2 15 5 16" xfId="11521"/>
    <cellStyle name="Header2 2 15 5 17" xfId="22691"/>
    <cellStyle name="Header2 2 15 5 18" xfId="33858"/>
    <cellStyle name="Header2 2 15 5 19" xfId="45044"/>
    <cellStyle name="Header2 2 15 5 2" xfId="970"/>
    <cellStyle name="Header2 2 15 5 2 2" xfId="12167"/>
    <cellStyle name="Header2 2 15 5 2 3" xfId="23335"/>
    <cellStyle name="Header2 2 15 5 2 4" xfId="34500"/>
    <cellStyle name="Header2 2 15 5 2 5" xfId="45693"/>
    <cellStyle name="Header2 2 15 5 3" xfId="1737"/>
    <cellStyle name="Header2 2 15 5 3 2" xfId="12934"/>
    <cellStyle name="Header2 2 15 5 3 3" xfId="24102"/>
    <cellStyle name="Header2 2 15 5 3 4" xfId="35267"/>
    <cellStyle name="Header2 2 15 5 3 5" xfId="46460"/>
    <cellStyle name="Header2 2 15 5 4" xfId="2671"/>
    <cellStyle name="Header2 2 15 5 4 2" xfId="13868"/>
    <cellStyle name="Header2 2 15 5 4 3" xfId="25036"/>
    <cellStyle name="Header2 2 15 5 4 4" xfId="36201"/>
    <cellStyle name="Header2 2 15 5 4 5" xfId="47394"/>
    <cellStyle name="Header2 2 15 5 5" xfId="3305"/>
    <cellStyle name="Header2 2 15 5 5 2" xfId="14502"/>
    <cellStyle name="Header2 2 15 5 5 3" xfId="25670"/>
    <cellStyle name="Header2 2 15 5 5 4" xfId="36835"/>
    <cellStyle name="Header2 2 15 5 5 5" xfId="48028"/>
    <cellStyle name="Header2 2 15 5 6" xfId="3939"/>
    <cellStyle name="Header2 2 15 5 6 2" xfId="15136"/>
    <cellStyle name="Header2 2 15 5 6 3" xfId="26304"/>
    <cellStyle name="Header2 2 15 5 6 4" xfId="37469"/>
    <cellStyle name="Header2 2 15 5 6 5" xfId="48662"/>
    <cellStyle name="Header2 2 15 5 7" xfId="4572"/>
    <cellStyle name="Header2 2 15 5 7 2" xfId="15769"/>
    <cellStyle name="Header2 2 15 5 7 3" xfId="26937"/>
    <cellStyle name="Header2 2 15 5 7 4" xfId="38102"/>
    <cellStyle name="Header2 2 15 5 7 5" xfId="49295"/>
    <cellStyle name="Header2 2 15 5 8" xfId="5203"/>
    <cellStyle name="Header2 2 15 5 8 2" xfId="16400"/>
    <cellStyle name="Header2 2 15 5 8 3" xfId="27568"/>
    <cellStyle name="Header2 2 15 5 8 4" xfId="38733"/>
    <cellStyle name="Header2 2 15 5 8 5" xfId="49926"/>
    <cellStyle name="Header2 2 15 5 9" xfId="6257"/>
    <cellStyle name="Header2 2 15 5 9 2" xfId="17454"/>
    <cellStyle name="Header2 2 15 5 9 3" xfId="28622"/>
    <cellStyle name="Header2 2 15 5 9 4" xfId="39787"/>
    <cellStyle name="Header2 2 15 5 9 5" xfId="50980"/>
    <cellStyle name="Header2 2 15 6" xfId="367"/>
    <cellStyle name="Header2 2 15 6 10" xfId="6936"/>
    <cellStyle name="Header2 2 15 6 10 2" xfId="18133"/>
    <cellStyle name="Header2 2 15 6 10 3" xfId="29301"/>
    <cellStyle name="Header2 2 15 6 10 4" xfId="40466"/>
    <cellStyle name="Header2 2 15 6 10 5" xfId="51659"/>
    <cellStyle name="Header2 2 15 6 11" xfId="7570"/>
    <cellStyle name="Header2 2 15 6 11 2" xfId="18767"/>
    <cellStyle name="Header2 2 15 6 11 3" xfId="29935"/>
    <cellStyle name="Header2 2 15 6 11 4" xfId="41100"/>
    <cellStyle name="Header2 2 15 6 11 5" xfId="52293"/>
    <cellStyle name="Header2 2 15 6 12" xfId="8204"/>
    <cellStyle name="Header2 2 15 6 12 2" xfId="19401"/>
    <cellStyle name="Header2 2 15 6 12 3" xfId="30569"/>
    <cellStyle name="Header2 2 15 6 12 4" xfId="41734"/>
    <cellStyle name="Header2 2 15 6 12 5" xfId="52927"/>
    <cellStyle name="Header2 2 15 6 13" xfId="9255"/>
    <cellStyle name="Header2 2 15 6 13 2" xfId="20452"/>
    <cellStyle name="Header2 2 15 6 13 3" xfId="31620"/>
    <cellStyle name="Header2 2 15 6 13 4" xfId="42785"/>
    <cellStyle name="Header2 2 15 6 13 5" xfId="53978"/>
    <cellStyle name="Header2 2 15 6 14" xfId="9812"/>
    <cellStyle name="Header2 2 15 6 14 2" xfId="21009"/>
    <cellStyle name="Header2 2 15 6 14 3" xfId="32177"/>
    <cellStyle name="Header2 2 15 6 14 4" xfId="43342"/>
    <cellStyle name="Header2 2 15 6 14 5" xfId="54535"/>
    <cellStyle name="Header2 2 15 6 15" xfId="10920"/>
    <cellStyle name="Header2 2 15 6 15 2" xfId="22117"/>
    <cellStyle name="Header2 2 15 6 15 3" xfId="33285"/>
    <cellStyle name="Header2 2 15 6 15 4" xfId="44450"/>
    <cellStyle name="Header2 2 15 6 15 5" xfId="55643"/>
    <cellStyle name="Header2 2 15 6 16" xfId="11567"/>
    <cellStyle name="Header2 2 15 6 17" xfId="22737"/>
    <cellStyle name="Header2 2 15 6 18" xfId="33904"/>
    <cellStyle name="Header2 2 15 6 19" xfId="45090"/>
    <cellStyle name="Header2 2 15 6 2" xfId="1016"/>
    <cellStyle name="Header2 2 15 6 2 2" xfId="12213"/>
    <cellStyle name="Header2 2 15 6 2 3" xfId="23381"/>
    <cellStyle name="Header2 2 15 6 2 4" xfId="34546"/>
    <cellStyle name="Header2 2 15 6 2 5" xfId="45739"/>
    <cellStyle name="Header2 2 15 6 3" xfId="1531"/>
    <cellStyle name="Header2 2 15 6 3 2" xfId="12728"/>
    <cellStyle name="Header2 2 15 6 3 3" xfId="23896"/>
    <cellStyle name="Header2 2 15 6 3 4" xfId="35061"/>
    <cellStyle name="Header2 2 15 6 3 5" xfId="46254"/>
    <cellStyle name="Header2 2 15 6 4" xfId="2717"/>
    <cellStyle name="Header2 2 15 6 4 2" xfId="13914"/>
    <cellStyle name="Header2 2 15 6 4 3" xfId="25082"/>
    <cellStyle name="Header2 2 15 6 4 4" xfId="36247"/>
    <cellStyle name="Header2 2 15 6 4 5" xfId="47440"/>
    <cellStyle name="Header2 2 15 6 5" xfId="3351"/>
    <cellStyle name="Header2 2 15 6 5 2" xfId="14548"/>
    <cellStyle name="Header2 2 15 6 5 3" xfId="25716"/>
    <cellStyle name="Header2 2 15 6 5 4" xfId="36881"/>
    <cellStyle name="Header2 2 15 6 5 5" xfId="48074"/>
    <cellStyle name="Header2 2 15 6 6" xfId="3985"/>
    <cellStyle name="Header2 2 15 6 6 2" xfId="15182"/>
    <cellStyle name="Header2 2 15 6 6 3" xfId="26350"/>
    <cellStyle name="Header2 2 15 6 6 4" xfId="37515"/>
    <cellStyle name="Header2 2 15 6 6 5" xfId="48708"/>
    <cellStyle name="Header2 2 15 6 7" xfId="4618"/>
    <cellStyle name="Header2 2 15 6 7 2" xfId="15815"/>
    <cellStyle name="Header2 2 15 6 7 3" xfId="26983"/>
    <cellStyle name="Header2 2 15 6 7 4" xfId="38148"/>
    <cellStyle name="Header2 2 15 6 7 5" xfId="49341"/>
    <cellStyle name="Header2 2 15 6 8" xfId="5249"/>
    <cellStyle name="Header2 2 15 6 8 2" xfId="16446"/>
    <cellStyle name="Header2 2 15 6 8 3" xfId="27614"/>
    <cellStyle name="Header2 2 15 6 8 4" xfId="38779"/>
    <cellStyle name="Header2 2 15 6 8 5" xfId="49972"/>
    <cellStyle name="Header2 2 15 6 9" xfId="6303"/>
    <cellStyle name="Header2 2 15 6 9 2" xfId="17500"/>
    <cellStyle name="Header2 2 15 6 9 3" xfId="28668"/>
    <cellStyle name="Header2 2 15 6 9 4" xfId="39833"/>
    <cellStyle name="Header2 2 15 6 9 5" xfId="51026"/>
    <cellStyle name="Header2 2 15 7" xfId="447"/>
    <cellStyle name="Header2 2 15 7 10" xfId="7016"/>
    <cellStyle name="Header2 2 15 7 10 2" xfId="18213"/>
    <cellStyle name="Header2 2 15 7 10 3" xfId="29381"/>
    <cellStyle name="Header2 2 15 7 10 4" xfId="40546"/>
    <cellStyle name="Header2 2 15 7 10 5" xfId="51739"/>
    <cellStyle name="Header2 2 15 7 11" xfId="7650"/>
    <cellStyle name="Header2 2 15 7 11 2" xfId="18847"/>
    <cellStyle name="Header2 2 15 7 11 3" xfId="30015"/>
    <cellStyle name="Header2 2 15 7 11 4" xfId="41180"/>
    <cellStyle name="Header2 2 15 7 11 5" xfId="52373"/>
    <cellStyle name="Header2 2 15 7 12" xfId="8284"/>
    <cellStyle name="Header2 2 15 7 12 2" xfId="19481"/>
    <cellStyle name="Header2 2 15 7 12 3" xfId="30649"/>
    <cellStyle name="Header2 2 15 7 12 4" xfId="41814"/>
    <cellStyle name="Header2 2 15 7 12 5" xfId="53007"/>
    <cellStyle name="Header2 2 15 7 13" xfId="9335"/>
    <cellStyle name="Header2 2 15 7 13 2" xfId="20532"/>
    <cellStyle name="Header2 2 15 7 13 3" xfId="31700"/>
    <cellStyle name="Header2 2 15 7 13 4" xfId="42865"/>
    <cellStyle name="Header2 2 15 7 13 5" xfId="54058"/>
    <cellStyle name="Header2 2 15 7 14" xfId="10607"/>
    <cellStyle name="Header2 2 15 7 14 2" xfId="21804"/>
    <cellStyle name="Header2 2 15 7 14 3" xfId="32972"/>
    <cellStyle name="Header2 2 15 7 14 4" xfId="44137"/>
    <cellStyle name="Header2 2 15 7 14 5" xfId="55330"/>
    <cellStyle name="Header2 2 15 7 15" xfId="11000"/>
    <cellStyle name="Header2 2 15 7 15 2" xfId="22197"/>
    <cellStyle name="Header2 2 15 7 15 3" xfId="33365"/>
    <cellStyle name="Header2 2 15 7 15 4" xfId="44530"/>
    <cellStyle name="Header2 2 15 7 15 5" xfId="55723"/>
    <cellStyle name="Header2 2 15 7 16" xfId="11647"/>
    <cellStyle name="Header2 2 15 7 17" xfId="22817"/>
    <cellStyle name="Header2 2 15 7 18" xfId="33984"/>
    <cellStyle name="Header2 2 15 7 19" xfId="45170"/>
    <cellStyle name="Header2 2 15 7 2" xfId="1096"/>
    <cellStyle name="Header2 2 15 7 2 2" xfId="12293"/>
    <cellStyle name="Header2 2 15 7 2 3" xfId="23461"/>
    <cellStyle name="Header2 2 15 7 2 4" xfId="34626"/>
    <cellStyle name="Header2 2 15 7 2 5" xfId="45819"/>
    <cellStyle name="Header2 2 15 7 3" xfId="1747"/>
    <cellStyle name="Header2 2 15 7 3 2" xfId="12944"/>
    <cellStyle name="Header2 2 15 7 3 3" xfId="24112"/>
    <cellStyle name="Header2 2 15 7 3 4" xfId="35277"/>
    <cellStyle name="Header2 2 15 7 3 5" xfId="46470"/>
    <cellStyle name="Header2 2 15 7 4" xfId="2797"/>
    <cellStyle name="Header2 2 15 7 4 2" xfId="13994"/>
    <cellStyle name="Header2 2 15 7 4 3" xfId="25162"/>
    <cellStyle name="Header2 2 15 7 4 4" xfId="36327"/>
    <cellStyle name="Header2 2 15 7 4 5" xfId="47520"/>
    <cellStyle name="Header2 2 15 7 5" xfId="3431"/>
    <cellStyle name="Header2 2 15 7 5 2" xfId="14628"/>
    <cellStyle name="Header2 2 15 7 5 3" xfId="25796"/>
    <cellStyle name="Header2 2 15 7 5 4" xfId="36961"/>
    <cellStyle name="Header2 2 15 7 5 5" xfId="48154"/>
    <cellStyle name="Header2 2 15 7 6" xfId="4065"/>
    <cellStyle name="Header2 2 15 7 6 2" xfId="15262"/>
    <cellStyle name="Header2 2 15 7 6 3" xfId="26430"/>
    <cellStyle name="Header2 2 15 7 6 4" xfId="37595"/>
    <cellStyle name="Header2 2 15 7 6 5" xfId="48788"/>
    <cellStyle name="Header2 2 15 7 7" xfId="4698"/>
    <cellStyle name="Header2 2 15 7 7 2" xfId="15895"/>
    <cellStyle name="Header2 2 15 7 7 3" xfId="27063"/>
    <cellStyle name="Header2 2 15 7 7 4" xfId="38228"/>
    <cellStyle name="Header2 2 15 7 7 5" xfId="49421"/>
    <cellStyle name="Header2 2 15 7 8" xfId="5329"/>
    <cellStyle name="Header2 2 15 7 8 2" xfId="16526"/>
    <cellStyle name="Header2 2 15 7 8 3" xfId="27694"/>
    <cellStyle name="Header2 2 15 7 8 4" xfId="38859"/>
    <cellStyle name="Header2 2 15 7 8 5" xfId="50052"/>
    <cellStyle name="Header2 2 15 7 9" xfId="6383"/>
    <cellStyle name="Header2 2 15 7 9 2" xfId="17580"/>
    <cellStyle name="Header2 2 15 7 9 3" xfId="28748"/>
    <cellStyle name="Header2 2 15 7 9 4" xfId="39913"/>
    <cellStyle name="Header2 2 15 7 9 5" xfId="51106"/>
    <cellStyle name="Header2 2 15 8" xfId="528"/>
    <cellStyle name="Header2 2 15 8 10" xfId="7097"/>
    <cellStyle name="Header2 2 15 8 10 2" xfId="18294"/>
    <cellStyle name="Header2 2 15 8 10 3" xfId="29462"/>
    <cellStyle name="Header2 2 15 8 10 4" xfId="40627"/>
    <cellStyle name="Header2 2 15 8 10 5" xfId="51820"/>
    <cellStyle name="Header2 2 15 8 11" xfId="7731"/>
    <cellStyle name="Header2 2 15 8 11 2" xfId="18928"/>
    <cellStyle name="Header2 2 15 8 11 3" xfId="30096"/>
    <cellStyle name="Header2 2 15 8 11 4" xfId="41261"/>
    <cellStyle name="Header2 2 15 8 11 5" xfId="52454"/>
    <cellStyle name="Header2 2 15 8 12" xfId="8365"/>
    <cellStyle name="Header2 2 15 8 12 2" xfId="19562"/>
    <cellStyle name="Header2 2 15 8 12 3" xfId="30730"/>
    <cellStyle name="Header2 2 15 8 12 4" xfId="41895"/>
    <cellStyle name="Header2 2 15 8 12 5" xfId="53088"/>
    <cellStyle name="Header2 2 15 8 13" xfId="9416"/>
    <cellStyle name="Header2 2 15 8 13 2" xfId="20613"/>
    <cellStyle name="Header2 2 15 8 13 3" xfId="31781"/>
    <cellStyle name="Header2 2 15 8 13 4" xfId="42946"/>
    <cellStyle name="Header2 2 15 8 13 5" xfId="54139"/>
    <cellStyle name="Header2 2 15 8 14" xfId="9964"/>
    <cellStyle name="Header2 2 15 8 14 2" xfId="21161"/>
    <cellStyle name="Header2 2 15 8 14 3" xfId="32329"/>
    <cellStyle name="Header2 2 15 8 14 4" xfId="43494"/>
    <cellStyle name="Header2 2 15 8 14 5" xfId="54687"/>
    <cellStyle name="Header2 2 15 8 15" xfId="11081"/>
    <cellStyle name="Header2 2 15 8 15 2" xfId="22278"/>
    <cellStyle name="Header2 2 15 8 15 3" xfId="33446"/>
    <cellStyle name="Header2 2 15 8 15 4" xfId="44611"/>
    <cellStyle name="Header2 2 15 8 15 5" xfId="55804"/>
    <cellStyle name="Header2 2 15 8 16" xfId="11728"/>
    <cellStyle name="Header2 2 15 8 17" xfId="22898"/>
    <cellStyle name="Header2 2 15 8 18" xfId="34065"/>
    <cellStyle name="Header2 2 15 8 19" xfId="45251"/>
    <cellStyle name="Header2 2 15 8 2" xfId="1177"/>
    <cellStyle name="Header2 2 15 8 2 2" xfId="12374"/>
    <cellStyle name="Header2 2 15 8 2 3" xfId="23542"/>
    <cellStyle name="Header2 2 15 8 2 4" xfId="34707"/>
    <cellStyle name="Header2 2 15 8 2 5" xfId="45900"/>
    <cellStyle name="Header2 2 15 8 3" xfId="1975"/>
    <cellStyle name="Header2 2 15 8 3 2" xfId="13172"/>
    <cellStyle name="Header2 2 15 8 3 3" xfId="24340"/>
    <cellStyle name="Header2 2 15 8 3 4" xfId="35505"/>
    <cellStyle name="Header2 2 15 8 3 5" xfId="46698"/>
    <cellStyle name="Header2 2 15 8 4" xfId="2878"/>
    <cellStyle name="Header2 2 15 8 4 2" xfId="14075"/>
    <cellStyle name="Header2 2 15 8 4 3" xfId="25243"/>
    <cellStyle name="Header2 2 15 8 4 4" xfId="36408"/>
    <cellStyle name="Header2 2 15 8 4 5" xfId="47601"/>
    <cellStyle name="Header2 2 15 8 5" xfId="3512"/>
    <cellStyle name="Header2 2 15 8 5 2" xfId="14709"/>
    <cellStyle name="Header2 2 15 8 5 3" xfId="25877"/>
    <cellStyle name="Header2 2 15 8 5 4" xfId="37042"/>
    <cellStyle name="Header2 2 15 8 5 5" xfId="48235"/>
    <cellStyle name="Header2 2 15 8 6" xfId="4146"/>
    <cellStyle name="Header2 2 15 8 6 2" xfId="15343"/>
    <cellStyle name="Header2 2 15 8 6 3" xfId="26511"/>
    <cellStyle name="Header2 2 15 8 6 4" xfId="37676"/>
    <cellStyle name="Header2 2 15 8 6 5" xfId="48869"/>
    <cellStyle name="Header2 2 15 8 7" xfId="4779"/>
    <cellStyle name="Header2 2 15 8 7 2" xfId="15976"/>
    <cellStyle name="Header2 2 15 8 7 3" xfId="27144"/>
    <cellStyle name="Header2 2 15 8 7 4" xfId="38309"/>
    <cellStyle name="Header2 2 15 8 7 5" xfId="49502"/>
    <cellStyle name="Header2 2 15 8 8" xfId="5410"/>
    <cellStyle name="Header2 2 15 8 8 2" xfId="16607"/>
    <cellStyle name="Header2 2 15 8 8 3" xfId="27775"/>
    <cellStyle name="Header2 2 15 8 8 4" xfId="38940"/>
    <cellStyle name="Header2 2 15 8 8 5" xfId="50133"/>
    <cellStyle name="Header2 2 15 8 9" xfId="6464"/>
    <cellStyle name="Header2 2 15 8 9 2" xfId="17661"/>
    <cellStyle name="Header2 2 15 8 9 3" xfId="28829"/>
    <cellStyle name="Header2 2 15 8 9 4" xfId="39994"/>
    <cellStyle name="Header2 2 15 8 9 5" xfId="51187"/>
    <cellStyle name="Header2 2 15 9" xfId="586"/>
    <cellStyle name="Header2 2 15 9 10" xfId="7155"/>
    <cellStyle name="Header2 2 15 9 10 2" xfId="18352"/>
    <cellStyle name="Header2 2 15 9 10 3" xfId="29520"/>
    <cellStyle name="Header2 2 15 9 10 4" xfId="40685"/>
    <cellStyle name="Header2 2 15 9 10 5" xfId="51878"/>
    <cellStyle name="Header2 2 15 9 11" xfId="7789"/>
    <cellStyle name="Header2 2 15 9 11 2" xfId="18986"/>
    <cellStyle name="Header2 2 15 9 11 3" xfId="30154"/>
    <cellStyle name="Header2 2 15 9 11 4" xfId="41319"/>
    <cellStyle name="Header2 2 15 9 11 5" xfId="52512"/>
    <cellStyle name="Header2 2 15 9 12" xfId="8423"/>
    <cellStyle name="Header2 2 15 9 12 2" xfId="19620"/>
    <cellStyle name="Header2 2 15 9 12 3" xfId="30788"/>
    <cellStyle name="Header2 2 15 9 12 4" xfId="41953"/>
    <cellStyle name="Header2 2 15 9 12 5" xfId="53146"/>
    <cellStyle name="Header2 2 15 9 13" xfId="9474"/>
    <cellStyle name="Header2 2 15 9 13 2" xfId="20671"/>
    <cellStyle name="Header2 2 15 9 13 3" xfId="31839"/>
    <cellStyle name="Header2 2 15 9 13 4" xfId="43004"/>
    <cellStyle name="Header2 2 15 9 13 5" xfId="54197"/>
    <cellStyle name="Header2 2 15 9 14" xfId="10469"/>
    <cellStyle name="Header2 2 15 9 14 2" xfId="21666"/>
    <cellStyle name="Header2 2 15 9 14 3" xfId="32834"/>
    <cellStyle name="Header2 2 15 9 14 4" xfId="43999"/>
    <cellStyle name="Header2 2 15 9 14 5" xfId="55192"/>
    <cellStyle name="Header2 2 15 9 15" xfId="11139"/>
    <cellStyle name="Header2 2 15 9 15 2" xfId="22336"/>
    <cellStyle name="Header2 2 15 9 15 3" xfId="33504"/>
    <cellStyle name="Header2 2 15 9 15 4" xfId="44669"/>
    <cellStyle name="Header2 2 15 9 15 5" xfId="55862"/>
    <cellStyle name="Header2 2 15 9 16" xfId="11786"/>
    <cellStyle name="Header2 2 15 9 17" xfId="22956"/>
    <cellStyle name="Header2 2 15 9 18" xfId="34123"/>
    <cellStyle name="Header2 2 15 9 19" xfId="45309"/>
    <cellStyle name="Header2 2 15 9 2" xfId="1235"/>
    <cellStyle name="Header2 2 15 9 2 2" xfId="12432"/>
    <cellStyle name="Header2 2 15 9 2 3" xfId="23600"/>
    <cellStyle name="Header2 2 15 9 2 4" xfId="34765"/>
    <cellStyle name="Header2 2 15 9 2 5" xfId="45958"/>
    <cellStyle name="Header2 2 15 9 3" xfId="1765"/>
    <cellStyle name="Header2 2 15 9 3 2" xfId="12962"/>
    <cellStyle name="Header2 2 15 9 3 3" xfId="24130"/>
    <cellStyle name="Header2 2 15 9 3 4" xfId="35295"/>
    <cellStyle name="Header2 2 15 9 3 5" xfId="46488"/>
    <cellStyle name="Header2 2 15 9 4" xfId="2936"/>
    <cellStyle name="Header2 2 15 9 4 2" xfId="14133"/>
    <cellStyle name="Header2 2 15 9 4 3" xfId="25301"/>
    <cellStyle name="Header2 2 15 9 4 4" xfId="36466"/>
    <cellStyle name="Header2 2 15 9 4 5" xfId="47659"/>
    <cellStyle name="Header2 2 15 9 5" xfId="3570"/>
    <cellStyle name="Header2 2 15 9 5 2" xfId="14767"/>
    <cellStyle name="Header2 2 15 9 5 3" xfId="25935"/>
    <cellStyle name="Header2 2 15 9 5 4" xfId="37100"/>
    <cellStyle name="Header2 2 15 9 5 5" xfId="48293"/>
    <cellStyle name="Header2 2 15 9 6" xfId="4204"/>
    <cellStyle name="Header2 2 15 9 6 2" xfId="15401"/>
    <cellStyle name="Header2 2 15 9 6 3" xfId="26569"/>
    <cellStyle name="Header2 2 15 9 6 4" xfId="37734"/>
    <cellStyle name="Header2 2 15 9 6 5" xfId="48927"/>
    <cellStyle name="Header2 2 15 9 7" xfId="4837"/>
    <cellStyle name="Header2 2 15 9 7 2" xfId="16034"/>
    <cellStyle name="Header2 2 15 9 7 3" xfId="27202"/>
    <cellStyle name="Header2 2 15 9 7 4" xfId="38367"/>
    <cellStyle name="Header2 2 15 9 7 5" xfId="49560"/>
    <cellStyle name="Header2 2 15 9 8" xfId="5468"/>
    <cellStyle name="Header2 2 15 9 8 2" xfId="16665"/>
    <cellStyle name="Header2 2 15 9 8 3" xfId="27833"/>
    <cellStyle name="Header2 2 15 9 8 4" xfId="38998"/>
    <cellStyle name="Header2 2 15 9 8 5" xfId="50191"/>
    <cellStyle name="Header2 2 15 9 9" xfId="6522"/>
    <cellStyle name="Header2 2 15 9 9 2" xfId="17719"/>
    <cellStyle name="Header2 2 15 9 9 3" xfId="28887"/>
    <cellStyle name="Header2 2 15 9 9 4" xfId="40052"/>
    <cellStyle name="Header2 2 15 9 9 5" xfId="51245"/>
    <cellStyle name="Header2 2 16" xfId="122"/>
    <cellStyle name="Header2 2 16 10" xfId="617"/>
    <cellStyle name="Header2 2 16 10 10" xfId="7186"/>
    <cellStyle name="Header2 2 16 10 10 2" xfId="18383"/>
    <cellStyle name="Header2 2 16 10 10 3" xfId="29551"/>
    <cellStyle name="Header2 2 16 10 10 4" xfId="40716"/>
    <cellStyle name="Header2 2 16 10 10 5" xfId="51909"/>
    <cellStyle name="Header2 2 16 10 11" xfId="7820"/>
    <cellStyle name="Header2 2 16 10 11 2" xfId="19017"/>
    <cellStyle name="Header2 2 16 10 11 3" xfId="30185"/>
    <cellStyle name="Header2 2 16 10 11 4" xfId="41350"/>
    <cellStyle name="Header2 2 16 10 11 5" xfId="52543"/>
    <cellStyle name="Header2 2 16 10 12" xfId="8454"/>
    <cellStyle name="Header2 2 16 10 12 2" xfId="19651"/>
    <cellStyle name="Header2 2 16 10 12 3" xfId="30819"/>
    <cellStyle name="Header2 2 16 10 12 4" xfId="41984"/>
    <cellStyle name="Header2 2 16 10 12 5" xfId="53177"/>
    <cellStyle name="Header2 2 16 10 13" xfId="9505"/>
    <cellStyle name="Header2 2 16 10 13 2" xfId="20702"/>
    <cellStyle name="Header2 2 16 10 13 3" xfId="31870"/>
    <cellStyle name="Header2 2 16 10 13 4" xfId="43035"/>
    <cellStyle name="Header2 2 16 10 13 5" xfId="54228"/>
    <cellStyle name="Header2 2 16 10 14" xfId="10161"/>
    <cellStyle name="Header2 2 16 10 14 2" xfId="21358"/>
    <cellStyle name="Header2 2 16 10 14 3" xfId="32526"/>
    <cellStyle name="Header2 2 16 10 14 4" xfId="43691"/>
    <cellStyle name="Header2 2 16 10 14 5" xfId="54884"/>
    <cellStyle name="Header2 2 16 10 15" xfId="11170"/>
    <cellStyle name="Header2 2 16 10 15 2" xfId="22367"/>
    <cellStyle name="Header2 2 16 10 15 3" xfId="33535"/>
    <cellStyle name="Header2 2 16 10 15 4" xfId="44700"/>
    <cellStyle name="Header2 2 16 10 15 5" xfId="55893"/>
    <cellStyle name="Header2 2 16 10 16" xfId="11817"/>
    <cellStyle name="Header2 2 16 10 17" xfId="22987"/>
    <cellStyle name="Header2 2 16 10 18" xfId="34154"/>
    <cellStyle name="Header2 2 16 10 19" xfId="45340"/>
    <cellStyle name="Header2 2 16 10 2" xfId="1266"/>
    <cellStyle name="Header2 2 16 10 2 2" xfId="12463"/>
    <cellStyle name="Header2 2 16 10 2 3" xfId="23631"/>
    <cellStyle name="Header2 2 16 10 2 4" xfId="34796"/>
    <cellStyle name="Header2 2 16 10 2 5" xfId="45989"/>
    <cellStyle name="Header2 2 16 10 3" xfId="1893"/>
    <cellStyle name="Header2 2 16 10 3 2" xfId="13090"/>
    <cellStyle name="Header2 2 16 10 3 3" xfId="24258"/>
    <cellStyle name="Header2 2 16 10 3 4" xfId="35423"/>
    <cellStyle name="Header2 2 16 10 3 5" xfId="46616"/>
    <cellStyle name="Header2 2 16 10 4" xfId="2967"/>
    <cellStyle name="Header2 2 16 10 4 2" xfId="14164"/>
    <cellStyle name="Header2 2 16 10 4 3" xfId="25332"/>
    <cellStyle name="Header2 2 16 10 4 4" xfId="36497"/>
    <cellStyle name="Header2 2 16 10 4 5" xfId="47690"/>
    <cellStyle name="Header2 2 16 10 5" xfId="3601"/>
    <cellStyle name="Header2 2 16 10 5 2" xfId="14798"/>
    <cellStyle name="Header2 2 16 10 5 3" xfId="25966"/>
    <cellStyle name="Header2 2 16 10 5 4" xfId="37131"/>
    <cellStyle name="Header2 2 16 10 5 5" xfId="48324"/>
    <cellStyle name="Header2 2 16 10 6" xfId="4235"/>
    <cellStyle name="Header2 2 16 10 6 2" xfId="15432"/>
    <cellStyle name="Header2 2 16 10 6 3" xfId="26600"/>
    <cellStyle name="Header2 2 16 10 6 4" xfId="37765"/>
    <cellStyle name="Header2 2 16 10 6 5" xfId="48958"/>
    <cellStyle name="Header2 2 16 10 7" xfId="4868"/>
    <cellStyle name="Header2 2 16 10 7 2" xfId="16065"/>
    <cellStyle name="Header2 2 16 10 7 3" xfId="27233"/>
    <cellStyle name="Header2 2 16 10 7 4" xfId="38398"/>
    <cellStyle name="Header2 2 16 10 7 5" xfId="49591"/>
    <cellStyle name="Header2 2 16 10 8" xfId="5499"/>
    <cellStyle name="Header2 2 16 10 8 2" xfId="16696"/>
    <cellStyle name="Header2 2 16 10 8 3" xfId="27864"/>
    <cellStyle name="Header2 2 16 10 8 4" xfId="39029"/>
    <cellStyle name="Header2 2 16 10 8 5" xfId="50222"/>
    <cellStyle name="Header2 2 16 10 9" xfId="6553"/>
    <cellStyle name="Header2 2 16 10 9 2" xfId="17750"/>
    <cellStyle name="Header2 2 16 10 9 3" xfId="28918"/>
    <cellStyle name="Header2 2 16 10 9 4" xfId="40083"/>
    <cellStyle name="Header2 2 16 10 9 5" xfId="51276"/>
    <cellStyle name="Header2 2 16 11" xfId="610"/>
    <cellStyle name="Header2 2 16 11 10" xfId="7179"/>
    <cellStyle name="Header2 2 16 11 10 2" xfId="18376"/>
    <cellStyle name="Header2 2 16 11 10 3" xfId="29544"/>
    <cellStyle name="Header2 2 16 11 10 4" xfId="40709"/>
    <cellStyle name="Header2 2 16 11 10 5" xfId="51902"/>
    <cellStyle name="Header2 2 16 11 11" xfId="7813"/>
    <cellStyle name="Header2 2 16 11 11 2" xfId="19010"/>
    <cellStyle name="Header2 2 16 11 11 3" xfId="30178"/>
    <cellStyle name="Header2 2 16 11 11 4" xfId="41343"/>
    <cellStyle name="Header2 2 16 11 11 5" xfId="52536"/>
    <cellStyle name="Header2 2 16 11 12" xfId="8447"/>
    <cellStyle name="Header2 2 16 11 12 2" xfId="19644"/>
    <cellStyle name="Header2 2 16 11 12 3" xfId="30812"/>
    <cellStyle name="Header2 2 16 11 12 4" xfId="41977"/>
    <cellStyle name="Header2 2 16 11 12 5" xfId="53170"/>
    <cellStyle name="Header2 2 16 11 13" xfId="9498"/>
    <cellStyle name="Header2 2 16 11 13 2" xfId="20695"/>
    <cellStyle name="Header2 2 16 11 13 3" xfId="31863"/>
    <cellStyle name="Header2 2 16 11 13 4" xfId="43028"/>
    <cellStyle name="Header2 2 16 11 13 5" xfId="54221"/>
    <cellStyle name="Header2 2 16 11 14" xfId="10518"/>
    <cellStyle name="Header2 2 16 11 14 2" xfId="21715"/>
    <cellStyle name="Header2 2 16 11 14 3" xfId="32883"/>
    <cellStyle name="Header2 2 16 11 14 4" xfId="44048"/>
    <cellStyle name="Header2 2 16 11 14 5" xfId="55241"/>
    <cellStyle name="Header2 2 16 11 15" xfId="11163"/>
    <cellStyle name="Header2 2 16 11 15 2" xfId="22360"/>
    <cellStyle name="Header2 2 16 11 15 3" xfId="33528"/>
    <cellStyle name="Header2 2 16 11 15 4" xfId="44693"/>
    <cellStyle name="Header2 2 16 11 15 5" xfId="55886"/>
    <cellStyle name="Header2 2 16 11 16" xfId="11810"/>
    <cellStyle name="Header2 2 16 11 17" xfId="22980"/>
    <cellStyle name="Header2 2 16 11 18" xfId="34147"/>
    <cellStyle name="Header2 2 16 11 19" xfId="45333"/>
    <cellStyle name="Header2 2 16 11 2" xfId="1259"/>
    <cellStyle name="Header2 2 16 11 2 2" xfId="12456"/>
    <cellStyle name="Header2 2 16 11 2 3" xfId="23624"/>
    <cellStyle name="Header2 2 16 11 2 4" xfId="34789"/>
    <cellStyle name="Header2 2 16 11 2 5" xfId="45982"/>
    <cellStyle name="Header2 2 16 11 3" xfId="1815"/>
    <cellStyle name="Header2 2 16 11 3 2" xfId="13012"/>
    <cellStyle name="Header2 2 16 11 3 3" xfId="24180"/>
    <cellStyle name="Header2 2 16 11 3 4" xfId="35345"/>
    <cellStyle name="Header2 2 16 11 3 5" xfId="46538"/>
    <cellStyle name="Header2 2 16 11 4" xfId="2960"/>
    <cellStyle name="Header2 2 16 11 4 2" xfId="14157"/>
    <cellStyle name="Header2 2 16 11 4 3" xfId="25325"/>
    <cellStyle name="Header2 2 16 11 4 4" xfId="36490"/>
    <cellStyle name="Header2 2 16 11 4 5" xfId="47683"/>
    <cellStyle name="Header2 2 16 11 5" xfId="3594"/>
    <cellStyle name="Header2 2 16 11 5 2" xfId="14791"/>
    <cellStyle name="Header2 2 16 11 5 3" xfId="25959"/>
    <cellStyle name="Header2 2 16 11 5 4" xfId="37124"/>
    <cellStyle name="Header2 2 16 11 5 5" xfId="48317"/>
    <cellStyle name="Header2 2 16 11 6" xfId="4228"/>
    <cellStyle name="Header2 2 16 11 6 2" xfId="15425"/>
    <cellStyle name="Header2 2 16 11 6 3" xfId="26593"/>
    <cellStyle name="Header2 2 16 11 6 4" xfId="37758"/>
    <cellStyle name="Header2 2 16 11 6 5" xfId="48951"/>
    <cellStyle name="Header2 2 16 11 7" xfId="4861"/>
    <cellStyle name="Header2 2 16 11 7 2" xfId="16058"/>
    <cellStyle name="Header2 2 16 11 7 3" xfId="27226"/>
    <cellStyle name="Header2 2 16 11 7 4" xfId="38391"/>
    <cellStyle name="Header2 2 16 11 7 5" xfId="49584"/>
    <cellStyle name="Header2 2 16 11 8" xfId="5492"/>
    <cellStyle name="Header2 2 16 11 8 2" xfId="16689"/>
    <cellStyle name="Header2 2 16 11 8 3" xfId="27857"/>
    <cellStyle name="Header2 2 16 11 8 4" xfId="39022"/>
    <cellStyle name="Header2 2 16 11 8 5" xfId="50215"/>
    <cellStyle name="Header2 2 16 11 9" xfId="6546"/>
    <cellStyle name="Header2 2 16 11 9 2" xfId="17743"/>
    <cellStyle name="Header2 2 16 11 9 3" xfId="28911"/>
    <cellStyle name="Header2 2 16 11 9 4" xfId="40076"/>
    <cellStyle name="Header2 2 16 11 9 5" xfId="51269"/>
    <cellStyle name="Header2 2 16 12" xfId="771"/>
    <cellStyle name="Header2 2 16 12 2" xfId="11968"/>
    <cellStyle name="Header2 2 16 12 3" xfId="23136"/>
    <cellStyle name="Header2 2 16 12 4" xfId="34301"/>
    <cellStyle name="Header2 2 16 12 5" xfId="45494"/>
    <cellStyle name="Header2 2 16 13" xfId="1635"/>
    <cellStyle name="Header2 2 16 13 2" xfId="12832"/>
    <cellStyle name="Header2 2 16 13 3" xfId="24000"/>
    <cellStyle name="Header2 2 16 13 4" xfId="35165"/>
    <cellStyle name="Header2 2 16 13 5" xfId="46358"/>
    <cellStyle name="Header2 2 16 14" xfId="2182"/>
    <cellStyle name="Header2 2 16 14 2" xfId="13379"/>
    <cellStyle name="Header2 2 16 14 3" xfId="24547"/>
    <cellStyle name="Header2 2 16 14 4" xfId="35712"/>
    <cellStyle name="Header2 2 16 14 5" xfId="46905"/>
    <cellStyle name="Header2 2 16 15" xfId="3106"/>
    <cellStyle name="Header2 2 16 15 2" xfId="14303"/>
    <cellStyle name="Header2 2 16 15 3" xfId="25471"/>
    <cellStyle name="Header2 2 16 15 4" xfId="36636"/>
    <cellStyle name="Header2 2 16 15 5" xfId="47829"/>
    <cellStyle name="Header2 2 16 16" xfId="3740"/>
    <cellStyle name="Header2 2 16 16 2" xfId="14937"/>
    <cellStyle name="Header2 2 16 16 3" xfId="26105"/>
    <cellStyle name="Header2 2 16 16 4" xfId="37270"/>
    <cellStyle name="Header2 2 16 16 5" xfId="48463"/>
    <cellStyle name="Header2 2 16 17" xfId="4373"/>
    <cellStyle name="Header2 2 16 17 2" xfId="15570"/>
    <cellStyle name="Header2 2 16 17 3" xfId="26738"/>
    <cellStyle name="Header2 2 16 17 4" xfId="37903"/>
    <cellStyle name="Header2 2 16 17 5" xfId="49096"/>
    <cellStyle name="Header2 2 16 18" xfId="5004"/>
    <cellStyle name="Header2 2 16 18 2" xfId="16201"/>
    <cellStyle name="Header2 2 16 18 3" xfId="27369"/>
    <cellStyle name="Header2 2 16 18 4" xfId="38534"/>
    <cellStyle name="Header2 2 16 18 5" xfId="49727"/>
    <cellStyle name="Header2 2 16 19" xfId="5645"/>
    <cellStyle name="Header2 2 16 19 2" xfId="16842"/>
    <cellStyle name="Header2 2 16 19 3" xfId="28010"/>
    <cellStyle name="Header2 2 16 19 4" xfId="39175"/>
    <cellStyle name="Header2 2 16 19 5" xfId="50368"/>
    <cellStyle name="Header2 2 16 2" xfId="185"/>
    <cellStyle name="Header2 2 16 2 10" xfId="6754"/>
    <cellStyle name="Header2 2 16 2 10 2" xfId="17951"/>
    <cellStyle name="Header2 2 16 2 10 3" xfId="29119"/>
    <cellStyle name="Header2 2 16 2 10 4" xfId="40284"/>
    <cellStyle name="Header2 2 16 2 10 5" xfId="51477"/>
    <cellStyle name="Header2 2 16 2 11" xfId="7388"/>
    <cellStyle name="Header2 2 16 2 11 2" xfId="18585"/>
    <cellStyle name="Header2 2 16 2 11 3" xfId="29753"/>
    <cellStyle name="Header2 2 16 2 11 4" xfId="40918"/>
    <cellStyle name="Header2 2 16 2 11 5" xfId="52111"/>
    <cellStyle name="Header2 2 16 2 12" xfId="8022"/>
    <cellStyle name="Header2 2 16 2 12 2" xfId="19219"/>
    <cellStyle name="Header2 2 16 2 12 3" xfId="30387"/>
    <cellStyle name="Header2 2 16 2 12 4" xfId="41552"/>
    <cellStyle name="Header2 2 16 2 12 5" xfId="52745"/>
    <cellStyle name="Header2 2 16 2 13" xfId="9113"/>
    <cellStyle name="Header2 2 16 2 13 2" xfId="20310"/>
    <cellStyle name="Header2 2 16 2 13 3" xfId="31478"/>
    <cellStyle name="Header2 2 16 2 13 4" xfId="42643"/>
    <cellStyle name="Header2 2 16 2 13 5" xfId="53836"/>
    <cellStyle name="Header2 2 16 2 14" xfId="10454"/>
    <cellStyle name="Header2 2 16 2 14 2" xfId="21651"/>
    <cellStyle name="Header2 2 16 2 14 3" xfId="32819"/>
    <cellStyle name="Header2 2 16 2 14 4" xfId="43984"/>
    <cellStyle name="Header2 2 16 2 14 5" xfId="55177"/>
    <cellStyle name="Header2 2 16 2 15" xfId="10738"/>
    <cellStyle name="Header2 2 16 2 15 2" xfId="21935"/>
    <cellStyle name="Header2 2 16 2 15 3" xfId="33103"/>
    <cellStyle name="Header2 2 16 2 15 4" xfId="44268"/>
    <cellStyle name="Header2 2 16 2 15 5" xfId="55461"/>
    <cellStyle name="Header2 2 16 2 16" xfId="11385"/>
    <cellStyle name="Header2 2 16 2 17" xfId="22555"/>
    <cellStyle name="Header2 2 16 2 18" xfId="33722"/>
    <cellStyle name="Header2 2 16 2 19" xfId="44908"/>
    <cellStyle name="Header2 2 16 2 2" xfId="834"/>
    <cellStyle name="Header2 2 16 2 2 2" xfId="12031"/>
    <cellStyle name="Header2 2 16 2 2 3" xfId="23199"/>
    <cellStyle name="Header2 2 16 2 2 4" xfId="34364"/>
    <cellStyle name="Header2 2 16 2 2 5" xfId="45557"/>
    <cellStyle name="Header2 2 16 2 3" xfId="1672"/>
    <cellStyle name="Header2 2 16 2 3 2" xfId="12869"/>
    <cellStyle name="Header2 2 16 2 3 3" xfId="24037"/>
    <cellStyle name="Header2 2 16 2 3 4" xfId="35202"/>
    <cellStyle name="Header2 2 16 2 3 5" xfId="46395"/>
    <cellStyle name="Header2 2 16 2 4" xfId="2456"/>
    <cellStyle name="Header2 2 16 2 4 2" xfId="13653"/>
    <cellStyle name="Header2 2 16 2 4 3" xfId="24821"/>
    <cellStyle name="Header2 2 16 2 4 4" xfId="35986"/>
    <cellStyle name="Header2 2 16 2 4 5" xfId="47179"/>
    <cellStyle name="Header2 2 16 2 5" xfId="3169"/>
    <cellStyle name="Header2 2 16 2 5 2" xfId="14366"/>
    <cellStyle name="Header2 2 16 2 5 3" xfId="25534"/>
    <cellStyle name="Header2 2 16 2 5 4" xfId="36699"/>
    <cellStyle name="Header2 2 16 2 5 5" xfId="47892"/>
    <cellStyle name="Header2 2 16 2 6" xfId="3803"/>
    <cellStyle name="Header2 2 16 2 6 2" xfId="15000"/>
    <cellStyle name="Header2 2 16 2 6 3" xfId="26168"/>
    <cellStyle name="Header2 2 16 2 6 4" xfId="37333"/>
    <cellStyle name="Header2 2 16 2 6 5" xfId="48526"/>
    <cellStyle name="Header2 2 16 2 7" xfId="4436"/>
    <cellStyle name="Header2 2 16 2 7 2" xfId="15633"/>
    <cellStyle name="Header2 2 16 2 7 3" xfId="26801"/>
    <cellStyle name="Header2 2 16 2 7 4" xfId="37966"/>
    <cellStyle name="Header2 2 16 2 7 5" xfId="49159"/>
    <cellStyle name="Header2 2 16 2 8" xfId="5067"/>
    <cellStyle name="Header2 2 16 2 8 2" xfId="16264"/>
    <cellStyle name="Header2 2 16 2 8 3" xfId="27432"/>
    <cellStyle name="Header2 2 16 2 8 4" xfId="38597"/>
    <cellStyle name="Header2 2 16 2 8 5" xfId="49790"/>
    <cellStyle name="Header2 2 16 2 9" xfId="5800"/>
    <cellStyle name="Header2 2 16 2 9 2" xfId="16997"/>
    <cellStyle name="Header2 2 16 2 9 3" xfId="28165"/>
    <cellStyle name="Header2 2 16 2 9 4" xfId="39330"/>
    <cellStyle name="Header2 2 16 2 9 5" xfId="50523"/>
    <cellStyle name="Header2 2 16 20" xfId="6691"/>
    <cellStyle name="Header2 2 16 20 2" xfId="17888"/>
    <cellStyle name="Header2 2 16 20 3" xfId="29056"/>
    <cellStyle name="Header2 2 16 20 4" xfId="40221"/>
    <cellStyle name="Header2 2 16 20 5" xfId="51414"/>
    <cellStyle name="Header2 2 16 21" xfId="7325"/>
    <cellStyle name="Header2 2 16 21 2" xfId="18522"/>
    <cellStyle name="Header2 2 16 21 3" xfId="29690"/>
    <cellStyle name="Header2 2 16 21 4" xfId="40855"/>
    <cellStyle name="Header2 2 16 21 5" xfId="52048"/>
    <cellStyle name="Header2 2 16 22" xfId="7959"/>
    <cellStyle name="Header2 2 16 22 2" xfId="19156"/>
    <cellStyle name="Header2 2 16 22 3" xfId="30324"/>
    <cellStyle name="Header2 2 16 22 4" xfId="41489"/>
    <cellStyle name="Header2 2 16 22 5" xfId="52682"/>
    <cellStyle name="Header2 2 16 23" xfId="8775"/>
    <cellStyle name="Header2 2 16 23 2" xfId="19972"/>
    <cellStyle name="Header2 2 16 23 3" xfId="31140"/>
    <cellStyle name="Header2 2 16 23 4" xfId="42305"/>
    <cellStyle name="Header2 2 16 23 5" xfId="53498"/>
    <cellStyle name="Header2 2 16 24" xfId="10323"/>
    <cellStyle name="Header2 2 16 24 2" xfId="21520"/>
    <cellStyle name="Header2 2 16 24 3" xfId="32688"/>
    <cellStyle name="Header2 2 16 24 4" xfId="43853"/>
    <cellStyle name="Header2 2 16 24 5" xfId="55046"/>
    <cellStyle name="Header2 2 16 25" xfId="10675"/>
    <cellStyle name="Header2 2 16 25 2" xfId="21872"/>
    <cellStyle name="Header2 2 16 25 3" xfId="33040"/>
    <cellStyle name="Header2 2 16 25 4" xfId="44205"/>
    <cellStyle name="Header2 2 16 25 5" xfId="55398"/>
    <cellStyle name="Header2 2 16 26" xfId="11322"/>
    <cellStyle name="Header2 2 16 27" xfId="22492"/>
    <cellStyle name="Header2 2 16 28" xfId="33659"/>
    <cellStyle name="Header2 2 16 29" xfId="44845"/>
    <cellStyle name="Header2 2 16 3" xfId="241"/>
    <cellStyle name="Header2 2 16 3 10" xfId="6810"/>
    <cellStyle name="Header2 2 16 3 10 2" xfId="18007"/>
    <cellStyle name="Header2 2 16 3 10 3" xfId="29175"/>
    <cellStyle name="Header2 2 16 3 10 4" xfId="40340"/>
    <cellStyle name="Header2 2 16 3 10 5" xfId="51533"/>
    <cellStyle name="Header2 2 16 3 11" xfId="7444"/>
    <cellStyle name="Header2 2 16 3 11 2" xfId="18641"/>
    <cellStyle name="Header2 2 16 3 11 3" xfId="29809"/>
    <cellStyle name="Header2 2 16 3 11 4" xfId="40974"/>
    <cellStyle name="Header2 2 16 3 11 5" xfId="52167"/>
    <cellStyle name="Header2 2 16 3 12" xfId="8078"/>
    <cellStyle name="Header2 2 16 3 12 2" xfId="19275"/>
    <cellStyle name="Header2 2 16 3 12 3" xfId="30443"/>
    <cellStyle name="Header2 2 16 3 12 4" xfId="41608"/>
    <cellStyle name="Header2 2 16 3 12 5" xfId="52801"/>
    <cellStyle name="Header2 2 16 3 13" xfId="8576"/>
    <cellStyle name="Header2 2 16 3 13 2" xfId="19773"/>
    <cellStyle name="Header2 2 16 3 13 3" xfId="30941"/>
    <cellStyle name="Header2 2 16 3 13 4" xfId="42106"/>
    <cellStyle name="Header2 2 16 3 13 5" xfId="53299"/>
    <cellStyle name="Header2 2 16 3 14" xfId="10280"/>
    <cellStyle name="Header2 2 16 3 14 2" xfId="21477"/>
    <cellStyle name="Header2 2 16 3 14 3" xfId="32645"/>
    <cellStyle name="Header2 2 16 3 14 4" xfId="43810"/>
    <cellStyle name="Header2 2 16 3 14 5" xfId="55003"/>
    <cellStyle name="Header2 2 16 3 15" xfId="10794"/>
    <cellStyle name="Header2 2 16 3 15 2" xfId="21991"/>
    <cellStyle name="Header2 2 16 3 15 3" xfId="33159"/>
    <cellStyle name="Header2 2 16 3 15 4" xfId="44324"/>
    <cellStyle name="Header2 2 16 3 15 5" xfId="55517"/>
    <cellStyle name="Header2 2 16 3 16" xfId="11441"/>
    <cellStyle name="Header2 2 16 3 17" xfId="22611"/>
    <cellStyle name="Header2 2 16 3 18" xfId="33778"/>
    <cellStyle name="Header2 2 16 3 19" xfId="44964"/>
    <cellStyle name="Header2 2 16 3 2" xfId="890"/>
    <cellStyle name="Header2 2 16 3 2 2" xfId="12087"/>
    <cellStyle name="Header2 2 16 3 2 3" xfId="23255"/>
    <cellStyle name="Header2 2 16 3 2 4" xfId="34420"/>
    <cellStyle name="Header2 2 16 3 2 5" xfId="45613"/>
    <cellStyle name="Header2 2 16 3 3" xfId="1678"/>
    <cellStyle name="Header2 2 16 3 3 2" xfId="12875"/>
    <cellStyle name="Header2 2 16 3 3 3" xfId="24043"/>
    <cellStyle name="Header2 2 16 3 3 4" xfId="35208"/>
    <cellStyle name="Header2 2 16 3 3 5" xfId="46401"/>
    <cellStyle name="Header2 2 16 3 4" xfId="2355"/>
    <cellStyle name="Header2 2 16 3 4 2" xfId="13552"/>
    <cellStyle name="Header2 2 16 3 4 3" xfId="24720"/>
    <cellStyle name="Header2 2 16 3 4 4" xfId="35885"/>
    <cellStyle name="Header2 2 16 3 4 5" xfId="47078"/>
    <cellStyle name="Header2 2 16 3 5" xfId="3225"/>
    <cellStyle name="Header2 2 16 3 5 2" xfId="14422"/>
    <cellStyle name="Header2 2 16 3 5 3" xfId="25590"/>
    <cellStyle name="Header2 2 16 3 5 4" xfId="36755"/>
    <cellStyle name="Header2 2 16 3 5 5" xfId="47948"/>
    <cellStyle name="Header2 2 16 3 6" xfId="3859"/>
    <cellStyle name="Header2 2 16 3 6 2" xfId="15056"/>
    <cellStyle name="Header2 2 16 3 6 3" xfId="26224"/>
    <cellStyle name="Header2 2 16 3 6 4" xfId="37389"/>
    <cellStyle name="Header2 2 16 3 6 5" xfId="48582"/>
    <cellStyle name="Header2 2 16 3 7" xfId="4492"/>
    <cellStyle name="Header2 2 16 3 7 2" xfId="15689"/>
    <cellStyle name="Header2 2 16 3 7 3" xfId="26857"/>
    <cellStyle name="Header2 2 16 3 7 4" xfId="38022"/>
    <cellStyle name="Header2 2 16 3 7 5" xfId="49215"/>
    <cellStyle name="Header2 2 16 3 8" xfId="5123"/>
    <cellStyle name="Header2 2 16 3 8 2" xfId="16320"/>
    <cellStyle name="Header2 2 16 3 8 3" xfId="27488"/>
    <cellStyle name="Header2 2 16 3 8 4" xfId="38653"/>
    <cellStyle name="Header2 2 16 3 8 5" xfId="49846"/>
    <cellStyle name="Header2 2 16 3 9" xfId="6004"/>
    <cellStyle name="Header2 2 16 3 9 2" xfId="17201"/>
    <cellStyle name="Header2 2 16 3 9 3" xfId="28369"/>
    <cellStyle name="Header2 2 16 3 9 4" xfId="39534"/>
    <cellStyle name="Header2 2 16 3 9 5" xfId="50727"/>
    <cellStyle name="Header2 2 16 4" xfId="249"/>
    <cellStyle name="Header2 2 16 4 10" xfId="6818"/>
    <cellStyle name="Header2 2 16 4 10 2" xfId="18015"/>
    <cellStyle name="Header2 2 16 4 10 3" xfId="29183"/>
    <cellStyle name="Header2 2 16 4 10 4" xfId="40348"/>
    <cellStyle name="Header2 2 16 4 10 5" xfId="51541"/>
    <cellStyle name="Header2 2 16 4 11" xfId="7452"/>
    <cellStyle name="Header2 2 16 4 11 2" xfId="18649"/>
    <cellStyle name="Header2 2 16 4 11 3" xfId="29817"/>
    <cellStyle name="Header2 2 16 4 11 4" xfId="40982"/>
    <cellStyle name="Header2 2 16 4 11 5" xfId="52175"/>
    <cellStyle name="Header2 2 16 4 12" xfId="8086"/>
    <cellStyle name="Header2 2 16 4 12 2" xfId="19283"/>
    <cellStyle name="Header2 2 16 4 12 3" xfId="30451"/>
    <cellStyle name="Header2 2 16 4 12 4" xfId="41616"/>
    <cellStyle name="Header2 2 16 4 12 5" xfId="52809"/>
    <cellStyle name="Header2 2 16 4 13" xfId="8635"/>
    <cellStyle name="Header2 2 16 4 13 2" xfId="19832"/>
    <cellStyle name="Header2 2 16 4 13 3" xfId="31000"/>
    <cellStyle name="Header2 2 16 4 13 4" xfId="42165"/>
    <cellStyle name="Header2 2 16 4 13 5" xfId="53358"/>
    <cellStyle name="Header2 2 16 4 14" xfId="10012"/>
    <cellStyle name="Header2 2 16 4 14 2" xfId="21209"/>
    <cellStyle name="Header2 2 16 4 14 3" xfId="32377"/>
    <cellStyle name="Header2 2 16 4 14 4" xfId="43542"/>
    <cellStyle name="Header2 2 16 4 14 5" xfId="54735"/>
    <cellStyle name="Header2 2 16 4 15" xfId="10802"/>
    <cellStyle name="Header2 2 16 4 15 2" xfId="21999"/>
    <cellStyle name="Header2 2 16 4 15 3" xfId="33167"/>
    <cellStyle name="Header2 2 16 4 15 4" xfId="44332"/>
    <cellStyle name="Header2 2 16 4 15 5" xfId="55525"/>
    <cellStyle name="Header2 2 16 4 16" xfId="11449"/>
    <cellStyle name="Header2 2 16 4 17" xfId="22619"/>
    <cellStyle name="Header2 2 16 4 18" xfId="33786"/>
    <cellStyle name="Header2 2 16 4 19" xfId="44972"/>
    <cellStyle name="Header2 2 16 4 2" xfId="898"/>
    <cellStyle name="Header2 2 16 4 2 2" xfId="12095"/>
    <cellStyle name="Header2 2 16 4 2 3" xfId="23263"/>
    <cellStyle name="Header2 2 16 4 2 4" xfId="34428"/>
    <cellStyle name="Header2 2 16 4 2 5" xfId="45621"/>
    <cellStyle name="Header2 2 16 4 3" xfId="1358"/>
    <cellStyle name="Header2 2 16 4 3 2" xfId="12555"/>
    <cellStyle name="Header2 2 16 4 3 3" xfId="23723"/>
    <cellStyle name="Header2 2 16 4 3 4" xfId="34888"/>
    <cellStyle name="Header2 2 16 4 3 5" xfId="46081"/>
    <cellStyle name="Header2 2 16 4 4" xfId="2029"/>
    <cellStyle name="Header2 2 16 4 4 2" xfId="13226"/>
    <cellStyle name="Header2 2 16 4 4 3" xfId="24394"/>
    <cellStyle name="Header2 2 16 4 4 4" xfId="35559"/>
    <cellStyle name="Header2 2 16 4 4 5" xfId="46752"/>
    <cellStyle name="Header2 2 16 4 5" xfId="3233"/>
    <cellStyle name="Header2 2 16 4 5 2" xfId="14430"/>
    <cellStyle name="Header2 2 16 4 5 3" xfId="25598"/>
    <cellStyle name="Header2 2 16 4 5 4" xfId="36763"/>
    <cellStyle name="Header2 2 16 4 5 5" xfId="47956"/>
    <cellStyle name="Header2 2 16 4 6" xfId="3867"/>
    <cellStyle name="Header2 2 16 4 6 2" xfId="15064"/>
    <cellStyle name="Header2 2 16 4 6 3" xfId="26232"/>
    <cellStyle name="Header2 2 16 4 6 4" xfId="37397"/>
    <cellStyle name="Header2 2 16 4 6 5" xfId="48590"/>
    <cellStyle name="Header2 2 16 4 7" xfId="4500"/>
    <cellStyle name="Header2 2 16 4 7 2" xfId="15697"/>
    <cellStyle name="Header2 2 16 4 7 3" xfId="26865"/>
    <cellStyle name="Header2 2 16 4 7 4" xfId="38030"/>
    <cellStyle name="Header2 2 16 4 7 5" xfId="49223"/>
    <cellStyle name="Header2 2 16 4 8" xfId="5131"/>
    <cellStyle name="Header2 2 16 4 8 2" xfId="16328"/>
    <cellStyle name="Header2 2 16 4 8 3" xfId="27496"/>
    <cellStyle name="Header2 2 16 4 8 4" xfId="38661"/>
    <cellStyle name="Header2 2 16 4 8 5" xfId="49854"/>
    <cellStyle name="Header2 2 16 4 9" xfId="6067"/>
    <cellStyle name="Header2 2 16 4 9 2" xfId="17264"/>
    <cellStyle name="Header2 2 16 4 9 3" xfId="28432"/>
    <cellStyle name="Header2 2 16 4 9 4" xfId="39597"/>
    <cellStyle name="Header2 2 16 4 9 5" xfId="50790"/>
    <cellStyle name="Header2 2 16 5" xfId="330"/>
    <cellStyle name="Header2 2 16 5 10" xfId="6899"/>
    <cellStyle name="Header2 2 16 5 10 2" xfId="18096"/>
    <cellStyle name="Header2 2 16 5 10 3" xfId="29264"/>
    <cellStyle name="Header2 2 16 5 10 4" xfId="40429"/>
    <cellStyle name="Header2 2 16 5 10 5" xfId="51622"/>
    <cellStyle name="Header2 2 16 5 11" xfId="7533"/>
    <cellStyle name="Header2 2 16 5 11 2" xfId="18730"/>
    <cellStyle name="Header2 2 16 5 11 3" xfId="29898"/>
    <cellStyle name="Header2 2 16 5 11 4" xfId="41063"/>
    <cellStyle name="Header2 2 16 5 11 5" xfId="52256"/>
    <cellStyle name="Header2 2 16 5 12" xfId="8167"/>
    <cellStyle name="Header2 2 16 5 12 2" xfId="19364"/>
    <cellStyle name="Header2 2 16 5 12 3" xfId="30532"/>
    <cellStyle name="Header2 2 16 5 12 4" xfId="41697"/>
    <cellStyle name="Header2 2 16 5 12 5" xfId="52890"/>
    <cellStyle name="Header2 2 16 5 13" xfId="9218"/>
    <cellStyle name="Header2 2 16 5 13 2" xfId="20415"/>
    <cellStyle name="Header2 2 16 5 13 3" xfId="31583"/>
    <cellStyle name="Header2 2 16 5 13 4" xfId="42748"/>
    <cellStyle name="Header2 2 16 5 13 5" xfId="53941"/>
    <cellStyle name="Header2 2 16 5 14" xfId="10201"/>
    <cellStyle name="Header2 2 16 5 14 2" xfId="21398"/>
    <cellStyle name="Header2 2 16 5 14 3" xfId="32566"/>
    <cellStyle name="Header2 2 16 5 14 4" xfId="43731"/>
    <cellStyle name="Header2 2 16 5 14 5" xfId="54924"/>
    <cellStyle name="Header2 2 16 5 15" xfId="10883"/>
    <cellStyle name="Header2 2 16 5 15 2" xfId="22080"/>
    <cellStyle name="Header2 2 16 5 15 3" xfId="33248"/>
    <cellStyle name="Header2 2 16 5 15 4" xfId="44413"/>
    <cellStyle name="Header2 2 16 5 15 5" xfId="55606"/>
    <cellStyle name="Header2 2 16 5 16" xfId="11530"/>
    <cellStyle name="Header2 2 16 5 17" xfId="22700"/>
    <cellStyle name="Header2 2 16 5 18" xfId="33867"/>
    <cellStyle name="Header2 2 16 5 19" xfId="45053"/>
    <cellStyle name="Header2 2 16 5 2" xfId="979"/>
    <cellStyle name="Header2 2 16 5 2 2" xfId="12176"/>
    <cellStyle name="Header2 2 16 5 2 3" xfId="23344"/>
    <cellStyle name="Header2 2 16 5 2 4" xfId="34509"/>
    <cellStyle name="Header2 2 16 5 2 5" xfId="45702"/>
    <cellStyle name="Header2 2 16 5 3" xfId="1733"/>
    <cellStyle name="Header2 2 16 5 3 2" xfId="12930"/>
    <cellStyle name="Header2 2 16 5 3 3" xfId="24098"/>
    <cellStyle name="Header2 2 16 5 3 4" xfId="35263"/>
    <cellStyle name="Header2 2 16 5 3 5" xfId="46456"/>
    <cellStyle name="Header2 2 16 5 4" xfId="2680"/>
    <cellStyle name="Header2 2 16 5 4 2" xfId="13877"/>
    <cellStyle name="Header2 2 16 5 4 3" xfId="25045"/>
    <cellStyle name="Header2 2 16 5 4 4" xfId="36210"/>
    <cellStyle name="Header2 2 16 5 4 5" xfId="47403"/>
    <cellStyle name="Header2 2 16 5 5" xfId="3314"/>
    <cellStyle name="Header2 2 16 5 5 2" xfId="14511"/>
    <cellStyle name="Header2 2 16 5 5 3" xfId="25679"/>
    <cellStyle name="Header2 2 16 5 5 4" xfId="36844"/>
    <cellStyle name="Header2 2 16 5 5 5" xfId="48037"/>
    <cellStyle name="Header2 2 16 5 6" xfId="3948"/>
    <cellStyle name="Header2 2 16 5 6 2" xfId="15145"/>
    <cellStyle name="Header2 2 16 5 6 3" xfId="26313"/>
    <cellStyle name="Header2 2 16 5 6 4" xfId="37478"/>
    <cellStyle name="Header2 2 16 5 6 5" xfId="48671"/>
    <cellStyle name="Header2 2 16 5 7" xfId="4581"/>
    <cellStyle name="Header2 2 16 5 7 2" xfId="15778"/>
    <cellStyle name="Header2 2 16 5 7 3" xfId="26946"/>
    <cellStyle name="Header2 2 16 5 7 4" xfId="38111"/>
    <cellStyle name="Header2 2 16 5 7 5" xfId="49304"/>
    <cellStyle name="Header2 2 16 5 8" xfId="5212"/>
    <cellStyle name="Header2 2 16 5 8 2" xfId="16409"/>
    <cellStyle name="Header2 2 16 5 8 3" xfId="27577"/>
    <cellStyle name="Header2 2 16 5 8 4" xfId="38742"/>
    <cellStyle name="Header2 2 16 5 8 5" xfId="49935"/>
    <cellStyle name="Header2 2 16 5 9" xfId="6266"/>
    <cellStyle name="Header2 2 16 5 9 2" xfId="17463"/>
    <cellStyle name="Header2 2 16 5 9 3" xfId="28631"/>
    <cellStyle name="Header2 2 16 5 9 4" xfId="39796"/>
    <cellStyle name="Header2 2 16 5 9 5" xfId="50989"/>
    <cellStyle name="Header2 2 16 6" xfId="413"/>
    <cellStyle name="Header2 2 16 6 10" xfId="6982"/>
    <cellStyle name="Header2 2 16 6 10 2" xfId="18179"/>
    <cellStyle name="Header2 2 16 6 10 3" xfId="29347"/>
    <cellStyle name="Header2 2 16 6 10 4" xfId="40512"/>
    <cellStyle name="Header2 2 16 6 10 5" xfId="51705"/>
    <cellStyle name="Header2 2 16 6 11" xfId="7616"/>
    <cellStyle name="Header2 2 16 6 11 2" xfId="18813"/>
    <cellStyle name="Header2 2 16 6 11 3" xfId="29981"/>
    <cellStyle name="Header2 2 16 6 11 4" xfId="41146"/>
    <cellStyle name="Header2 2 16 6 11 5" xfId="52339"/>
    <cellStyle name="Header2 2 16 6 12" xfId="8250"/>
    <cellStyle name="Header2 2 16 6 12 2" xfId="19447"/>
    <cellStyle name="Header2 2 16 6 12 3" xfId="30615"/>
    <cellStyle name="Header2 2 16 6 12 4" xfId="41780"/>
    <cellStyle name="Header2 2 16 6 12 5" xfId="52973"/>
    <cellStyle name="Header2 2 16 6 13" xfId="9301"/>
    <cellStyle name="Header2 2 16 6 13 2" xfId="20498"/>
    <cellStyle name="Header2 2 16 6 13 3" xfId="31666"/>
    <cellStyle name="Header2 2 16 6 13 4" xfId="42831"/>
    <cellStyle name="Header2 2 16 6 13 5" xfId="54024"/>
    <cellStyle name="Header2 2 16 6 14" xfId="10048"/>
    <cellStyle name="Header2 2 16 6 14 2" xfId="21245"/>
    <cellStyle name="Header2 2 16 6 14 3" xfId="32413"/>
    <cellStyle name="Header2 2 16 6 14 4" xfId="43578"/>
    <cellStyle name="Header2 2 16 6 14 5" xfId="54771"/>
    <cellStyle name="Header2 2 16 6 15" xfId="10966"/>
    <cellStyle name="Header2 2 16 6 15 2" xfId="22163"/>
    <cellStyle name="Header2 2 16 6 15 3" xfId="33331"/>
    <cellStyle name="Header2 2 16 6 15 4" xfId="44496"/>
    <cellStyle name="Header2 2 16 6 15 5" xfId="55689"/>
    <cellStyle name="Header2 2 16 6 16" xfId="11613"/>
    <cellStyle name="Header2 2 16 6 17" xfId="22783"/>
    <cellStyle name="Header2 2 16 6 18" xfId="33950"/>
    <cellStyle name="Header2 2 16 6 19" xfId="45136"/>
    <cellStyle name="Header2 2 16 6 2" xfId="1062"/>
    <cellStyle name="Header2 2 16 6 2 2" xfId="12259"/>
    <cellStyle name="Header2 2 16 6 2 3" xfId="23427"/>
    <cellStyle name="Header2 2 16 6 2 4" xfId="34592"/>
    <cellStyle name="Header2 2 16 6 2 5" xfId="45785"/>
    <cellStyle name="Header2 2 16 6 3" xfId="1974"/>
    <cellStyle name="Header2 2 16 6 3 2" xfId="13171"/>
    <cellStyle name="Header2 2 16 6 3 3" xfId="24339"/>
    <cellStyle name="Header2 2 16 6 3 4" xfId="35504"/>
    <cellStyle name="Header2 2 16 6 3 5" xfId="46697"/>
    <cellStyle name="Header2 2 16 6 4" xfId="2763"/>
    <cellStyle name="Header2 2 16 6 4 2" xfId="13960"/>
    <cellStyle name="Header2 2 16 6 4 3" xfId="25128"/>
    <cellStyle name="Header2 2 16 6 4 4" xfId="36293"/>
    <cellStyle name="Header2 2 16 6 4 5" xfId="47486"/>
    <cellStyle name="Header2 2 16 6 5" xfId="3397"/>
    <cellStyle name="Header2 2 16 6 5 2" xfId="14594"/>
    <cellStyle name="Header2 2 16 6 5 3" xfId="25762"/>
    <cellStyle name="Header2 2 16 6 5 4" xfId="36927"/>
    <cellStyle name="Header2 2 16 6 5 5" xfId="48120"/>
    <cellStyle name="Header2 2 16 6 6" xfId="4031"/>
    <cellStyle name="Header2 2 16 6 6 2" xfId="15228"/>
    <cellStyle name="Header2 2 16 6 6 3" xfId="26396"/>
    <cellStyle name="Header2 2 16 6 6 4" xfId="37561"/>
    <cellStyle name="Header2 2 16 6 6 5" xfId="48754"/>
    <cellStyle name="Header2 2 16 6 7" xfId="4664"/>
    <cellStyle name="Header2 2 16 6 7 2" xfId="15861"/>
    <cellStyle name="Header2 2 16 6 7 3" xfId="27029"/>
    <cellStyle name="Header2 2 16 6 7 4" xfId="38194"/>
    <cellStyle name="Header2 2 16 6 7 5" xfId="49387"/>
    <cellStyle name="Header2 2 16 6 8" xfId="5295"/>
    <cellStyle name="Header2 2 16 6 8 2" xfId="16492"/>
    <cellStyle name="Header2 2 16 6 8 3" xfId="27660"/>
    <cellStyle name="Header2 2 16 6 8 4" xfId="38825"/>
    <cellStyle name="Header2 2 16 6 8 5" xfId="50018"/>
    <cellStyle name="Header2 2 16 6 9" xfId="6349"/>
    <cellStyle name="Header2 2 16 6 9 2" xfId="17546"/>
    <cellStyle name="Header2 2 16 6 9 3" xfId="28714"/>
    <cellStyle name="Header2 2 16 6 9 4" xfId="39879"/>
    <cellStyle name="Header2 2 16 6 9 5" xfId="51072"/>
    <cellStyle name="Header2 2 16 7" xfId="407"/>
    <cellStyle name="Header2 2 16 7 10" xfId="6976"/>
    <cellStyle name="Header2 2 16 7 10 2" xfId="18173"/>
    <cellStyle name="Header2 2 16 7 10 3" xfId="29341"/>
    <cellStyle name="Header2 2 16 7 10 4" xfId="40506"/>
    <cellStyle name="Header2 2 16 7 10 5" xfId="51699"/>
    <cellStyle name="Header2 2 16 7 11" xfId="7610"/>
    <cellStyle name="Header2 2 16 7 11 2" xfId="18807"/>
    <cellStyle name="Header2 2 16 7 11 3" xfId="29975"/>
    <cellStyle name="Header2 2 16 7 11 4" xfId="41140"/>
    <cellStyle name="Header2 2 16 7 11 5" xfId="52333"/>
    <cellStyle name="Header2 2 16 7 12" xfId="8244"/>
    <cellStyle name="Header2 2 16 7 12 2" xfId="19441"/>
    <cellStyle name="Header2 2 16 7 12 3" xfId="30609"/>
    <cellStyle name="Header2 2 16 7 12 4" xfId="41774"/>
    <cellStyle name="Header2 2 16 7 12 5" xfId="52967"/>
    <cellStyle name="Header2 2 16 7 13" xfId="9295"/>
    <cellStyle name="Header2 2 16 7 13 2" xfId="20492"/>
    <cellStyle name="Header2 2 16 7 13 3" xfId="31660"/>
    <cellStyle name="Header2 2 16 7 13 4" xfId="42825"/>
    <cellStyle name="Header2 2 16 7 13 5" xfId="54018"/>
    <cellStyle name="Header2 2 16 7 14" xfId="10453"/>
    <cellStyle name="Header2 2 16 7 14 2" xfId="21650"/>
    <cellStyle name="Header2 2 16 7 14 3" xfId="32818"/>
    <cellStyle name="Header2 2 16 7 14 4" xfId="43983"/>
    <cellStyle name="Header2 2 16 7 14 5" xfId="55176"/>
    <cellStyle name="Header2 2 16 7 15" xfId="10960"/>
    <cellStyle name="Header2 2 16 7 15 2" xfId="22157"/>
    <cellStyle name="Header2 2 16 7 15 3" xfId="33325"/>
    <cellStyle name="Header2 2 16 7 15 4" xfId="44490"/>
    <cellStyle name="Header2 2 16 7 15 5" xfId="55683"/>
    <cellStyle name="Header2 2 16 7 16" xfId="11607"/>
    <cellStyle name="Header2 2 16 7 17" xfId="22777"/>
    <cellStyle name="Header2 2 16 7 18" xfId="33944"/>
    <cellStyle name="Header2 2 16 7 19" xfId="45130"/>
    <cellStyle name="Header2 2 16 7 2" xfId="1056"/>
    <cellStyle name="Header2 2 16 7 2 2" xfId="12253"/>
    <cellStyle name="Header2 2 16 7 2 3" xfId="23421"/>
    <cellStyle name="Header2 2 16 7 2 4" xfId="34586"/>
    <cellStyle name="Header2 2 16 7 2 5" xfId="45779"/>
    <cellStyle name="Header2 2 16 7 3" xfId="1700"/>
    <cellStyle name="Header2 2 16 7 3 2" xfId="12897"/>
    <cellStyle name="Header2 2 16 7 3 3" xfId="24065"/>
    <cellStyle name="Header2 2 16 7 3 4" xfId="35230"/>
    <cellStyle name="Header2 2 16 7 3 5" xfId="46423"/>
    <cellStyle name="Header2 2 16 7 4" xfId="2757"/>
    <cellStyle name="Header2 2 16 7 4 2" xfId="13954"/>
    <cellStyle name="Header2 2 16 7 4 3" xfId="25122"/>
    <cellStyle name="Header2 2 16 7 4 4" xfId="36287"/>
    <cellStyle name="Header2 2 16 7 4 5" xfId="47480"/>
    <cellStyle name="Header2 2 16 7 5" xfId="3391"/>
    <cellStyle name="Header2 2 16 7 5 2" xfId="14588"/>
    <cellStyle name="Header2 2 16 7 5 3" xfId="25756"/>
    <cellStyle name="Header2 2 16 7 5 4" xfId="36921"/>
    <cellStyle name="Header2 2 16 7 5 5" xfId="48114"/>
    <cellStyle name="Header2 2 16 7 6" xfId="4025"/>
    <cellStyle name="Header2 2 16 7 6 2" xfId="15222"/>
    <cellStyle name="Header2 2 16 7 6 3" xfId="26390"/>
    <cellStyle name="Header2 2 16 7 6 4" xfId="37555"/>
    <cellStyle name="Header2 2 16 7 6 5" xfId="48748"/>
    <cellStyle name="Header2 2 16 7 7" xfId="4658"/>
    <cellStyle name="Header2 2 16 7 7 2" xfId="15855"/>
    <cellStyle name="Header2 2 16 7 7 3" xfId="27023"/>
    <cellStyle name="Header2 2 16 7 7 4" xfId="38188"/>
    <cellStyle name="Header2 2 16 7 7 5" xfId="49381"/>
    <cellStyle name="Header2 2 16 7 8" xfId="5289"/>
    <cellStyle name="Header2 2 16 7 8 2" xfId="16486"/>
    <cellStyle name="Header2 2 16 7 8 3" xfId="27654"/>
    <cellStyle name="Header2 2 16 7 8 4" xfId="38819"/>
    <cellStyle name="Header2 2 16 7 8 5" xfId="50012"/>
    <cellStyle name="Header2 2 16 7 9" xfId="6343"/>
    <cellStyle name="Header2 2 16 7 9 2" xfId="17540"/>
    <cellStyle name="Header2 2 16 7 9 3" xfId="28708"/>
    <cellStyle name="Header2 2 16 7 9 4" xfId="39873"/>
    <cellStyle name="Header2 2 16 7 9 5" xfId="51066"/>
    <cellStyle name="Header2 2 16 8" xfId="531"/>
    <cellStyle name="Header2 2 16 8 10" xfId="7100"/>
    <cellStyle name="Header2 2 16 8 10 2" xfId="18297"/>
    <cellStyle name="Header2 2 16 8 10 3" xfId="29465"/>
    <cellStyle name="Header2 2 16 8 10 4" xfId="40630"/>
    <cellStyle name="Header2 2 16 8 10 5" xfId="51823"/>
    <cellStyle name="Header2 2 16 8 11" xfId="7734"/>
    <cellStyle name="Header2 2 16 8 11 2" xfId="18931"/>
    <cellStyle name="Header2 2 16 8 11 3" xfId="30099"/>
    <cellStyle name="Header2 2 16 8 11 4" xfId="41264"/>
    <cellStyle name="Header2 2 16 8 11 5" xfId="52457"/>
    <cellStyle name="Header2 2 16 8 12" xfId="8368"/>
    <cellStyle name="Header2 2 16 8 12 2" xfId="19565"/>
    <cellStyle name="Header2 2 16 8 12 3" xfId="30733"/>
    <cellStyle name="Header2 2 16 8 12 4" xfId="41898"/>
    <cellStyle name="Header2 2 16 8 12 5" xfId="53091"/>
    <cellStyle name="Header2 2 16 8 13" xfId="9419"/>
    <cellStyle name="Header2 2 16 8 13 2" xfId="20616"/>
    <cellStyle name="Header2 2 16 8 13 3" xfId="31784"/>
    <cellStyle name="Header2 2 16 8 13 4" xfId="42949"/>
    <cellStyle name="Header2 2 16 8 13 5" xfId="54142"/>
    <cellStyle name="Header2 2 16 8 14" xfId="9982"/>
    <cellStyle name="Header2 2 16 8 14 2" xfId="21179"/>
    <cellStyle name="Header2 2 16 8 14 3" xfId="32347"/>
    <cellStyle name="Header2 2 16 8 14 4" xfId="43512"/>
    <cellStyle name="Header2 2 16 8 14 5" xfId="54705"/>
    <cellStyle name="Header2 2 16 8 15" xfId="11084"/>
    <cellStyle name="Header2 2 16 8 15 2" xfId="22281"/>
    <cellStyle name="Header2 2 16 8 15 3" xfId="33449"/>
    <cellStyle name="Header2 2 16 8 15 4" xfId="44614"/>
    <cellStyle name="Header2 2 16 8 15 5" xfId="55807"/>
    <cellStyle name="Header2 2 16 8 16" xfId="11731"/>
    <cellStyle name="Header2 2 16 8 17" xfId="22901"/>
    <cellStyle name="Header2 2 16 8 18" xfId="34068"/>
    <cellStyle name="Header2 2 16 8 19" xfId="45254"/>
    <cellStyle name="Header2 2 16 8 2" xfId="1180"/>
    <cellStyle name="Header2 2 16 8 2 2" xfId="12377"/>
    <cellStyle name="Header2 2 16 8 2 3" xfId="23545"/>
    <cellStyle name="Header2 2 16 8 2 4" xfId="34710"/>
    <cellStyle name="Header2 2 16 8 2 5" xfId="45903"/>
    <cellStyle name="Header2 2 16 8 3" xfId="1837"/>
    <cellStyle name="Header2 2 16 8 3 2" xfId="13034"/>
    <cellStyle name="Header2 2 16 8 3 3" xfId="24202"/>
    <cellStyle name="Header2 2 16 8 3 4" xfId="35367"/>
    <cellStyle name="Header2 2 16 8 3 5" xfId="46560"/>
    <cellStyle name="Header2 2 16 8 4" xfId="2881"/>
    <cellStyle name="Header2 2 16 8 4 2" xfId="14078"/>
    <cellStyle name="Header2 2 16 8 4 3" xfId="25246"/>
    <cellStyle name="Header2 2 16 8 4 4" xfId="36411"/>
    <cellStyle name="Header2 2 16 8 4 5" xfId="47604"/>
    <cellStyle name="Header2 2 16 8 5" xfId="3515"/>
    <cellStyle name="Header2 2 16 8 5 2" xfId="14712"/>
    <cellStyle name="Header2 2 16 8 5 3" xfId="25880"/>
    <cellStyle name="Header2 2 16 8 5 4" xfId="37045"/>
    <cellStyle name="Header2 2 16 8 5 5" xfId="48238"/>
    <cellStyle name="Header2 2 16 8 6" xfId="4149"/>
    <cellStyle name="Header2 2 16 8 6 2" xfId="15346"/>
    <cellStyle name="Header2 2 16 8 6 3" xfId="26514"/>
    <cellStyle name="Header2 2 16 8 6 4" xfId="37679"/>
    <cellStyle name="Header2 2 16 8 6 5" xfId="48872"/>
    <cellStyle name="Header2 2 16 8 7" xfId="4782"/>
    <cellStyle name="Header2 2 16 8 7 2" xfId="15979"/>
    <cellStyle name="Header2 2 16 8 7 3" xfId="27147"/>
    <cellStyle name="Header2 2 16 8 7 4" xfId="38312"/>
    <cellStyle name="Header2 2 16 8 7 5" xfId="49505"/>
    <cellStyle name="Header2 2 16 8 8" xfId="5413"/>
    <cellStyle name="Header2 2 16 8 8 2" xfId="16610"/>
    <cellStyle name="Header2 2 16 8 8 3" xfId="27778"/>
    <cellStyle name="Header2 2 16 8 8 4" xfId="38943"/>
    <cellStyle name="Header2 2 16 8 8 5" xfId="50136"/>
    <cellStyle name="Header2 2 16 8 9" xfId="6467"/>
    <cellStyle name="Header2 2 16 8 9 2" xfId="17664"/>
    <cellStyle name="Header2 2 16 8 9 3" xfId="28832"/>
    <cellStyle name="Header2 2 16 8 9 4" xfId="39997"/>
    <cellStyle name="Header2 2 16 8 9 5" xfId="51190"/>
    <cellStyle name="Header2 2 16 9" xfId="589"/>
    <cellStyle name="Header2 2 16 9 10" xfId="7158"/>
    <cellStyle name="Header2 2 16 9 10 2" xfId="18355"/>
    <cellStyle name="Header2 2 16 9 10 3" xfId="29523"/>
    <cellStyle name="Header2 2 16 9 10 4" xfId="40688"/>
    <cellStyle name="Header2 2 16 9 10 5" xfId="51881"/>
    <cellStyle name="Header2 2 16 9 11" xfId="7792"/>
    <cellStyle name="Header2 2 16 9 11 2" xfId="18989"/>
    <cellStyle name="Header2 2 16 9 11 3" xfId="30157"/>
    <cellStyle name="Header2 2 16 9 11 4" xfId="41322"/>
    <cellStyle name="Header2 2 16 9 11 5" xfId="52515"/>
    <cellStyle name="Header2 2 16 9 12" xfId="8426"/>
    <cellStyle name="Header2 2 16 9 12 2" xfId="19623"/>
    <cellStyle name="Header2 2 16 9 12 3" xfId="30791"/>
    <cellStyle name="Header2 2 16 9 12 4" xfId="41956"/>
    <cellStyle name="Header2 2 16 9 12 5" xfId="53149"/>
    <cellStyle name="Header2 2 16 9 13" xfId="9477"/>
    <cellStyle name="Header2 2 16 9 13 2" xfId="20674"/>
    <cellStyle name="Header2 2 16 9 13 3" xfId="31842"/>
    <cellStyle name="Header2 2 16 9 13 4" xfId="43007"/>
    <cellStyle name="Header2 2 16 9 13 5" xfId="54200"/>
    <cellStyle name="Header2 2 16 9 14" xfId="10272"/>
    <cellStyle name="Header2 2 16 9 14 2" xfId="21469"/>
    <cellStyle name="Header2 2 16 9 14 3" xfId="32637"/>
    <cellStyle name="Header2 2 16 9 14 4" xfId="43802"/>
    <cellStyle name="Header2 2 16 9 14 5" xfId="54995"/>
    <cellStyle name="Header2 2 16 9 15" xfId="11142"/>
    <cellStyle name="Header2 2 16 9 15 2" xfId="22339"/>
    <cellStyle name="Header2 2 16 9 15 3" xfId="33507"/>
    <cellStyle name="Header2 2 16 9 15 4" xfId="44672"/>
    <cellStyle name="Header2 2 16 9 15 5" xfId="55865"/>
    <cellStyle name="Header2 2 16 9 16" xfId="11789"/>
    <cellStyle name="Header2 2 16 9 17" xfId="22959"/>
    <cellStyle name="Header2 2 16 9 18" xfId="34126"/>
    <cellStyle name="Header2 2 16 9 19" xfId="45312"/>
    <cellStyle name="Header2 2 16 9 2" xfId="1238"/>
    <cellStyle name="Header2 2 16 9 2 2" xfId="12435"/>
    <cellStyle name="Header2 2 16 9 2 3" xfId="23603"/>
    <cellStyle name="Header2 2 16 9 2 4" xfId="34768"/>
    <cellStyle name="Header2 2 16 9 2 5" xfId="45961"/>
    <cellStyle name="Header2 2 16 9 3" xfId="1649"/>
    <cellStyle name="Header2 2 16 9 3 2" xfId="12846"/>
    <cellStyle name="Header2 2 16 9 3 3" xfId="24014"/>
    <cellStyle name="Header2 2 16 9 3 4" xfId="35179"/>
    <cellStyle name="Header2 2 16 9 3 5" xfId="46372"/>
    <cellStyle name="Header2 2 16 9 4" xfId="2939"/>
    <cellStyle name="Header2 2 16 9 4 2" xfId="14136"/>
    <cellStyle name="Header2 2 16 9 4 3" xfId="25304"/>
    <cellStyle name="Header2 2 16 9 4 4" xfId="36469"/>
    <cellStyle name="Header2 2 16 9 4 5" xfId="47662"/>
    <cellStyle name="Header2 2 16 9 5" xfId="3573"/>
    <cellStyle name="Header2 2 16 9 5 2" xfId="14770"/>
    <cellStyle name="Header2 2 16 9 5 3" xfId="25938"/>
    <cellStyle name="Header2 2 16 9 5 4" xfId="37103"/>
    <cellStyle name="Header2 2 16 9 5 5" xfId="48296"/>
    <cellStyle name="Header2 2 16 9 6" xfId="4207"/>
    <cellStyle name="Header2 2 16 9 6 2" xfId="15404"/>
    <cellStyle name="Header2 2 16 9 6 3" xfId="26572"/>
    <cellStyle name="Header2 2 16 9 6 4" xfId="37737"/>
    <cellStyle name="Header2 2 16 9 6 5" xfId="48930"/>
    <cellStyle name="Header2 2 16 9 7" xfId="4840"/>
    <cellStyle name="Header2 2 16 9 7 2" xfId="16037"/>
    <cellStyle name="Header2 2 16 9 7 3" xfId="27205"/>
    <cellStyle name="Header2 2 16 9 7 4" xfId="38370"/>
    <cellStyle name="Header2 2 16 9 7 5" xfId="49563"/>
    <cellStyle name="Header2 2 16 9 8" xfId="5471"/>
    <cellStyle name="Header2 2 16 9 8 2" xfId="16668"/>
    <cellStyle name="Header2 2 16 9 8 3" xfId="27836"/>
    <cellStyle name="Header2 2 16 9 8 4" xfId="39001"/>
    <cellStyle name="Header2 2 16 9 8 5" xfId="50194"/>
    <cellStyle name="Header2 2 16 9 9" xfId="6525"/>
    <cellStyle name="Header2 2 16 9 9 2" xfId="17722"/>
    <cellStyle name="Header2 2 16 9 9 3" xfId="28890"/>
    <cellStyle name="Header2 2 16 9 9 4" xfId="40055"/>
    <cellStyle name="Header2 2 16 9 9 5" xfId="51248"/>
    <cellStyle name="Header2 2 17" xfId="126"/>
    <cellStyle name="Header2 2 17 10" xfId="648"/>
    <cellStyle name="Header2 2 17 10 10" xfId="7217"/>
    <cellStyle name="Header2 2 17 10 10 2" xfId="18414"/>
    <cellStyle name="Header2 2 17 10 10 3" xfId="29582"/>
    <cellStyle name="Header2 2 17 10 10 4" xfId="40747"/>
    <cellStyle name="Header2 2 17 10 10 5" xfId="51940"/>
    <cellStyle name="Header2 2 17 10 11" xfId="7851"/>
    <cellStyle name="Header2 2 17 10 11 2" xfId="19048"/>
    <cellStyle name="Header2 2 17 10 11 3" xfId="30216"/>
    <cellStyle name="Header2 2 17 10 11 4" xfId="41381"/>
    <cellStyle name="Header2 2 17 10 11 5" xfId="52574"/>
    <cellStyle name="Header2 2 17 10 12" xfId="8485"/>
    <cellStyle name="Header2 2 17 10 12 2" xfId="19682"/>
    <cellStyle name="Header2 2 17 10 12 3" xfId="30850"/>
    <cellStyle name="Header2 2 17 10 12 4" xfId="42015"/>
    <cellStyle name="Header2 2 17 10 12 5" xfId="53208"/>
    <cellStyle name="Header2 2 17 10 13" xfId="9536"/>
    <cellStyle name="Header2 2 17 10 13 2" xfId="20733"/>
    <cellStyle name="Header2 2 17 10 13 3" xfId="31901"/>
    <cellStyle name="Header2 2 17 10 13 4" xfId="43066"/>
    <cellStyle name="Header2 2 17 10 13 5" xfId="54259"/>
    <cellStyle name="Header2 2 17 10 14" xfId="10123"/>
    <cellStyle name="Header2 2 17 10 14 2" xfId="21320"/>
    <cellStyle name="Header2 2 17 10 14 3" xfId="32488"/>
    <cellStyle name="Header2 2 17 10 14 4" xfId="43653"/>
    <cellStyle name="Header2 2 17 10 14 5" xfId="54846"/>
    <cellStyle name="Header2 2 17 10 15" xfId="11201"/>
    <cellStyle name="Header2 2 17 10 15 2" xfId="22398"/>
    <cellStyle name="Header2 2 17 10 15 3" xfId="33566"/>
    <cellStyle name="Header2 2 17 10 15 4" xfId="44731"/>
    <cellStyle name="Header2 2 17 10 15 5" xfId="55924"/>
    <cellStyle name="Header2 2 17 10 16" xfId="11848"/>
    <cellStyle name="Header2 2 17 10 17" xfId="23018"/>
    <cellStyle name="Header2 2 17 10 18" xfId="34185"/>
    <cellStyle name="Header2 2 17 10 19" xfId="45371"/>
    <cellStyle name="Header2 2 17 10 2" xfId="1297"/>
    <cellStyle name="Header2 2 17 10 2 2" xfId="12494"/>
    <cellStyle name="Header2 2 17 10 2 3" xfId="23662"/>
    <cellStyle name="Header2 2 17 10 2 4" xfId="34827"/>
    <cellStyle name="Header2 2 17 10 2 5" xfId="46020"/>
    <cellStyle name="Header2 2 17 10 3" xfId="1520"/>
    <cellStyle name="Header2 2 17 10 3 2" xfId="12717"/>
    <cellStyle name="Header2 2 17 10 3 3" xfId="23885"/>
    <cellStyle name="Header2 2 17 10 3 4" xfId="35050"/>
    <cellStyle name="Header2 2 17 10 3 5" xfId="46243"/>
    <cellStyle name="Header2 2 17 10 4" xfId="2998"/>
    <cellStyle name="Header2 2 17 10 4 2" xfId="14195"/>
    <cellStyle name="Header2 2 17 10 4 3" xfId="25363"/>
    <cellStyle name="Header2 2 17 10 4 4" xfId="36528"/>
    <cellStyle name="Header2 2 17 10 4 5" xfId="47721"/>
    <cellStyle name="Header2 2 17 10 5" xfId="3632"/>
    <cellStyle name="Header2 2 17 10 5 2" xfId="14829"/>
    <cellStyle name="Header2 2 17 10 5 3" xfId="25997"/>
    <cellStyle name="Header2 2 17 10 5 4" xfId="37162"/>
    <cellStyle name="Header2 2 17 10 5 5" xfId="48355"/>
    <cellStyle name="Header2 2 17 10 6" xfId="4266"/>
    <cellStyle name="Header2 2 17 10 6 2" xfId="15463"/>
    <cellStyle name="Header2 2 17 10 6 3" xfId="26631"/>
    <cellStyle name="Header2 2 17 10 6 4" xfId="37796"/>
    <cellStyle name="Header2 2 17 10 6 5" xfId="48989"/>
    <cellStyle name="Header2 2 17 10 7" xfId="4899"/>
    <cellStyle name="Header2 2 17 10 7 2" xfId="16096"/>
    <cellStyle name="Header2 2 17 10 7 3" xfId="27264"/>
    <cellStyle name="Header2 2 17 10 7 4" xfId="38429"/>
    <cellStyle name="Header2 2 17 10 7 5" xfId="49622"/>
    <cellStyle name="Header2 2 17 10 8" xfId="5530"/>
    <cellStyle name="Header2 2 17 10 8 2" xfId="16727"/>
    <cellStyle name="Header2 2 17 10 8 3" xfId="27895"/>
    <cellStyle name="Header2 2 17 10 8 4" xfId="39060"/>
    <cellStyle name="Header2 2 17 10 8 5" xfId="50253"/>
    <cellStyle name="Header2 2 17 10 9" xfId="6584"/>
    <cellStyle name="Header2 2 17 10 9 2" xfId="17781"/>
    <cellStyle name="Header2 2 17 10 9 3" xfId="28949"/>
    <cellStyle name="Header2 2 17 10 9 4" xfId="40114"/>
    <cellStyle name="Header2 2 17 10 9 5" xfId="51307"/>
    <cellStyle name="Header2 2 17 11" xfId="614"/>
    <cellStyle name="Header2 2 17 11 10" xfId="7183"/>
    <cellStyle name="Header2 2 17 11 10 2" xfId="18380"/>
    <cellStyle name="Header2 2 17 11 10 3" xfId="29548"/>
    <cellStyle name="Header2 2 17 11 10 4" xfId="40713"/>
    <cellStyle name="Header2 2 17 11 10 5" xfId="51906"/>
    <cellStyle name="Header2 2 17 11 11" xfId="7817"/>
    <cellStyle name="Header2 2 17 11 11 2" xfId="19014"/>
    <cellStyle name="Header2 2 17 11 11 3" xfId="30182"/>
    <cellStyle name="Header2 2 17 11 11 4" xfId="41347"/>
    <cellStyle name="Header2 2 17 11 11 5" xfId="52540"/>
    <cellStyle name="Header2 2 17 11 12" xfId="8451"/>
    <cellStyle name="Header2 2 17 11 12 2" xfId="19648"/>
    <cellStyle name="Header2 2 17 11 12 3" xfId="30816"/>
    <cellStyle name="Header2 2 17 11 12 4" xfId="41981"/>
    <cellStyle name="Header2 2 17 11 12 5" xfId="53174"/>
    <cellStyle name="Header2 2 17 11 13" xfId="9502"/>
    <cellStyle name="Header2 2 17 11 13 2" xfId="20699"/>
    <cellStyle name="Header2 2 17 11 13 3" xfId="31867"/>
    <cellStyle name="Header2 2 17 11 13 4" xfId="43032"/>
    <cellStyle name="Header2 2 17 11 13 5" xfId="54225"/>
    <cellStyle name="Header2 2 17 11 14" xfId="10264"/>
    <cellStyle name="Header2 2 17 11 14 2" xfId="21461"/>
    <cellStyle name="Header2 2 17 11 14 3" xfId="32629"/>
    <cellStyle name="Header2 2 17 11 14 4" xfId="43794"/>
    <cellStyle name="Header2 2 17 11 14 5" xfId="54987"/>
    <cellStyle name="Header2 2 17 11 15" xfId="11167"/>
    <cellStyle name="Header2 2 17 11 15 2" xfId="22364"/>
    <cellStyle name="Header2 2 17 11 15 3" xfId="33532"/>
    <cellStyle name="Header2 2 17 11 15 4" xfId="44697"/>
    <cellStyle name="Header2 2 17 11 15 5" xfId="55890"/>
    <cellStyle name="Header2 2 17 11 16" xfId="11814"/>
    <cellStyle name="Header2 2 17 11 17" xfId="22984"/>
    <cellStyle name="Header2 2 17 11 18" xfId="34151"/>
    <cellStyle name="Header2 2 17 11 19" xfId="45337"/>
    <cellStyle name="Header2 2 17 11 2" xfId="1263"/>
    <cellStyle name="Header2 2 17 11 2 2" xfId="12460"/>
    <cellStyle name="Header2 2 17 11 2 3" xfId="23628"/>
    <cellStyle name="Header2 2 17 11 2 4" xfId="34793"/>
    <cellStyle name="Header2 2 17 11 2 5" xfId="45986"/>
    <cellStyle name="Header2 2 17 11 3" xfId="1537"/>
    <cellStyle name="Header2 2 17 11 3 2" xfId="12734"/>
    <cellStyle name="Header2 2 17 11 3 3" xfId="23902"/>
    <cellStyle name="Header2 2 17 11 3 4" xfId="35067"/>
    <cellStyle name="Header2 2 17 11 3 5" xfId="46260"/>
    <cellStyle name="Header2 2 17 11 4" xfId="2964"/>
    <cellStyle name="Header2 2 17 11 4 2" xfId="14161"/>
    <cellStyle name="Header2 2 17 11 4 3" xfId="25329"/>
    <cellStyle name="Header2 2 17 11 4 4" xfId="36494"/>
    <cellStyle name="Header2 2 17 11 4 5" xfId="47687"/>
    <cellStyle name="Header2 2 17 11 5" xfId="3598"/>
    <cellStyle name="Header2 2 17 11 5 2" xfId="14795"/>
    <cellStyle name="Header2 2 17 11 5 3" xfId="25963"/>
    <cellStyle name="Header2 2 17 11 5 4" xfId="37128"/>
    <cellStyle name="Header2 2 17 11 5 5" xfId="48321"/>
    <cellStyle name="Header2 2 17 11 6" xfId="4232"/>
    <cellStyle name="Header2 2 17 11 6 2" xfId="15429"/>
    <cellStyle name="Header2 2 17 11 6 3" xfId="26597"/>
    <cellStyle name="Header2 2 17 11 6 4" xfId="37762"/>
    <cellStyle name="Header2 2 17 11 6 5" xfId="48955"/>
    <cellStyle name="Header2 2 17 11 7" xfId="4865"/>
    <cellStyle name="Header2 2 17 11 7 2" xfId="16062"/>
    <cellStyle name="Header2 2 17 11 7 3" xfId="27230"/>
    <cellStyle name="Header2 2 17 11 7 4" xfId="38395"/>
    <cellStyle name="Header2 2 17 11 7 5" xfId="49588"/>
    <cellStyle name="Header2 2 17 11 8" xfId="5496"/>
    <cellStyle name="Header2 2 17 11 8 2" xfId="16693"/>
    <cellStyle name="Header2 2 17 11 8 3" xfId="27861"/>
    <cellStyle name="Header2 2 17 11 8 4" xfId="39026"/>
    <cellStyle name="Header2 2 17 11 8 5" xfId="50219"/>
    <cellStyle name="Header2 2 17 11 9" xfId="6550"/>
    <cellStyle name="Header2 2 17 11 9 2" xfId="17747"/>
    <cellStyle name="Header2 2 17 11 9 3" xfId="28915"/>
    <cellStyle name="Header2 2 17 11 9 4" xfId="40080"/>
    <cellStyle name="Header2 2 17 11 9 5" xfId="51273"/>
    <cellStyle name="Header2 2 17 12" xfId="775"/>
    <cellStyle name="Header2 2 17 12 2" xfId="11972"/>
    <cellStyle name="Header2 2 17 12 3" xfId="23140"/>
    <cellStyle name="Header2 2 17 12 4" xfId="34305"/>
    <cellStyle name="Header2 2 17 12 5" xfId="45498"/>
    <cellStyle name="Header2 2 17 13" xfId="1965"/>
    <cellStyle name="Header2 2 17 13 2" xfId="13162"/>
    <cellStyle name="Header2 2 17 13 3" xfId="24330"/>
    <cellStyle name="Header2 2 17 13 4" xfId="35495"/>
    <cellStyle name="Header2 2 17 13 5" xfId="46688"/>
    <cellStyle name="Header2 2 17 14" xfId="2540"/>
    <cellStyle name="Header2 2 17 14 2" xfId="13737"/>
    <cellStyle name="Header2 2 17 14 3" xfId="24905"/>
    <cellStyle name="Header2 2 17 14 4" xfId="36070"/>
    <cellStyle name="Header2 2 17 14 5" xfId="47263"/>
    <cellStyle name="Header2 2 17 15" xfId="3110"/>
    <cellStyle name="Header2 2 17 15 2" xfId="14307"/>
    <cellStyle name="Header2 2 17 15 3" xfId="25475"/>
    <cellStyle name="Header2 2 17 15 4" xfId="36640"/>
    <cellStyle name="Header2 2 17 15 5" xfId="47833"/>
    <cellStyle name="Header2 2 17 16" xfId="3744"/>
    <cellStyle name="Header2 2 17 16 2" xfId="14941"/>
    <cellStyle name="Header2 2 17 16 3" xfId="26109"/>
    <cellStyle name="Header2 2 17 16 4" xfId="37274"/>
    <cellStyle name="Header2 2 17 16 5" xfId="48467"/>
    <cellStyle name="Header2 2 17 17" xfId="4377"/>
    <cellStyle name="Header2 2 17 17 2" xfId="15574"/>
    <cellStyle name="Header2 2 17 17 3" xfId="26742"/>
    <cellStyle name="Header2 2 17 17 4" xfId="37907"/>
    <cellStyle name="Header2 2 17 17 5" xfId="49100"/>
    <cellStyle name="Header2 2 17 18" xfId="5008"/>
    <cellStyle name="Header2 2 17 18 2" xfId="16205"/>
    <cellStyle name="Header2 2 17 18 3" xfId="27373"/>
    <cellStyle name="Header2 2 17 18 4" xfId="38538"/>
    <cellStyle name="Header2 2 17 18 5" xfId="49731"/>
    <cellStyle name="Header2 2 17 19" xfId="5834"/>
    <cellStyle name="Header2 2 17 19 2" xfId="17031"/>
    <cellStyle name="Header2 2 17 19 3" xfId="28199"/>
    <cellStyle name="Header2 2 17 19 4" xfId="39364"/>
    <cellStyle name="Header2 2 17 19 5" xfId="50557"/>
    <cellStyle name="Header2 2 17 2" xfId="189"/>
    <cellStyle name="Header2 2 17 2 10" xfId="6758"/>
    <cellStyle name="Header2 2 17 2 10 2" xfId="17955"/>
    <cellStyle name="Header2 2 17 2 10 3" xfId="29123"/>
    <cellStyle name="Header2 2 17 2 10 4" xfId="40288"/>
    <cellStyle name="Header2 2 17 2 10 5" xfId="51481"/>
    <cellStyle name="Header2 2 17 2 11" xfId="7392"/>
    <cellStyle name="Header2 2 17 2 11 2" xfId="18589"/>
    <cellStyle name="Header2 2 17 2 11 3" xfId="29757"/>
    <cellStyle name="Header2 2 17 2 11 4" xfId="40922"/>
    <cellStyle name="Header2 2 17 2 11 5" xfId="52115"/>
    <cellStyle name="Header2 2 17 2 12" xfId="8026"/>
    <cellStyle name="Header2 2 17 2 12 2" xfId="19223"/>
    <cellStyle name="Header2 2 17 2 12 3" xfId="30391"/>
    <cellStyle name="Header2 2 17 2 12 4" xfId="41556"/>
    <cellStyle name="Header2 2 17 2 12 5" xfId="52749"/>
    <cellStyle name="Header2 2 17 2 13" xfId="8872"/>
    <cellStyle name="Header2 2 17 2 13 2" xfId="20069"/>
    <cellStyle name="Header2 2 17 2 13 3" xfId="31237"/>
    <cellStyle name="Header2 2 17 2 13 4" xfId="42402"/>
    <cellStyle name="Header2 2 17 2 13 5" xfId="53595"/>
    <cellStyle name="Header2 2 17 2 14" xfId="10220"/>
    <cellStyle name="Header2 2 17 2 14 2" xfId="21417"/>
    <cellStyle name="Header2 2 17 2 14 3" xfId="32585"/>
    <cellStyle name="Header2 2 17 2 14 4" xfId="43750"/>
    <cellStyle name="Header2 2 17 2 14 5" xfId="54943"/>
    <cellStyle name="Header2 2 17 2 15" xfId="10742"/>
    <cellStyle name="Header2 2 17 2 15 2" xfId="21939"/>
    <cellStyle name="Header2 2 17 2 15 3" xfId="33107"/>
    <cellStyle name="Header2 2 17 2 15 4" xfId="44272"/>
    <cellStyle name="Header2 2 17 2 15 5" xfId="55465"/>
    <cellStyle name="Header2 2 17 2 16" xfId="11389"/>
    <cellStyle name="Header2 2 17 2 17" xfId="22559"/>
    <cellStyle name="Header2 2 17 2 18" xfId="33726"/>
    <cellStyle name="Header2 2 17 2 19" xfId="44912"/>
    <cellStyle name="Header2 2 17 2 2" xfId="838"/>
    <cellStyle name="Header2 2 17 2 2 2" xfId="12035"/>
    <cellStyle name="Header2 2 17 2 2 3" xfId="23203"/>
    <cellStyle name="Header2 2 17 2 2 4" xfId="34368"/>
    <cellStyle name="Header2 2 17 2 2 5" xfId="45561"/>
    <cellStyle name="Header2 2 17 2 3" xfId="1522"/>
    <cellStyle name="Header2 2 17 2 3 2" xfId="12719"/>
    <cellStyle name="Header2 2 17 2 3 3" xfId="23887"/>
    <cellStyle name="Header2 2 17 2 3 4" xfId="35052"/>
    <cellStyle name="Header2 2 17 2 3 5" xfId="46245"/>
    <cellStyle name="Header2 2 17 2 4" xfId="2175"/>
    <cellStyle name="Header2 2 17 2 4 2" xfId="13372"/>
    <cellStyle name="Header2 2 17 2 4 3" xfId="24540"/>
    <cellStyle name="Header2 2 17 2 4 4" xfId="35705"/>
    <cellStyle name="Header2 2 17 2 4 5" xfId="46898"/>
    <cellStyle name="Header2 2 17 2 5" xfId="3173"/>
    <cellStyle name="Header2 2 17 2 5 2" xfId="14370"/>
    <cellStyle name="Header2 2 17 2 5 3" xfId="25538"/>
    <cellStyle name="Header2 2 17 2 5 4" xfId="36703"/>
    <cellStyle name="Header2 2 17 2 5 5" xfId="47896"/>
    <cellStyle name="Header2 2 17 2 6" xfId="3807"/>
    <cellStyle name="Header2 2 17 2 6 2" xfId="15004"/>
    <cellStyle name="Header2 2 17 2 6 3" xfId="26172"/>
    <cellStyle name="Header2 2 17 2 6 4" xfId="37337"/>
    <cellStyle name="Header2 2 17 2 6 5" xfId="48530"/>
    <cellStyle name="Header2 2 17 2 7" xfId="4440"/>
    <cellStyle name="Header2 2 17 2 7 2" xfId="15637"/>
    <cellStyle name="Header2 2 17 2 7 3" xfId="26805"/>
    <cellStyle name="Header2 2 17 2 7 4" xfId="37970"/>
    <cellStyle name="Header2 2 17 2 7 5" xfId="49163"/>
    <cellStyle name="Header2 2 17 2 8" xfId="5071"/>
    <cellStyle name="Header2 2 17 2 8 2" xfId="16268"/>
    <cellStyle name="Header2 2 17 2 8 3" xfId="27436"/>
    <cellStyle name="Header2 2 17 2 8 4" xfId="38601"/>
    <cellStyle name="Header2 2 17 2 8 5" xfId="49794"/>
    <cellStyle name="Header2 2 17 2 9" xfId="6109"/>
    <cellStyle name="Header2 2 17 2 9 2" xfId="17306"/>
    <cellStyle name="Header2 2 17 2 9 3" xfId="28474"/>
    <cellStyle name="Header2 2 17 2 9 4" xfId="39639"/>
    <cellStyle name="Header2 2 17 2 9 5" xfId="50832"/>
    <cellStyle name="Header2 2 17 20" xfId="6695"/>
    <cellStyle name="Header2 2 17 20 2" xfId="17892"/>
    <cellStyle name="Header2 2 17 20 3" xfId="29060"/>
    <cellStyle name="Header2 2 17 20 4" xfId="40225"/>
    <cellStyle name="Header2 2 17 20 5" xfId="51418"/>
    <cellStyle name="Header2 2 17 21" xfId="7329"/>
    <cellStyle name="Header2 2 17 21 2" xfId="18526"/>
    <cellStyle name="Header2 2 17 21 3" xfId="29694"/>
    <cellStyle name="Header2 2 17 21 4" xfId="40859"/>
    <cellStyle name="Header2 2 17 21 5" xfId="52052"/>
    <cellStyle name="Header2 2 17 22" xfId="7963"/>
    <cellStyle name="Header2 2 17 22 2" xfId="19160"/>
    <cellStyle name="Header2 2 17 22 3" xfId="30328"/>
    <cellStyle name="Header2 2 17 22 4" xfId="41493"/>
    <cellStyle name="Header2 2 17 22 5" xfId="52686"/>
    <cellStyle name="Header2 2 17 23" xfId="8672"/>
    <cellStyle name="Header2 2 17 23 2" xfId="19869"/>
    <cellStyle name="Header2 2 17 23 3" xfId="31037"/>
    <cellStyle name="Header2 2 17 23 4" xfId="42202"/>
    <cellStyle name="Header2 2 17 23 5" xfId="53395"/>
    <cellStyle name="Header2 2 17 24" xfId="10116"/>
    <cellStyle name="Header2 2 17 24 2" xfId="21313"/>
    <cellStyle name="Header2 2 17 24 3" xfId="32481"/>
    <cellStyle name="Header2 2 17 24 4" xfId="43646"/>
    <cellStyle name="Header2 2 17 24 5" xfId="54839"/>
    <cellStyle name="Header2 2 17 25" xfId="10679"/>
    <cellStyle name="Header2 2 17 25 2" xfId="21876"/>
    <cellStyle name="Header2 2 17 25 3" xfId="33044"/>
    <cellStyle name="Header2 2 17 25 4" xfId="44209"/>
    <cellStyle name="Header2 2 17 25 5" xfId="55402"/>
    <cellStyle name="Header2 2 17 26" xfId="11326"/>
    <cellStyle name="Header2 2 17 27" xfId="22496"/>
    <cellStyle name="Header2 2 17 28" xfId="33663"/>
    <cellStyle name="Header2 2 17 29" xfId="44849"/>
    <cellStyle name="Header2 2 17 3" xfId="245"/>
    <cellStyle name="Header2 2 17 3 10" xfId="6814"/>
    <cellStyle name="Header2 2 17 3 10 2" xfId="18011"/>
    <cellStyle name="Header2 2 17 3 10 3" xfId="29179"/>
    <cellStyle name="Header2 2 17 3 10 4" xfId="40344"/>
    <cellStyle name="Header2 2 17 3 10 5" xfId="51537"/>
    <cellStyle name="Header2 2 17 3 11" xfId="7448"/>
    <cellStyle name="Header2 2 17 3 11 2" xfId="18645"/>
    <cellStyle name="Header2 2 17 3 11 3" xfId="29813"/>
    <cellStyle name="Header2 2 17 3 11 4" xfId="40978"/>
    <cellStyle name="Header2 2 17 3 11 5" xfId="52171"/>
    <cellStyle name="Header2 2 17 3 12" xfId="8082"/>
    <cellStyle name="Header2 2 17 3 12 2" xfId="19279"/>
    <cellStyle name="Header2 2 17 3 12 3" xfId="30447"/>
    <cellStyle name="Header2 2 17 3 12 4" xfId="41612"/>
    <cellStyle name="Header2 2 17 3 12 5" xfId="52805"/>
    <cellStyle name="Header2 2 17 3 13" xfId="8803"/>
    <cellStyle name="Header2 2 17 3 13 2" xfId="20000"/>
    <cellStyle name="Header2 2 17 3 13 3" xfId="31168"/>
    <cellStyle name="Header2 2 17 3 13 4" xfId="42333"/>
    <cellStyle name="Header2 2 17 3 13 5" xfId="53526"/>
    <cellStyle name="Header2 2 17 3 14" xfId="9637"/>
    <cellStyle name="Header2 2 17 3 14 2" xfId="20834"/>
    <cellStyle name="Header2 2 17 3 14 3" xfId="32002"/>
    <cellStyle name="Header2 2 17 3 14 4" xfId="43167"/>
    <cellStyle name="Header2 2 17 3 14 5" xfId="54360"/>
    <cellStyle name="Header2 2 17 3 15" xfId="10798"/>
    <cellStyle name="Header2 2 17 3 15 2" xfId="21995"/>
    <cellStyle name="Header2 2 17 3 15 3" xfId="33163"/>
    <cellStyle name="Header2 2 17 3 15 4" xfId="44328"/>
    <cellStyle name="Header2 2 17 3 15 5" xfId="55521"/>
    <cellStyle name="Header2 2 17 3 16" xfId="11445"/>
    <cellStyle name="Header2 2 17 3 17" xfId="22615"/>
    <cellStyle name="Header2 2 17 3 18" xfId="33782"/>
    <cellStyle name="Header2 2 17 3 19" xfId="44968"/>
    <cellStyle name="Header2 2 17 3 2" xfId="894"/>
    <cellStyle name="Header2 2 17 3 2 2" xfId="12091"/>
    <cellStyle name="Header2 2 17 3 2 3" xfId="23259"/>
    <cellStyle name="Header2 2 17 3 2 4" xfId="34424"/>
    <cellStyle name="Header2 2 17 3 2 5" xfId="45617"/>
    <cellStyle name="Header2 2 17 3 3" xfId="1451"/>
    <cellStyle name="Header2 2 17 3 3 2" xfId="12648"/>
    <cellStyle name="Header2 2 17 3 3 3" xfId="23816"/>
    <cellStyle name="Header2 2 17 3 3 4" xfId="34981"/>
    <cellStyle name="Header2 2 17 3 3 5" xfId="46174"/>
    <cellStyle name="Header2 2 17 3 4" xfId="2149"/>
    <cellStyle name="Header2 2 17 3 4 2" xfId="13346"/>
    <cellStyle name="Header2 2 17 3 4 3" xfId="24514"/>
    <cellStyle name="Header2 2 17 3 4 4" xfId="35679"/>
    <cellStyle name="Header2 2 17 3 4 5" xfId="46872"/>
    <cellStyle name="Header2 2 17 3 5" xfId="3229"/>
    <cellStyle name="Header2 2 17 3 5 2" xfId="14426"/>
    <cellStyle name="Header2 2 17 3 5 3" xfId="25594"/>
    <cellStyle name="Header2 2 17 3 5 4" xfId="36759"/>
    <cellStyle name="Header2 2 17 3 5 5" xfId="47952"/>
    <cellStyle name="Header2 2 17 3 6" xfId="3863"/>
    <cellStyle name="Header2 2 17 3 6 2" xfId="15060"/>
    <cellStyle name="Header2 2 17 3 6 3" xfId="26228"/>
    <cellStyle name="Header2 2 17 3 6 4" xfId="37393"/>
    <cellStyle name="Header2 2 17 3 6 5" xfId="48586"/>
    <cellStyle name="Header2 2 17 3 7" xfId="4496"/>
    <cellStyle name="Header2 2 17 3 7 2" xfId="15693"/>
    <cellStyle name="Header2 2 17 3 7 3" xfId="26861"/>
    <cellStyle name="Header2 2 17 3 7 4" xfId="38026"/>
    <cellStyle name="Header2 2 17 3 7 5" xfId="49219"/>
    <cellStyle name="Header2 2 17 3 8" xfId="5127"/>
    <cellStyle name="Header2 2 17 3 8 2" xfId="16324"/>
    <cellStyle name="Header2 2 17 3 8 3" xfId="27492"/>
    <cellStyle name="Header2 2 17 3 8 4" xfId="38657"/>
    <cellStyle name="Header2 2 17 3 8 5" xfId="49850"/>
    <cellStyle name="Header2 2 17 3 9" xfId="6133"/>
    <cellStyle name="Header2 2 17 3 9 2" xfId="17330"/>
    <cellStyle name="Header2 2 17 3 9 3" xfId="28498"/>
    <cellStyle name="Header2 2 17 3 9 4" xfId="39663"/>
    <cellStyle name="Header2 2 17 3 9 5" xfId="50856"/>
    <cellStyle name="Header2 2 17 4" xfId="305"/>
    <cellStyle name="Header2 2 17 4 10" xfId="6874"/>
    <cellStyle name="Header2 2 17 4 10 2" xfId="18071"/>
    <cellStyle name="Header2 2 17 4 10 3" xfId="29239"/>
    <cellStyle name="Header2 2 17 4 10 4" xfId="40404"/>
    <cellStyle name="Header2 2 17 4 10 5" xfId="51597"/>
    <cellStyle name="Header2 2 17 4 11" xfId="7508"/>
    <cellStyle name="Header2 2 17 4 11 2" xfId="18705"/>
    <cellStyle name="Header2 2 17 4 11 3" xfId="29873"/>
    <cellStyle name="Header2 2 17 4 11 4" xfId="41038"/>
    <cellStyle name="Header2 2 17 4 11 5" xfId="52231"/>
    <cellStyle name="Header2 2 17 4 12" xfId="8142"/>
    <cellStyle name="Header2 2 17 4 12 2" xfId="19339"/>
    <cellStyle name="Header2 2 17 4 12 3" xfId="30507"/>
    <cellStyle name="Header2 2 17 4 12 4" xfId="41672"/>
    <cellStyle name="Header2 2 17 4 12 5" xfId="52865"/>
    <cellStyle name="Header2 2 17 4 13" xfId="9193"/>
    <cellStyle name="Header2 2 17 4 13 2" xfId="20390"/>
    <cellStyle name="Header2 2 17 4 13 3" xfId="31558"/>
    <cellStyle name="Header2 2 17 4 13 4" xfId="42723"/>
    <cellStyle name="Header2 2 17 4 13 5" xfId="53916"/>
    <cellStyle name="Header2 2 17 4 14" xfId="9803"/>
    <cellStyle name="Header2 2 17 4 14 2" xfId="21000"/>
    <cellStyle name="Header2 2 17 4 14 3" xfId="32168"/>
    <cellStyle name="Header2 2 17 4 14 4" xfId="43333"/>
    <cellStyle name="Header2 2 17 4 14 5" xfId="54526"/>
    <cellStyle name="Header2 2 17 4 15" xfId="10858"/>
    <cellStyle name="Header2 2 17 4 15 2" xfId="22055"/>
    <cellStyle name="Header2 2 17 4 15 3" xfId="33223"/>
    <cellStyle name="Header2 2 17 4 15 4" xfId="44388"/>
    <cellStyle name="Header2 2 17 4 15 5" xfId="55581"/>
    <cellStyle name="Header2 2 17 4 16" xfId="11505"/>
    <cellStyle name="Header2 2 17 4 17" xfId="22675"/>
    <cellStyle name="Header2 2 17 4 18" xfId="33842"/>
    <cellStyle name="Header2 2 17 4 19" xfId="45028"/>
    <cellStyle name="Header2 2 17 4 2" xfId="954"/>
    <cellStyle name="Header2 2 17 4 2 2" xfId="12151"/>
    <cellStyle name="Header2 2 17 4 2 3" xfId="23319"/>
    <cellStyle name="Header2 2 17 4 2 4" xfId="34484"/>
    <cellStyle name="Header2 2 17 4 2 5" xfId="45677"/>
    <cellStyle name="Header2 2 17 4 3" xfId="1828"/>
    <cellStyle name="Header2 2 17 4 3 2" xfId="13025"/>
    <cellStyle name="Header2 2 17 4 3 3" xfId="24193"/>
    <cellStyle name="Header2 2 17 4 3 4" xfId="35358"/>
    <cellStyle name="Header2 2 17 4 3 5" xfId="46551"/>
    <cellStyle name="Header2 2 17 4 4" xfId="2655"/>
    <cellStyle name="Header2 2 17 4 4 2" xfId="13852"/>
    <cellStyle name="Header2 2 17 4 4 3" xfId="25020"/>
    <cellStyle name="Header2 2 17 4 4 4" xfId="36185"/>
    <cellStyle name="Header2 2 17 4 4 5" xfId="47378"/>
    <cellStyle name="Header2 2 17 4 5" xfId="3289"/>
    <cellStyle name="Header2 2 17 4 5 2" xfId="14486"/>
    <cellStyle name="Header2 2 17 4 5 3" xfId="25654"/>
    <cellStyle name="Header2 2 17 4 5 4" xfId="36819"/>
    <cellStyle name="Header2 2 17 4 5 5" xfId="48012"/>
    <cellStyle name="Header2 2 17 4 6" xfId="3923"/>
    <cellStyle name="Header2 2 17 4 6 2" xfId="15120"/>
    <cellStyle name="Header2 2 17 4 6 3" xfId="26288"/>
    <cellStyle name="Header2 2 17 4 6 4" xfId="37453"/>
    <cellStyle name="Header2 2 17 4 6 5" xfId="48646"/>
    <cellStyle name="Header2 2 17 4 7" xfId="4556"/>
    <cellStyle name="Header2 2 17 4 7 2" xfId="15753"/>
    <cellStyle name="Header2 2 17 4 7 3" xfId="26921"/>
    <cellStyle name="Header2 2 17 4 7 4" xfId="38086"/>
    <cellStyle name="Header2 2 17 4 7 5" xfId="49279"/>
    <cellStyle name="Header2 2 17 4 8" xfId="5187"/>
    <cellStyle name="Header2 2 17 4 8 2" xfId="16384"/>
    <cellStyle name="Header2 2 17 4 8 3" xfId="27552"/>
    <cellStyle name="Header2 2 17 4 8 4" xfId="38717"/>
    <cellStyle name="Header2 2 17 4 8 5" xfId="49910"/>
    <cellStyle name="Header2 2 17 4 9" xfId="6241"/>
    <cellStyle name="Header2 2 17 4 9 2" xfId="17438"/>
    <cellStyle name="Header2 2 17 4 9 3" xfId="28606"/>
    <cellStyle name="Header2 2 17 4 9 4" xfId="39771"/>
    <cellStyle name="Header2 2 17 4 9 5" xfId="50964"/>
    <cellStyle name="Header2 2 17 5" xfId="316"/>
    <cellStyle name="Header2 2 17 5 10" xfId="6885"/>
    <cellStyle name="Header2 2 17 5 10 2" xfId="18082"/>
    <cellStyle name="Header2 2 17 5 10 3" xfId="29250"/>
    <cellStyle name="Header2 2 17 5 10 4" xfId="40415"/>
    <cellStyle name="Header2 2 17 5 10 5" xfId="51608"/>
    <cellStyle name="Header2 2 17 5 11" xfId="7519"/>
    <cellStyle name="Header2 2 17 5 11 2" xfId="18716"/>
    <cellStyle name="Header2 2 17 5 11 3" xfId="29884"/>
    <cellStyle name="Header2 2 17 5 11 4" xfId="41049"/>
    <cellStyle name="Header2 2 17 5 11 5" xfId="52242"/>
    <cellStyle name="Header2 2 17 5 12" xfId="8153"/>
    <cellStyle name="Header2 2 17 5 12 2" xfId="19350"/>
    <cellStyle name="Header2 2 17 5 12 3" xfId="30518"/>
    <cellStyle name="Header2 2 17 5 12 4" xfId="41683"/>
    <cellStyle name="Header2 2 17 5 12 5" xfId="52876"/>
    <cellStyle name="Header2 2 17 5 13" xfId="9204"/>
    <cellStyle name="Header2 2 17 5 13 2" xfId="20401"/>
    <cellStyle name="Header2 2 17 5 13 3" xfId="31569"/>
    <cellStyle name="Header2 2 17 5 13 4" xfId="42734"/>
    <cellStyle name="Header2 2 17 5 13 5" xfId="53927"/>
    <cellStyle name="Header2 2 17 5 14" xfId="10019"/>
    <cellStyle name="Header2 2 17 5 14 2" xfId="21216"/>
    <cellStyle name="Header2 2 17 5 14 3" xfId="32384"/>
    <cellStyle name="Header2 2 17 5 14 4" xfId="43549"/>
    <cellStyle name="Header2 2 17 5 14 5" xfId="54742"/>
    <cellStyle name="Header2 2 17 5 15" xfId="10869"/>
    <cellStyle name="Header2 2 17 5 15 2" xfId="22066"/>
    <cellStyle name="Header2 2 17 5 15 3" xfId="33234"/>
    <cellStyle name="Header2 2 17 5 15 4" xfId="44399"/>
    <cellStyle name="Header2 2 17 5 15 5" xfId="55592"/>
    <cellStyle name="Header2 2 17 5 16" xfId="11516"/>
    <cellStyle name="Header2 2 17 5 17" xfId="22686"/>
    <cellStyle name="Header2 2 17 5 18" xfId="33853"/>
    <cellStyle name="Header2 2 17 5 19" xfId="45039"/>
    <cellStyle name="Header2 2 17 5 2" xfId="965"/>
    <cellStyle name="Header2 2 17 5 2 2" xfId="12162"/>
    <cellStyle name="Header2 2 17 5 2 3" xfId="23330"/>
    <cellStyle name="Header2 2 17 5 2 4" xfId="34495"/>
    <cellStyle name="Header2 2 17 5 2 5" xfId="45688"/>
    <cellStyle name="Header2 2 17 5 3" xfId="1903"/>
    <cellStyle name="Header2 2 17 5 3 2" xfId="13100"/>
    <cellStyle name="Header2 2 17 5 3 3" xfId="24268"/>
    <cellStyle name="Header2 2 17 5 3 4" xfId="35433"/>
    <cellStyle name="Header2 2 17 5 3 5" xfId="46626"/>
    <cellStyle name="Header2 2 17 5 4" xfId="2666"/>
    <cellStyle name="Header2 2 17 5 4 2" xfId="13863"/>
    <cellStyle name="Header2 2 17 5 4 3" xfId="25031"/>
    <cellStyle name="Header2 2 17 5 4 4" xfId="36196"/>
    <cellStyle name="Header2 2 17 5 4 5" xfId="47389"/>
    <cellStyle name="Header2 2 17 5 5" xfId="3300"/>
    <cellStyle name="Header2 2 17 5 5 2" xfId="14497"/>
    <cellStyle name="Header2 2 17 5 5 3" xfId="25665"/>
    <cellStyle name="Header2 2 17 5 5 4" xfId="36830"/>
    <cellStyle name="Header2 2 17 5 5 5" xfId="48023"/>
    <cellStyle name="Header2 2 17 5 6" xfId="3934"/>
    <cellStyle name="Header2 2 17 5 6 2" xfId="15131"/>
    <cellStyle name="Header2 2 17 5 6 3" xfId="26299"/>
    <cellStyle name="Header2 2 17 5 6 4" xfId="37464"/>
    <cellStyle name="Header2 2 17 5 6 5" xfId="48657"/>
    <cellStyle name="Header2 2 17 5 7" xfId="4567"/>
    <cellStyle name="Header2 2 17 5 7 2" xfId="15764"/>
    <cellStyle name="Header2 2 17 5 7 3" xfId="26932"/>
    <cellStyle name="Header2 2 17 5 7 4" xfId="38097"/>
    <cellStyle name="Header2 2 17 5 7 5" xfId="49290"/>
    <cellStyle name="Header2 2 17 5 8" xfId="5198"/>
    <cellStyle name="Header2 2 17 5 8 2" xfId="16395"/>
    <cellStyle name="Header2 2 17 5 8 3" xfId="27563"/>
    <cellStyle name="Header2 2 17 5 8 4" xfId="38728"/>
    <cellStyle name="Header2 2 17 5 8 5" xfId="49921"/>
    <cellStyle name="Header2 2 17 5 9" xfId="6252"/>
    <cellStyle name="Header2 2 17 5 9 2" xfId="17449"/>
    <cellStyle name="Header2 2 17 5 9 3" xfId="28617"/>
    <cellStyle name="Header2 2 17 5 9 4" xfId="39782"/>
    <cellStyle name="Header2 2 17 5 9 5" xfId="50975"/>
    <cellStyle name="Header2 2 17 6" xfId="423"/>
    <cellStyle name="Header2 2 17 6 10" xfId="6992"/>
    <cellStyle name="Header2 2 17 6 10 2" xfId="18189"/>
    <cellStyle name="Header2 2 17 6 10 3" xfId="29357"/>
    <cellStyle name="Header2 2 17 6 10 4" xfId="40522"/>
    <cellStyle name="Header2 2 17 6 10 5" xfId="51715"/>
    <cellStyle name="Header2 2 17 6 11" xfId="7626"/>
    <cellStyle name="Header2 2 17 6 11 2" xfId="18823"/>
    <cellStyle name="Header2 2 17 6 11 3" xfId="29991"/>
    <cellStyle name="Header2 2 17 6 11 4" xfId="41156"/>
    <cellStyle name="Header2 2 17 6 11 5" xfId="52349"/>
    <cellStyle name="Header2 2 17 6 12" xfId="8260"/>
    <cellStyle name="Header2 2 17 6 12 2" xfId="19457"/>
    <cellStyle name="Header2 2 17 6 12 3" xfId="30625"/>
    <cellStyle name="Header2 2 17 6 12 4" xfId="41790"/>
    <cellStyle name="Header2 2 17 6 12 5" xfId="52983"/>
    <cellStyle name="Header2 2 17 6 13" xfId="9311"/>
    <cellStyle name="Header2 2 17 6 13 2" xfId="20508"/>
    <cellStyle name="Header2 2 17 6 13 3" xfId="31676"/>
    <cellStyle name="Header2 2 17 6 13 4" xfId="42841"/>
    <cellStyle name="Header2 2 17 6 13 5" xfId="54034"/>
    <cellStyle name="Header2 2 17 6 14" xfId="10164"/>
    <cellStyle name="Header2 2 17 6 14 2" xfId="21361"/>
    <cellStyle name="Header2 2 17 6 14 3" xfId="32529"/>
    <cellStyle name="Header2 2 17 6 14 4" xfId="43694"/>
    <cellStyle name="Header2 2 17 6 14 5" xfId="54887"/>
    <cellStyle name="Header2 2 17 6 15" xfId="10976"/>
    <cellStyle name="Header2 2 17 6 15 2" xfId="22173"/>
    <cellStyle name="Header2 2 17 6 15 3" xfId="33341"/>
    <cellStyle name="Header2 2 17 6 15 4" xfId="44506"/>
    <cellStyle name="Header2 2 17 6 15 5" xfId="55699"/>
    <cellStyle name="Header2 2 17 6 16" xfId="11623"/>
    <cellStyle name="Header2 2 17 6 17" xfId="22793"/>
    <cellStyle name="Header2 2 17 6 18" xfId="33960"/>
    <cellStyle name="Header2 2 17 6 19" xfId="45146"/>
    <cellStyle name="Header2 2 17 6 2" xfId="1072"/>
    <cellStyle name="Header2 2 17 6 2 2" xfId="12269"/>
    <cellStyle name="Header2 2 17 6 2 3" xfId="23437"/>
    <cellStyle name="Header2 2 17 6 2 4" xfId="34602"/>
    <cellStyle name="Header2 2 17 6 2 5" xfId="45795"/>
    <cellStyle name="Header2 2 17 6 3" xfId="1460"/>
    <cellStyle name="Header2 2 17 6 3 2" xfId="12657"/>
    <cellStyle name="Header2 2 17 6 3 3" xfId="23825"/>
    <cellStyle name="Header2 2 17 6 3 4" xfId="34990"/>
    <cellStyle name="Header2 2 17 6 3 5" xfId="46183"/>
    <cellStyle name="Header2 2 17 6 4" xfId="2773"/>
    <cellStyle name="Header2 2 17 6 4 2" xfId="13970"/>
    <cellStyle name="Header2 2 17 6 4 3" xfId="25138"/>
    <cellStyle name="Header2 2 17 6 4 4" xfId="36303"/>
    <cellStyle name="Header2 2 17 6 4 5" xfId="47496"/>
    <cellStyle name="Header2 2 17 6 5" xfId="3407"/>
    <cellStyle name="Header2 2 17 6 5 2" xfId="14604"/>
    <cellStyle name="Header2 2 17 6 5 3" xfId="25772"/>
    <cellStyle name="Header2 2 17 6 5 4" xfId="36937"/>
    <cellStyle name="Header2 2 17 6 5 5" xfId="48130"/>
    <cellStyle name="Header2 2 17 6 6" xfId="4041"/>
    <cellStyle name="Header2 2 17 6 6 2" xfId="15238"/>
    <cellStyle name="Header2 2 17 6 6 3" xfId="26406"/>
    <cellStyle name="Header2 2 17 6 6 4" xfId="37571"/>
    <cellStyle name="Header2 2 17 6 6 5" xfId="48764"/>
    <cellStyle name="Header2 2 17 6 7" xfId="4674"/>
    <cellStyle name="Header2 2 17 6 7 2" xfId="15871"/>
    <cellStyle name="Header2 2 17 6 7 3" xfId="27039"/>
    <cellStyle name="Header2 2 17 6 7 4" xfId="38204"/>
    <cellStyle name="Header2 2 17 6 7 5" xfId="49397"/>
    <cellStyle name="Header2 2 17 6 8" xfId="5305"/>
    <cellStyle name="Header2 2 17 6 8 2" xfId="16502"/>
    <cellStyle name="Header2 2 17 6 8 3" xfId="27670"/>
    <cellStyle name="Header2 2 17 6 8 4" xfId="38835"/>
    <cellStyle name="Header2 2 17 6 8 5" xfId="50028"/>
    <cellStyle name="Header2 2 17 6 9" xfId="6359"/>
    <cellStyle name="Header2 2 17 6 9 2" xfId="17556"/>
    <cellStyle name="Header2 2 17 6 9 3" xfId="28724"/>
    <cellStyle name="Header2 2 17 6 9 4" xfId="39889"/>
    <cellStyle name="Header2 2 17 6 9 5" xfId="51082"/>
    <cellStyle name="Header2 2 17 7" xfId="390"/>
    <cellStyle name="Header2 2 17 7 10" xfId="6959"/>
    <cellStyle name="Header2 2 17 7 10 2" xfId="18156"/>
    <cellStyle name="Header2 2 17 7 10 3" xfId="29324"/>
    <cellStyle name="Header2 2 17 7 10 4" xfId="40489"/>
    <cellStyle name="Header2 2 17 7 10 5" xfId="51682"/>
    <cellStyle name="Header2 2 17 7 11" xfId="7593"/>
    <cellStyle name="Header2 2 17 7 11 2" xfId="18790"/>
    <cellStyle name="Header2 2 17 7 11 3" xfId="29958"/>
    <cellStyle name="Header2 2 17 7 11 4" xfId="41123"/>
    <cellStyle name="Header2 2 17 7 11 5" xfId="52316"/>
    <cellStyle name="Header2 2 17 7 12" xfId="8227"/>
    <cellStyle name="Header2 2 17 7 12 2" xfId="19424"/>
    <cellStyle name="Header2 2 17 7 12 3" xfId="30592"/>
    <cellStyle name="Header2 2 17 7 12 4" xfId="41757"/>
    <cellStyle name="Header2 2 17 7 12 5" xfId="52950"/>
    <cellStyle name="Header2 2 17 7 13" xfId="9278"/>
    <cellStyle name="Header2 2 17 7 13 2" xfId="20475"/>
    <cellStyle name="Header2 2 17 7 13 3" xfId="31643"/>
    <cellStyle name="Header2 2 17 7 13 4" xfId="42808"/>
    <cellStyle name="Header2 2 17 7 13 5" xfId="54001"/>
    <cellStyle name="Header2 2 17 7 14" xfId="10177"/>
    <cellStyle name="Header2 2 17 7 14 2" xfId="21374"/>
    <cellStyle name="Header2 2 17 7 14 3" xfId="32542"/>
    <cellStyle name="Header2 2 17 7 14 4" xfId="43707"/>
    <cellStyle name="Header2 2 17 7 14 5" xfId="54900"/>
    <cellStyle name="Header2 2 17 7 15" xfId="10943"/>
    <cellStyle name="Header2 2 17 7 15 2" xfId="22140"/>
    <cellStyle name="Header2 2 17 7 15 3" xfId="33308"/>
    <cellStyle name="Header2 2 17 7 15 4" xfId="44473"/>
    <cellStyle name="Header2 2 17 7 15 5" xfId="55666"/>
    <cellStyle name="Header2 2 17 7 16" xfId="11590"/>
    <cellStyle name="Header2 2 17 7 17" xfId="22760"/>
    <cellStyle name="Header2 2 17 7 18" xfId="33927"/>
    <cellStyle name="Header2 2 17 7 19" xfId="45113"/>
    <cellStyle name="Header2 2 17 7 2" xfId="1039"/>
    <cellStyle name="Header2 2 17 7 2 2" xfId="12236"/>
    <cellStyle name="Header2 2 17 7 2 3" xfId="23404"/>
    <cellStyle name="Header2 2 17 7 2 4" xfId="34569"/>
    <cellStyle name="Header2 2 17 7 2 5" xfId="45762"/>
    <cellStyle name="Header2 2 17 7 3" xfId="1471"/>
    <cellStyle name="Header2 2 17 7 3 2" xfId="12668"/>
    <cellStyle name="Header2 2 17 7 3 3" xfId="23836"/>
    <cellStyle name="Header2 2 17 7 3 4" xfId="35001"/>
    <cellStyle name="Header2 2 17 7 3 5" xfId="46194"/>
    <cellStyle name="Header2 2 17 7 4" xfId="2740"/>
    <cellStyle name="Header2 2 17 7 4 2" xfId="13937"/>
    <cellStyle name="Header2 2 17 7 4 3" xfId="25105"/>
    <cellStyle name="Header2 2 17 7 4 4" xfId="36270"/>
    <cellStyle name="Header2 2 17 7 4 5" xfId="47463"/>
    <cellStyle name="Header2 2 17 7 5" xfId="3374"/>
    <cellStyle name="Header2 2 17 7 5 2" xfId="14571"/>
    <cellStyle name="Header2 2 17 7 5 3" xfId="25739"/>
    <cellStyle name="Header2 2 17 7 5 4" xfId="36904"/>
    <cellStyle name="Header2 2 17 7 5 5" xfId="48097"/>
    <cellStyle name="Header2 2 17 7 6" xfId="4008"/>
    <cellStyle name="Header2 2 17 7 6 2" xfId="15205"/>
    <cellStyle name="Header2 2 17 7 6 3" xfId="26373"/>
    <cellStyle name="Header2 2 17 7 6 4" xfId="37538"/>
    <cellStyle name="Header2 2 17 7 6 5" xfId="48731"/>
    <cellStyle name="Header2 2 17 7 7" xfId="4641"/>
    <cellStyle name="Header2 2 17 7 7 2" xfId="15838"/>
    <cellStyle name="Header2 2 17 7 7 3" xfId="27006"/>
    <cellStyle name="Header2 2 17 7 7 4" xfId="38171"/>
    <cellStyle name="Header2 2 17 7 7 5" xfId="49364"/>
    <cellStyle name="Header2 2 17 7 8" xfId="5272"/>
    <cellStyle name="Header2 2 17 7 8 2" xfId="16469"/>
    <cellStyle name="Header2 2 17 7 8 3" xfId="27637"/>
    <cellStyle name="Header2 2 17 7 8 4" xfId="38802"/>
    <cellStyle name="Header2 2 17 7 8 5" xfId="49995"/>
    <cellStyle name="Header2 2 17 7 9" xfId="6326"/>
    <cellStyle name="Header2 2 17 7 9 2" xfId="17523"/>
    <cellStyle name="Header2 2 17 7 9 3" xfId="28691"/>
    <cellStyle name="Header2 2 17 7 9 4" xfId="39856"/>
    <cellStyle name="Header2 2 17 7 9 5" xfId="51049"/>
    <cellStyle name="Header2 2 17 8" xfId="535"/>
    <cellStyle name="Header2 2 17 8 10" xfId="7104"/>
    <cellStyle name="Header2 2 17 8 10 2" xfId="18301"/>
    <cellStyle name="Header2 2 17 8 10 3" xfId="29469"/>
    <cellStyle name="Header2 2 17 8 10 4" xfId="40634"/>
    <cellStyle name="Header2 2 17 8 10 5" xfId="51827"/>
    <cellStyle name="Header2 2 17 8 11" xfId="7738"/>
    <cellStyle name="Header2 2 17 8 11 2" xfId="18935"/>
    <cellStyle name="Header2 2 17 8 11 3" xfId="30103"/>
    <cellStyle name="Header2 2 17 8 11 4" xfId="41268"/>
    <cellStyle name="Header2 2 17 8 11 5" xfId="52461"/>
    <cellStyle name="Header2 2 17 8 12" xfId="8372"/>
    <cellStyle name="Header2 2 17 8 12 2" xfId="19569"/>
    <cellStyle name="Header2 2 17 8 12 3" xfId="30737"/>
    <cellStyle name="Header2 2 17 8 12 4" xfId="41902"/>
    <cellStyle name="Header2 2 17 8 12 5" xfId="53095"/>
    <cellStyle name="Header2 2 17 8 13" xfId="9423"/>
    <cellStyle name="Header2 2 17 8 13 2" xfId="20620"/>
    <cellStyle name="Header2 2 17 8 13 3" xfId="31788"/>
    <cellStyle name="Header2 2 17 8 13 4" xfId="42953"/>
    <cellStyle name="Header2 2 17 8 13 5" xfId="54146"/>
    <cellStyle name="Header2 2 17 8 14" xfId="10352"/>
    <cellStyle name="Header2 2 17 8 14 2" xfId="21549"/>
    <cellStyle name="Header2 2 17 8 14 3" xfId="32717"/>
    <cellStyle name="Header2 2 17 8 14 4" xfId="43882"/>
    <cellStyle name="Header2 2 17 8 14 5" xfId="55075"/>
    <cellStyle name="Header2 2 17 8 15" xfId="11088"/>
    <cellStyle name="Header2 2 17 8 15 2" xfId="22285"/>
    <cellStyle name="Header2 2 17 8 15 3" xfId="33453"/>
    <cellStyle name="Header2 2 17 8 15 4" xfId="44618"/>
    <cellStyle name="Header2 2 17 8 15 5" xfId="55811"/>
    <cellStyle name="Header2 2 17 8 16" xfId="11735"/>
    <cellStyle name="Header2 2 17 8 17" xfId="22905"/>
    <cellStyle name="Header2 2 17 8 18" xfId="34072"/>
    <cellStyle name="Header2 2 17 8 19" xfId="45258"/>
    <cellStyle name="Header2 2 17 8 2" xfId="1184"/>
    <cellStyle name="Header2 2 17 8 2 2" xfId="12381"/>
    <cellStyle name="Header2 2 17 8 2 3" xfId="23549"/>
    <cellStyle name="Header2 2 17 8 2 4" xfId="34714"/>
    <cellStyle name="Header2 2 17 8 2 5" xfId="45907"/>
    <cellStyle name="Header2 2 17 8 3" xfId="1611"/>
    <cellStyle name="Header2 2 17 8 3 2" xfId="12808"/>
    <cellStyle name="Header2 2 17 8 3 3" xfId="23976"/>
    <cellStyle name="Header2 2 17 8 3 4" xfId="35141"/>
    <cellStyle name="Header2 2 17 8 3 5" xfId="46334"/>
    <cellStyle name="Header2 2 17 8 4" xfId="2885"/>
    <cellStyle name="Header2 2 17 8 4 2" xfId="14082"/>
    <cellStyle name="Header2 2 17 8 4 3" xfId="25250"/>
    <cellStyle name="Header2 2 17 8 4 4" xfId="36415"/>
    <cellStyle name="Header2 2 17 8 4 5" xfId="47608"/>
    <cellStyle name="Header2 2 17 8 5" xfId="3519"/>
    <cellStyle name="Header2 2 17 8 5 2" xfId="14716"/>
    <cellStyle name="Header2 2 17 8 5 3" xfId="25884"/>
    <cellStyle name="Header2 2 17 8 5 4" xfId="37049"/>
    <cellStyle name="Header2 2 17 8 5 5" xfId="48242"/>
    <cellStyle name="Header2 2 17 8 6" xfId="4153"/>
    <cellStyle name="Header2 2 17 8 6 2" xfId="15350"/>
    <cellStyle name="Header2 2 17 8 6 3" xfId="26518"/>
    <cellStyle name="Header2 2 17 8 6 4" xfId="37683"/>
    <cellStyle name="Header2 2 17 8 6 5" xfId="48876"/>
    <cellStyle name="Header2 2 17 8 7" xfId="4786"/>
    <cellStyle name="Header2 2 17 8 7 2" xfId="15983"/>
    <cellStyle name="Header2 2 17 8 7 3" xfId="27151"/>
    <cellStyle name="Header2 2 17 8 7 4" xfId="38316"/>
    <cellStyle name="Header2 2 17 8 7 5" xfId="49509"/>
    <cellStyle name="Header2 2 17 8 8" xfId="5417"/>
    <cellStyle name="Header2 2 17 8 8 2" xfId="16614"/>
    <cellStyle name="Header2 2 17 8 8 3" xfId="27782"/>
    <cellStyle name="Header2 2 17 8 8 4" xfId="38947"/>
    <cellStyle name="Header2 2 17 8 8 5" xfId="50140"/>
    <cellStyle name="Header2 2 17 8 9" xfId="6471"/>
    <cellStyle name="Header2 2 17 8 9 2" xfId="17668"/>
    <cellStyle name="Header2 2 17 8 9 3" xfId="28836"/>
    <cellStyle name="Header2 2 17 8 9 4" xfId="40001"/>
    <cellStyle name="Header2 2 17 8 9 5" xfId="51194"/>
    <cellStyle name="Header2 2 17 9" xfId="593"/>
    <cellStyle name="Header2 2 17 9 10" xfId="7162"/>
    <cellStyle name="Header2 2 17 9 10 2" xfId="18359"/>
    <cellStyle name="Header2 2 17 9 10 3" xfId="29527"/>
    <cellStyle name="Header2 2 17 9 10 4" xfId="40692"/>
    <cellStyle name="Header2 2 17 9 10 5" xfId="51885"/>
    <cellStyle name="Header2 2 17 9 11" xfId="7796"/>
    <cellStyle name="Header2 2 17 9 11 2" xfId="18993"/>
    <cellStyle name="Header2 2 17 9 11 3" xfId="30161"/>
    <cellStyle name="Header2 2 17 9 11 4" xfId="41326"/>
    <cellStyle name="Header2 2 17 9 11 5" xfId="52519"/>
    <cellStyle name="Header2 2 17 9 12" xfId="8430"/>
    <cellStyle name="Header2 2 17 9 12 2" xfId="19627"/>
    <cellStyle name="Header2 2 17 9 12 3" xfId="30795"/>
    <cellStyle name="Header2 2 17 9 12 4" xfId="41960"/>
    <cellStyle name="Header2 2 17 9 12 5" xfId="53153"/>
    <cellStyle name="Header2 2 17 9 13" xfId="9481"/>
    <cellStyle name="Header2 2 17 9 13 2" xfId="20678"/>
    <cellStyle name="Header2 2 17 9 13 3" xfId="31846"/>
    <cellStyle name="Header2 2 17 9 13 4" xfId="43011"/>
    <cellStyle name="Header2 2 17 9 13 5" xfId="54204"/>
    <cellStyle name="Header2 2 17 9 14" xfId="9666"/>
    <cellStyle name="Header2 2 17 9 14 2" xfId="20863"/>
    <cellStyle name="Header2 2 17 9 14 3" xfId="32031"/>
    <cellStyle name="Header2 2 17 9 14 4" xfId="43196"/>
    <cellStyle name="Header2 2 17 9 14 5" xfId="54389"/>
    <cellStyle name="Header2 2 17 9 15" xfId="11146"/>
    <cellStyle name="Header2 2 17 9 15 2" xfId="22343"/>
    <cellStyle name="Header2 2 17 9 15 3" xfId="33511"/>
    <cellStyle name="Header2 2 17 9 15 4" xfId="44676"/>
    <cellStyle name="Header2 2 17 9 15 5" xfId="55869"/>
    <cellStyle name="Header2 2 17 9 16" xfId="11793"/>
    <cellStyle name="Header2 2 17 9 17" xfId="22963"/>
    <cellStyle name="Header2 2 17 9 18" xfId="34130"/>
    <cellStyle name="Header2 2 17 9 19" xfId="45316"/>
    <cellStyle name="Header2 2 17 9 2" xfId="1242"/>
    <cellStyle name="Header2 2 17 9 2 2" xfId="12439"/>
    <cellStyle name="Header2 2 17 9 2 3" xfId="23607"/>
    <cellStyle name="Header2 2 17 9 2 4" xfId="34772"/>
    <cellStyle name="Header2 2 17 9 2 5" xfId="45965"/>
    <cellStyle name="Header2 2 17 9 3" xfId="1973"/>
    <cellStyle name="Header2 2 17 9 3 2" xfId="13170"/>
    <cellStyle name="Header2 2 17 9 3 3" xfId="24338"/>
    <cellStyle name="Header2 2 17 9 3 4" xfId="35503"/>
    <cellStyle name="Header2 2 17 9 3 5" xfId="46696"/>
    <cellStyle name="Header2 2 17 9 4" xfId="2943"/>
    <cellStyle name="Header2 2 17 9 4 2" xfId="14140"/>
    <cellStyle name="Header2 2 17 9 4 3" xfId="25308"/>
    <cellStyle name="Header2 2 17 9 4 4" xfId="36473"/>
    <cellStyle name="Header2 2 17 9 4 5" xfId="47666"/>
    <cellStyle name="Header2 2 17 9 5" xfId="3577"/>
    <cellStyle name="Header2 2 17 9 5 2" xfId="14774"/>
    <cellStyle name="Header2 2 17 9 5 3" xfId="25942"/>
    <cellStyle name="Header2 2 17 9 5 4" xfId="37107"/>
    <cellStyle name="Header2 2 17 9 5 5" xfId="48300"/>
    <cellStyle name="Header2 2 17 9 6" xfId="4211"/>
    <cellStyle name="Header2 2 17 9 6 2" xfId="15408"/>
    <cellStyle name="Header2 2 17 9 6 3" xfId="26576"/>
    <cellStyle name="Header2 2 17 9 6 4" xfId="37741"/>
    <cellStyle name="Header2 2 17 9 6 5" xfId="48934"/>
    <cellStyle name="Header2 2 17 9 7" xfId="4844"/>
    <cellStyle name="Header2 2 17 9 7 2" xfId="16041"/>
    <cellStyle name="Header2 2 17 9 7 3" xfId="27209"/>
    <cellStyle name="Header2 2 17 9 7 4" xfId="38374"/>
    <cellStyle name="Header2 2 17 9 7 5" xfId="49567"/>
    <cellStyle name="Header2 2 17 9 8" xfId="5475"/>
    <cellStyle name="Header2 2 17 9 8 2" xfId="16672"/>
    <cellStyle name="Header2 2 17 9 8 3" xfId="27840"/>
    <cellStyle name="Header2 2 17 9 8 4" xfId="39005"/>
    <cellStyle name="Header2 2 17 9 8 5" xfId="50198"/>
    <cellStyle name="Header2 2 17 9 9" xfId="6529"/>
    <cellStyle name="Header2 2 17 9 9 2" xfId="17726"/>
    <cellStyle name="Header2 2 17 9 9 3" xfId="28894"/>
    <cellStyle name="Header2 2 17 9 9 4" xfId="40059"/>
    <cellStyle name="Header2 2 17 9 9 5" xfId="51252"/>
    <cellStyle name="Header2 2 18" xfId="130"/>
    <cellStyle name="Header2 2 18 10" xfId="6699"/>
    <cellStyle name="Header2 2 18 10 2" xfId="17896"/>
    <cellStyle name="Header2 2 18 10 3" xfId="29064"/>
    <cellStyle name="Header2 2 18 10 4" xfId="40229"/>
    <cellStyle name="Header2 2 18 10 5" xfId="51422"/>
    <cellStyle name="Header2 2 18 11" xfId="7333"/>
    <cellStyle name="Header2 2 18 11 2" xfId="18530"/>
    <cellStyle name="Header2 2 18 11 3" xfId="29698"/>
    <cellStyle name="Header2 2 18 11 4" xfId="40863"/>
    <cellStyle name="Header2 2 18 11 5" xfId="52056"/>
    <cellStyle name="Header2 2 18 12" xfId="7967"/>
    <cellStyle name="Header2 2 18 12 2" xfId="19164"/>
    <cellStyle name="Header2 2 18 12 3" xfId="30332"/>
    <cellStyle name="Header2 2 18 12 4" xfId="41497"/>
    <cellStyle name="Header2 2 18 12 5" xfId="52690"/>
    <cellStyle name="Header2 2 18 13" xfId="8553"/>
    <cellStyle name="Header2 2 18 13 2" xfId="19750"/>
    <cellStyle name="Header2 2 18 13 3" xfId="30918"/>
    <cellStyle name="Header2 2 18 13 4" xfId="42083"/>
    <cellStyle name="Header2 2 18 13 5" xfId="53276"/>
    <cellStyle name="Header2 2 18 14" xfId="10566"/>
    <cellStyle name="Header2 2 18 14 2" xfId="21763"/>
    <cellStyle name="Header2 2 18 14 3" xfId="32931"/>
    <cellStyle name="Header2 2 18 14 4" xfId="44096"/>
    <cellStyle name="Header2 2 18 14 5" xfId="55289"/>
    <cellStyle name="Header2 2 18 15" xfId="10683"/>
    <cellStyle name="Header2 2 18 15 2" xfId="21880"/>
    <cellStyle name="Header2 2 18 15 3" xfId="33048"/>
    <cellStyle name="Header2 2 18 15 4" xfId="44213"/>
    <cellStyle name="Header2 2 18 15 5" xfId="55406"/>
    <cellStyle name="Header2 2 18 16" xfId="11330"/>
    <cellStyle name="Header2 2 18 17" xfId="22500"/>
    <cellStyle name="Header2 2 18 18" xfId="33667"/>
    <cellStyle name="Header2 2 18 19" xfId="44853"/>
    <cellStyle name="Header2 2 18 2" xfId="779"/>
    <cellStyle name="Header2 2 18 2 2" xfId="11976"/>
    <cellStyle name="Header2 2 18 2 3" xfId="23144"/>
    <cellStyle name="Header2 2 18 2 4" xfId="34309"/>
    <cellStyle name="Header2 2 18 2 5" xfId="45502"/>
    <cellStyle name="Header2 2 18 3" xfId="1889"/>
    <cellStyle name="Header2 2 18 3 2" xfId="13086"/>
    <cellStyle name="Header2 2 18 3 3" xfId="24254"/>
    <cellStyle name="Header2 2 18 3 4" xfId="35419"/>
    <cellStyle name="Header2 2 18 3 5" xfId="46612"/>
    <cellStyle name="Header2 2 18 4" xfId="2379"/>
    <cellStyle name="Header2 2 18 4 2" xfId="13576"/>
    <cellStyle name="Header2 2 18 4 3" xfId="24744"/>
    <cellStyle name="Header2 2 18 4 4" xfId="35909"/>
    <cellStyle name="Header2 2 18 4 5" xfId="47102"/>
    <cellStyle name="Header2 2 18 5" xfId="3114"/>
    <cellStyle name="Header2 2 18 5 2" xfId="14311"/>
    <cellStyle name="Header2 2 18 5 3" xfId="25479"/>
    <cellStyle name="Header2 2 18 5 4" xfId="36644"/>
    <cellStyle name="Header2 2 18 5 5" xfId="47837"/>
    <cellStyle name="Header2 2 18 6" xfId="3748"/>
    <cellStyle name="Header2 2 18 6 2" xfId="14945"/>
    <cellStyle name="Header2 2 18 6 3" xfId="26113"/>
    <cellStyle name="Header2 2 18 6 4" xfId="37278"/>
    <cellStyle name="Header2 2 18 6 5" xfId="48471"/>
    <cellStyle name="Header2 2 18 7" xfId="4381"/>
    <cellStyle name="Header2 2 18 7 2" xfId="15578"/>
    <cellStyle name="Header2 2 18 7 3" xfId="26746"/>
    <cellStyle name="Header2 2 18 7 4" xfId="37911"/>
    <cellStyle name="Header2 2 18 7 5" xfId="49104"/>
    <cellStyle name="Header2 2 18 8" xfId="5012"/>
    <cellStyle name="Header2 2 18 8 2" xfId="16209"/>
    <cellStyle name="Header2 2 18 8 3" xfId="27377"/>
    <cellStyle name="Header2 2 18 8 4" xfId="38542"/>
    <cellStyle name="Header2 2 18 8 5" xfId="49735"/>
    <cellStyle name="Header2 2 18 9" xfId="6100"/>
    <cellStyle name="Header2 2 18 9 2" xfId="17297"/>
    <cellStyle name="Header2 2 18 9 3" xfId="28465"/>
    <cellStyle name="Header2 2 18 9 4" xfId="39630"/>
    <cellStyle name="Header2 2 18 9 5" xfId="50823"/>
    <cellStyle name="Header2 2 19" xfId="51"/>
    <cellStyle name="Header2 2 19 10" xfId="6181"/>
    <cellStyle name="Header2 2 19 10 2" xfId="17378"/>
    <cellStyle name="Header2 2 19 10 3" xfId="28546"/>
    <cellStyle name="Header2 2 19 10 4" xfId="39711"/>
    <cellStyle name="Header2 2 19 10 5" xfId="50904"/>
    <cellStyle name="Header2 2 19 11" xfId="6147"/>
    <cellStyle name="Header2 2 19 11 2" xfId="17344"/>
    <cellStyle name="Header2 2 19 11 3" xfId="28512"/>
    <cellStyle name="Header2 2 19 11 4" xfId="39677"/>
    <cellStyle name="Header2 2 19 11 5" xfId="50870"/>
    <cellStyle name="Header2 2 19 12" xfId="5951"/>
    <cellStyle name="Header2 2 19 12 2" xfId="17148"/>
    <cellStyle name="Header2 2 19 12 3" xfId="28316"/>
    <cellStyle name="Header2 2 19 12 4" xfId="39481"/>
    <cellStyle name="Header2 2 19 12 5" xfId="50674"/>
    <cellStyle name="Header2 2 19 13" xfId="7901"/>
    <cellStyle name="Header2 2 19 13 2" xfId="19098"/>
    <cellStyle name="Header2 2 19 13 3" xfId="30266"/>
    <cellStyle name="Header2 2 19 13 4" xfId="41431"/>
    <cellStyle name="Header2 2 19 13 5" xfId="52624"/>
    <cellStyle name="Header2 2 19 14" xfId="8746"/>
    <cellStyle name="Header2 2 19 14 2" xfId="19943"/>
    <cellStyle name="Header2 2 19 14 3" xfId="31111"/>
    <cellStyle name="Header2 2 19 14 4" xfId="42276"/>
    <cellStyle name="Header2 2 19 14 5" xfId="53469"/>
    <cellStyle name="Header2 2 19 15" xfId="9631"/>
    <cellStyle name="Header2 2 19 15 2" xfId="20828"/>
    <cellStyle name="Header2 2 19 15 3" xfId="31996"/>
    <cellStyle name="Header2 2 19 15 4" xfId="43161"/>
    <cellStyle name="Header2 2 19 15 5" xfId="54354"/>
    <cellStyle name="Header2 2 19 16" xfId="11253"/>
    <cellStyle name="Header2 2 19 17" xfId="11271"/>
    <cellStyle name="Header2 2 19 18" xfId="23086"/>
    <cellStyle name="Header2 2 19 19" xfId="44780"/>
    <cellStyle name="Header2 2 19 2" xfId="706"/>
    <cellStyle name="Header2 2 19 2 2" xfId="11905"/>
    <cellStyle name="Header2 2 19 2 3" xfId="23074"/>
    <cellStyle name="Header2 2 19 2 4" xfId="34241"/>
    <cellStyle name="Header2 2 19 2 5" xfId="45429"/>
    <cellStyle name="Header2 2 19 3" xfId="1352"/>
    <cellStyle name="Header2 2 19 3 2" xfId="12549"/>
    <cellStyle name="Header2 2 19 3 3" xfId="23717"/>
    <cellStyle name="Header2 2 19 3 4" xfId="34882"/>
    <cellStyle name="Header2 2 19 3 5" xfId="46075"/>
    <cellStyle name="Header2 2 19 4" xfId="2502"/>
    <cellStyle name="Header2 2 19 4 2" xfId="13699"/>
    <cellStyle name="Header2 2 19 4 3" xfId="24867"/>
    <cellStyle name="Header2 2 19 4 4" xfId="36032"/>
    <cellStyle name="Header2 2 19 4 5" xfId="47225"/>
    <cellStyle name="Header2 2 19 5" xfId="1977"/>
    <cellStyle name="Header2 2 19 5 2" xfId="13174"/>
    <cellStyle name="Header2 2 19 5 3" xfId="24342"/>
    <cellStyle name="Header2 2 19 5 4" xfId="35507"/>
    <cellStyle name="Header2 2 19 5 5" xfId="46700"/>
    <cellStyle name="Header2 2 19 6" xfId="2018"/>
    <cellStyle name="Header2 2 19 6 2" xfId="13215"/>
    <cellStyle name="Header2 2 19 6 3" xfId="24383"/>
    <cellStyle name="Header2 2 19 6 4" xfId="35548"/>
    <cellStyle name="Header2 2 19 6 5" xfId="46741"/>
    <cellStyle name="Header2 2 19 7" xfId="2581"/>
    <cellStyle name="Header2 2 19 7 2" xfId="13778"/>
    <cellStyle name="Header2 2 19 7 3" xfId="24946"/>
    <cellStyle name="Header2 2 19 7 4" xfId="36111"/>
    <cellStyle name="Header2 2 19 7 5" xfId="47304"/>
    <cellStyle name="Header2 2 19 8" xfId="3076"/>
    <cellStyle name="Header2 2 19 8 2" xfId="14273"/>
    <cellStyle name="Header2 2 19 8 3" xfId="25441"/>
    <cellStyle name="Header2 2 19 8 4" xfId="36606"/>
    <cellStyle name="Header2 2 19 8 5" xfId="47799"/>
    <cellStyle name="Header2 2 19 9" xfId="5608"/>
    <cellStyle name="Header2 2 19 9 2" xfId="16805"/>
    <cellStyle name="Header2 2 19 9 3" xfId="27973"/>
    <cellStyle name="Header2 2 19 9 4" xfId="39138"/>
    <cellStyle name="Header2 2 19 9 5" xfId="50331"/>
    <cellStyle name="Header2 2 2" xfId="72"/>
    <cellStyle name="Header2 2 2 10" xfId="627"/>
    <cellStyle name="Header2 2 2 10 10" xfId="7196"/>
    <cellStyle name="Header2 2 2 10 10 2" xfId="18393"/>
    <cellStyle name="Header2 2 2 10 10 3" xfId="29561"/>
    <cellStyle name="Header2 2 2 10 10 4" xfId="40726"/>
    <cellStyle name="Header2 2 2 10 10 5" xfId="51919"/>
    <cellStyle name="Header2 2 2 10 11" xfId="7830"/>
    <cellStyle name="Header2 2 2 10 11 2" xfId="19027"/>
    <cellStyle name="Header2 2 2 10 11 3" xfId="30195"/>
    <cellStyle name="Header2 2 2 10 11 4" xfId="41360"/>
    <cellStyle name="Header2 2 2 10 11 5" xfId="52553"/>
    <cellStyle name="Header2 2 2 10 12" xfId="8464"/>
    <cellStyle name="Header2 2 2 10 12 2" xfId="19661"/>
    <cellStyle name="Header2 2 2 10 12 3" xfId="30829"/>
    <cellStyle name="Header2 2 2 10 12 4" xfId="41994"/>
    <cellStyle name="Header2 2 2 10 12 5" xfId="53187"/>
    <cellStyle name="Header2 2 2 10 13" xfId="9515"/>
    <cellStyle name="Header2 2 2 10 13 2" xfId="20712"/>
    <cellStyle name="Header2 2 2 10 13 3" xfId="31880"/>
    <cellStyle name="Header2 2 2 10 13 4" xfId="43045"/>
    <cellStyle name="Header2 2 2 10 13 5" xfId="54238"/>
    <cellStyle name="Header2 2 2 10 14" xfId="9692"/>
    <cellStyle name="Header2 2 2 10 14 2" xfId="20889"/>
    <cellStyle name="Header2 2 2 10 14 3" xfId="32057"/>
    <cellStyle name="Header2 2 2 10 14 4" xfId="43222"/>
    <cellStyle name="Header2 2 2 10 14 5" xfId="54415"/>
    <cellStyle name="Header2 2 2 10 15" xfId="11180"/>
    <cellStyle name="Header2 2 2 10 15 2" xfId="22377"/>
    <cellStyle name="Header2 2 2 10 15 3" xfId="33545"/>
    <cellStyle name="Header2 2 2 10 15 4" xfId="44710"/>
    <cellStyle name="Header2 2 2 10 15 5" xfId="55903"/>
    <cellStyle name="Header2 2 2 10 16" xfId="11827"/>
    <cellStyle name="Header2 2 2 10 17" xfId="22997"/>
    <cellStyle name="Header2 2 2 10 18" xfId="34164"/>
    <cellStyle name="Header2 2 2 10 19" xfId="45350"/>
    <cellStyle name="Header2 2 2 10 2" xfId="1276"/>
    <cellStyle name="Header2 2 2 10 2 2" xfId="12473"/>
    <cellStyle name="Header2 2 2 10 2 3" xfId="23641"/>
    <cellStyle name="Header2 2 2 10 2 4" xfId="34806"/>
    <cellStyle name="Header2 2 2 10 2 5" xfId="45999"/>
    <cellStyle name="Header2 2 2 10 3" xfId="1470"/>
    <cellStyle name="Header2 2 2 10 3 2" xfId="12667"/>
    <cellStyle name="Header2 2 2 10 3 3" xfId="23835"/>
    <cellStyle name="Header2 2 2 10 3 4" xfId="35000"/>
    <cellStyle name="Header2 2 2 10 3 5" xfId="46193"/>
    <cellStyle name="Header2 2 2 10 4" xfId="2977"/>
    <cellStyle name="Header2 2 2 10 4 2" xfId="14174"/>
    <cellStyle name="Header2 2 2 10 4 3" xfId="25342"/>
    <cellStyle name="Header2 2 2 10 4 4" xfId="36507"/>
    <cellStyle name="Header2 2 2 10 4 5" xfId="47700"/>
    <cellStyle name="Header2 2 2 10 5" xfId="3611"/>
    <cellStyle name="Header2 2 2 10 5 2" xfId="14808"/>
    <cellStyle name="Header2 2 2 10 5 3" xfId="25976"/>
    <cellStyle name="Header2 2 2 10 5 4" xfId="37141"/>
    <cellStyle name="Header2 2 2 10 5 5" xfId="48334"/>
    <cellStyle name="Header2 2 2 10 6" xfId="4245"/>
    <cellStyle name="Header2 2 2 10 6 2" xfId="15442"/>
    <cellStyle name="Header2 2 2 10 6 3" xfId="26610"/>
    <cellStyle name="Header2 2 2 10 6 4" xfId="37775"/>
    <cellStyle name="Header2 2 2 10 6 5" xfId="48968"/>
    <cellStyle name="Header2 2 2 10 7" xfId="4878"/>
    <cellStyle name="Header2 2 2 10 7 2" xfId="16075"/>
    <cellStyle name="Header2 2 2 10 7 3" xfId="27243"/>
    <cellStyle name="Header2 2 2 10 7 4" xfId="38408"/>
    <cellStyle name="Header2 2 2 10 7 5" xfId="49601"/>
    <cellStyle name="Header2 2 2 10 8" xfId="5509"/>
    <cellStyle name="Header2 2 2 10 8 2" xfId="16706"/>
    <cellStyle name="Header2 2 2 10 8 3" xfId="27874"/>
    <cellStyle name="Header2 2 2 10 8 4" xfId="39039"/>
    <cellStyle name="Header2 2 2 10 8 5" xfId="50232"/>
    <cellStyle name="Header2 2 2 10 9" xfId="6563"/>
    <cellStyle name="Header2 2 2 10 9 2" xfId="17760"/>
    <cellStyle name="Header2 2 2 10 9 3" xfId="28928"/>
    <cellStyle name="Header2 2 2 10 9 4" xfId="40093"/>
    <cellStyle name="Header2 2 2 10 9 5" xfId="51286"/>
    <cellStyle name="Header2 2 2 11" xfId="690"/>
    <cellStyle name="Header2 2 2 11 10" xfId="7259"/>
    <cellStyle name="Header2 2 2 11 10 2" xfId="18456"/>
    <cellStyle name="Header2 2 2 11 10 3" xfId="29624"/>
    <cellStyle name="Header2 2 2 11 10 4" xfId="40789"/>
    <cellStyle name="Header2 2 2 11 10 5" xfId="51982"/>
    <cellStyle name="Header2 2 2 11 11" xfId="7893"/>
    <cellStyle name="Header2 2 2 11 11 2" xfId="19090"/>
    <cellStyle name="Header2 2 2 11 11 3" xfId="30258"/>
    <cellStyle name="Header2 2 2 11 11 4" xfId="41423"/>
    <cellStyle name="Header2 2 2 11 11 5" xfId="52616"/>
    <cellStyle name="Header2 2 2 11 12" xfId="8527"/>
    <cellStyle name="Header2 2 2 11 12 2" xfId="19724"/>
    <cellStyle name="Header2 2 2 11 12 3" xfId="30892"/>
    <cellStyle name="Header2 2 2 11 12 4" xfId="42057"/>
    <cellStyle name="Header2 2 2 11 12 5" xfId="53250"/>
    <cellStyle name="Header2 2 2 11 13" xfId="9578"/>
    <cellStyle name="Header2 2 2 11 13 2" xfId="20775"/>
    <cellStyle name="Header2 2 2 11 13 3" xfId="31943"/>
    <cellStyle name="Header2 2 2 11 13 4" xfId="43108"/>
    <cellStyle name="Header2 2 2 11 13 5" xfId="54301"/>
    <cellStyle name="Header2 2 2 11 14" xfId="9600"/>
    <cellStyle name="Header2 2 2 11 14 2" xfId="20797"/>
    <cellStyle name="Header2 2 2 11 14 3" xfId="31965"/>
    <cellStyle name="Header2 2 2 11 14 4" xfId="43130"/>
    <cellStyle name="Header2 2 2 11 14 5" xfId="54323"/>
    <cellStyle name="Header2 2 2 11 15" xfId="11243"/>
    <cellStyle name="Header2 2 2 11 15 2" xfId="22440"/>
    <cellStyle name="Header2 2 2 11 15 3" xfId="33608"/>
    <cellStyle name="Header2 2 2 11 15 4" xfId="44773"/>
    <cellStyle name="Header2 2 2 11 15 5" xfId="55966"/>
    <cellStyle name="Header2 2 2 11 16" xfId="11890"/>
    <cellStyle name="Header2 2 2 11 17" xfId="23060"/>
    <cellStyle name="Header2 2 2 11 18" xfId="34227"/>
    <cellStyle name="Header2 2 2 11 19" xfId="45413"/>
    <cellStyle name="Header2 2 2 11 2" xfId="1339"/>
    <cellStyle name="Header2 2 2 11 2 2" xfId="12536"/>
    <cellStyle name="Header2 2 2 11 2 3" xfId="23704"/>
    <cellStyle name="Header2 2 2 11 2 4" xfId="34869"/>
    <cellStyle name="Header2 2 2 11 2 5" xfId="46062"/>
    <cellStyle name="Header2 2 2 11 3" xfId="703"/>
    <cellStyle name="Header2 2 2 11 3 2" xfId="11902"/>
    <cellStyle name="Header2 2 2 11 3 3" xfId="23071"/>
    <cellStyle name="Header2 2 2 11 3 4" xfId="34238"/>
    <cellStyle name="Header2 2 2 11 3 5" xfId="45426"/>
    <cellStyle name="Header2 2 2 11 4" xfId="3040"/>
    <cellStyle name="Header2 2 2 11 4 2" xfId="14237"/>
    <cellStyle name="Header2 2 2 11 4 3" xfId="25405"/>
    <cellStyle name="Header2 2 2 11 4 4" xfId="36570"/>
    <cellStyle name="Header2 2 2 11 4 5" xfId="47763"/>
    <cellStyle name="Header2 2 2 11 5" xfId="3674"/>
    <cellStyle name="Header2 2 2 11 5 2" xfId="14871"/>
    <cellStyle name="Header2 2 2 11 5 3" xfId="26039"/>
    <cellStyle name="Header2 2 2 11 5 4" xfId="37204"/>
    <cellStyle name="Header2 2 2 11 5 5" xfId="48397"/>
    <cellStyle name="Header2 2 2 11 6" xfId="4308"/>
    <cellStyle name="Header2 2 2 11 6 2" xfId="15505"/>
    <cellStyle name="Header2 2 2 11 6 3" xfId="26673"/>
    <cellStyle name="Header2 2 2 11 6 4" xfId="37838"/>
    <cellStyle name="Header2 2 2 11 6 5" xfId="49031"/>
    <cellStyle name="Header2 2 2 11 7" xfId="4941"/>
    <cellStyle name="Header2 2 2 11 7 2" xfId="16138"/>
    <cellStyle name="Header2 2 2 11 7 3" xfId="27306"/>
    <cellStyle name="Header2 2 2 11 7 4" xfId="38471"/>
    <cellStyle name="Header2 2 2 11 7 5" xfId="49664"/>
    <cellStyle name="Header2 2 2 11 8" xfId="5572"/>
    <cellStyle name="Header2 2 2 11 8 2" xfId="16769"/>
    <cellStyle name="Header2 2 2 11 8 3" xfId="27937"/>
    <cellStyle name="Header2 2 2 11 8 4" xfId="39102"/>
    <cellStyle name="Header2 2 2 11 8 5" xfId="50295"/>
    <cellStyle name="Header2 2 2 11 9" xfId="6626"/>
    <cellStyle name="Header2 2 2 11 9 2" xfId="17823"/>
    <cellStyle name="Header2 2 2 11 9 3" xfId="28991"/>
    <cellStyle name="Header2 2 2 11 9 4" xfId="40156"/>
    <cellStyle name="Header2 2 2 11 9 5" xfId="51349"/>
    <cellStyle name="Header2 2 2 12" xfId="723"/>
    <cellStyle name="Header2 2 2 12 2" xfId="11921"/>
    <cellStyle name="Header2 2 2 12 3" xfId="23090"/>
    <cellStyle name="Header2 2 2 12 4" xfId="34255"/>
    <cellStyle name="Header2 2 2 12 5" xfId="45446"/>
    <cellStyle name="Header2 2 2 13" xfId="1767"/>
    <cellStyle name="Header2 2 2 13 2" xfId="12964"/>
    <cellStyle name="Header2 2 2 13 3" xfId="24132"/>
    <cellStyle name="Header2 2 2 13 4" xfId="35297"/>
    <cellStyle name="Header2 2 2 13 5" xfId="46490"/>
    <cellStyle name="Header2 2 2 14" xfId="2017"/>
    <cellStyle name="Header2 2 2 14 2" xfId="13214"/>
    <cellStyle name="Header2 2 2 14 3" xfId="24382"/>
    <cellStyle name="Header2 2 2 14 4" xfId="35547"/>
    <cellStyle name="Header2 2 2 14 5" xfId="46740"/>
    <cellStyle name="Header2 2 2 15" xfId="3056"/>
    <cellStyle name="Header2 2 2 15 2" xfId="14253"/>
    <cellStyle name="Header2 2 2 15 3" xfId="25421"/>
    <cellStyle name="Header2 2 2 15 4" xfId="36586"/>
    <cellStyle name="Header2 2 2 15 5" xfId="47779"/>
    <cellStyle name="Header2 2 2 16" xfId="3691"/>
    <cellStyle name="Header2 2 2 16 2" xfId="14888"/>
    <cellStyle name="Header2 2 2 16 3" xfId="26056"/>
    <cellStyle name="Header2 2 2 16 4" xfId="37221"/>
    <cellStyle name="Header2 2 2 16 5" xfId="48414"/>
    <cellStyle name="Header2 2 2 17" xfId="4323"/>
    <cellStyle name="Header2 2 2 17 2" xfId="15520"/>
    <cellStyle name="Header2 2 2 17 3" xfId="26688"/>
    <cellStyle name="Header2 2 2 17 4" xfId="37853"/>
    <cellStyle name="Header2 2 2 17 5" xfId="49046"/>
    <cellStyle name="Header2 2 2 18" xfId="4956"/>
    <cellStyle name="Header2 2 2 18 2" xfId="16153"/>
    <cellStyle name="Header2 2 2 18 3" xfId="27321"/>
    <cellStyle name="Header2 2 2 18 4" xfId="38486"/>
    <cellStyle name="Header2 2 2 18 5" xfId="49679"/>
    <cellStyle name="Header2 2 2 19" xfId="6103"/>
    <cellStyle name="Header2 2 2 19 2" xfId="17300"/>
    <cellStyle name="Header2 2 2 19 3" xfId="28468"/>
    <cellStyle name="Header2 2 2 19 4" xfId="39633"/>
    <cellStyle name="Header2 2 2 19 5" xfId="50826"/>
    <cellStyle name="Header2 2 2 2" xfId="138"/>
    <cellStyle name="Header2 2 2 2 10" xfId="6707"/>
    <cellStyle name="Header2 2 2 2 10 2" xfId="17904"/>
    <cellStyle name="Header2 2 2 2 10 3" xfId="29072"/>
    <cellStyle name="Header2 2 2 2 10 4" xfId="40237"/>
    <cellStyle name="Header2 2 2 2 10 5" xfId="51430"/>
    <cellStyle name="Header2 2 2 2 11" xfId="7341"/>
    <cellStyle name="Header2 2 2 2 11 2" xfId="18538"/>
    <cellStyle name="Header2 2 2 2 11 3" xfId="29706"/>
    <cellStyle name="Header2 2 2 2 11 4" xfId="40871"/>
    <cellStyle name="Header2 2 2 2 11 5" xfId="52064"/>
    <cellStyle name="Header2 2 2 2 12" xfId="7975"/>
    <cellStyle name="Header2 2 2 2 12 2" xfId="19172"/>
    <cellStyle name="Header2 2 2 2 12 3" xfId="30340"/>
    <cellStyle name="Header2 2 2 2 12 4" xfId="41505"/>
    <cellStyle name="Header2 2 2 2 12 5" xfId="52698"/>
    <cellStyle name="Header2 2 2 2 13" xfId="8613"/>
    <cellStyle name="Header2 2 2 2 13 2" xfId="19810"/>
    <cellStyle name="Header2 2 2 2 13 3" xfId="30978"/>
    <cellStyle name="Header2 2 2 2 13 4" xfId="42143"/>
    <cellStyle name="Header2 2 2 2 13 5" xfId="53336"/>
    <cellStyle name="Header2 2 2 2 14" xfId="9834"/>
    <cellStyle name="Header2 2 2 2 14 2" xfId="21031"/>
    <cellStyle name="Header2 2 2 2 14 3" xfId="32199"/>
    <cellStyle name="Header2 2 2 2 14 4" xfId="43364"/>
    <cellStyle name="Header2 2 2 2 14 5" xfId="54557"/>
    <cellStyle name="Header2 2 2 2 15" xfId="10691"/>
    <cellStyle name="Header2 2 2 2 15 2" xfId="21888"/>
    <cellStyle name="Header2 2 2 2 15 3" xfId="33056"/>
    <cellStyle name="Header2 2 2 2 15 4" xfId="44221"/>
    <cellStyle name="Header2 2 2 2 15 5" xfId="55414"/>
    <cellStyle name="Header2 2 2 2 16" xfId="11338"/>
    <cellStyle name="Header2 2 2 2 17" xfId="22508"/>
    <cellStyle name="Header2 2 2 2 18" xfId="33675"/>
    <cellStyle name="Header2 2 2 2 19" xfId="44861"/>
    <cellStyle name="Header2 2 2 2 2" xfId="787"/>
    <cellStyle name="Header2 2 2 2 2 2" xfId="11984"/>
    <cellStyle name="Header2 2 2 2 2 3" xfId="23152"/>
    <cellStyle name="Header2 2 2 2 2 4" xfId="34317"/>
    <cellStyle name="Header2 2 2 2 2 5" xfId="45510"/>
    <cellStyle name="Header2 2 2 2 3" xfId="1822"/>
    <cellStyle name="Header2 2 2 2 3 2" xfId="13019"/>
    <cellStyle name="Header2 2 2 2 3 3" xfId="24187"/>
    <cellStyle name="Header2 2 2 2 3 4" xfId="35352"/>
    <cellStyle name="Header2 2 2 2 3 5" xfId="46545"/>
    <cellStyle name="Header2 2 2 2 4" xfId="2006"/>
    <cellStyle name="Header2 2 2 2 4 2" xfId="13203"/>
    <cellStyle name="Header2 2 2 2 4 3" xfId="24371"/>
    <cellStyle name="Header2 2 2 2 4 4" xfId="35536"/>
    <cellStyle name="Header2 2 2 2 4 5" xfId="46729"/>
    <cellStyle name="Header2 2 2 2 5" xfId="3122"/>
    <cellStyle name="Header2 2 2 2 5 2" xfId="14319"/>
    <cellStyle name="Header2 2 2 2 5 3" xfId="25487"/>
    <cellStyle name="Header2 2 2 2 5 4" xfId="36652"/>
    <cellStyle name="Header2 2 2 2 5 5" xfId="47845"/>
    <cellStyle name="Header2 2 2 2 6" xfId="3756"/>
    <cellStyle name="Header2 2 2 2 6 2" xfId="14953"/>
    <cellStyle name="Header2 2 2 2 6 3" xfId="26121"/>
    <cellStyle name="Header2 2 2 2 6 4" xfId="37286"/>
    <cellStyle name="Header2 2 2 2 6 5" xfId="48479"/>
    <cellStyle name="Header2 2 2 2 7" xfId="4389"/>
    <cellStyle name="Header2 2 2 2 7 2" xfId="15586"/>
    <cellStyle name="Header2 2 2 2 7 3" xfId="26754"/>
    <cellStyle name="Header2 2 2 2 7 4" xfId="37919"/>
    <cellStyle name="Header2 2 2 2 7 5" xfId="49112"/>
    <cellStyle name="Header2 2 2 2 8" xfId="5020"/>
    <cellStyle name="Header2 2 2 2 8 2" xfId="16217"/>
    <cellStyle name="Header2 2 2 2 8 3" xfId="27385"/>
    <cellStyle name="Header2 2 2 2 8 4" xfId="38550"/>
    <cellStyle name="Header2 2 2 2 8 5" xfId="49743"/>
    <cellStyle name="Header2 2 2 2 9" xfId="6046"/>
    <cellStyle name="Header2 2 2 2 9 2" xfId="17243"/>
    <cellStyle name="Header2 2 2 2 9 3" xfId="28411"/>
    <cellStyle name="Header2 2 2 2 9 4" xfId="39576"/>
    <cellStyle name="Header2 2 2 2 9 5" xfId="50769"/>
    <cellStyle name="Header2 2 2 20" xfId="6643"/>
    <cellStyle name="Header2 2 2 20 2" xfId="17840"/>
    <cellStyle name="Header2 2 2 20 3" xfId="29008"/>
    <cellStyle name="Header2 2 2 20 4" xfId="40173"/>
    <cellStyle name="Header2 2 2 20 5" xfId="51366"/>
    <cellStyle name="Header2 2 2 21" xfId="7275"/>
    <cellStyle name="Header2 2 2 21 2" xfId="18472"/>
    <cellStyle name="Header2 2 2 21 3" xfId="29640"/>
    <cellStyle name="Header2 2 2 21 4" xfId="40805"/>
    <cellStyle name="Header2 2 2 21 5" xfId="51998"/>
    <cellStyle name="Header2 2 2 22" xfId="7909"/>
    <cellStyle name="Header2 2 2 22 2" xfId="19106"/>
    <cellStyle name="Header2 2 2 22 3" xfId="30274"/>
    <cellStyle name="Header2 2 2 22 4" xfId="41439"/>
    <cellStyle name="Header2 2 2 22 5" xfId="52632"/>
    <cellStyle name="Header2 2 2 23" xfId="8624"/>
    <cellStyle name="Header2 2 2 23 2" xfId="19821"/>
    <cellStyle name="Header2 2 2 23 3" xfId="30989"/>
    <cellStyle name="Header2 2 2 23 4" xfId="42154"/>
    <cellStyle name="Header2 2 2 23 5" xfId="53347"/>
    <cellStyle name="Header2 2 2 24" xfId="10615"/>
    <cellStyle name="Header2 2 2 24 2" xfId="21812"/>
    <cellStyle name="Header2 2 2 24 3" xfId="32980"/>
    <cellStyle name="Header2 2 2 24 4" xfId="44145"/>
    <cellStyle name="Header2 2 2 24 5" xfId="55338"/>
    <cellStyle name="Header2 2 2 25" xfId="10629"/>
    <cellStyle name="Header2 2 2 25 2" xfId="21826"/>
    <cellStyle name="Header2 2 2 25 3" xfId="32994"/>
    <cellStyle name="Header2 2 2 25 4" xfId="44159"/>
    <cellStyle name="Header2 2 2 25 5" xfId="55352"/>
    <cellStyle name="Header2 2 2 26" xfId="11273"/>
    <cellStyle name="Header2 2 2 27" xfId="22446"/>
    <cellStyle name="Header2 2 2 28" xfId="33613"/>
    <cellStyle name="Header2 2 2 29" xfId="44797"/>
    <cellStyle name="Header2 2 2 3" xfId="193"/>
    <cellStyle name="Header2 2 2 3 10" xfId="6762"/>
    <cellStyle name="Header2 2 2 3 10 2" xfId="17959"/>
    <cellStyle name="Header2 2 2 3 10 3" xfId="29127"/>
    <cellStyle name="Header2 2 2 3 10 4" xfId="40292"/>
    <cellStyle name="Header2 2 2 3 10 5" xfId="51485"/>
    <cellStyle name="Header2 2 2 3 11" xfId="7396"/>
    <cellStyle name="Header2 2 2 3 11 2" xfId="18593"/>
    <cellStyle name="Header2 2 2 3 11 3" xfId="29761"/>
    <cellStyle name="Header2 2 2 3 11 4" xfId="40926"/>
    <cellStyle name="Header2 2 2 3 11 5" xfId="52119"/>
    <cellStyle name="Header2 2 2 3 12" xfId="8030"/>
    <cellStyle name="Header2 2 2 3 12 2" xfId="19227"/>
    <cellStyle name="Header2 2 2 3 12 3" xfId="30395"/>
    <cellStyle name="Header2 2 2 3 12 4" xfId="41560"/>
    <cellStyle name="Header2 2 2 3 12 5" xfId="52753"/>
    <cellStyle name="Header2 2 2 3 13" xfId="8709"/>
    <cellStyle name="Header2 2 2 3 13 2" xfId="19906"/>
    <cellStyle name="Header2 2 2 3 13 3" xfId="31074"/>
    <cellStyle name="Header2 2 2 3 13 4" xfId="42239"/>
    <cellStyle name="Header2 2 2 3 13 5" xfId="53432"/>
    <cellStyle name="Header2 2 2 3 14" xfId="10386"/>
    <cellStyle name="Header2 2 2 3 14 2" xfId="21583"/>
    <cellStyle name="Header2 2 2 3 14 3" xfId="32751"/>
    <cellStyle name="Header2 2 2 3 14 4" xfId="43916"/>
    <cellStyle name="Header2 2 2 3 14 5" xfId="55109"/>
    <cellStyle name="Header2 2 2 3 15" xfId="10746"/>
    <cellStyle name="Header2 2 2 3 15 2" xfId="21943"/>
    <cellStyle name="Header2 2 2 3 15 3" xfId="33111"/>
    <cellStyle name="Header2 2 2 3 15 4" xfId="44276"/>
    <cellStyle name="Header2 2 2 3 15 5" xfId="55469"/>
    <cellStyle name="Header2 2 2 3 16" xfId="11393"/>
    <cellStyle name="Header2 2 2 3 17" xfId="22563"/>
    <cellStyle name="Header2 2 2 3 18" xfId="33730"/>
    <cellStyle name="Header2 2 2 3 19" xfId="44916"/>
    <cellStyle name="Header2 2 2 3 2" xfId="842"/>
    <cellStyle name="Header2 2 2 3 2 2" xfId="12039"/>
    <cellStyle name="Header2 2 2 3 2 3" xfId="23207"/>
    <cellStyle name="Header2 2 2 3 2 4" xfId="34372"/>
    <cellStyle name="Header2 2 2 3 2 5" xfId="45565"/>
    <cellStyle name="Header2 2 2 3 3" xfId="1405"/>
    <cellStyle name="Header2 2 2 3 3 2" xfId="12602"/>
    <cellStyle name="Header2 2 2 3 3 3" xfId="23770"/>
    <cellStyle name="Header2 2 2 3 3 4" xfId="34935"/>
    <cellStyle name="Header2 2 2 3 3 5" xfId="46128"/>
    <cellStyle name="Header2 2 2 3 4" xfId="2542"/>
    <cellStyle name="Header2 2 2 3 4 2" xfId="13739"/>
    <cellStyle name="Header2 2 2 3 4 3" xfId="24907"/>
    <cellStyle name="Header2 2 2 3 4 4" xfId="36072"/>
    <cellStyle name="Header2 2 2 3 4 5" xfId="47265"/>
    <cellStyle name="Header2 2 2 3 5" xfId="3177"/>
    <cellStyle name="Header2 2 2 3 5 2" xfId="14374"/>
    <cellStyle name="Header2 2 2 3 5 3" xfId="25542"/>
    <cellStyle name="Header2 2 2 3 5 4" xfId="36707"/>
    <cellStyle name="Header2 2 2 3 5 5" xfId="47900"/>
    <cellStyle name="Header2 2 2 3 6" xfId="3811"/>
    <cellStyle name="Header2 2 2 3 6 2" xfId="15008"/>
    <cellStyle name="Header2 2 2 3 6 3" xfId="26176"/>
    <cellStyle name="Header2 2 2 3 6 4" xfId="37341"/>
    <cellStyle name="Header2 2 2 3 6 5" xfId="48534"/>
    <cellStyle name="Header2 2 2 3 7" xfId="4444"/>
    <cellStyle name="Header2 2 2 3 7 2" xfId="15641"/>
    <cellStyle name="Header2 2 2 3 7 3" xfId="26809"/>
    <cellStyle name="Header2 2 2 3 7 4" xfId="37974"/>
    <cellStyle name="Header2 2 2 3 7 5" xfId="49167"/>
    <cellStyle name="Header2 2 2 3 8" xfId="5075"/>
    <cellStyle name="Header2 2 2 3 8 2" xfId="16272"/>
    <cellStyle name="Header2 2 2 3 8 3" xfId="27440"/>
    <cellStyle name="Header2 2 2 3 8 4" xfId="38605"/>
    <cellStyle name="Header2 2 2 3 8 5" xfId="49798"/>
    <cellStyle name="Header2 2 2 3 9" xfId="6070"/>
    <cellStyle name="Header2 2 2 3 9 2" xfId="17267"/>
    <cellStyle name="Header2 2 2 3 9 3" xfId="28435"/>
    <cellStyle name="Header2 2 2 3 9 4" xfId="39600"/>
    <cellStyle name="Header2 2 2 3 9 5" xfId="50793"/>
    <cellStyle name="Header2 2 2 4" xfId="278"/>
    <cellStyle name="Header2 2 2 4 10" xfId="6847"/>
    <cellStyle name="Header2 2 2 4 10 2" xfId="18044"/>
    <cellStyle name="Header2 2 2 4 10 3" xfId="29212"/>
    <cellStyle name="Header2 2 2 4 10 4" xfId="40377"/>
    <cellStyle name="Header2 2 2 4 10 5" xfId="51570"/>
    <cellStyle name="Header2 2 2 4 11" xfId="7481"/>
    <cellStyle name="Header2 2 2 4 11 2" xfId="18678"/>
    <cellStyle name="Header2 2 2 4 11 3" xfId="29846"/>
    <cellStyle name="Header2 2 2 4 11 4" xfId="41011"/>
    <cellStyle name="Header2 2 2 4 11 5" xfId="52204"/>
    <cellStyle name="Header2 2 2 4 12" xfId="8115"/>
    <cellStyle name="Header2 2 2 4 12 2" xfId="19312"/>
    <cellStyle name="Header2 2 2 4 12 3" xfId="30480"/>
    <cellStyle name="Header2 2 2 4 12 4" xfId="41645"/>
    <cellStyle name="Header2 2 2 4 12 5" xfId="52838"/>
    <cellStyle name="Header2 2 2 4 13" xfId="9166"/>
    <cellStyle name="Header2 2 2 4 13 2" xfId="20363"/>
    <cellStyle name="Header2 2 2 4 13 3" xfId="31531"/>
    <cellStyle name="Header2 2 2 4 13 4" xfId="42696"/>
    <cellStyle name="Header2 2 2 4 13 5" xfId="53889"/>
    <cellStyle name="Header2 2 2 4 14" xfId="10238"/>
    <cellStyle name="Header2 2 2 4 14 2" xfId="21435"/>
    <cellStyle name="Header2 2 2 4 14 3" xfId="32603"/>
    <cellStyle name="Header2 2 2 4 14 4" xfId="43768"/>
    <cellStyle name="Header2 2 2 4 14 5" xfId="54961"/>
    <cellStyle name="Header2 2 2 4 15" xfId="10831"/>
    <cellStyle name="Header2 2 2 4 15 2" xfId="22028"/>
    <cellStyle name="Header2 2 2 4 15 3" xfId="33196"/>
    <cellStyle name="Header2 2 2 4 15 4" xfId="44361"/>
    <cellStyle name="Header2 2 2 4 15 5" xfId="55554"/>
    <cellStyle name="Header2 2 2 4 16" xfId="11478"/>
    <cellStyle name="Header2 2 2 4 17" xfId="22648"/>
    <cellStyle name="Header2 2 2 4 18" xfId="33815"/>
    <cellStyle name="Header2 2 2 4 19" xfId="45001"/>
    <cellStyle name="Header2 2 2 4 2" xfId="927"/>
    <cellStyle name="Header2 2 2 4 2 2" xfId="12124"/>
    <cellStyle name="Header2 2 2 4 2 3" xfId="23292"/>
    <cellStyle name="Header2 2 2 4 2 4" xfId="34457"/>
    <cellStyle name="Header2 2 2 4 2 5" xfId="45650"/>
    <cellStyle name="Header2 2 2 4 3" xfId="1496"/>
    <cellStyle name="Header2 2 2 4 3 2" xfId="12693"/>
    <cellStyle name="Header2 2 2 4 3 3" xfId="23861"/>
    <cellStyle name="Header2 2 2 4 3 4" xfId="35026"/>
    <cellStyle name="Header2 2 2 4 3 5" xfId="46219"/>
    <cellStyle name="Header2 2 2 4 4" xfId="2628"/>
    <cellStyle name="Header2 2 2 4 4 2" xfId="13825"/>
    <cellStyle name="Header2 2 2 4 4 3" xfId="24993"/>
    <cellStyle name="Header2 2 2 4 4 4" xfId="36158"/>
    <cellStyle name="Header2 2 2 4 4 5" xfId="47351"/>
    <cellStyle name="Header2 2 2 4 5" xfId="3262"/>
    <cellStyle name="Header2 2 2 4 5 2" xfId="14459"/>
    <cellStyle name="Header2 2 2 4 5 3" xfId="25627"/>
    <cellStyle name="Header2 2 2 4 5 4" xfId="36792"/>
    <cellStyle name="Header2 2 2 4 5 5" xfId="47985"/>
    <cellStyle name="Header2 2 2 4 6" xfId="3896"/>
    <cellStyle name="Header2 2 2 4 6 2" xfId="15093"/>
    <cellStyle name="Header2 2 2 4 6 3" xfId="26261"/>
    <cellStyle name="Header2 2 2 4 6 4" xfId="37426"/>
    <cellStyle name="Header2 2 2 4 6 5" xfId="48619"/>
    <cellStyle name="Header2 2 2 4 7" xfId="4529"/>
    <cellStyle name="Header2 2 2 4 7 2" xfId="15726"/>
    <cellStyle name="Header2 2 2 4 7 3" xfId="26894"/>
    <cellStyle name="Header2 2 2 4 7 4" xfId="38059"/>
    <cellStyle name="Header2 2 2 4 7 5" xfId="49252"/>
    <cellStyle name="Header2 2 2 4 8" xfId="5160"/>
    <cellStyle name="Header2 2 2 4 8 2" xfId="16357"/>
    <cellStyle name="Header2 2 2 4 8 3" xfId="27525"/>
    <cellStyle name="Header2 2 2 4 8 4" xfId="38690"/>
    <cellStyle name="Header2 2 2 4 8 5" xfId="49883"/>
    <cellStyle name="Header2 2 2 4 9" xfId="6214"/>
    <cellStyle name="Header2 2 2 4 9 2" xfId="17411"/>
    <cellStyle name="Header2 2 2 4 9 3" xfId="28579"/>
    <cellStyle name="Header2 2 2 4 9 4" xfId="39744"/>
    <cellStyle name="Header2 2 2 4 9 5" xfId="50937"/>
    <cellStyle name="Header2 2 2 5" xfId="364"/>
    <cellStyle name="Header2 2 2 5 10" xfId="6933"/>
    <cellStyle name="Header2 2 2 5 10 2" xfId="18130"/>
    <cellStyle name="Header2 2 2 5 10 3" xfId="29298"/>
    <cellStyle name="Header2 2 2 5 10 4" xfId="40463"/>
    <cellStyle name="Header2 2 2 5 10 5" xfId="51656"/>
    <cellStyle name="Header2 2 2 5 11" xfId="7567"/>
    <cellStyle name="Header2 2 2 5 11 2" xfId="18764"/>
    <cellStyle name="Header2 2 2 5 11 3" xfId="29932"/>
    <cellStyle name="Header2 2 2 5 11 4" xfId="41097"/>
    <cellStyle name="Header2 2 2 5 11 5" xfId="52290"/>
    <cellStyle name="Header2 2 2 5 12" xfId="8201"/>
    <cellStyle name="Header2 2 2 5 12 2" xfId="19398"/>
    <cellStyle name="Header2 2 2 5 12 3" xfId="30566"/>
    <cellStyle name="Header2 2 2 5 12 4" xfId="41731"/>
    <cellStyle name="Header2 2 2 5 12 5" xfId="52924"/>
    <cellStyle name="Header2 2 2 5 13" xfId="9252"/>
    <cellStyle name="Header2 2 2 5 13 2" xfId="20449"/>
    <cellStyle name="Header2 2 2 5 13 3" xfId="31617"/>
    <cellStyle name="Header2 2 2 5 13 4" xfId="42782"/>
    <cellStyle name="Header2 2 2 5 13 5" xfId="53975"/>
    <cellStyle name="Header2 2 2 5 14" xfId="10328"/>
    <cellStyle name="Header2 2 2 5 14 2" xfId="21525"/>
    <cellStyle name="Header2 2 2 5 14 3" xfId="32693"/>
    <cellStyle name="Header2 2 2 5 14 4" xfId="43858"/>
    <cellStyle name="Header2 2 2 5 14 5" xfId="55051"/>
    <cellStyle name="Header2 2 2 5 15" xfId="10917"/>
    <cellStyle name="Header2 2 2 5 15 2" xfId="22114"/>
    <cellStyle name="Header2 2 2 5 15 3" xfId="33282"/>
    <cellStyle name="Header2 2 2 5 15 4" xfId="44447"/>
    <cellStyle name="Header2 2 2 5 15 5" xfId="55640"/>
    <cellStyle name="Header2 2 2 5 16" xfId="11564"/>
    <cellStyle name="Header2 2 2 5 17" xfId="22734"/>
    <cellStyle name="Header2 2 2 5 18" xfId="33901"/>
    <cellStyle name="Header2 2 2 5 19" xfId="45087"/>
    <cellStyle name="Header2 2 2 5 2" xfId="1013"/>
    <cellStyle name="Header2 2 2 5 2 2" xfId="12210"/>
    <cellStyle name="Header2 2 2 5 2 3" xfId="23378"/>
    <cellStyle name="Header2 2 2 5 2 4" xfId="34543"/>
    <cellStyle name="Header2 2 2 5 2 5" xfId="45736"/>
    <cellStyle name="Header2 2 2 5 3" xfId="1692"/>
    <cellStyle name="Header2 2 2 5 3 2" xfId="12889"/>
    <cellStyle name="Header2 2 2 5 3 3" xfId="24057"/>
    <cellStyle name="Header2 2 2 5 3 4" xfId="35222"/>
    <cellStyle name="Header2 2 2 5 3 5" xfId="46415"/>
    <cellStyle name="Header2 2 2 5 4" xfId="2714"/>
    <cellStyle name="Header2 2 2 5 4 2" xfId="13911"/>
    <cellStyle name="Header2 2 2 5 4 3" xfId="25079"/>
    <cellStyle name="Header2 2 2 5 4 4" xfId="36244"/>
    <cellStyle name="Header2 2 2 5 4 5" xfId="47437"/>
    <cellStyle name="Header2 2 2 5 5" xfId="3348"/>
    <cellStyle name="Header2 2 2 5 5 2" xfId="14545"/>
    <cellStyle name="Header2 2 2 5 5 3" xfId="25713"/>
    <cellStyle name="Header2 2 2 5 5 4" xfId="36878"/>
    <cellStyle name="Header2 2 2 5 5 5" xfId="48071"/>
    <cellStyle name="Header2 2 2 5 6" xfId="3982"/>
    <cellStyle name="Header2 2 2 5 6 2" xfId="15179"/>
    <cellStyle name="Header2 2 2 5 6 3" xfId="26347"/>
    <cellStyle name="Header2 2 2 5 6 4" xfId="37512"/>
    <cellStyle name="Header2 2 2 5 6 5" xfId="48705"/>
    <cellStyle name="Header2 2 2 5 7" xfId="4615"/>
    <cellStyle name="Header2 2 2 5 7 2" xfId="15812"/>
    <cellStyle name="Header2 2 2 5 7 3" xfId="26980"/>
    <cellStyle name="Header2 2 2 5 7 4" xfId="38145"/>
    <cellStyle name="Header2 2 2 5 7 5" xfId="49338"/>
    <cellStyle name="Header2 2 2 5 8" xfId="5246"/>
    <cellStyle name="Header2 2 2 5 8 2" xfId="16443"/>
    <cellStyle name="Header2 2 2 5 8 3" xfId="27611"/>
    <cellStyle name="Header2 2 2 5 8 4" xfId="38776"/>
    <cellStyle name="Header2 2 2 5 8 5" xfId="49969"/>
    <cellStyle name="Header2 2 2 5 9" xfId="6300"/>
    <cellStyle name="Header2 2 2 5 9 2" xfId="17497"/>
    <cellStyle name="Header2 2 2 5 9 3" xfId="28665"/>
    <cellStyle name="Header2 2 2 5 9 4" xfId="39830"/>
    <cellStyle name="Header2 2 2 5 9 5" xfId="51023"/>
    <cellStyle name="Header2 2 2 6" xfId="338"/>
    <cellStyle name="Header2 2 2 6 10" xfId="6907"/>
    <cellStyle name="Header2 2 2 6 10 2" xfId="18104"/>
    <cellStyle name="Header2 2 2 6 10 3" xfId="29272"/>
    <cellStyle name="Header2 2 2 6 10 4" xfId="40437"/>
    <cellStyle name="Header2 2 2 6 10 5" xfId="51630"/>
    <cellStyle name="Header2 2 2 6 11" xfId="7541"/>
    <cellStyle name="Header2 2 2 6 11 2" xfId="18738"/>
    <cellStyle name="Header2 2 2 6 11 3" xfId="29906"/>
    <cellStyle name="Header2 2 2 6 11 4" xfId="41071"/>
    <cellStyle name="Header2 2 2 6 11 5" xfId="52264"/>
    <cellStyle name="Header2 2 2 6 12" xfId="8175"/>
    <cellStyle name="Header2 2 2 6 12 2" xfId="19372"/>
    <cellStyle name="Header2 2 2 6 12 3" xfId="30540"/>
    <cellStyle name="Header2 2 2 6 12 4" xfId="41705"/>
    <cellStyle name="Header2 2 2 6 12 5" xfId="52898"/>
    <cellStyle name="Header2 2 2 6 13" xfId="9226"/>
    <cellStyle name="Header2 2 2 6 13 2" xfId="20423"/>
    <cellStyle name="Header2 2 2 6 13 3" xfId="31591"/>
    <cellStyle name="Header2 2 2 6 13 4" xfId="42756"/>
    <cellStyle name="Header2 2 2 6 13 5" xfId="53949"/>
    <cellStyle name="Header2 2 2 6 14" xfId="8536"/>
    <cellStyle name="Header2 2 2 6 14 2" xfId="19733"/>
    <cellStyle name="Header2 2 2 6 14 3" xfId="30901"/>
    <cellStyle name="Header2 2 2 6 14 4" xfId="42066"/>
    <cellStyle name="Header2 2 2 6 14 5" xfId="53259"/>
    <cellStyle name="Header2 2 2 6 15" xfId="10891"/>
    <cellStyle name="Header2 2 2 6 15 2" xfId="22088"/>
    <cellStyle name="Header2 2 2 6 15 3" xfId="33256"/>
    <cellStyle name="Header2 2 2 6 15 4" xfId="44421"/>
    <cellStyle name="Header2 2 2 6 15 5" xfId="55614"/>
    <cellStyle name="Header2 2 2 6 16" xfId="11538"/>
    <cellStyle name="Header2 2 2 6 17" xfId="22708"/>
    <cellStyle name="Header2 2 2 6 18" xfId="33875"/>
    <cellStyle name="Header2 2 2 6 19" xfId="45061"/>
    <cellStyle name="Header2 2 2 6 2" xfId="987"/>
    <cellStyle name="Header2 2 2 6 2 2" xfId="12184"/>
    <cellStyle name="Header2 2 2 6 2 3" xfId="23352"/>
    <cellStyle name="Header2 2 2 6 2 4" xfId="34517"/>
    <cellStyle name="Header2 2 2 6 2 5" xfId="45710"/>
    <cellStyle name="Header2 2 2 6 3" xfId="1421"/>
    <cellStyle name="Header2 2 2 6 3 2" xfId="12618"/>
    <cellStyle name="Header2 2 2 6 3 3" xfId="23786"/>
    <cellStyle name="Header2 2 2 6 3 4" xfId="34951"/>
    <cellStyle name="Header2 2 2 6 3 5" xfId="46144"/>
    <cellStyle name="Header2 2 2 6 4" xfId="2688"/>
    <cellStyle name="Header2 2 2 6 4 2" xfId="13885"/>
    <cellStyle name="Header2 2 2 6 4 3" xfId="25053"/>
    <cellStyle name="Header2 2 2 6 4 4" xfId="36218"/>
    <cellStyle name="Header2 2 2 6 4 5" xfId="47411"/>
    <cellStyle name="Header2 2 2 6 5" xfId="3322"/>
    <cellStyle name="Header2 2 2 6 5 2" xfId="14519"/>
    <cellStyle name="Header2 2 2 6 5 3" xfId="25687"/>
    <cellStyle name="Header2 2 2 6 5 4" xfId="36852"/>
    <cellStyle name="Header2 2 2 6 5 5" xfId="48045"/>
    <cellStyle name="Header2 2 2 6 6" xfId="3956"/>
    <cellStyle name="Header2 2 2 6 6 2" xfId="15153"/>
    <cellStyle name="Header2 2 2 6 6 3" xfId="26321"/>
    <cellStyle name="Header2 2 2 6 6 4" xfId="37486"/>
    <cellStyle name="Header2 2 2 6 6 5" xfId="48679"/>
    <cellStyle name="Header2 2 2 6 7" xfId="4589"/>
    <cellStyle name="Header2 2 2 6 7 2" xfId="15786"/>
    <cellStyle name="Header2 2 2 6 7 3" xfId="26954"/>
    <cellStyle name="Header2 2 2 6 7 4" xfId="38119"/>
    <cellStyle name="Header2 2 2 6 7 5" xfId="49312"/>
    <cellStyle name="Header2 2 2 6 8" xfId="5220"/>
    <cellStyle name="Header2 2 2 6 8 2" xfId="16417"/>
    <cellStyle name="Header2 2 2 6 8 3" xfId="27585"/>
    <cellStyle name="Header2 2 2 6 8 4" xfId="38750"/>
    <cellStyle name="Header2 2 2 6 8 5" xfId="49943"/>
    <cellStyle name="Header2 2 2 6 9" xfId="6274"/>
    <cellStyle name="Header2 2 2 6 9 2" xfId="17471"/>
    <cellStyle name="Header2 2 2 6 9 3" xfId="28639"/>
    <cellStyle name="Header2 2 2 6 9 4" xfId="39804"/>
    <cellStyle name="Header2 2 2 6 9 5" xfId="50997"/>
    <cellStyle name="Header2 2 2 7" xfId="401"/>
    <cellStyle name="Header2 2 2 7 10" xfId="6970"/>
    <cellStyle name="Header2 2 2 7 10 2" xfId="18167"/>
    <cellStyle name="Header2 2 2 7 10 3" xfId="29335"/>
    <cellStyle name="Header2 2 2 7 10 4" xfId="40500"/>
    <cellStyle name="Header2 2 2 7 10 5" xfId="51693"/>
    <cellStyle name="Header2 2 2 7 11" xfId="7604"/>
    <cellStyle name="Header2 2 2 7 11 2" xfId="18801"/>
    <cellStyle name="Header2 2 2 7 11 3" xfId="29969"/>
    <cellStyle name="Header2 2 2 7 11 4" xfId="41134"/>
    <cellStyle name="Header2 2 2 7 11 5" xfId="52327"/>
    <cellStyle name="Header2 2 2 7 12" xfId="8238"/>
    <cellStyle name="Header2 2 2 7 12 2" xfId="19435"/>
    <cellStyle name="Header2 2 2 7 12 3" xfId="30603"/>
    <cellStyle name="Header2 2 2 7 12 4" xfId="41768"/>
    <cellStyle name="Header2 2 2 7 12 5" xfId="52961"/>
    <cellStyle name="Header2 2 2 7 13" xfId="9289"/>
    <cellStyle name="Header2 2 2 7 13 2" xfId="20486"/>
    <cellStyle name="Header2 2 2 7 13 3" xfId="31654"/>
    <cellStyle name="Header2 2 2 7 13 4" xfId="42819"/>
    <cellStyle name="Header2 2 2 7 13 5" xfId="54012"/>
    <cellStyle name="Header2 2 2 7 14" xfId="9816"/>
    <cellStyle name="Header2 2 2 7 14 2" xfId="21013"/>
    <cellStyle name="Header2 2 2 7 14 3" xfId="32181"/>
    <cellStyle name="Header2 2 2 7 14 4" xfId="43346"/>
    <cellStyle name="Header2 2 2 7 14 5" xfId="54539"/>
    <cellStyle name="Header2 2 2 7 15" xfId="10954"/>
    <cellStyle name="Header2 2 2 7 15 2" xfId="22151"/>
    <cellStyle name="Header2 2 2 7 15 3" xfId="33319"/>
    <cellStyle name="Header2 2 2 7 15 4" xfId="44484"/>
    <cellStyle name="Header2 2 2 7 15 5" xfId="55677"/>
    <cellStyle name="Header2 2 2 7 16" xfId="11601"/>
    <cellStyle name="Header2 2 2 7 17" xfId="22771"/>
    <cellStyle name="Header2 2 2 7 18" xfId="33938"/>
    <cellStyle name="Header2 2 2 7 19" xfId="45124"/>
    <cellStyle name="Header2 2 2 7 2" xfId="1050"/>
    <cellStyle name="Header2 2 2 7 2 2" xfId="12247"/>
    <cellStyle name="Header2 2 2 7 2 3" xfId="23415"/>
    <cellStyle name="Header2 2 2 7 2 4" xfId="34580"/>
    <cellStyle name="Header2 2 2 7 2 5" xfId="45773"/>
    <cellStyle name="Header2 2 2 7 3" xfId="1468"/>
    <cellStyle name="Header2 2 2 7 3 2" xfId="12665"/>
    <cellStyle name="Header2 2 2 7 3 3" xfId="23833"/>
    <cellStyle name="Header2 2 2 7 3 4" xfId="34998"/>
    <cellStyle name="Header2 2 2 7 3 5" xfId="46191"/>
    <cellStyle name="Header2 2 2 7 4" xfId="2751"/>
    <cellStyle name="Header2 2 2 7 4 2" xfId="13948"/>
    <cellStyle name="Header2 2 2 7 4 3" xfId="25116"/>
    <cellStyle name="Header2 2 2 7 4 4" xfId="36281"/>
    <cellStyle name="Header2 2 2 7 4 5" xfId="47474"/>
    <cellStyle name="Header2 2 2 7 5" xfId="3385"/>
    <cellStyle name="Header2 2 2 7 5 2" xfId="14582"/>
    <cellStyle name="Header2 2 2 7 5 3" xfId="25750"/>
    <cellStyle name="Header2 2 2 7 5 4" xfId="36915"/>
    <cellStyle name="Header2 2 2 7 5 5" xfId="48108"/>
    <cellStyle name="Header2 2 2 7 6" xfId="4019"/>
    <cellStyle name="Header2 2 2 7 6 2" xfId="15216"/>
    <cellStyle name="Header2 2 2 7 6 3" xfId="26384"/>
    <cellStyle name="Header2 2 2 7 6 4" xfId="37549"/>
    <cellStyle name="Header2 2 2 7 6 5" xfId="48742"/>
    <cellStyle name="Header2 2 2 7 7" xfId="4652"/>
    <cellStyle name="Header2 2 2 7 7 2" xfId="15849"/>
    <cellStyle name="Header2 2 2 7 7 3" xfId="27017"/>
    <cellStyle name="Header2 2 2 7 7 4" xfId="38182"/>
    <cellStyle name="Header2 2 2 7 7 5" xfId="49375"/>
    <cellStyle name="Header2 2 2 7 8" xfId="5283"/>
    <cellStyle name="Header2 2 2 7 8 2" xfId="16480"/>
    <cellStyle name="Header2 2 2 7 8 3" xfId="27648"/>
    <cellStyle name="Header2 2 2 7 8 4" xfId="38813"/>
    <cellStyle name="Header2 2 2 7 8 5" xfId="50006"/>
    <cellStyle name="Header2 2 2 7 9" xfId="6337"/>
    <cellStyle name="Header2 2 2 7 9 2" xfId="17534"/>
    <cellStyle name="Header2 2 2 7 9 3" xfId="28702"/>
    <cellStyle name="Header2 2 2 7 9 4" xfId="39867"/>
    <cellStyle name="Header2 2 2 7 9 5" xfId="51060"/>
    <cellStyle name="Header2 2 2 8" xfId="481"/>
    <cellStyle name="Header2 2 2 8 10" xfId="7050"/>
    <cellStyle name="Header2 2 2 8 10 2" xfId="18247"/>
    <cellStyle name="Header2 2 2 8 10 3" xfId="29415"/>
    <cellStyle name="Header2 2 2 8 10 4" xfId="40580"/>
    <cellStyle name="Header2 2 2 8 10 5" xfId="51773"/>
    <cellStyle name="Header2 2 2 8 11" xfId="7684"/>
    <cellStyle name="Header2 2 2 8 11 2" xfId="18881"/>
    <cellStyle name="Header2 2 2 8 11 3" xfId="30049"/>
    <cellStyle name="Header2 2 2 8 11 4" xfId="41214"/>
    <cellStyle name="Header2 2 2 8 11 5" xfId="52407"/>
    <cellStyle name="Header2 2 2 8 12" xfId="8318"/>
    <cellStyle name="Header2 2 2 8 12 2" xfId="19515"/>
    <cellStyle name="Header2 2 2 8 12 3" xfId="30683"/>
    <cellStyle name="Header2 2 2 8 12 4" xfId="41848"/>
    <cellStyle name="Header2 2 2 8 12 5" xfId="53041"/>
    <cellStyle name="Header2 2 2 8 13" xfId="9369"/>
    <cellStyle name="Header2 2 2 8 13 2" xfId="20566"/>
    <cellStyle name="Header2 2 2 8 13 3" xfId="31734"/>
    <cellStyle name="Header2 2 2 8 13 4" xfId="42899"/>
    <cellStyle name="Header2 2 2 8 13 5" xfId="54092"/>
    <cellStyle name="Header2 2 2 8 14" xfId="10253"/>
    <cellStyle name="Header2 2 2 8 14 2" xfId="21450"/>
    <cellStyle name="Header2 2 2 8 14 3" xfId="32618"/>
    <cellStyle name="Header2 2 2 8 14 4" xfId="43783"/>
    <cellStyle name="Header2 2 2 8 14 5" xfId="54976"/>
    <cellStyle name="Header2 2 2 8 15" xfId="11034"/>
    <cellStyle name="Header2 2 2 8 15 2" xfId="22231"/>
    <cellStyle name="Header2 2 2 8 15 3" xfId="33399"/>
    <cellStyle name="Header2 2 2 8 15 4" xfId="44564"/>
    <cellStyle name="Header2 2 2 8 15 5" xfId="55757"/>
    <cellStyle name="Header2 2 2 8 16" xfId="11681"/>
    <cellStyle name="Header2 2 2 8 17" xfId="22851"/>
    <cellStyle name="Header2 2 2 8 18" xfId="34018"/>
    <cellStyle name="Header2 2 2 8 19" xfId="45204"/>
    <cellStyle name="Header2 2 2 8 2" xfId="1130"/>
    <cellStyle name="Header2 2 2 8 2 2" xfId="12327"/>
    <cellStyle name="Header2 2 2 8 2 3" xfId="23495"/>
    <cellStyle name="Header2 2 2 8 2 4" xfId="34660"/>
    <cellStyle name="Header2 2 2 8 2 5" xfId="45853"/>
    <cellStyle name="Header2 2 2 8 3" xfId="1567"/>
    <cellStyle name="Header2 2 2 8 3 2" xfId="12764"/>
    <cellStyle name="Header2 2 2 8 3 3" xfId="23932"/>
    <cellStyle name="Header2 2 2 8 3 4" xfId="35097"/>
    <cellStyle name="Header2 2 2 8 3 5" xfId="46290"/>
    <cellStyle name="Header2 2 2 8 4" xfId="2831"/>
    <cellStyle name="Header2 2 2 8 4 2" xfId="14028"/>
    <cellStyle name="Header2 2 2 8 4 3" xfId="25196"/>
    <cellStyle name="Header2 2 2 8 4 4" xfId="36361"/>
    <cellStyle name="Header2 2 2 8 4 5" xfId="47554"/>
    <cellStyle name="Header2 2 2 8 5" xfId="3465"/>
    <cellStyle name="Header2 2 2 8 5 2" xfId="14662"/>
    <cellStyle name="Header2 2 2 8 5 3" xfId="25830"/>
    <cellStyle name="Header2 2 2 8 5 4" xfId="36995"/>
    <cellStyle name="Header2 2 2 8 5 5" xfId="48188"/>
    <cellStyle name="Header2 2 2 8 6" xfId="4099"/>
    <cellStyle name="Header2 2 2 8 6 2" xfId="15296"/>
    <cellStyle name="Header2 2 2 8 6 3" xfId="26464"/>
    <cellStyle name="Header2 2 2 8 6 4" xfId="37629"/>
    <cellStyle name="Header2 2 2 8 6 5" xfId="48822"/>
    <cellStyle name="Header2 2 2 8 7" xfId="4732"/>
    <cellStyle name="Header2 2 2 8 7 2" xfId="15929"/>
    <cellStyle name="Header2 2 2 8 7 3" xfId="27097"/>
    <cellStyle name="Header2 2 2 8 7 4" xfId="38262"/>
    <cellStyle name="Header2 2 2 8 7 5" xfId="49455"/>
    <cellStyle name="Header2 2 2 8 8" xfId="5363"/>
    <cellStyle name="Header2 2 2 8 8 2" xfId="16560"/>
    <cellStyle name="Header2 2 2 8 8 3" xfId="27728"/>
    <cellStyle name="Header2 2 2 8 8 4" xfId="38893"/>
    <cellStyle name="Header2 2 2 8 8 5" xfId="50086"/>
    <cellStyle name="Header2 2 2 8 9" xfId="6417"/>
    <cellStyle name="Header2 2 2 8 9 2" xfId="17614"/>
    <cellStyle name="Header2 2 2 8 9 3" xfId="28782"/>
    <cellStyle name="Header2 2 2 8 9 4" xfId="39947"/>
    <cellStyle name="Header2 2 2 8 9 5" xfId="51140"/>
    <cellStyle name="Header2 2 2 9" xfId="539"/>
    <cellStyle name="Header2 2 2 9 10" xfId="7108"/>
    <cellStyle name="Header2 2 2 9 10 2" xfId="18305"/>
    <cellStyle name="Header2 2 2 9 10 3" xfId="29473"/>
    <cellStyle name="Header2 2 2 9 10 4" xfId="40638"/>
    <cellStyle name="Header2 2 2 9 10 5" xfId="51831"/>
    <cellStyle name="Header2 2 2 9 11" xfId="7742"/>
    <cellStyle name="Header2 2 2 9 11 2" xfId="18939"/>
    <cellStyle name="Header2 2 2 9 11 3" xfId="30107"/>
    <cellStyle name="Header2 2 2 9 11 4" xfId="41272"/>
    <cellStyle name="Header2 2 2 9 11 5" xfId="52465"/>
    <cellStyle name="Header2 2 2 9 12" xfId="8376"/>
    <cellStyle name="Header2 2 2 9 12 2" xfId="19573"/>
    <cellStyle name="Header2 2 2 9 12 3" xfId="30741"/>
    <cellStyle name="Header2 2 2 9 12 4" xfId="41906"/>
    <cellStyle name="Header2 2 2 9 12 5" xfId="53099"/>
    <cellStyle name="Header2 2 2 9 13" xfId="9427"/>
    <cellStyle name="Header2 2 2 9 13 2" xfId="20624"/>
    <cellStyle name="Header2 2 2 9 13 3" xfId="31792"/>
    <cellStyle name="Header2 2 2 9 13 4" xfId="42957"/>
    <cellStyle name="Header2 2 2 9 13 5" xfId="54150"/>
    <cellStyle name="Header2 2 2 9 14" xfId="10125"/>
    <cellStyle name="Header2 2 2 9 14 2" xfId="21322"/>
    <cellStyle name="Header2 2 2 9 14 3" xfId="32490"/>
    <cellStyle name="Header2 2 2 9 14 4" xfId="43655"/>
    <cellStyle name="Header2 2 2 9 14 5" xfId="54848"/>
    <cellStyle name="Header2 2 2 9 15" xfId="11092"/>
    <cellStyle name="Header2 2 2 9 15 2" xfId="22289"/>
    <cellStyle name="Header2 2 2 9 15 3" xfId="33457"/>
    <cellStyle name="Header2 2 2 9 15 4" xfId="44622"/>
    <cellStyle name="Header2 2 2 9 15 5" xfId="55815"/>
    <cellStyle name="Header2 2 2 9 16" xfId="11739"/>
    <cellStyle name="Header2 2 2 9 17" xfId="22909"/>
    <cellStyle name="Header2 2 2 9 18" xfId="34076"/>
    <cellStyle name="Header2 2 2 9 19" xfId="45262"/>
    <cellStyle name="Header2 2 2 9 2" xfId="1188"/>
    <cellStyle name="Header2 2 2 9 2 2" xfId="12385"/>
    <cellStyle name="Header2 2 2 9 2 3" xfId="23553"/>
    <cellStyle name="Header2 2 2 9 2 4" xfId="34718"/>
    <cellStyle name="Header2 2 2 9 2 5" xfId="45911"/>
    <cellStyle name="Header2 2 2 9 3" xfId="1938"/>
    <cellStyle name="Header2 2 2 9 3 2" xfId="13135"/>
    <cellStyle name="Header2 2 2 9 3 3" xfId="24303"/>
    <cellStyle name="Header2 2 2 9 3 4" xfId="35468"/>
    <cellStyle name="Header2 2 2 9 3 5" xfId="46661"/>
    <cellStyle name="Header2 2 2 9 4" xfId="2889"/>
    <cellStyle name="Header2 2 2 9 4 2" xfId="14086"/>
    <cellStyle name="Header2 2 2 9 4 3" xfId="25254"/>
    <cellStyle name="Header2 2 2 9 4 4" xfId="36419"/>
    <cellStyle name="Header2 2 2 9 4 5" xfId="47612"/>
    <cellStyle name="Header2 2 2 9 5" xfId="3523"/>
    <cellStyle name="Header2 2 2 9 5 2" xfId="14720"/>
    <cellStyle name="Header2 2 2 9 5 3" xfId="25888"/>
    <cellStyle name="Header2 2 2 9 5 4" xfId="37053"/>
    <cellStyle name="Header2 2 2 9 5 5" xfId="48246"/>
    <cellStyle name="Header2 2 2 9 6" xfId="4157"/>
    <cellStyle name="Header2 2 2 9 6 2" xfId="15354"/>
    <cellStyle name="Header2 2 2 9 6 3" xfId="26522"/>
    <cellStyle name="Header2 2 2 9 6 4" xfId="37687"/>
    <cellStyle name="Header2 2 2 9 6 5" xfId="48880"/>
    <cellStyle name="Header2 2 2 9 7" xfId="4790"/>
    <cellStyle name="Header2 2 2 9 7 2" xfId="15987"/>
    <cellStyle name="Header2 2 2 9 7 3" xfId="27155"/>
    <cellStyle name="Header2 2 2 9 7 4" xfId="38320"/>
    <cellStyle name="Header2 2 2 9 7 5" xfId="49513"/>
    <cellStyle name="Header2 2 2 9 8" xfId="5421"/>
    <cellStyle name="Header2 2 2 9 8 2" xfId="16618"/>
    <cellStyle name="Header2 2 2 9 8 3" xfId="27786"/>
    <cellStyle name="Header2 2 2 9 8 4" xfId="38951"/>
    <cellStyle name="Header2 2 2 9 8 5" xfId="50144"/>
    <cellStyle name="Header2 2 2 9 9" xfId="6475"/>
    <cellStyle name="Header2 2 2 9 9 2" xfId="17672"/>
    <cellStyle name="Header2 2 2 9 9 3" xfId="28840"/>
    <cellStyle name="Header2 2 2 9 9 4" xfId="40005"/>
    <cellStyle name="Header2 2 2 9 9 5" xfId="51198"/>
    <cellStyle name="Header2 2 20" xfId="279"/>
    <cellStyle name="Header2 2 20 10" xfId="6848"/>
    <cellStyle name="Header2 2 20 10 2" xfId="18045"/>
    <cellStyle name="Header2 2 20 10 3" xfId="29213"/>
    <cellStyle name="Header2 2 20 10 4" xfId="40378"/>
    <cellStyle name="Header2 2 20 10 5" xfId="51571"/>
    <cellStyle name="Header2 2 20 11" xfId="7482"/>
    <cellStyle name="Header2 2 20 11 2" xfId="18679"/>
    <cellStyle name="Header2 2 20 11 3" xfId="29847"/>
    <cellStyle name="Header2 2 20 11 4" xfId="41012"/>
    <cellStyle name="Header2 2 20 11 5" xfId="52205"/>
    <cellStyle name="Header2 2 20 12" xfId="8116"/>
    <cellStyle name="Header2 2 20 12 2" xfId="19313"/>
    <cellStyle name="Header2 2 20 12 3" xfId="30481"/>
    <cellStyle name="Header2 2 20 12 4" xfId="41646"/>
    <cellStyle name="Header2 2 20 12 5" xfId="52839"/>
    <cellStyle name="Header2 2 20 13" xfId="9167"/>
    <cellStyle name="Header2 2 20 13 2" xfId="20364"/>
    <cellStyle name="Header2 2 20 13 3" xfId="31532"/>
    <cellStyle name="Header2 2 20 13 4" xfId="42697"/>
    <cellStyle name="Header2 2 20 13 5" xfId="53890"/>
    <cellStyle name="Header2 2 20 14" xfId="9640"/>
    <cellStyle name="Header2 2 20 14 2" xfId="20837"/>
    <cellStyle name="Header2 2 20 14 3" xfId="32005"/>
    <cellStyle name="Header2 2 20 14 4" xfId="43170"/>
    <cellStyle name="Header2 2 20 14 5" xfId="54363"/>
    <cellStyle name="Header2 2 20 15" xfId="10832"/>
    <cellStyle name="Header2 2 20 15 2" xfId="22029"/>
    <cellStyle name="Header2 2 20 15 3" xfId="33197"/>
    <cellStyle name="Header2 2 20 15 4" xfId="44362"/>
    <cellStyle name="Header2 2 20 15 5" xfId="55555"/>
    <cellStyle name="Header2 2 20 16" xfId="11479"/>
    <cellStyle name="Header2 2 20 17" xfId="22649"/>
    <cellStyle name="Header2 2 20 18" xfId="33816"/>
    <cellStyle name="Header2 2 20 19" xfId="45002"/>
    <cellStyle name="Header2 2 20 2" xfId="928"/>
    <cellStyle name="Header2 2 20 2 2" xfId="12125"/>
    <cellStyle name="Header2 2 20 2 3" xfId="23293"/>
    <cellStyle name="Header2 2 20 2 4" xfId="34458"/>
    <cellStyle name="Header2 2 20 2 5" xfId="45651"/>
    <cellStyle name="Header2 2 20 3" xfId="1442"/>
    <cellStyle name="Header2 2 20 3 2" xfId="12639"/>
    <cellStyle name="Header2 2 20 3 3" xfId="23807"/>
    <cellStyle name="Header2 2 20 3 4" xfId="34972"/>
    <cellStyle name="Header2 2 20 3 5" xfId="46165"/>
    <cellStyle name="Header2 2 20 4" xfId="2629"/>
    <cellStyle name="Header2 2 20 4 2" xfId="13826"/>
    <cellStyle name="Header2 2 20 4 3" xfId="24994"/>
    <cellStyle name="Header2 2 20 4 4" xfId="36159"/>
    <cellStyle name="Header2 2 20 4 5" xfId="47352"/>
    <cellStyle name="Header2 2 20 5" xfId="3263"/>
    <cellStyle name="Header2 2 20 5 2" xfId="14460"/>
    <cellStyle name="Header2 2 20 5 3" xfId="25628"/>
    <cellStyle name="Header2 2 20 5 4" xfId="36793"/>
    <cellStyle name="Header2 2 20 5 5" xfId="47986"/>
    <cellStyle name="Header2 2 20 6" xfId="3897"/>
    <cellStyle name="Header2 2 20 6 2" xfId="15094"/>
    <cellStyle name="Header2 2 20 6 3" xfId="26262"/>
    <cellStyle name="Header2 2 20 6 4" xfId="37427"/>
    <cellStyle name="Header2 2 20 6 5" xfId="48620"/>
    <cellStyle name="Header2 2 20 7" xfId="4530"/>
    <cellStyle name="Header2 2 20 7 2" xfId="15727"/>
    <cellStyle name="Header2 2 20 7 3" xfId="26895"/>
    <cellStyle name="Header2 2 20 7 4" xfId="38060"/>
    <cellStyle name="Header2 2 20 7 5" xfId="49253"/>
    <cellStyle name="Header2 2 20 8" xfId="5161"/>
    <cellStyle name="Header2 2 20 8 2" xfId="16358"/>
    <cellStyle name="Header2 2 20 8 3" xfId="27526"/>
    <cellStyle name="Header2 2 20 8 4" xfId="38691"/>
    <cellStyle name="Header2 2 20 8 5" xfId="49884"/>
    <cellStyle name="Header2 2 20 9" xfId="6215"/>
    <cellStyle name="Header2 2 20 9 2" xfId="17412"/>
    <cellStyle name="Header2 2 20 9 3" xfId="28580"/>
    <cellStyle name="Header2 2 20 9 4" xfId="39745"/>
    <cellStyle name="Header2 2 20 9 5" xfId="50938"/>
    <cellStyle name="Header2 2 21" xfId="329"/>
    <cellStyle name="Header2 2 21 10" xfId="6898"/>
    <cellStyle name="Header2 2 21 10 2" xfId="18095"/>
    <cellStyle name="Header2 2 21 10 3" xfId="29263"/>
    <cellStyle name="Header2 2 21 10 4" xfId="40428"/>
    <cellStyle name="Header2 2 21 10 5" xfId="51621"/>
    <cellStyle name="Header2 2 21 11" xfId="7532"/>
    <cellStyle name="Header2 2 21 11 2" xfId="18729"/>
    <cellStyle name="Header2 2 21 11 3" xfId="29897"/>
    <cellStyle name="Header2 2 21 11 4" xfId="41062"/>
    <cellStyle name="Header2 2 21 11 5" xfId="52255"/>
    <cellStyle name="Header2 2 21 12" xfId="8166"/>
    <cellStyle name="Header2 2 21 12 2" xfId="19363"/>
    <cellStyle name="Header2 2 21 12 3" xfId="30531"/>
    <cellStyle name="Header2 2 21 12 4" xfId="41696"/>
    <cellStyle name="Header2 2 21 12 5" xfId="52889"/>
    <cellStyle name="Header2 2 21 13" xfId="9217"/>
    <cellStyle name="Header2 2 21 13 2" xfId="20414"/>
    <cellStyle name="Header2 2 21 13 3" xfId="31582"/>
    <cellStyle name="Header2 2 21 13 4" xfId="42747"/>
    <cellStyle name="Header2 2 21 13 5" xfId="53940"/>
    <cellStyle name="Header2 2 21 14" xfId="10489"/>
    <cellStyle name="Header2 2 21 14 2" xfId="21686"/>
    <cellStyle name="Header2 2 21 14 3" xfId="32854"/>
    <cellStyle name="Header2 2 21 14 4" xfId="44019"/>
    <cellStyle name="Header2 2 21 14 5" xfId="55212"/>
    <cellStyle name="Header2 2 21 15" xfId="10882"/>
    <cellStyle name="Header2 2 21 15 2" xfId="22079"/>
    <cellStyle name="Header2 2 21 15 3" xfId="33247"/>
    <cellStyle name="Header2 2 21 15 4" xfId="44412"/>
    <cellStyle name="Header2 2 21 15 5" xfId="55605"/>
    <cellStyle name="Header2 2 21 16" xfId="11529"/>
    <cellStyle name="Header2 2 21 17" xfId="22699"/>
    <cellStyle name="Header2 2 21 18" xfId="33866"/>
    <cellStyle name="Header2 2 21 19" xfId="45052"/>
    <cellStyle name="Header2 2 21 2" xfId="978"/>
    <cellStyle name="Header2 2 21 2 2" xfId="12175"/>
    <cellStyle name="Header2 2 21 2 3" xfId="23343"/>
    <cellStyle name="Header2 2 21 2 4" xfId="34508"/>
    <cellStyle name="Header2 2 21 2 5" xfId="45701"/>
    <cellStyle name="Header2 2 21 3" xfId="1366"/>
    <cellStyle name="Header2 2 21 3 2" xfId="12563"/>
    <cellStyle name="Header2 2 21 3 3" xfId="23731"/>
    <cellStyle name="Header2 2 21 3 4" xfId="34896"/>
    <cellStyle name="Header2 2 21 3 5" xfId="46089"/>
    <cellStyle name="Header2 2 21 4" xfId="2679"/>
    <cellStyle name="Header2 2 21 4 2" xfId="13876"/>
    <cellStyle name="Header2 2 21 4 3" xfId="25044"/>
    <cellStyle name="Header2 2 21 4 4" xfId="36209"/>
    <cellStyle name="Header2 2 21 4 5" xfId="47402"/>
    <cellStyle name="Header2 2 21 5" xfId="3313"/>
    <cellStyle name="Header2 2 21 5 2" xfId="14510"/>
    <cellStyle name="Header2 2 21 5 3" xfId="25678"/>
    <cellStyle name="Header2 2 21 5 4" xfId="36843"/>
    <cellStyle name="Header2 2 21 5 5" xfId="48036"/>
    <cellStyle name="Header2 2 21 6" xfId="3947"/>
    <cellStyle name="Header2 2 21 6 2" xfId="15144"/>
    <cellStyle name="Header2 2 21 6 3" xfId="26312"/>
    <cellStyle name="Header2 2 21 6 4" xfId="37477"/>
    <cellStyle name="Header2 2 21 6 5" xfId="48670"/>
    <cellStyle name="Header2 2 21 7" xfId="4580"/>
    <cellStyle name="Header2 2 21 7 2" xfId="15777"/>
    <cellStyle name="Header2 2 21 7 3" xfId="26945"/>
    <cellStyle name="Header2 2 21 7 4" xfId="38110"/>
    <cellStyle name="Header2 2 21 7 5" xfId="49303"/>
    <cellStyle name="Header2 2 21 8" xfId="5211"/>
    <cellStyle name="Header2 2 21 8 2" xfId="16408"/>
    <cellStyle name="Header2 2 21 8 3" xfId="27576"/>
    <cellStyle name="Header2 2 21 8 4" xfId="38741"/>
    <cellStyle name="Header2 2 21 8 5" xfId="49934"/>
    <cellStyle name="Header2 2 21 9" xfId="6265"/>
    <cellStyle name="Header2 2 21 9 2" xfId="17462"/>
    <cellStyle name="Header2 2 21 9 3" xfId="28630"/>
    <cellStyle name="Header2 2 21 9 4" xfId="39795"/>
    <cellStyle name="Header2 2 21 9 5" xfId="50988"/>
    <cellStyle name="Header2 2 22" xfId="394"/>
    <cellStyle name="Header2 2 22 10" xfId="6963"/>
    <cellStyle name="Header2 2 22 10 2" xfId="18160"/>
    <cellStyle name="Header2 2 22 10 3" xfId="29328"/>
    <cellStyle name="Header2 2 22 10 4" xfId="40493"/>
    <cellStyle name="Header2 2 22 10 5" xfId="51686"/>
    <cellStyle name="Header2 2 22 11" xfId="7597"/>
    <cellStyle name="Header2 2 22 11 2" xfId="18794"/>
    <cellStyle name="Header2 2 22 11 3" xfId="29962"/>
    <cellStyle name="Header2 2 22 11 4" xfId="41127"/>
    <cellStyle name="Header2 2 22 11 5" xfId="52320"/>
    <cellStyle name="Header2 2 22 12" xfId="8231"/>
    <cellStyle name="Header2 2 22 12 2" xfId="19428"/>
    <cellStyle name="Header2 2 22 12 3" xfId="30596"/>
    <cellStyle name="Header2 2 22 12 4" xfId="41761"/>
    <cellStyle name="Header2 2 22 12 5" xfId="52954"/>
    <cellStyle name="Header2 2 22 13" xfId="9282"/>
    <cellStyle name="Header2 2 22 13 2" xfId="20479"/>
    <cellStyle name="Header2 2 22 13 3" xfId="31647"/>
    <cellStyle name="Header2 2 22 13 4" xfId="42812"/>
    <cellStyle name="Header2 2 22 13 5" xfId="54005"/>
    <cellStyle name="Header2 2 22 14" xfId="10063"/>
    <cellStyle name="Header2 2 22 14 2" xfId="21260"/>
    <cellStyle name="Header2 2 22 14 3" xfId="32428"/>
    <cellStyle name="Header2 2 22 14 4" xfId="43593"/>
    <cellStyle name="Header2 2 22 14 5" xfId="54786"/>
    <cellStyle name="Header2 2 22 15" xfId="10947"/>
    <cellStyle name="Header2 2 22 15 2" xfId="22144"/>
    <cellStyle name="Header2 2 22 15 3" xfId="33312"/>
    <cellStyle name="Header2 2 22 15 4" xfId="44477"/>
    <cellStyle name="Header2 2 22 15 5" xfId="55670"/>
    <cellStyle name="Header2 2 22 16" xfId="11594"/>
    <cellStyle name="Header2 2 22 17" xfId="22764"/>
    <cellStyle name="Header2 2 22 18" xfId="33931"/>
    <cellStyle name="Header2 2 22 19" xfId="45117"/>
    <cellStyle name="Header2 2 22 2" xfId="1043"/>
    <cellStyle name="Header2 2 22 2 2" xfId="12240"/>
    <cellStyle name="Header2 2 22 2 3" xfId="23408"/>
    <cellStyle name="Header2 2 22 2 4" xfId="34573"/>
    <cellStyle name="Header2 2 22 2 5" xfId="45766"/>
    <cellStyle name="Header2 2 22 3" xfId="1867"/>
    <cellStyle name="Header2 2 22 3 2" xfId="13064"/>
    <cellStyle name="Header2 2 22 3 3" xfId="24232"/>
    <cellStyle name="Header2 2 22 3 4" xfId="35397"/>
    <cellStyle name="Header2 2 22 3 5" xfId="46590"/>
    <cellStyle name="Header2 2 22 4" xfId="2744"/>
    <cellStyle name="Header2 2 22 4 2" xfId="13941"/>
    <cellStyle name="Header2 2 22 4 3" xfId="25109"/>
    <cellStyle name="Header2 2 22 4 4" xfId="36274"/>
    <cellStyle name="Header2 2 22 4 5" xfId="47467"/>
    <cellStyle name="Header2 2 22 5" xfId="3378"/>
    <cellStyle name="Header2 2 22 5 2" xfId="14575"/>
    <cellStyle name="Header2 2 22 5 3" xfId="25743"/>
    <cellStyle name="Header2 2 22 5 4" xfId="36908"/>
    <cellStyle name="Header2 2 22 5 5" xfId="48101"/>
    <cellStyle name="Header2 2 22 6" xfId="4012"/>
    <cellStyle name="Header2 2 22 6 2" xfId="15209"/>
    <cellStyle name="Header2 2 22 6 3" xfId="26377"/>
    <cellStyle name="Header2 2 22 6 4" xfId="37542"/>
    <cellStyle name="Header2 2 22 6 5" xfId="48735"/>
    <cellStyle name="Header2 2 22 7" xfId="4645"/>
    <cellStyle name="Header2 2 22 7 2" xfId="15842"/>
    <cellStyle name="Header2 2 22 7 3" xfId="27010"/>
    <cellStyle name="Header2 2 22 7 4" xfId="38175"/>
    <cellStyle name="Header2 2 22 7 5" xfId="49368"/>
    <cellStyle name="Header2 2 22 8" xfId="5276"/>
    <cellStyle name="Header2 2 22 8 2" xfId="16473"/>
    <cellStyle name="Header2 2 22 8 3" xfId="27641"/>
    <cellStyle name="Header2 2 22 8 4" xfId="38806"/>
    <cellStyle name="Header2 2 22 8 5" xfId="49999"/>
    <cellStyle name="Header2 2 22 9" xfId="6330"/>
    <cellStyle name="Header2 2 22 9 2" xfId="17527"/>
    <cellStyle name="Header2 2 22 9 3" xfId="28695"/>
    <cellStyle name="Header2 2 22 9 4" xfId="39860"/>
    <cellStyle name="Header2 2 22 9 5" xfId="51053"/>
    <cellStyle name="Header2 2 23" xfId="369"/>
    <cellStyle name="Header2 2 23 10" xfId="6938"/>
    <cellStyle name="Header2 2 23 10 2" xfId="18135"/>
    <cellStyle name="Header2 2 23 10 3" xfId="29303"/>
    <cellStyle name="Header2 2 23 10 4" xfId="40468"/>
    <cellStyle name="Header2 2 23 10 5" xfId="51661"/>
    <cellStyle name="Header2 2 23 11" xfId="7572"/>
    <cellStyle name="Header2 2 23 11 2" xfId="18769"/>
    <cellStyle name="Header2 2 23 11 3" xfId="29937"/>
    <cellStyle name="Header2 2 23 11 4" xfId="41102"/>
    <cellStyle name="Header2 2 23 11 5" xfId="52295"/>
    <cellStyle name="Header2 2 23 12" xfId="8206"/>
    <cellStyle name="Header2 2 23 12 2" xfId="19403"/>
    <cellStyle name="Header2 2 23 12 3" xfId="30571"/>
    <cellStyle name="Header2 2 23 12 4" xfId="41736"/>
    <cellStyle name="Header2 2 23 12 5" xfId="52929"/>
    <cellStyle name="Header2 2 23 13" xfId="9257"/>
    <cellStyle name="Header2 2 23 13 2" xfId="20454"/>
    <cellStyle name="Header2 2 23 13 3" xfId="31622"/>
    <cellStyle name="Header2 2 23 13 4" xfId="42787"/>
    <cellStyle name="Header2 2 23 13 5" xfId="53980"/>
    <cellStyle name="Header2 2 23 14" xfId="10102"/>
    <cellStyle name="Header2 2 23 14 2" xfId="21299"/>
    <cellStyle name="Header2 2 23 14 3" xfId="32467"/>
    <cellStyle name="Header2 2 23 14 4" xfId="43632"/>
    <cellStyle name="Header2 2 23 14 5" xfId="54825"/>
    <cellStyle name="Header2 2 23 15" xfId="10922"/>
    <cellStyle name="Header2 2 23 15 2" xfId="22119"/>
    <cellStyle name="Header2 2 23 15 3" xfId="33287"/>
    <cellStyle name="Header2 2 23 15 4" xfId="44452"/>
    <cellStyle name="Header2 2 23 15 5" xfId="55645"/>
    <cellStyle name="Header2 2 23 16" xfId="11569"/>
    <cellStyle name="Header2 2 23 17" xfId="22739"/>
    <cellStyle name="Header2 2 23 18" xfId="33906"/>
    <cellStyle name="Header2 2 23 19" xfId="45092"/>
    <cellStyle name="Header2 2 23 2" xfId="1018"/>
    <cellStyle name="Header2 2 23 2 2" xfId="12215"/>
    <cellStyle name="Header2 2 23 2 3" xfId="23383"/>
    <cellStyle name="Header2 2 23 2 4" xfId="34548"/>
    <cellStyle name="Header2 2 23 2 5" xfId="45741"/>
    <cellStyle name="Header2 2 23 3" xfId="1909"/>
    <cellStyle name="Header2 2 23 3 2" xfId="13106"/>
    <cellStyle name="Header2 2 23 3 3" xfId="24274"/>
    <cellStyle name="Header2 2 23 3 4" xfId="35439"/>
    <cellStyle name="Header2 2 23 3 5" xfId="46632"/>
    <cellStyle name="Header2 2 23 4" xfId="2719"/>
    <cellStyle name="Header2 2 23 4 2" xfId="13916"/>
    <cellStyle name="Header2 2 23 4 3" xfId="25084"/>
    <cellStyle name="Header2 2 23 4 4" xfId="36249"/>
    <cellStyle name="Header2 2 23 4 5" xfId="47442"/>
    <cellStyle name="Header2 2 23 5" xfId="3353"/>
    <cellStyle name="Header2 2 23 5 2" xfId="14550"/>
    <cellStyle name="Header2 2 23 5 3" xfId="25718"/>
    <cellStyle name="Header2 2 23 5 4" xfId="36883"/>
    <cellStyle name="Header2 2 23 5 5" xfId="48076"/>
    <cellStyle name="Header2 2 23 6" xfId="3987"/>
    <cellStyle name="Header2 2 23 6 2" xfId="15184"/>
    <cellStyle name="Header2 2 23 6 3" xfId="26352"/>
    <cellStyle name="Header2 2 23 6 4" xfId="37517"/>
    <cellStyle name="Header2 2 23 6 5" xfId="48710"/>
    <cellStyle name="Header2 2 23 7" xfId="4620"/>
    <cellStyle name="Header2 2 23 7 2" xfId="15817"/>
    <cellStyle name="Header2 2 23 7 3" xfId="26985"/>
    <cellStyle name="Header2 2 23 7 4" xfId="38150"/>
    <cellStyle name="Header2 2 23 7 5" xfId="49343"/>
    <cellStyle name="Header2 2 23 8" xfId="5251"/>
    <cellStyle name="Header2 2 23 8 2" xfId="16448"/>
    <cellStyle name="Header2 2 23 8 3" xfId="27616"/>
    <cellStyle name="Header2 2 23 8 4" xfId="38781"/>
    <cellStyle name="Header2 2 23 8 5" xfId="49974"/>
    <cellStyle name="Header2 2 23 9" xfId="6305"/>
    <cellStyle name="Header2 2 23 9 2" xfId="17502"/>
    <cellStyle name="Header2 2 23 9 3" xfId="28670"/>
    <cellStyle name="Header2 2 23 9 4" xfId="39835"/>
    <cellStyle name="Header2 2 23 9 5" xfId="51028"/>
    <cellStyle name="Header2 2 24" xfId="410"/>
    <cellStyle name="Header2 2 24 10" xfId="6979"/>
    <cellStyle name="Header2 2 24 10 2" xfId="18176"/>
    <cellStyle name="Header2 2 24 10 3" xfId="29344"/>
    <cellStyle name="Header2 2 24 10 4" xfId="40509"/>
    <cellStyle name="Header2 2 24 10 5" xfId="51702"/>
    <cellStyle name="Header2 2 24 11" xfId="7613"/>
    <cellStyle name="Header2 2 24 11 2" xfId="18810"/>
    <cellStyle name="Header2 2 24 11 3" xfId="29978"/>
    <cellStyle name="Header2 2 24 11 4" xfId="41143"/>
    <cellStyle name="Header2 2 24 11 5" xfId="52336"/>
    <cellStyle name="Header2 2 24 12" xfId="8247"/>
    <cellStyle name="Header2 2 24 12 2" xfId="19444"/>
    <cellStyle name="Header2 2 24 12 3" xfId="30612"/>
    <cellStyle name="Header2 2 24 12 4" xfId="41777"/>
    <cellStyle name="Header2 2 24 12 5" xfId="52970"/>
    <cellStyle name="Header2 2 24 13" xfId="9298"/>
    <cellStyle name="Header2 2 24 13 2" xfId="20495"/>
    <cellStyle name="Header2 2 24 13 3" xfId="31663"/>
    <cellStyle name="Header2 2 24 13 4" xfId="42828"/>
    <cellStyle name="Header2 2 24 13 5" xfId="54021"/>
    <cellStyle name="Header2 2 24 14" xfId="10298"/>
    <cellStyle name="Header2 2 24 14 2" xfId="21495"/>
    <cellStyle name="Header2 2 24 14 3" xfId="32663"/>
    <cellStyle name="Header2 2 24 14 4" xfId="43828"/>
    <cellStyle name="Header2 2 24 14 5" xfId="55021"/>
    <cellStyle name="Header2 2 24 15" xfId="10963"/>
    <cellStyle name="Header2 2 24 15 2" xfId="22160"/>
    <cellStyle name="Header2 2 24 15 3" xfId="33328"/>
    <cellStyle name="Header2 2 24 15 4" xfId="44493"/>
    <cellStyle name="Header2 2 24 15 5" xfId="55686"/>
    <cellStyle name="Header2 2 24 16" xfId="11610"/>
    <cellStyle name="Header2 2 24 17" xfId="22780"/>
    <cellStyle name="Header2 2 24 18" xfId="33947"/>
    <cellStyle name="Header2 2 24 19" xfId="45133"/>
    <cellStyle name="Header2 2 24 2" xfId="1059"/>
    <cellStyle name="Header2 2 24 2 2" xfId="12256"/>
    <cellStyle name="Header2 2 24 2 3" xfId="23424"/>
    <cellStyle name="Header2 2 24 2 4" xfId="34589"/>
    <cellStyle name="Header2 2 24 2 5" xfId="45782"/>
    <cellStyle name="Header2 2 24 3" xfId="1423"/>
    <cellStyle name="Header2 2 24 3 2" xfId="12620"/>
    <cellStyle name="Header2 2 24 3 3" xfId="23788"/>
    <cellStyle name="Header2 2 24 3 4" xfId="34953"/>
    <cellStyle name="Header2 2 24 3 5" xfId="46146"/>
    <cellStyle name="Header2 2 24 4" xfId="2760"/>
    <cellStyle name="Header2 2 24 4 2" xfId="13957"/>
    <cellStyle name="Header2 2 24 4 3" xfId="25125"/>
    <cellStyle name="Header2 2 24 4 4" xfId="36290"/>
    <cellStyle name="Header2 2 24 4 5" xfId="47483"/>
    <cellStyle name="Header2 2 24 5" xfId="3394"/>
    <cellStyle name="Header2 2 24 5 2" xfId="14591"/>
    <cellStyle name="Header2 2 24 5 3" xfId="25759"/>
    <cellStyle name="Header2 2 24 5 4" xfId="36924"/>
    <cellStyle name="Header2 2 24 5 5" xfId="48117"/>
    <cellStyle name="Header2 2 24 6" xfId="4028"/>
    <cellStyle name="Header2 2 24 6 2" xfId="15225"/>
    <cellStyle name="Header2 2 24 6 3" xfId="26393"/>
    <cellStyle name="Header2 2 24 6 4" xfId="37558"/>
    <cellStyle name="Header2 2 24 6 5" xfId="48751"/>
    <cellStyle name="Header2 2 24 7" xfId="4661"/>
    <cellStyle name="Header2 2 24 7 2" xfId="15858"/>
    <cellStyle name="Header2 2 24 7 3" xfId="27026"/>
    <cellStyle name="Header2 2 24 7 4" xfId="38191"/>
    <cellStyle name="Header2 2 24 7 5" xfId="49384"/>
    <cellStyle name="Header2 2 24 8" xfId="5292"/>
    <cellStyle name="Header2 2 24 8 2" xfId="16489"/>
    <cellStyle name="Header2 2 24 8 3" xfId="27657"/>
    <cellStyle name="Header2 2 24 8 4" xfId="38822"/>
    <cellStyle name="Header2 2 24 8 5" xfId="50015"/>
    <cellStyle name="Header2 2 24 9" xfId="6346"/>
    <cellStyle name="Header2 2 24 9 2" xfId="17543"/>
    <cellStyle name="Header2 2 24 9 3" xfId="28711"/>
    <cellStyle name="Header2 2 24 9 4" xfId="39876"/>
    <cellStyle name="Header2 2 24 9 5" xfId="51069"/>
    <cellStyle name="Header2 2 25" xfId="470"/>
    <cellStyle name="Header2 2 25 10" xfId="7039"/>
    <cellStyle name="Header2 2 25 10 2" xfId="18236"/>
    <cellStyle name="Header2 2 25 10 3" xfId="29404"/>
    <cellStyle name="Header2 2 25 10 4" xfId="40569"/>
    <cellStyle name="Header2 2 25 10 5" xfId="51762"/>
    <cellStyle name="Header2 2 25 11" xfId="7673"/>
    <cellStyle name="Header2 2 25 11 2" xfId="18870"/>
    <cellStyle name="Header2 2 25 11 3" xfId="30038"/>
    <cellStyle name="Header2 2 25 11 4" xfId="41203"/>
    <cellStyle name="Header2 2 25 11 5" xfId="52396"/>
    <cellStyle name="Header2 2 25 12" xfId="8307"/>
    <cellStyle name="Header2 2 25 12 2" xfId="19504"/>
    <cellStyle name="Header2 2 25 12 3" xfId="30672"/>
    <cellStyle name="Header2 2 25 12 4" xfId="41837"/>
    <cellStyle name="Header2 2 25 12 5" xfId="53030"/>
    <cellStyle name="Header2 2 25 13" xfId="9358"/>
    <cellStyle name="Header2 2 25 13 2" xfId="20555"/>
    <cellStyle name="Header2 2 25 13 3" xfId="31723"/>
    <cellStyle name="Header2 2 25 13 4" xfId="42888"/>
    <cellStyle name="Header2 2 25 13 5" xfId="54081"/>
    <cellStyle name="Header2 2 25 14" xfId="10547"/>
    <cellStyle name="Header2 2 25 14 2" xfId="21744"/>
    <cellStyle name="Header2 2 25 14 3" xfId="32912"/>
    <cellStyle name="Header2 2 25 14 4" xfId="44077"/>
    <cellStyle name="Header2 2 25 14 5" xfId="55270"/>
    <cellStyle name="Header2 2 25 15" xfId="11023"/>
    <cellStyle name="Header2 2 25 15 2" xfId="22220"/>
    <cellStyle name="Header2 2 25 15 3" xfId="33388"/>
    <cellStyle name="Header2 2 25 15 4" xfId="44553"/>
    <cellStyle name="Header2 2 25 15 5" xfId="55746"/>
    <cellStyle name="Header2 2 25 16" xfId="11670"/>
    <cellStyle name="Header2 2 25 17" xfId="22840"/>
    <cellStyle name="Header2 2 25 18" xfId="34007"/>
    <cellStyle name="Header2 2 25 19" xfId="45193"/>
    <cellStyle name="Header2 2 25 2" xfId="1119"/>
    <cellStyle name="Header2 2 25 2 2" xfId="12316"/>
    <cellStyle name="Header2 2 25 2 3" xfId="23484"/>
    <cellStyle name="Header2 2 25 2 4" xfId="34649"/>
    <cellStyle name="Header2 2 25 2 5" xfId="45842"/>
    <cellStyle name="Header2 2 25 3" xfId="1389"/>
    <cellStyle name="Header2 2 25 3 2" xfId="12586"/>
    <cellStyle name="Header2 2 25 3 3" xfId="23754"/>
    <cellStyle name="Header2 2 25 3 4" xfId="34919"/>
    <cellStyle name="Header2 2 25 3 5" xfId="46112"/>
    <cellStyle name="Header2 2 25 4" xfId="2820"/>
    <cellStyle name="Header2 2 25 4 2" xfId="14017"/>
    <cellStyle name="Header2 2 25 4 3" xfId="25185"/>
    <cellStyle name="Header2 2 25 4 4" xfId="36350"/>
    <cellStyle name="Header2 2 25 4 5" xfId="47543"/>
    <cellStyle name="Header2 2 25 5" xfId="3454"/>
    <cellStyle name="Header2 2 25 5 2" xfId="14651"/>
    <cellStyle name="Header2 2 25 5 3" xfId="25819"/>
    <cellStyle name="Header2 2 25 5 4" xfId="36984"/>
    <cellStyle name="Header2 2 25 5 5" xfId="48177"/>
    <cellStyle name="Header2 2 25 6" xfId="4088"/>
    <cellStyle name="Header2 2 25 6 2" xfId="15285"/>
    <cellStyle name="Header2 2 25 6 3" xfId="26453"/>
    <cellStyle name="Header2 2 25 6 4" xfId="37618"/>
    <cellStyle name="Header2 2 25 6 5" xfId="48811"/>
    <cellStyle name="Header2 2 25 7" xfId="4721"/>
    <cellStyle name="Header2 2 25 7 2" xfId="15918"/>
    <cellStyle name="Header2 2 25 7 3" xfId="27086"/>
    <cellStyle name="Header2 2 25 7 4" xfId="38251"/>
    <cellStyle name="Header2 2 25 7 5" xfId="49444"/>
    <cellStyle name="Header2 2 25 8" xfId="5352"/>
    <cellStyle name="Header2 2 25 8 2" xfId="16549"/>
    <cellStyle name="Header2 2 25 8 3" xfId="27717"/>
    <cellStyle name="Header2 2 25 8 4" xfId="38882"/>
    <cellStyle name="Header2 2 25 8 5" xfId="50075"/>
    <cellStyle name="Header2 2 25 9" xfId="6406"/>
    <cellStyle name="Header2 2 25 9 2" xfId="17603"/>
    <cellStyle name="Header2 2 25 9 3" xfId="28771"/>
    <cellStyle name="Header2 2 25 9 4" xfId="39936"/>
    <cellStyle name="Header2 2 25 9 5" xfId="51129"/>
    <cellStyle name="Header2 2 26" xfId="452"/>
    <cellStyle name="Header2 2 26 10" xfId="7021"/>
    <cellStyle name="Header2 2 26 10 2" xfId="18218"/>
    <cellStyle name="Header2 2 26 10 3" xfId="29386"/>
    <cellStyle name="Header2 2 26 10 4" xfId="40551"/>
    <cellStyle name="Header2 2 26 10 5" xfId="51744"/>
    <cellStyle name="Header2 2 26 11" xfId="7655"/>
    <cellStyle name="Header2 2 26 11 2" xfId="18852"/>
    <cellStyle name="Header2 2 26 11 3" xfId="30020"/>
    <cellStyle name="Header2 2 26 11 4" xfId="41185"/>
    <cellStyle name="Header2 2 26 11 5" xfId="52378"/>
    <cellStyle name="Header2 2 26 12" xfId="8289"/>
    <cellStyle name="Header2 2 26 12 2" xfId="19486"/>
    <cellStyle name="Header2 2 26 12 3" xfId="30654"/>
    <cellStyle name="Header2 2 26 12 4" xfId="41819"/>
    <cellStyle name="Header2 2 26 12 5" xfId="53012"/>
    <cellStyle name="Header2 2 26 13" xfId="9340"/>
    <cellStyle name="Header2 2 26 13 2" xfId="20537"/>
    <cellStyle name="Header2 2 26 13 3" xfId="31705"/>
    <cellStyle name="Header2 2 26 13 4" xfId="42870"/>
    <cellStyle name="Header2 2 26 13 5" xfId="54063"/>
    <cellStyle name="Header2 2 26 14" xfId="10345"/>
    <cellStyle name="Header2 2 26 14 2" xfId="21542"/>
    <cellStyle name="Header2 2 26 14 3" xfId="32710"/>
    <cellStyle name="Header2 2 26 14 4" xfId="43875"/>
    <cellStyle name="Header2 2 26 14 5" xfId="55068"/>
    <cellStyle name="Header2 2 26 15" xfId="11005"/>
    <cellStyle name="Header2 2 26 15 2" xfId="22202"/>
    <cellStyle name="Header2 2 26 15 3" xfId="33370"/>
    <cellStyle name="Header2 2 26 15 4" xfId="44535"/>
    <cellStyle name="Header2 2 26 15 5" xfId="55728"/>
    <cellStyle name="Header2 2 26 16" xfId="11652"/>
    <cellStyle name="Header2 2 26 17" xfId="22822"/>
    <cellStyle name="Header2 2 26 18" xfId="33989"/>
    <cellStyle name="Header2 2 26 19" xfId="45175"/>
    <cellStyle name="Header2 2 26 2" xfId="1101"/>
    <cellStyle name="Header2 2 26 2 2" xfId="12298"/>
    <cellStyle name="Header2 2 26 2 3" xfId="23466"/>
    <cellStyle name="Header2 2 26 2 4" xfId="34631"/>
    <cellStyle name="Header2 2 26 2 5" xfId="45824"/>
    <cellStyle name="Header2 2 26 3" xfId="1609"/>
    <cellStyle name="Header2 2 26 3 2" xfId="12806"/>
    <cellStyle name="Header2 2 26 3 3" xfId="23974"/>
    <cellStyle name="Header2 2 26 3 4" xfId="35139"/>
    <cellStyle name="Header2 2 26 3 5" xfId="46332"/>
    <cellStyle name="Header2 2 26 4" xfId="2802"/>
    <cellStyle name="Header2 2 26 4 2" xfId="13999"/>
    <cellStyle name="Header2 2 26 4 3" xfId="25167"/>
    <cellStyle name="Header2 2 26 4 4" xfId="36332"/>
    <cellStyle name="Header2 2 26 4 5" xfId="47525"/>
    <cellStyle name="Header2 2 26 5" xfId="3436"/>
    <cellStyle name="Header2 2 26 5 2" xfId="14633"/>
    <cellStyle name="Header2 2 26 5 3" xfId="25801"/>
    <cellStyle name="Header2 2 26 5 4" xfId="36966"/>
    <cellStyle name="Header2 2 26 5 5" xfId="48159"/>
    <cellStyle name="Header2 2 26 6" xfId="4070"/>
    <cellStyle name="Header2 2 26 6 2" xfId="15267"/>
    <cellStyle name="Header2 2 26 6 3" xfId="26435"/>
    <cellStyle name="Header2 2 26 6 4" xfId="37600"/>
    <cellStyle name="Header2 2 26 6 5" xfId="48793"/>
    <cellStyle name="Header2 2 26 7" xfId="4703"/>
    <cellStyle name="Header2 2 26 7 2" xfId="15900"/>
    <cellStyle name="Header2 2 26 7 3" xfId="27068"/>
    <cellStyle name="Header2 2 26 7 4" xfId="38233"/>
    <cellStyle name="Header2 2 26 7 5" xfId="49426"/>
    <cellStyle name="Header2 2 26 8" xfId="5334"/>
    <cellStyle name="Header2 2 26 8 2" xfId="16531"/>
    <cellStyle name="Header2 2 26 8 3" xfId="27699"/>
    <cellStyle name="Header2 2 26 8 4" xfId="38864"/>
    <cellStyle name="Header2 2 26 8 5" xfId="50057"/>
    <cellStyle name="Header2 2 26 9" xfId="6388"/>
    <cellStyle name="Header2 2 26 9 2" xfId="17585"/>
    <cellStyle name="Header2 2 26 9 3" xfId="28753"/>
    <cellStyle name="Header2 2 26 9 4" xfId="39918"/>
    <cellStyle name="Header2 2 26 9 5" xfId="51111"/>
    <cellStyle name="Header2 2 27" xfId="611"/>
    <cellStyle name="Header2 2 27 10" xfId="7180"/>
    <cellStyle name="Header2 2 27 10 2" xfId="18377"/>
    <cellStyle name="Header2 2 27 10 3" xfId="29545"/>
    <cellStyle name="Header2 2 27 10 4" xfId="40710"/>
    <cellStyle name="Header2 2 27 10 5" xfId="51903"/>
    <cellStyle name="Header2 2 27 11" xfId="7814"/>
    <cellStyle name="Header2 2 27 11 2" xfId="19011"/>
    <cellStyle name="Header2 2 27 11 3" xfId="30179"/>
    <cellStyle name="Header2 2 27 11 4" xfId="41344"/>
    <cellStyle name="Header2 2 27 11 5" xfId="52537"/>
    <cellStyle name="Header2 2 27 12" xfId="8448"/>
    <cellStyle name="Header2 2 27 12 2" xfId="19645"/>
    <cellStyle name="Header2 2 27 12 3" xfId="30813"/>
    <cellStyle name="Header2 2 27 12 4" xfId="41978"/>
    <cellStyle name="Header2 2 27 12 5" xfId="53171"/>
    <cellStyle name="Header2 2 27 13" xfId="9499"/>
    <cellStyle name="Header2 2 27 13 2" xfId="20696"/>
    <cellStyle name="Header2 2 27 13 3" xfId="31864"/>
    <cellStyle name="Header2 2 27 13 4" xfId="43029"/>
    <cellStyle name="Header2 2 27 13 5" xfId="54222"/>
    <cellStyle name="Header2 2 27 14" xfId="10461"/>
    <cellStyle name="Header2 2 27 14 2" xfId="21658"/>
    <cellStyle name="Header2 2 27 14 3" xfId="32826"/>
    <cellStyle name="Header2 2 27 14 4" xfId="43991"/>
    <cellStyle name="Header2 2 27 14 5" xfId="55184"/>
    <cellStyle name="Header2 2 27 15" xfId="11164"/>
    <cellStyle name="Header2 2 27 15 2" xfId="22361"/>
    <cellStyle name="Header2 2 27 15 3" xfId="33529"/>
    <cellStyle name="Header2 2 27 15 4" xfId="44694"/>
    <cellStyle name="Header2 2 27 15 5" xfId="55887"/>
    <cellStyle name="Header2 2 27 16" xfId="11811"/>
    <cellStyle name="Header2 2 27 17" xfId="22981"/>
    <cellStyle name="Header2 2 27 18" xfId="34148"/>
    <cellStyle name="Header2 2 27 19" xfId="45334"/>
    <cellStyle name="Header2 2 27 2" xfId="1260"/>
    <cellStyle name="Header2 2 27 2 2" xfId="12457"/>
    <cellStyle name="Header2 2 27 2 3" xfId="23625"/>
    <cellStyle name="Header2 2 27 2 4" xfId="34790"/>
    <cellStyle name="Header2 2 27 2 5" xfId="45983"/>
    <cellStyle name="Header2 2 27 3" xfId="1691"/>
    <cellStyle name="Header2 2 27 3 2" xfId="12888"/>
    <cellStyle name="Header2 2 27 3 3" xfId="24056"/>
    <cellStyle name="Header2 2 27 3 4" xfId="35221"/>
    <cellStyle name="Header2 2 27 3 5" xfId="46414"/>
    <cellStyle name="Header2 2 27 4" xfId="2961"/>
    <cellStyle name="Header2 2 27 4 2" xfId="14158"/>
    <cellStyle name="Header2 2 27 4 3" xfId="25326"/>
    <cellStyle name="Header2 2 27 4 4" xfId="36491"/>
    <cellStyle name="Header2 2 27 4 5" xfId="47684"/>
    <cellStyle name="Header2 2 27 5" xfId="3595"/>
    <cellStyle name="Header2 2 27 5 2" xfId="14792"/>
    <cellStyle name="Header2 2 27 5 3" xfId="25960"/>
    <cellStyle name="Header2 2 27 5 4" xfId="37125"/>
    <cellStyle name="Header2 2 27 5 5" xfId="48318"/>
    <cellStyle name="Header2 2 27 6" xfId="4229"/>
    <cellStyle name="Header2 2 27 6 2" xfId="15426"/>
    <cellStyle name="Header2 2 27 6 3" xfId="26594"/>
    <cellStyle name="Header2 2 27 6 4" xfId="37759"/>
    <cellStyle name="Header2 2 27 6 5" xfId="48952"/>
    <cellStyle name="Header2 2 27 7" xfId="4862"/>
    <cellStyle name="Header2 2 27 7 2" xfId="16059"/>
    <cellStyle name="Header2 2 27 7 3" xfId="27227"/>
    <cellStyle name="Header2 2 27 7 4" xfId="38392"/>
    <cellStyle name="Header2 2 27 7 5" xfId="49585"/>
    <cellStyle name="Header2 2 27 8" xfId="5493"/>
    <cellStyle name="Header2 2 27 8 2" xfId="16690"/>
    <cellStyle name="Header2 2 27 8 3" xfId="27858"/>
    <cellStyle name="Header2 2 27 8 4" xfId="39023"/>
    <cellStyle name="Header2 2 27 8 5" xfId="50216"/>
    <cellStyle name="Header2 2 27 9" xfId="6547"/>
    <cellStyle name="Header2 2 27 9 2" xfId="17744"/>
    <cellStyle name="Header2 2 27 9 3" xfId="28912"/>
    <cellStyle name="Header2 2 27 9 4" xfId="40077"/>
    <cellStyle name="Header2 2 27 9 5" xfId="51270"/>
    <cellStyle name="Header2 2 28" xfId="450"/>
    <cellStyle name="Header2 2 28 10" xfId="7019"/>
    <cellStyle name="Header2 2 28 10 2" xfId="18216"/>
    <cellStyle name="Header2 2 28 10 3" xfId="29384"/>
    <cellStyle name="Header2 2 28 10 4" xfId="40549"/>
    <cellStyle name="Header2 2 28 10 5" xfId="51742"/>
    <cellStyle name="Header2 2 28 11" xfId="7653"/>
    <cellStyle name="Header2 2 28 11 2" xfId="18850"/>
    <cellStyle name="Header2 2 28 11 3" xfId="30018"/>
    <cellStyle name="Header2 2 28 11 4" xfId="41183"/>
    <cellStyle name="Header2 2 28 11 5" xfId="52376"/>
    <cellStyle name="Header2 2 28 12" xfId="8287"/>
    <cellStyle name="Header2 2 28 12 2" xfId="19484"/>
    <cellStyle name="Header2 2 28 12 3" xfId="30652"/>
    <cellStyle name="Header2 2 28 12 4" xfId="41817"/>
    <cellStyle name="Header2 2 28 12 5" xfId="53010"/>
    <cellStyle name="Header2 2 28 13" xfId="9338"/>
    <cellStyle name="Header2 2 28 13 2" xfId="20535"/>
    <cellStyle name="Header2 2 28 13 3" xfId="31703"/>
    <cellStyle name="Header2 2 28 13 4" xfId="42868"/>
    <cellStyle name="Header2 2 28 13 5" xfId="54061"/>
    <cellStyle name="Header2 2 28 14" xfId="10497"/>
    <cellStyle name="Header2 2 28 14 2" xfId="21694"/>
    <cellStyle name="Header2 2 28 14 3" xfId="32862"/>
    <cellStyle name="Header2 2 28 14 4" xfId="44027"/>
    <cellStyle name="Header2 2 28 14 5" xfId="55220"/>
    <cellStyle name="Header2 2 28 15" xfId="11003"/>
    <cellStyle name="Header2 2 28 15 2" xfId="22200"/>
    <cellStyle name="Header2 2 28 15 3" xfId="33368"/>
    <cellStyle name="Header2 2 28 15 4" xfId="44533"/>
    <cellStyle name="Header2 2 28 15 5" xfId="55726"/>
    <cellStyle name="Header2 2 28 16" xfId="11650"/>
    <cellStyle name="Header2 2 28 17" xfId="22820"/>
    <cellStyle name="Header2 2 28 18" xfId="33987"/>
    <cellStyle name="Header2 2 28 19" xfId="45173"/>
    <cellStyle name="Header2 2 28 2" xfId="1099"/>
    <cellStyle name="Header2 2 28 2 2" xfId="12296"/>
    <cellStyle name="Header2 2 28 2 3" xfId="23464"/>
    <cellStyle name="Header2 2 28 2 4" xfId="34629"/>
    <cellStyle name="Header2 2 28 2 5" xfId="45822"/>
    <cellStyle name="Header2 2 28 3" xfId="1794"/>
    <cellStyle name="Header2 2 28 3 2" xfId="12991"/>
    <cellStyle name="Header2 2 28 3 3" xfId="24159"/>
    <cellStyle name="Header2 2 28 3 4" xfId="35324"/>
    <cellStyle name="Header2 2 28 3 5" xfId="46517"/>
    <cellStyle name="Header2 2 28 4" xfId="2800"/>
    <cellStyle name="Header2 2 28 4 2" xfId="13997"/>
    <cellStyle name="Header2 2 28 4 3" xfId="25165"/>
    <cellStyle name="Header2 2 28 4 4" xfId="36330"/>
    <cellStyle name="Header2 2 28 4 5" xfId="47523"/>
    <cellStyle name="Header2 2 28 5" xfId="3434"/>
    <cellStyle name="Header2 2 28 5 2" xfId="14631"/>
    <cellStyle name="Header2 2 28 5 3" xfId="25799"/>
    <cellStyle name="Header2 2 28 5 4" xfId="36964"/>
    <cellStyle name="Header2 2 28 5 5" xfId="48157"/>
    <cellStyle name="Header2 2 28 6" xfId="4068"/>
    <cellStyle name="Header2 2 28 6 2" xfId="15265"/>
    <cellStyle name="Header2 2 28 6 3" xfId="26433"/>
    <cellStyle name="Header2 2 28 6 4" xfId="37598"/>
    <cellStyle name="Header2 2 28 6 5" xfId="48791"/>
    <cellStyle name="Header2 2 28 7" xfId="4701"/>
    <cellStyle name="Header2 2 28 7 2" xfId="15898"/>
    <cellStyle name="Header2 2 28 7 3" xfId="27066"/>
    <cellStyle name="Header2 2 28 7 4" xfId="38231"/>
    <cellStyle name="Header2 2 28 7 5" xfId="49424"/>
    <cellStyle name="Header2 2 28 8" xfId="5332"/>
    <cellStyle name="Header2 2 28 8 2" xfId="16529"/>
    <cellStyle name="Header2 2 28 8 3" xfId="27697"/>
    <cellStyle name="Header2 2 28 8 4" xfId="38862"/>
    <cellStyle name="Header2 2 28 8 5" xfId="50055"/>
    <cellStyle name="Header2 2 28 9" xfId="6386"/>
    <cellStyle name="Header2 2 28 9 2" xfId="17583"/>
    <cellStyle name="Header2 2 28 9 3" xfId="28751"/>
    <cellStyle name="Header2 2 28 9 4" xfId="39916"/>
    <cellStyle name="Header2 2 28 9 5" xfId="51109"/>
    <cellStyle name="Header2 2 29" xfId="616"/>
    <cellStyle name="Header2 2 29 10" xfId="7185"/>
    <cellStyle name="Header2 2 29 10 2" xfId="18382"/>
    <cellStyle name="Header2 2 29 10 3" xfId="29550"/>
    <cellStyle name="Header2 2 29 10 4" xfId="40715"/>
    <cellStyle name="Header2 2 29 10 5" xfId="51908"/>
    <cellStyle name="Header2 2 29 11" xfId="7819"/>
    <cellStyle name="Header2 2 29 11 2" xfId="19016"/>
    <cellStyle name="Header2 2 29 11 3" xfId="30184"/>
    <cellStyle name="Header2 2 29 11 4" xfId="41349"/>
    <cellStyle name="Header2 2 29 11 5" xfId="52542"/>
    <cellStyle name="Header2 2 29 12" xfId="8453"/>
    <cellStyle name="Header2 2 29 12 2" xfId="19650"/>
    <cellStyle name="Header2 2 29 12 3" xfId="30818"/>
    <cellStyle name="Header2 2 29 12 4" xfId="41983"/>
    <cellStyle name="Header2 2 29 12 5" xfId="53176"/>
    <cellStyle name="Header2 2 29 13" xfId="9504"/>
    <cellStyle name="Header2 2 29 13 2" xfId="20701"/>
    <cellStyle name="Header2 2 29 13 3" xfId="31869"/>
    <cellStyle name="Header2 2 29 13 4" xfId="43034"/>
    <cellStyle name="Header2 2 29 13 5" xfId="54227"/>
    <cellStyle name="Header2 2 29 14" xfId="9628"/>
    <cellStyle name="Header2 2 29 14 2" xfId="20825"/>
    <cellStyle name="Header2 2 29 14 3" xfId="31993"/>
    <cellStyle name="Header2 2 29 14 4" xfId="43158"/>
    <cellStyle name="Header2 2 29 14 5" xfId="54351"/>
    <cellStyle name="Header2 2 29 15" xfId="11169"/>
    <cellStyle name="Header2 2 29 15 2" xfId="22366"/>
    <cellStyle name="Header2 2 29 15 3" xfId="33534"/>
    <cellStyle name="Header2 2 29 15 4" xfId="44699"/>
    <cellStyle name="Header2 2 29 15 5" xfId="55892"/>
    <cellStyle name="Header2 2 29 16" xfId="11816"/>
    <cellStyle name="Header2 2 29 17" xfId="22986"/>
    <cellStyle name="Header2 2 29 18" xfId="34153"/>
    <cellStyle name="Header2 2 29 19" xfId="45339"/>
    <cellStyle name="Header2 2 29 2" xfId="1265"/>
    <cellStyle name="Header2 2 29 2 2" xfId="12462"/>
    <cellStyle name="Header2 2 29 2 3" xfId="23630"/>
    <cellStyle name="Header2 2 29 2 4" xfId="34795"/>
    <cellStyle name="Header2 2 29 2 5" xfId="45988"/>
    <cellStyle name="Header2 2 29 3" xfId="1473"/>
    <cellStyle name="Header2 2 29 3 2" xfId="12670"/>
    <cellStyle name="Header2 2 29 3 3" xfId="23838"/>
    <cellStyle name="Header2 2 29 3 4" xfId="35003"/>
    <cellStyle name="Header2 2 29 3 5" xfId="46196"/>
    <cellStyle name="Header2 2 29 4" xfId="2966"/>
    <cellStyle name="Header2 2 29 4 2" xfId="14163"/>
    <cellStyle name="Header2 2 29 4 3" xfId="25331"/>
    <cellStyle name="Header2 2 29 4 4" xfId="36496"/>
    <cellStyle name="Header2 2 29 4 5" xfId="47689"/>
    <cellStyle name="Header2 2 29 5" xfId="3600"/>
    <cellStyle name="Header2 2 29 5 2" xfId="14797"/>
    <cellStyle name="Header2 2 29 5 3" xfId="25965"/>
    <cellStyle name="Header2 2 29 5 4" xfId="37130"/>
    <cellStyle name="Header2 2 29 5 5" xfId="48323"/>
    <cellStyle name="Header2 2 29 6" xfId="4234"/>
    <cellStyle name="Header2 2 29 6 2" xfId="15431"/>
    <cellStyle name="Header2 2 29 6 3" xfId="26599"/>
    <cellStyle name="Header2 2 29 6 4" xfId="37764"/>
    <cellStyle name="Header2 2 29 6 5" xfId="48957"/>
    <cellStyle name="Header2 2 29 7" xfId="4867"/>
    <cellStyle name="Header2 2 29 7 2" xfId="16064"/>
    <cellStyle name="Header2 2 29 7 3" xfId="27232"/>
    <cellStyle name="Header2 2 29 7 4" xfId="38397"/>
    <cellStyle name="Header2 2 29 7 5" xfId="49590"/>
    <cellStyle name="Header2 2 29 8" xfId="5498"/>
    <cellStyle name="Header2 2 29 8 2" xfId="16695"/>
    <cellStyle name="Header2 2 29 8 3" xfId="27863"/>
    <cellStyle name="Header2 2 29 8 4" xfId="39028"/>
    <cellStyle name="Header2 2 29 8 5" xfId="50221"/>
    <cellStyle name="Header2 2 29 9" xfId="6552"/>
    <cellStyle name="Header2 2 29 9 2" xfId="17749"/>
    <cellStyle name="Header2 2 29 9 3" xfId="28917"/>
    <cellStyle name="Header2 2 29 9 4" xfId="40082"/>
    <cellStyle name="Header2 2 29 9 5" xfId="51275"/>
    <cellStyle name="Header2 2 3" xfId="76"/>
    <cellStyle name="Header2 2 3 10" xfId="612"/>
    <cellStyle name="Header2 2 3 10 10" xfId="7181"/>
    <cellStyle name="Header2 2 3 10 10 2" xfId="18378"/>
    <cellStyle name="Header2 2 3 10 10 3" xfId="29546"/>
    <cellStyle name="Header2 2 3 10 10 4" xfId="40711"/>
    <cellStyle name="Header2 2 3 10 10 5" xfId="51904"/>
    <cellStyle name="Header2 2 3 10 11" xfId="7815"/>
    <cellStyle name="Header2 2 3 10 11 2" xfId="19012"/>
    <cellStyle name="Header2 2 3 10 11 3" xfId="30180"/>
    <cellStyle name="Header2 2 3 10 11 4" xfId="41345"/>
    <cellStyle name="Header2 2 3 10 11 5" xfId="52538"/>
    <cellStyle name="Header2 2 3 10 12" xfId="8449"/>
    <cellStyle name="Header2 2 3 10 12 2" xfId="19646"/>
    <cellStyle name="Header2 2 3 10 12 3" xfId="30814"/>
    <cellStyle name="Header2 2 3 10 12 4" xfId="41979"/>
    <cellStyle name="Header2 2 3 10 12 5" xfId="53172"/>
    <cellStyle name="Header2 2 3 10 13" xfId="9500"/>
    <cellStyle name="Header2 2 3 10 13 2" xfId="20697"/>
    <cellStyle name="Header2 2 3 10 13 3" xfId="31865"/>
    <cellStyle name="Header2 2 3 10 13 4" xfId="43030"/>
    <cellStyle name="Header2 2 3 10 13 5" xfId="54223"/>
    <cellStyle name="Header2 2 3 10 14" xfId="10338"/>
    <cellStyle name="Header2 2 3 10 14 2" xfId="21535"/>
    <cellStyle name="Header2 2 3 10 14 3" xfId="32703"/>
    <cellStyle name="Header2 2 3 10 14 4" xfId="43868"/>
    <cellStyle name="Header2 2 3 10 14 5" xfId="55061"/>
    <cellStyle name="Header2 2 3 10 15" xfId="11165"/>
    <cellStyle name="Header2 2 3 10 15 2" xfId="22362"/>
    <cellStyle name="Header2 2 3 10 15 3" xfId="33530"/>
    <cellStyle name="Header2 2 3 10 15 4" xfId="44695"/>
    <cellStyle name="Header2 2 3 10 15 5" xfId="55888"/>
    <cellStyle name="Header2 2 3 10 16" xfId="11812"/>
    <cellStyle name="Header2 2 3 10 17" xfId="22982"/>
    <cellStyle name="Header2 2 3 10 18" xfId="34149"/>
    <cellStyle name="Header2 2 3 10 19" xfId="45335"/>
    <cellStyle name="Header2 2 3 10 2" xfId="1261"/>
    <cellStyle name="Header2 2 3 10 2 2" xfId="12458"/>
    <cellStyle name="Header2 2 3 10 2 3" xfId="23626"/>
    <cellStyle name="Header2 2 3 10 2 4" xfId="34791"/>
    <cellStyle name="Header2 2 3 10 2 5" xfId="45984"/>
    <cellStyle name="Header2 2 3 10 3" xfId="1697"/>
    <cellStyle name="Header2 2 3 10 3 2" xfId="12894"/>
    <cellStyle name="Header2 2 3 10 3 3" xfId="24062"/>
    <cellStyle name="Header2 2 3 10 3 4" xfId="35227"/>
    <cellStyle name="Header2 2 3 10 3 5" xfId="46420"/>
    <cellStyle name="Header2 2 3 10 4" xfId="2962"/>
    <cellStyle name="Header2 2 3 10 4 2" xfId="14159"/>
    <cellStyle name="Header2 2 3 10 4 3" xfId="25327"/>
    <cellStyle name="Header2 2 3 10 4 4" xfId="36492"/>
    <cellStyle name="Header2 2 3 10 4 5" xfId="47685"/>
    <cellStyle name="Header2 2 3 10 5" xfId="3596"/>
    <cellStyle name="Header2 2 3 10 5 2" xfId="14793"/>
    <cellStyle name="Header2 2 3 10 5 3" xfId="25961"/>
    <cellStyle name="Header2 2 3 10 5 4" xfId="37126"/>
    <cellStyle name="Header2 2 3 10 5 5" xfId="48319"/>
    <cellStyle name="Header2 2 3 10 6" xfId="4230"/>
    <cellStyle name="Header2 2 3 10 6 2" xfId="15427"/>
    <cellStyle name="Header2 2 3 10 6 3" xfId="26595"/>
    <cellStyle name="Header2 2 3 10 6 4" xfId="37760"/>
    <cellStyle name="Header2 2 3 10 6 5" xfId="48953"/>
    <cellStyle name="Header2 2 3 10 7" xfId="4863"/>
    <cellStyle name="Header2 2 3 10 7 2" xfId="16060"/>
    <cellStyle name="Header2 2 3 10 7 3" xfId="27228"/>
    <cellStyle name="Header2 2 3 10 7 4" xfId="38393"/>
    <cellStyle name="Header2 2 3 10 7 5" xfId="49586"/>
    <cellStyle name="Header2 2 3 10 8" xfId="5494"/>
    <cellStyle name="Header2 2 3 10 8 2" xfId="16691"/>
    <cellStyle name="Header2 2 3 10 8 3" xfId="27859"/>
    <cellStyle name="Header2 2 3 10 8 4" xfId="39024"/>
    <cellStyle name="Header2 2 3 10 8 5" xfId="50217"/>
    <cellStyle name="Header2 2 3 10 9" xfId="6548"/>
    <cellStyle name="Header2 2 3 10 9 2" xfId="17745"/>
    <cellStyle name="Header2 2 3 10 9 3" xfId="28913"/>
    <cellStyle name="Header2 2 3 10 9 4" xfId="40078"/>
    <cellStyle name="Header2 2 3 10 9 5" xfId="51271"/>
    <cellStyle name="Header2 2 3 11" xfId="679"/>
    <cellStyle name="Header2 2 3 11 10" xfId="7248"/>
    <cellStyle name="Header2 2 3 11 10 2" xfId="18445"/>
    <cellStyle name="Header2 2 3 11 10 3" xfId="29613"/>
    <cellStyle name="Header2 2 3 11 10 4" xfId="40778"/>
    <cellStyle name="Header2 2 3 11 10 5" xfId="51971"/>
    <cellStyle name="Header2 2 3 11 11" xfId="7882"/>
    <cellStyle name="Header2 2 3 11 11 2" xfId="19079"/>
    <cellStyle name="Header2 2 3 11 11 3" xfId="30247"/>
    <cellStyle name="Header2 2 3 11 11 4" xfId="41412"/>
    <cellStyle name="Header2 2 3 11 11 5" xfId="52605"/>
    <cellStyle name="Header2 2 3 11 12" xfId="8516"/>
    <cellStyle name="Header2 2 3 11 12 2" xfId="19713"/>
    <cellStyle name="Header2 2 3 11 12 3" xfId="30881"/>
    <cellStyle name="Header2 2 3 11 12 4" xfId="42046"/>
    <cellStyle name="Header2 2 3 11 12 5" xfId="53239"/>
    <cellStyle name="Header2 2 3 11 13" xfId="9567"/>
    <cellStyle name="Header2 2 3 11 13 2" xfId="20764"/>
    <cellStyle name="Header2 2 3 11 13 3" xfId="31932"/>
    <cellStyle name="Header2 2 3 11 13 4" xfId="43097"/>
    <cellStyle name="Header2 2 3 11 13 5" xfId="54290"/>
    <cellStyle name="Header2 2 3 11 14" xfId="10258"/>
    <cellStyle name="Header2 2 3 11 14 2" xfId="21455"/>
    <cellStyle name="Header2 2 3 11 14 3" xfId="32623"/>
    <cellStyle name="Header2 2 3 11 14 4" xfId="43788"/>
    <cellStyle name="Header2 2 3 11 14 5" xfId="54981"/>
    <cellStyle name="Header2 2 3 11 15" xfId="11232"/>
    <cellStyle name="Header2 2 3 11 15 2" xfId="22429"/>
    <cellStyle name="Header2 2 3 11 15 3" xfId="33597"/>
    <cellStyle name="Header2 2 3 11 15 4" xfId="44762"/>
    <cellStyle name="Header2 2 3 11 15 5" xfId="55955"/>
    <cellStyle name="Header2 2 3 11 16" xfId="11879"/>
    <cellStyle name="Header2 2 3 11 17" xfId="23049"/>
    <cellStyle name="Header2 2 3 11 18" xfId="34216"/>
    <cellStyle name="Header2 2 3 11 19" xfId="45402"/>
    <cellStyle name="Header2 2 3 11 2" xfId="1328"/>
    <cellStyle name="Header2 2 3 11 2 2" xfId="12525"/>
    <cellStyle name="Header2 2 3 11 2 3" xfId="23693"/>
    <cellStyle name="Header2 2 3 11 2 4" xfId="34858"/>
    <cellStyle name="Header2 2 3 11 2 5" xfId="46051"/>
    <cellStyle name="Header2 2 3 11 3" xfId="1583"/>
    <cellStyle name="Header2 2 3 11 3 2" xfId="12780"/>
    <cellStyle name="Header2 2 3 11 3 3" xfId="23948"/>
    <cellStyle name="Header2 2 3 11 3 4" xfId="35113"/>
    <cellStyle name="Header2 2 3 11 3 5" xfId="46306"/>
    <cellStyle name="Header2 2 3 11 4" xfId="3029"/>
    <cellStyle name="Header2 2 3 11 4 2" xfId="14226"/>
    <cellStyle name="Header2 2 3 11 4 3" xfId="25394"/>
    <cellStyle name="Header2 2 3 11 4 4" xfId="36559"/>
    <cellStyle name="Header2 2 3 11 4 5" xfId="47752"/>
    <cellStyle name="Header2 2 3 11 5" xfId="3663"/>
    <cellStyle name="Header2 2 3 11 5 2" xfId="14860"/>
    <cellStyle name="Header2 2 3 11 5 3" xfId="26028"/>
    <cellStyle name="Header2 2 3 11 5 4" xfId="37193"/>
    <cellStyle name="Header2 2 3 11 5 5" xfId="48386"/>
    <cellStyle name="Header2 2 3 11 6" xfId="4297"/>
    <cellStyle name="Header2 2 3 11 6 2" xfId="15494"/>
    <cellStyle name="Header2 2 3 11 6 3" xfId="26662"/>
    <cellStyle name="Header2 2 3 11 6 4" xfId="37827"/>
    <cellStyle name="Header2 2 3 11 6 5" xfId="49020"/>
    <cellStyle name="Header2 2 3 11 7" xfId="4930"/>
    <cellStyle name="Header2 2 3 11 7 2" xfId="16127"/>
    <cellStyle name="Header2 2 3 11 7 3" xfId="27295"/>
    <cellStyle name="Header2 2 3 11 7 4" xfId="38460"/>
    <cellStyle name="Header2 2 3 11 7 5" xfId="49653"/>
    <cellStyle name="Header2 2 3 11 8" xfId="5561"/>
    <cellStyle name="Header2 2 3 11 8 2" xfId="16758"/>
    <cellStyle name="Header2 2 3 11 8 3" xfId="27926"/>
    <cellStyle name="Header2 2 3 11 8 4" xfId="39091"/>
    <cellStyle name="Header2 2 3 11 8 5" xfId="50284"/>
    <cellStyle name="Header2 2 3 11 9" xfId="6615"/>
    <cellStyle name="Header2 2 3 11 9 2" xfId="17812"/>
    <cellStyle name="Header2 2 3 11 9 3" xfId="28980"/>
    <cellStyle name="Header2 2 3 11 9 4" xfId="40145"/>
    <cellStyle name="Header2 2 3 11 9 5" xfId="51338"/>
    <cellStyle name="Header2 2 3 12" xfId="726"/>
    <cellStyle name="Header2 2 3 12 2" xfId="11924"/>
    <cellStyle name="Header2 2 3 12 3" xfId="23093"/>
    <cellStyle name="Header2 2 3 12 4" xfId="34258"/>
    <cellStyle name="Header2 2 3 12 5" xfId="45449"/>
    <cellStyle name="Header2 2 3 13" xfId="1757"/>
    <cellStyle name="Header2 2 3 13 2" xfId="12954"/>
    <cellStyle name="Header2 2 3 13 3" xfId="24122"/>
    <cellStyle name="Header2 2 3 13 4" xfId="35287"/>
    <cellStyle name="Header2 2 3 13 5" xfId="46480"/>
    <cellStyle name="Header2 2 3 14" xfId="2302"/>
    <cellStyle name="Header2 2 3 14 2" xfId="13499"/>
    <cellStyle name="Header2 2 3 14 3" xfId="24667"/>
    <cellStyle name="Header2 2 3 14 4" xfId="35832"/>
    <cellStyle name="Header2 2 3 14 5" xfId="47025"/>
    <cellStyle name="Header2 2 3 15" xfId="3060"/>
    <cellStyle name="Header2 2 3 15 2" xfId="14257"/>
    <cellStyle name="Header2 2 3 15 3" xfId="25425"/>
    <cellStyle name="Header2 2 3 15 4" xfId="36590"/>
    <cellStyle name="Header2 2 3 15 5" xfId="47783"/>
    <cellStyle name="Header2 2 3 16" xfId="3695"/>
    <cellStyle name="Header2 2 3 16 2" xfId="14892"/>
    <cellStyle name="Header2 2 3 16 3" xfId="26060"/>
    <cellStyle name="Header2 2 3 16 4" xfId="37225"/>
    <cellStyle name="Header2 2 3 16 5" xfId="48418"/>
    <cellStyle name="Header2 2 3 17" xfId="4327"/>
    <cellStyle name="Header2 2 3 17 2" xfId="15524"/>
    <cellStyle name="Header2 2 3 17 3" xfId="26692"/>
    <cellStyle name="Header2 2 3 17 4" xfId="37857"/>
    <cellStyle name="Header2 2 3 17 5" xfId="49050"/>
    <cellStyle name="Header2 2 3 18" xfId="4960"/>
    <cellStyle name="Header2 2 3 18 2" xfId="16157"/>
    <cellStyle name="Header2 2 3 18 3" xfId="27325"/>
    <cellStyle name="Header2 2 3 18 4" xfId="38490"/>
    <cellStyle name="Header2 2 3 18 5" xfId="49683"/>
    <cellStyle name="Header2 2 3 19" xfId="5950"/>
    <cellStyle name="Header2 2 3 19 2" xfId="17147"/>
    <cellStyle name="Header2 2 3 19 3" xfId="28315"/>
    <cellStyle name="Header2 2 3 19 4" xfId="39480"/>
    <cellStyle name="Header2 2 3 19 5" xfId="50673"/>
    <cellStyle name="Header2 2 3 2" xfId="141"/>
    <cellStyle name="Header2 2 3 2 10" xfId="6710"/>
    <cellStyle name="Header2 2 3 2 10 2" xfId="17907"/>
    <cellStyle name="Header2 2 3 2 10 3" xfId="29075"/>
    <cellStyle name="Header2 2 3 2 10 4" xfId="40240"/>
    <cellStyle name="Header2 2 3 2 10 5" xfId="51433"/>
    <cellStyle name="Header2 2 3 2 11" xfId="7344"/>
    <cellStyle name="Header2 2 3 2 11 2" xfId="18541"/>
    <cellStyle name="Header2 2 3 2 11 3" xfId="29709"/>
    <cellStyle name="Header2 2 3 2 11 4" xfId="40874"/>
    <cellStyle name="Header2 2 3 2 11 5" xfId="52067"/>
    <cellStyle name="Header2 2 3 2 12" xfId="7978"/>
    <cellStyle name="Header2 2 3 2 12 2" xfId="19175"/>
    <cellStyle name="Header2 2 3 2 12 3" xfId="30343"/>
    <cellStyle name="Header2 2 3 2 12 4" xfId="41508"/>
    <cellStyle name="Header2 2 3 2 12 5" xfId="52701"/>
    <cellStyle name="Header2 2 3 2 13" xfId="8550"/>
    <cellStyle name="Header2 2 3 2 13 2" xfId="19747"/>
    <cellStyle name="Header2 2 3 2 13 3" xfId="30915"/>
    <cellStyle name="Header2 2 3 2 13 4" xfId="42080"/>
    <cellStyle name="Header2 2 3 2 13 5" xfId="53273"/>
    <cellStyle name="Header2 2 3 2 14" xfId="10358"/>
    <cellStyle name="Header2 2 3 2 14 2" xfId="21555"/>
    <cellStyle name="Header2 2 3 2 14 3" xfId="32723"/>
    <cellStyle name="Header2 2 3 2 14 4" xfId="43888"/>
    <cellStyle name="Header2 2 3 2 14 5" xfId="55081"/>
    <cellStyle name="Header2 2 3 2 15" xfId="10694"/>
    <cellStyle name="Header2 2 3 2 15 2" xfId="21891"/>
    <cellStyle name="Header2 2 3 2 15 3" xfId="33059"/>
    <cellStyle name="Header2 2 3 2 15 4" xfId="44224"/>
    <cellStyle name="Header2 2 3 2 15 5" xfId="55417"/>
    <cellStyle name="Header2 2 3 2 16" xfId="11341"/>
    <cellStyle name="Header2 2 3 2 17" xfId="22511"/>
    <cellStyle name="Header2 2 3 2 18" xfId="33678"/>
    <cellStyle name="Header2 2 3 2 19" xfId="44864"/>
    <cellStyle name="Header2 2 3 2 2" xfId="790"/>
    <cellStyle name="Header2 2 3 2 2 2" xfId="11987"/>
    <cellStyle name="Header2 2 3 2 2 3" xfId="23155"/>
    <cellStyle name="Header2 2 3 2 2 4" xfId="34320"/>
    <cellStyle name="Header2 2 3 2 2 5" xfId="45513"/>
    <cellStyle name="Header2 2 3 2 3" xfId="1689"/>
    <cellStyle name="Header2 2 3 2 3 2" xfId="12886"/>
    <cellStyle name="Header2 2 3 2 3 3" xfId="24054"/>
    <cellStyle name="Header2 2 3 2 3 4" xfId="35219"/>
    <cellStyle name="Header2 2 3 2 3 5" xfId="46412"/>
    <cellStyle name="Header2 2 3 2 4" xfId="2357"/>
    <cellStyle name="Header2 2 3 2 4 2" xfId="13554"/>
    <cellStyle name="Header2 2 3 2 4 3" xfId="24722"/>
    <cellStyle name="Header2 2 3 2 4 4" xfId="35887"/>
    <cellStyle name="Header2 2 3 2 4 5" xfId="47080"/>
    <cellStyle name="Header2 2 3 2 5" xfId="3125"/>
    <cellStyle name="Header2 2 3 2 5 2" xfId="14322"/>
    <cellStyle name="Header2 2 3 2 5 3" xfId="25490"/>
    <cellStyle name="Header2 2 3 2 5 4" xfId="36655"/>
    <cellStyle name="Header2 2 3 2 5 5" xfId="47848"/>
    <cellStyle name="Header2 2 3 2 6" xfId="3759"/>
    <cellStyle name="Header2 2 3 2 6 2" xfId="14956"/>
    <cellStyle name="Header2 2 3 2 6 3" xfId="26124"/>
    <cellStyle name="Header2 2 3 2 6 4" xfId="37289"/>
    <cellStyle name="Header2 2 3 2 6 5" xfId="48482"/>
    <cellStyle name="Header2 2 3 2 7" xfId="4392"/>
    <cellStyle name="Header2 2 3 2 7 2" xfId="15589"/>
    <cellStyle name="Header2 2 3 2 7 3" xfId="26757"/>
    <cellStyle name="Header2 2 3 2 7 4" xfId="37922"/>
    <cellStyle name="Header2 2 3 2 7 5" xfId="49115"/>
    <cellStyle name="Header2 2 3 2 8" xfId="5023"/>
    <cellStyle name="Header2 2 3 2 8 2" xfId="16220"/>
    <cellStyle name="Header2 2 3 2 8 3" xfId="27388"/>
    <cellStyle name="Header2 2 3 2 8 4" xfId="38553"/>
    <cellStyle name="Header2 2 3 2 8 5" xfId="49746"/>
    <cellStyle name="Header2 2 3 2 9" xfId="5647"/>
    <cellStyle name="Header2 2 3 2 9 2" xfId="16844"/>
    <cellStyle name="Header2 2 3 2 9 3" xfId="28012"/>
    <cellStyle name="Header2 2 3 2 9 4" xfId="39177"/>
    <cellStyle name="Header2 2 3 2 9 5" xfId="50370"/>
    <cellStyle name="Header2 2 3 20" xfId="6647"/>
    <cellStyle name="Header2 2 3 20 2" xfId="17844"/>
    <cellStyle name="Header2 2 3 20 3" xfId="29012"/>
    <cellStyle name="Header2 2 3 20 4" xfId="40177"/>
    <cellStyle name="Header2 2 3 20 5" xfId="51370"/>
    <cellStyle name="Header2 2 3 21" xfId="7279"/>
    <cellStyle name="Header2 2 3 21 2" xfId="18476"/>
    <cellStyle name="Header2 2 3 21 3" xfId="29644"/>
    <cellStyle name="Header2 2 3 21 4" xfId="40809"/>
    <cellStyle name="Header2 2 3 21 5" xfId="52002"/>
    <cellStyle name="Header2 2 3 22" xfId="7913"/>
    <cellStyle name="Header2 2 3 22 2" xfId="19110"/>
    <cellStyle name="Header2 2 3 22 3" xfId="30278"/>
    <cellStyle name="Header2 2 3 22 4" xfId="41443"/>
    <cellStyle name="Header2 2 3 22 5" xfId="52636"/>
    <cellStyle name="Header2 2 3 23" xfId="9029"/>
    <cellStyle name="Header2 2 3 23 2" xfId="20226"/>
    <cellStyle name="Header2 2 3 23 3" xfId="31394"/>
    <cellStyle name="Header2 2 3 23 4" xfId="42559"/>
    <cellStyle name="Header2 2 3 23 5" xfId="53752"/>
    <cellStyle name="Header2 2 3 24" xfId="10427"/>
    <cellStyle name="Header2 2 3 24 2" xfId="21624"/>
    <cellStyle name="Header2 2 3 24 3" xfId="32792"/>
    <cellStyle name="Header2 2 3 24 4" xfId="43957"/>
    <cellStyle name="Header2 2 3 24 5" xfId="55150"/>
    <cellStyle name="Header2 2 3 25" xfId="10632"/>
    <cellStyle name="Header2 2 3 25 2" xfId="21829"/>
    <cellStyle name="Header2 2 3 25 3" xfId="32997"/>
    <cellStyle name="Header2 2 3 25 4" xfId="44162"/>
    <cellStyle name="Header2 2 3 25 5" xfId="55355"/>
    <cellStyle name="Header2 2 3 26" xfId="11277"/>
    <cellStyle name="Header2 2 3 27" xfId="22449"/>
    <cellStyle name="Header2 2 3 28" xfId="33616"/>
    <cellStyle name="Header2 2 3 29" xfId="44800"/>
    <cellStyle name="Header2 2 3 3" xfId="197"/>
    <cellStyle name="Header2 2 3 3 10" xfId="6766"/>
    <cellStyle name="Header2 2 3 3 10 2" xfId="17963"/>
    <cellStyle name="Header2 2 3 3 10 3" xfId="29131"/>
    <cellStyle name="Header2 2 3 3 10 4" xfId="40296"/>
    <cellStyle name="Header2 2 3 3 10 5" xfId="51489"/>
    <cellStyle name="Header2 2 3 3 11" xfId="7400"/>
    <cellStyle name="Header2 2 3 3 11 2" xfId="18597"/>
    <cellStyle name="Header2 2 3 3 11 3" xfId="29765"/>
    <cellStyle name="Header2 2 3 3 11 4" xfId="40930"/>
    <cellStyle name="Header2 2 3 3 11 5" xfId="52123"/>
    <cellStyle name="Header2 2 3 3 12" xfId="8034"/>
    <cellStyle name="Header2 2 3 3 12 2" xfId="19231"/>
    <cellStyle name="Header2 2 3 3 12 3" xfId="30399"/>
    <cellStyle name="Header2 2 3 3 12 4" xfId="41564"/>
    <cellStyle name="Header2 2 3 3 12 5" xfId="52757"/>
    <cellStyle name="Header2 2 3 3 13" xfId="8590"/>
    <cellStyle name="Header2 2 3 3 13 2" xfId="19787"/>
    <cellStyle name="Header2 2 3 3 13 3" xfId="30955"/>
    <cellStyle name="Header2 2 3 3 13 4" xfId="42120"/>
    <cellStyle name="Header2 2 3 3 13 5" xfId="53313"/>
    <cellStyle name="Header2 2 3 3 14" xfId="10394"/>
    <cellStyle name="Header2 2 3 3 14 2" xfId="21591"/>
    <cellStyle name="Header2 2 3 3 14 3" xfId="32759"/>
    <cellStyle name="Header2 2 3 3 14 4" xfId="43924"/>
    <cellStyle name="Header2 2 3 3 14 5" xfId="55117"/>
    <cellStyle name="Header2 2 3 3 15" xfId="10750"/>
    <cellStyle name="Header2 2 3 3 15 2" xfId="21947"/>
    <cellStyle name="Header2 2 3 3 15 3" xfId="33115"/>
    <cellStyle name="Header2 2 3 3 15 4" xfId="44280"/>
    <cellStyle name="Header2 2 3 3 15 5" xfId="55473"/>
    <cellStyle name="Header2 2 3 3 16" xfId="11397"/>
    <cellStyle name="Header2 2 3 3 17" xfId="22567"/>
    <cellStyle name="Header2 2 3 3 18" xfId="33734"/>
    <cellStyle name="Header2 2 3 3 19" xfId="44920"/>
    <cellStyle name="Header2 2 3 3 2" xfId="846"/>
    <cellStyle name="Header2 2 3 3 2 2" xfId="12043"/>
    <cellStyle name="Header2 2 3 3 2 3" xfId="23211"/>
    <cellStyle name="Header2 2 3 3 2 4" xfId="34376"/>
    <cellStyle name="Header2 2 3 3 2 5" xfId="45569"/>
    <cellStyle name="Header2 2 3 3 3" xfId="1696"/>
    <cellStyle name="Header2 2 3 3 3 2" xfId="12893"/>
    <cellStyle name="Header2 2 3 3 3 3" xfId="24061"/>
    <cellStyle name="Header2 2 3 3 3 4" xfId="35226"/>
    <cellStyle name="Header2 2 3 3 3 5" xfId="46419"/>
    <cellStyle name="Header2 2 3 3 4" xfId="2372"/>
    <cellStyle name="Header2 2 3 3 4 2" xfId="13569"/>
    <cellStyle name="Header2 2 3 3 4 3" xfId="24737"/>
    <cellStyle name="Header2 2 3 3 4 4" xfId="35902"/>
    <cellStyle name="Header2 2 3 3 4 5" xfId="47095"/>
    <cellStyle name="Header2 2 3 3 5" xfId="3181"/>
    <cellStyle name="Header2 2 3 3 5 2" xfId="14378"/>
    <cellStyle name="Header2 2 3 3 5 3" xfId="25546"/>
    <cellStyle name="Header2 2 3 3 5 4" xfId="36711"/>
    <cellStyle name="Header2 2 3 3 5 5" xfId="47904"/>
    <cellStyle name="Header2 2 3 3 6" xfId="3815"/>
    <cellStyle name="Header2 2 3 3 6 2" xfId="15012"/>
    <cellStyle name="Header2 2 3 3 6 3" xfId="26180"/>
    <cellStyle name="Header2 2 3 3 6 4" xfId="37345"/>
    <cellStyle name="Header2 2 3 3 6 5" xfId="48538"/>
    <cellStyle name="Header2 2 3 3 7" xfId="4448"/>
    <cellStyle name="Header2 2 3 3 7 2" xfId="15645"/>
    <cellStyle name="Header2 2 3 3 7 3" xfId="26813"/>
    <cellStyle name="Header2 2 3 3 7 4" xfId="37978"/>
    <cellStyle name="Header2 2 3 3 7 5" xfId="49171"/>
    <cellStyle name="Header2 2 3 3 8" xfId="5079"/>
    <cellStyle name="Header2 2 3 3 8 2" xfId="16276"/>
    <cellStyle name="Header2 2 3 3 8 3" xfId="27444"/>
    <cellStyle name="Header2 2 3 3 8 4" xfId="38609"/>
    <cellStyle name="Header2 2 3 3 8 5" xfId="49802"/>
    <cellStyle name="Header2 2 3 3 9" xfId="5794"/>
    <cellStyle name="Header2 2 3 3 9 2" xfId="16991"/>
    <cellStyle name="Header2 2 3 3 9 3" xfId="28159"/>
    <cellStyle name="Header2 2 3 3 9 4" xfId="39324"/>
    <cellStyle name="Header2 2 3 3 9 5" xfId="50517"/>
    <cellStyle name="Header2 2 3 4" xfId="264"/>
    <cellStyle name="Header2 2 3 4 10" xfId="6833"/>
    <cellStyle name="Header2 2 3 4 10 2" xfId="18030"/>
    <cellStyle name="Header2 2 3 4 10 3" xfId="29198"/>
    <cellStyle name="Header2 2 3 4 10 4" xfId="40363"/>
    <cellStyle name="Header2 2 3 4 10 5" xfId="51556"/>
    <cellStyle name="Header2 2 3 4 11" xfId="7467"/>
    <cellStyle name="Header2 2 3 4 11 2" xfId="18664"/>
    <cellStyle name="Header2 2 3 4 11 3" xfId="29832"/>
    <cellStyle name="Header2 2 3 4 11 4" xfId="40997"/>
    <cellStyle name="Header2 2 3 4 11 5" xfId="52190"/>
    <cellStyle name="Header2 2 3 4 12" xfId="8101"/>
    <cellStyle name="Header2 2 3 4 12 2" xfId="19298"/>
    <cellStyle name="Header2 2 3 4 12 3" xfId="30466"/>
    <cellStyle name="Header2 2 3 4 12 4" xfId="41631"/>
    <cellStyle name="Header2 2 3 4 12 5" xfId="52824"/>
    <cellStyle name="Header2 2 3 4 13" xfId="8532"/>
    <cellStyle name="Header2 2 3 4 13 2" xfId="19729"/>
    <cellStyle name="Header2 2 3 4 13 3" xfId="30897"/>
    <cellStyle name="Header2 2 3 4 13 4" xfId="42062"/>
    <cellStyle name="Header2 2 3 4 13 5" xfId="53255"/>
    <cellStyle name="Header2 2 3 4 14" xfId="10377"/>
    <cellStyle name="Header2 2 3 4 14 2" xfId="21574"/>
    <cellStyle name="Header2 2 3 4 14 3" xfId="32742"/>
    <cellStyle name="Header2 2 3 4 14 4" xfId="43907"/>
    <cellStyle name="Header2 2 3 4 14 5" xfId="55100"/>
    <cellStyle name="Header2 2 3 4 15" xfId="10817"/>
    <cellStyle name="Header2 2 3 4 15 2" xfId="22014"/>
    <cellStyle name="Header2 2 3 4 15 3" xfId="33182"/>
    <cellStyle name="Header2 2 3 4 15 4" xfId="44347"/>
    <cellStyle name="Header2 2 3 4 15 5" xfId="55540"/>
    <cellStyle name="Header2 2 3 4 16" xfId="11464"/>
    <cellStyle name="Header2 2 3 4 17" xfId="22634"/>
    <cellStyle name="Header2 2 3 4 18" xfId="33801"/>
    <cellStyle name="Header2 2 3 4 19" xfId="44987"/>
    <cellStyle name="Header2 2 3 4 2" xfId="913"/>
    <cellStyle name="Header2 2 3 4 2 2" xfId="12110"/>
    <cellStyle name="Header2 2 3 4 2 3" xfId="23278"/>
    <cellStyle name="Header2 2 3 4 2 4" xfId="34443"/>
    <cellStyle name="Header2 2 3 4 2 5" xfId="45636"/>
    <cellStyle name="Header2 2 3 4 3" xfId="1645"/>
    <cellStyle name="Header2 2 3 4 3 2" xfId="12842"/>
    <cellStyle name="Header2 2 3 4 3 3" xfId="24010"/>
    <cellStyle name="Header2 2 3 4 3 4" xfId="35175"/>
    <cellStyle name="Header2 2 3 4 3 5" xfId="46368"/>
    <cellStyle name="Header2 2 3 4 4" xfId="1786"/>
    <cellStyle name="Header2 2 3 4 4 2" xfId="12983"/>
    <cellStyle name="Header2 2 3 4 4 3" xfId="24151"/>
    <cellStyle name="Header2 2 3 4 4 4" xfId="35316"/>
    <cellStyle name="Header2 2 3 4 4 5" xfId="46509"/>
    <cellStyle name="Header2 2 3 4 5" xfId="3248"/>
    <cellStyle name="Header2 2 3 4 5 2" xfId="14445"/>
    <cellStyle name="Header2 2 3 4 5 3" xfId="25613"/>
    <cellStyle name="Header2 2 3 4 5 4" xfId="36778"/>
    <cellStyle name="Header2 2 3 4 5 5" xfId="47971"/>
    <cellStyle name="Header2 2 3 4 6" xfId="3882"/>
    <cellStyle name="Header2 2 3 4 6 2" xfId="15079"/>
    <cellStyle name="Header2 2 3 4 6 3" xfId="26247"/>
    <cellStyle name="Header2 2 3 4 6 4" xfId="37412"/>
    <cellStyle name="Header2 2 3 4 6 5" xfId="48605"/>
    <cellStyle name="Header2 2 3 4 7" xfId="4515"/>
    <cellStyle name="Header2 2 3 4 7 2" xfId="15712"/>
    <cellStyle name="Header2 2 3 4 7 3" xfId="26880"/>
    <cellStyle name="Header2 2 3 4 7 4" xfId="38045"/>
    <cellStyle name="Header2 2 3 4 7 5" xfId="49238"/>
    <cellStyle name="Header2 2 3 4 8" xfId="5146"/>
    <cellStyle name="Header2 2 3 4 8 2" xfId="16343"/>
    <cellStyle name="Header2 2 3 4 8 3" xfId="27511"/>
    <cellStyle name="Header2 2 3 4 8 4" xfId="38676"/>
    <cellStyle name="Header2 2 3 4 8 5" xfId="49869"/>
    <cellStyle name="Header2 2 3 4 9" xfId="6185"/>
    <cellStyle name="Header2 2 3 4 9 2" xfId="17382"/>
    <cellStyle name="Header2 2 3 4 9 3" xfId="28550"/>
    <cellStyle name="Header2 2 3 4 9 4" xfId="39715"/>
    <cellStyle name="Header2 2 3 4 9 5" xfId="50908"/>
    <cellStyle name="Header2 2 3 5" xfId="358"/>
    <cellStyle name="Header2 2 3 5 10" xfId="6927"/>
    <cellStyle name="Header2 2 3 5 10 2" xfId="18124"/>
    <cellStyle name="Header2 2 3 5 10 3" xfId="29292"/>
    <cellStyle name="Header2 2 3 5 10 4" xfId="40457"/>
    <cellStyle name="Header2 2 3 5 10 5" xfId="51650"/>
    <cellStyle name="Header2 2 3 5 11" xfId="7561"/>
    <cellStyle name="Header2 2 3 5 11 2" xfId="18758"/>
    <cellStyle name="Header2 2 3 5 11 3" xfId="29926"/>
    <cellStyle name="Header2 2 3 5 11 4" xfId="41091"/>
    <cellStyle name="Header2 2 3 5 11 5" xfId="52284"/>
    <cellStyle name="Header2 2 3 5 12" xfId="8195"/>
    <cellStyle name="Header2 2 3 5 12 2" xfId="19392"/>
    <cellStyle name="Header2 2 3 5 12 3" xfId="30560"/>
    <cellStyle name="Header2 2 3 5 12 4" xfId="41725"/>
    <cellStyle name="Header2 2 3 5 12 5" xfId="52918"/>
    <cellStyle name="Header2 2 3 5 13" xfId="9246"/>
    <cellStyle name="Header2 2 3 5 13 2" xfId="20443"/>
    <cellStyle name="Header2 2 3 5 13 3" xfId="31611"/>
    <cellStyle name="Header2 2 3 5 13 4" xfId="42776"/>
    <cellStyle name="Header2 2 3 5 13 5" xfId="53969"/>
    <cellStyle name="Header2 2 3 5 14" xfId="10003"/>
    <cellStyle name="Header2 2 3 5 14 2" xfId="21200"/>
    <cellStyle name="Header2 2 3 5 14 3" xfId="32368"/>
    <cellStyle name="Header2 2 3 5 14 4" xfId="43533"/>
    <cellStyle name="Header2 2 3 5 14 5" xfId="54726"/>
    <cellStyle name="Header2 2 3 5 15" xfId="10911"/>
    <cellStyle name="Header2 2 3 5 15 2" xfId="22108"/>
    <cellStyle name="Header2 2 3 5 15 3" xfId="33276"/>
    <cellStyle name="Header2 2 3 5 15 4" xfId="44441"/>
    <cellStyle name="Header2 2 3 5 15 5" xfId="55634"/>
    <cellStyle name="Header2 2 3 5 16" xfId="11558"/>
    <cellStyle name="Header2 2 3 5 17" xfId="22728"/>
    <cellStyle name="Header2 2 3 5 18" xfId="33895"/>
    <cellStyle name="Header2 2 3 5 19" xfId="45081"/>
    <cellStyle name="Header2 2 3 5 2" xfId="1007"/>
    <cellStyle name="Header2 2 3 5 2 2" xfId="12204"/>
    <cellStyle name="Header2 2 3 5 2 3" xfId="23372"/>
    <cellStyle name="Header2 2 3 5 2 4" xfId="34537"/>
    <cellStyle name="Header2 2 3 5 2 5" xfId="45730"/>
    <cellStyle name="Header2 2 3 5 3" xfId="1946"/>
    <cellStyle name="Header2 2 3 5 3 2" xfId="13143"/>
    <cellStyle name="Header2 2 3 5 3 3" xfId="24311"/>
    <cellStyle name="Header2 2 3 5 3 4" xfId="35476"/>
    <cellStyle name="Header2 2 3 5 3 5" xfId="46669"/>
    <cellStyle name="Header2 2 3 5 4" xfId="2708"/>
    <cellStyle name="Header2 2 3 5 4 2" xfId="13905"/>
    <cellStyle name="Header2 2 3 5 4 3" xfId="25073"/>
    <cellStyle name="Header2 2 3 5 4 4" xfId="36238"/>
    <cellStyle name="Header2 2 3 5 4 5" xfId="47431"/>
    <cellStyle name="Header2 2 3 5 5" xfId="3342"/>
    <cellStyle name="Header2 2 3 5 5 2" xfId="14539"/>
    <cellStyle name="Header2 2 3 5 5 3" xfId="25707"/>
    <cellStyle name="Header2 2 3 5 5 4" xfId="36872"/>
    <cellStyle name="Header2 2 3 5 5 5" xfId="48065"/>
    <cellStyle name="Header2 2 3 5 6" xfId="3976"/>
    <cellStyle name="Header2 2 3 5 6 2" xfId="15173"/>
    <cellStyle name="Header2 2 3 5 6 3" xfId="26341"/>
    <cellStyle name="Header2 2 3 5 6 4" xfId="37506"/>
    <cellStyle name="Header2 2 3 5 6 5" xfId="48699"/>
    <cellStyle name="Header2 2 3 5 7" xfId="4609"/>
    <cellStyle name="Header2 2 3 5 7 2" xfId="15806"/>
    <cellStyle name="Header2 2 3 5 7 3" xfId="26974"/>
    <cellStyle name="Header2 2 3 5 7 4" xfId="38139"/>
    <cellStyle name="Header2 2 3 5 7 5" xfId="49332"/>
    <cellStyle name="Header2 2 3 5 8" xfId="5240"/>
    <cellStyle name="Header2 2 3 5 8 2" xfId="16437"/>
    <cellStyle name="Header2 2 3 5 8 3" xfId="27605"/>
    <cellStyle name="Header2 2 3 5 8 4" xfId="38770"/>
    <cellStyle name="Header2 2 3 5 8 5" xfId="49963"/>
    <cellStyle name="Header2 2 3 5 9" xfId="6294"/>
    <cellStyle name="Header2 2 3 5 9 2" xfId="17491"/>
    <cellStyle name="Header2 2 3 5 9 3" xfId="28659"/>
    <cellStyle name="Header2 2 3 5 9 4" xfId="39824"/>
    <cellStyle name="Header2 2 3 5 9 5" xfId="51017"/>
    <cellStyle name="Header2 2 3 6" xfId="362"/>
    <cellStyle name="Header2 2 3 6 10" xfId="6931"/>
    <cellStyle name="Header2 2 3 6 10 2" xfId="18128"/>
    <cellStyle name="Header2 2 3 6 10 3" xfId="29296"/>
    <cellStyle name="Header2 2 3 6 10 4" xfId="40461"/>
    <cellStyle name="Header2 2 3 6 10 5" xfId="51654"/>
    <cellStyle name="Header2 2 3 6 11" xfId="7565"/>
    <cellStyle name="Header2 2 3 6 11 2" xfId="18762"/>
    <cellStyle name="Header2 2 3 6 11 3" xfId="29930"/>
    <cellStyle name="Header2 2 3 6 11 4" xfId="41095"/>
    <cellStyle name="Header2 2 3 6 11 5" xfId="52288"/>
    <cellStyle name="Header2 2 3 6 12" xfId="8199"/>
    <cellStyle name="Header2 2 3 6 12 2" xfId="19396"/>
    <cellStyle name="Header2 2 3 6 12 3" xfId="30564"/>
    <cellStyle name="Header2 2 3 6 12 4" xfId="41729"/>
    <cellStyle name="Header2 2 3 6 12 5" xfId="52922"/>
    <cellStyle name="Header2 2 3 6 13" xfId="9250"/>
    <cellStyle name="Header2 2 3 6 13 2" xfId="20447"/>
    <cellStyle name="Header2 2 3 6 13 3" xfId="31615"/>
    <cellStyle name="Header2 2 3 6 13 4" xfId="42780"/>
    <cellStyle name="Header2 2 3 6 13 5" xfId="53973"/>
    <cellStyle name="Header2 2 3 6 14" xfId="10520"/>
    <cellStyle name="Header2 2 3 6 14 2" xfId="21717"/>
    <cellStyle name="Header2 2 3 6 14 3" xfId="32885"/>
    <cellStyle name="Header2 2 3 6 14 4" xfId="44050"/>
    <cellStyle name="Header2 2 3 6 14 5" xfId="55243"/>
    <cellStyle name="Header2 2 3 6 15" xfId="10915"/>
    <cellStyle name="Header2 2 3 6 15 2" xfId="22112"/>
    <cellStyle name="Header2 2 3 6 15 3" xfId="33280"/>
    <cellStyle name="Header2 2 3 6 15 4" xfId="44445"/>
    <cellStyle name="Header2 2 3 6 15 5" xfId="55638"/>
    <cellStyle name="Header2 2 3 6 16" xfId="11562"/>
    <cellStyle name="Header2 2 3 6 17" xfId="22732"/>
    <cellStyle name="Header2 2 3 6 18" xfId="33899"/>
    <cellStyle name="Header2 2 3 6 19" xfId="45085"/>
    <cellStyle name="Header2 2 3 6 2" xfId="1011"/>
    <cellStyle name="Header2 2 3 6 2 2" xfId="12208"/>
    <cellStyle name="Header2 2 3 6 2 3" xfId="23376"/>
    <cellStyle name="Header2 2 3 6 2 4" xfId="34541"/>
    <cellStyle name="Header2 2 3 6 2 5" xfId="45734"/>
    <cellStyle name="Header2 2 3 6 3" xfId="1817"/>
    <cellStyle name="Header2 2 3 6 3 2" xfId="13014"/>
    <cellStyle name="Header2 2 3 6 3 3" xfId="24182"/>
    <cellStyle name="Header2 2 3 6 3 4" xfId="35347"/>
    <cellStyle name="Header2 2 3 6 3 5" xfId="46540"/>
    <cellStyle name="Header2 2 3 6 4" xfId="2712"/>
    <cellStyle name="Header2 2 3 6 4 2" xfId="13909"/>
    <cellStyle name="Header2 2 3 6 4 3" xfId="25077"/>
    <cellStyle name="Header2 2 3 6 4 4" xfId="36242"/>
    <cellStyle name="Header2 2 3 6 4 5" xfId="47435"/>
    <cellStyle name="Header2 2 3 6 5" xfId="3346"/>
    <cellStyle name="Header2 2 3 6 5 2" xfId="14543"/>
    <cellStyle name="Header2 2 3 6 5 3" xfId="25711"/>
    <cellStyle name="Header2 2 3 6 5 4" xfId="36876"/>
    <cellStyle name="Header2 2 3 6 5 5" xfId="48069"/>
    <cellStyle name="Header2 2 3 6 6" xfId="3980"/>
    <cellStyle name="Header2 2 3 6 6 2" xfId="15177"/>
    <cellStyle name="Header2 2 3 6 6 3" xfId="26345"/>
    <cellStyle name="Header2 2 3 6 6 4" xfId="37510"/>
    <cellStyle name="Header2 2 3 6 6 5" xfId="48703"/>
    <cellStyle name="Header2 2 3 6 7" xfId="4613"/>
    <cellStyle name="Header2 2 3 6 7 2" xfId="15810"/>
    <cellStyle name="Header2 2 3 6 7 3" xfId="26978"/>
    <cellStyle name="Header2 2 3 6 7 4" xfId="38143"/>
    <cellStyle name="Header2 2 3 6 7 5" xfId="49336"/>
    <cellStyle name="Header2 2 3 6 8" xfId="5244"/>
    <cellStyle name="Header2 2 3 6 8 2" xfId="16441"/>
    <cellStyle name="Header2 2 3 6 8 3" xfId="27609"/>
    <cellStyle name="Header2 2 3 6 8 4" xfId="38774"/>
    <cellStyle name="Header2 2 3 6 8 5" xfId="49967"/>
    <cellStyle name="Header2 2 3 6 9" xfId="6298"/>
    <cellStyle name="Header2 2 3 6 9 2" xfId="17495"/>
    <cellStyle name="Header2 2 3 6 9 3" xfId="28663"/>
    <cellStyle name="Header2 2 3 6 9 4" xfId="39828"/>
    <cellStyle name="Header2 2 3 6 9 5" xfId="51021"/>
    <cellStyle name="Header2 2 3 7" xfId="432"/>
    <cellStyle name="Header2 2 3 7 10" xfId="7001"/>
    <cellStyle name="Header2 2 3 7 10 2" xfId="18198"/>
    <cellStyle name="Header2 2 3 7 10 3" xfId="29366"/>
    <cellStyle name="Header2 2 3 7 10 4" xfId="40531"/>
    <cellStyle name="Header2 2 3 7 10 5" xfId="51724"/>
    <cellStyle name="Header2 2 3 7 11" xfId="7635"/>
    <cellStyle name="Header2 2 3 7 11 2" xfId="18832"/>
    <cellStyle name="Header2 2 3 7 11 3" xfId="30000"/>
    <cellStyle name="Header2 2 3 7 11 4" xfId="41165"/>
    <cellStyle name="Header2 2 3 7 11 5" xfId="52358"/>
    <cellStyle name="Header2 2 3 7 12" xfId="8269"/>
    <cellStyle name="Header2 2 3 7 12 2" xfId="19466"/>
    <cellStyle name="Header2 2 3 7 12 3" xfId="30634"/>
    <cellStyle name="Header2 2 3 7 12 4" xfId="41799"/>
    <cellStyle name="Header2 2 3 7 12 5" xfId="52992"/>
    <cellStyle name="Header2 2 3 7 13" xfId="9320"/>
    <cellStyle name="Header2 2 3 7 13 2" xfId="20517"/>
    <cellStyle name="Header2 2 3 7 13 3" xfId="31685"/>
    <cellStyle name="Header2 2 3 7 13 4" xfId="42850"/>
    <cellStyle name="Header2 2 3 7 13 5" xfId="54043"/>
    <cellStyle name="Header2 2 3 7 14" xfId="10288"/>
    <cellStyle name="Header2 2 3 7 14 2" xfId="21485"/>
    <cellStyle name="Header2 2 3 7 14 3" xfId="32653"/>
    <cellStyle name="Header2 2 3 7 14 4" xfId="43818"/>
    <cellStyle name="Header2 2 3 7 14 5" xfId="55011"/>
    <cellStyle name="Header2 2 3 7 15" xfId="10985"/>
    <cellStyle name="Header2 2 3 7 15 2" xfId="22182"/>
    <cellStyle name="Header2 2 3 7 15 3" xfId="33350"/>
    <cellStyle name="Header2 2 3 7 15 4" xfId="44515"/>
    <cellStyle name="Header2 2 3 7 15 5" xfId="55708"/>
    <cellStyle name="Header2 2 3 7 16" xfId="11632"/>
    <cellStyle name="Header2 2 3 7 17" xfId="22802"/>
    <cellStyle name="Header2 2 3 7 18" xfId="33969"/>
    <cellStyle name="Header2 2 3 7 19" xfId="45155"/>
    <cellStyle name="Header2 2 3 7 2" xfId="1081"/>
    <cellStyle name="Header2 2 3 7 2 2" xfId="12278"/>
    <cellStyle name="Header2 2 3 7 2 3" xfId="23446"/>
    <cellStyle name="Header2 2 3 7 2 4" xfId="34611"/>
    <cellStyle name="Header2 2 3 7 2 5" xfId="45804"/>
    <cellStyle name="Header2 2 3 7 3" xfId="1570"/>
    <cellStyle name="Header2 2 3 7 3 2" xfId="12767"/>
    <cellStyle name="Header2 2 3 7 3 3" xfId="23935"/>
    <cellStyle name="Header2 2 3 7 3 4" xfId="35100"/>
    <cellStyle name="Header2 2 3 7 3 5" xfId="46293"/>
    <cellStyle name="Header2 2 3 7 4" xfId="2782"/>
    <cellStyle name="Header2 2 3 7 4 2" xfId="13979"/>
    <cellStyle name="Header2 2 3 7 4 3" xfId="25147"/>
    <cellStyle name="Header2 2 3 7 4 4" xfId="36312"/>
    <cellStyle name="Header2 2 3 7 4 5" xfId="47505"/>
    <cellStyle name="Header2 2 3 7 5" xfId="3416"/>
    <cellStyle name="Header2 2 3 7 5 2" xfId="14613"/>
    <cellStyle name="Header2 2 3 7 5 3" xfId="25781"/>
    <cellStyle name="Header2 2 3 7 5 4" xfId="36946"/>
    <cellStyle name="Header2 2 3 7 5 5" xfId="48139"/>
    <cellStyle name="Header2 2 3 7 6" xfId="4050"/>
    <cellStyle name="Header2 2 3 7 6 2" xfId="15247"/>
    <cellStyle name="Header2 2 3 7 6 3" xfId="26415"/>
    <cellStyle name="Header2 2 3 7 6 4" xfId="37580"/>
    <cellStyle name="Header2 2 3 7 6 5" xfId="48773"/>
    <cellStyle name="Header2 2 3 7 7" xfId="4683"/>
    <cellStyle name="Header2 2 3 7 7 2" xfId="15880"/>
    <cellStyle name="Header2 2 3 7 7 3" xfId="27048"/>
    <cellStyle name="Header2 2 3 7 7 4" xfId="38213"/>
    <cellStyle name="Header2 2 3 7 7 5" xfId="49406"/>
    <cellStyle name="Header2 2 3 7 8" xfId="5314"/>
    <cellStyle name="Header2 2 3 7 8 2" xfId="16511"/>
    <cellStyle name="Header2 2 3 7 8 3" xfId="27679"/>
    <cellStyle name="Header2 2 3 7 8 4" xfId="38844"/>
    <cellStyle name="Header2 2 3 7 8 5" xfId="50037"/>
    <cellStyle name="Header2 2 3 7 9" xfId="6368"/>
    <cellStyle name="Header2 2 3 7 9 2" xfId="17565"/>
    <cellStyle name="Header2 2 3 7 9 3" xfId="28733"/>
    <cellStyle name="Header2 2 3 7 9 4" xfId="39898"/>
    <cellStyle name="Header2 2 3 7 9 5" xfId="51091"/>
    <cellStyle name="Header2 2 3 8" xfId="485"/>
    <cellStyle name="Header2 2 3 8 10" xfId="7054"/>
    <cellStyle name="Header2 2 3 8 10 2" xfId="18251"/>
    <cellStyle name="Header2 2 3 8 10 3" xfId="29419"/>
    <cellStyle name="Header2 2 3 8 10 4" xfId="40584"/>
    <cellStyle name="Header2 2 3 8 10 5" xfId="51777"/>
    <cellStyle name="Header2 2 3 8 11" xfId="7688"/>
    <cellStyle name="Header2 2 3 8 11 2" xfId="18885"/>
    <cellStyle name="Header2 2 3 8 11 3" xfId="30053"/>
    <cellStyle name="Header2 2 3 8 11 4" xfId="41218"/>
    <cellStyle name="Header2 2 3 8 11 5" xfId="52411"/>
    <cellStyle name="Header2 2 3 8 12" xfId="8322"/>
    <cellStyle name="Header2 2 3 8 12 2" xfId="19519"/>
    <cellStyle name="Header2 2 3 8 12 3" xfId="30687"/>
    <cellStyle name="Header2 2 3 8 12 4" xfId="41852"/>
    <cellStyle name="Header2 2 3 8 12 5" xfId="53045"/>
    <cellStyle name="Header2 2 3 8 13" xfId="9373"/>
    <cellStyle name="Header2 2 3 8 13 2" xfId="20570"/>
    <cellStyle name="Header2 2 3 8 13 3" xfId="31738"/>
    <cellStyle name="Header2 2 3 8 13 4" xfId="42903"/>
    <cellStyle name="Header2 2 3 8 13 5" xfId="54096"/>
    <cellStyle name="Header2 2 3 8 14" xfId="10585"/>
    <cellStyle name="Header2 2 3 8 14 2" xfId="21782"/>
    <cellStyle name="Header2 2 3 8 14 3" xfId="32950"/>
    <cellStyle name="Header2 2 3 8 14 4" xfId="44115"/>
    <cellStyle name="Header2 2 3 8 14 5" xfId="55308"/>
    <cellStyle name="Header2 2 3 8 15" xfId="11038"/>
    <cellStyle name="Header2 2 3 8 15 2" xfId="22235"/>
    <cellStyle name="Header2 2 3 8 15 3" xfId="33403"/>
    <cellStyle name="Header2 2 3 8 15 4" xfId="44568"/>
    <cellStyle name="Header2 2 3 8 15 5" xfId="55761"/>
    <cellStyle name="Header2 2 3 8 16" xfId="11685"/>
    <cellStyle name="Header2 2 3 8 17" xfId="22855"/>
    <cellStyle name="Header2 2 3 8 18" xfId="34022"/>
    <cellStyle name="Header2 2 3 8 19" xfId="45208"/>
    <cellStyle name="Header2 2 3 8 2" xfId="1134"/>
    <cellStyle name="Header2 2 3 8 2 2" xfId="12331"/>
    <cellStyle name="Header2 2 3 8 2 3" xfId="23499"/>
    <cellStyle name="Header2 2 3 8 2 4" xfId="34664"/>
    <cellStyle name="Header2 2 3 8 2 5" xfId="45857"/>
    <cellStyle name="Header2 2 3 8 3" xfId="1926"/>
    <cellStyle name="Header2 2 3 8 3 2" xfId="13123"/>
    <cellStyle name="Header2 2 3 8 3 3" xfId="24291"/>
    <cellStyle name="Header2 2 3 8 3 4" xfId="35456"/>
    <cellStyle name="Header2 2 3 8 3 5" xfId="46649"/>
    <cellStyle name="Header2 2 3 8 4" xfId="2835"/>
    <cellStyle name="Header2 2 3 8 4 2" xfId="14032"/>
    <cellStyle name="Header2 2 3 8 4 3" xfId="25200"/>
    <cellStyle name="Header2 2 3 8 4 4" xfId="36365"/>
    <cellStyle name="Header2 2 3 8 4 5" xfId="47558"/>
    <cellStyle name="Header2 2 3 8 5" xfId="3469"/>
    <cellStyle name="Header2 2 3 8 5 2" xfId="14666"/>
    <cellStyle name="Header2 2 3 8 5 3" xfId="25834"/>
    <cellStyle name="Header2 2 3 8 5 4" xfId="36999"/>
    <cellStyle name="Header2 2 3 8 5 5" xfId="48192"/>
    <cellStyle name="Header2 2 3 8 6" xfId="4103"/>
    <cellStyle name="Header2 2 3 8 6 2" xfId="15300"/>
    <cellStyle name="Header2 2 3 8 6 3" xfId="26468"/>
    <cellStyle name="Header2 2 3 8 6 4" xfId="37633"/>
    <cellStyle name="Header2 2 3 8 6 5" xfId="48826"/>
    <cellStyle name="Header2 2 3 8 7" xfId="4736"/>
    <cellStyle name="Header2 2 3 8 7 2" xfId="15933"/>
    <cellStyle name="Header2 2 3 8 7 3" xfId="27101"/>
    <cellStyle name="Header2 2 3 8 7 4" xfId="38266"/>
    <cellStyle name="Header2 2 3 8 7 5" xfId="49459"/>
    <cellStyle name="Header2 2 3 8 8" xfId="5367"/>
    <cellStyle name="Header2 2 3 8 8 2" xfId="16564"/>
    <cellStyle name="Header2 2 3 8 8 3" xfId="27732"/>
    <cellStyle name="Header2 2 3 8 8 4" xfId="38897"/>
    <cellStyle name="Header2 2 3 8 8 5" xfId="50090"/>
    <cellStyle name="Header2 2 3 8 9" xfId="6421"/>
    <cellStyle name="Header2 2 3 8 9 2" xfId="17618"/>
    <cellStyle name="Header2 2 3 8 9 3" xfId="28786"/>
    <cellStyle name="Header2 2 3 8 9 4" xfId="39951"/>
    <cellStyle name="Header2 2 3 8 9 5" xfId="51144"/>
    <cellStyle name="Header2 2 3 9" xfId="543"/>
    <cellStyle name="Header2 2 3 9 10" xfId="7112"/>
    <cellStyle name="Header2 2 3 9 10 2" xfId="18309"/>
    <cellStyle name="Header2 2 3 9 10 3" xfId="29477"/>
    <cellStyle name="Header2 2 3 9 10 4" xfId="40642"/>
    <cellStyle name="Header2 2 3 9 10 5" xfId="51835"/>
    <cellStyle name="Header2 2 3 9 11" xfId="7746"/>
    <cellStyle name="Header2 2 3 9 11 2" xfId="18943"/>
    <cellStyle name="Header2 2 3 9 11 3" xfId="30111"/>
    <cellStyle name="Header2 2 3 9 11 4" xfId="41276"/>
    <cellStyle name="Header2 2 3 9 11 5" xfId="52469"/>
    <cellStyle name="Header2 2 3 9 12" xfId="8380"/>
    <cellStyle name="Header2 2 3 9 12 2" xfId="19577"/>
    <cellStyle name="Header2 2 3 9 12 3" xfId="30745"/>
    <cellStyle name="Header2 2 3 9 12 4" xfId="41910"/>
    <cellStyle name="Header2 2 3 9 12 5" xfId="53103"/>
    <cellStyle name="Header2 2 3 9 13" xfId="9431"/>
    <cellStyle name="Header2 2 3 9 13 2" xfId="20628"/>
    <cellStyle name="Header2 2 3 9 13 3" xfId="31796"/>
    <cellStyle name="Header2 2 3 9 13 4" xfId="42961"/>
    <cellStyle name="Header2 2 3 9 13 5" xfId="54154"/>
    <cellStyle name="Header2 2 3 9 14" xfId="10480"/>
    <cellStyle name="Header2 2 3 9 14 2" xfId="21677"/>
    <cellStyle name="Header2 2 3 9 14 3" xfId="32845"/>
    <cellStyle name="Header2 2 3 9 14 4" xfId="44010"/>
    <cellStyle name="Header2 2 3 9 14 5" xfId="55203"/>
    <cellStyle name="Header2 2 3 9 15" xfId="11096"/>
    <cellStyle name="Header2 2 3 9 15 2" xfId="22293"/>
    <cellStyle name="Header2 2 3 9 15 3" xfId="33461"/>
    <cellStyle name="Header2 2 3 9 15 4" xfId="44626"/>
    <cellStyle name="Header2 2 3 9 15 5" xfId="55819"/>
    <cellStyle name="Header2 2 3 9 16" xfId="11743"/>
    <cellStyle name="Header2 2 3 9 17" xfId="22913"/>
    <cellStyle name="Header2 2 3 9 18" xfId="34080"/>
    <cellStyle name="Header2 2 3 9 19" xfId="45266"/>
    <cellStyle name="Header2 2 3 9 2" xfId="1192"/>
    <cellStyle name="Header2 2 3 9 2 2" xfId="12389"/>
    <cellStyle name="Header2 2 3 9 2 3" xfId="23557"/>
    <cellStyle name="Header2 2 3 9 2 4" xfId="34722"/>
    <cellStyle name="Header2 2 3 9 2 5" xfId="45915"/>
    <cellStyle name="Header2 2 3 9 3" xfId="1776"/>
    <cellStyle name="Header2 2 3 9 3 2" xfId="12973"/>
    <cellStyle name="Header2 2 3 9 3 3" xfId="24141"/>
    <cellStyle name="Header2 2 3 9 3 4" xfId="35306"/>
    <cellStyle name="Header2 2 3 9 3 5" xfId="46499"/>
    <cellStyle name="Header2 2 3 9 4" xfId="2893"/>
    <cellStyle name="Header2 2 3 9 4 2" xfId="14090"/>
    <cellStyle name="Header2 2 3 9 4 3" xfId="25258"/>
    <cellStyle name="Header2 2 3 9 4 4" xfId="36423"/>
    <cellStyle name="Header2 2 3 9 4 5" xfId="47616"/>
    <cellStyle name="Header2 2 3 9 5" xfId="3527"/>
    <cellStyle name="Header2 2 3 9 5 2" xfId="14724"/>
    <cellStyle name="Header2 2 3 9 5 3" xfId="25892"/>
    <cellStyle name="Header2 2 3 9 5 4" xfId="37057"/>
    <cellStyle name="Header2 2 3 9 5 5" xfId="48250"/>
    <cellStyle name="Header2 2 3 9 6" xfId="4161"/>
    <cellStyle name="Header2 2 3 9 6 2" xfId="15358"/>
    <cellStyle name="Header2 2 3 9 6 3" xfId="26526"/>
    <cellStyle name="Header2 2 3 9 6 4" xfId="37691"/>
    <cellStyle name="Header2 2 3 9 6 5" xfId="48884"/>
    <cellStyle name="Header2 2 3 9 7" xfId="4794"/>
    <cellStyle name="Header2 2 3 9 7 2" xfId="15991"/>
    <cellStyle name="Header2 2 3 9 7 3" xfId="27159"/>
    <cellStyle name="Header2 2 3 9 7 4" xfId="38324"/>
    <cellStyle name="Header2 2 3 9 7 5" xfId="49517"/>
    <cellStyle name="Header2 2 3 9 8" xfId="5425"/>
    <cellStyle name="Header2 2 3 9 8 2" xfId="16622"/>
    <cellStyle name="Header2 2 3 9 8 3" xfId="27790"/>
    <cellStyle name="Header2 2 3 9 8 4" xfId="38955"/>
    <cellStyle name="Header2 2 3 9 8 5" xfId="50148"/>
    <cellStyle name="Header2 2 3 9 9" xfId="6479"/>
    <cellStyle name="Header2 2 3 9 9 2" xfId="17676"/>
    <cellStyle name="Header2 2 3 9 9 3" xfId="28844"/>
    <cellStyle name="Header2 2 3 9 9 4" xfId="40009"/>
    <cellStyle name="Header2 2 3 9 9 5" xfId="51202"/>
    <cellStyle name="Header2 2 30" xfId="717"/>
    <cellStyle name="Header2 2 30 2" xfId="11915"/>
    <cellStyle name="Header2 2 30 3" xfId="23084"/>
    <cellStyle name="Header2 2 30 4" xfId="34251"/>
    <cellStyle name="Header2 2 30 5" xfId="45440"/>
    <cellStyle name="Header2 2 31" xfId="1387"/>
    <cellStyle name="Header2 2 31 2" xfId="12584"/>
    <cellStyle name="Header2 2 31 3" xfId="23752"/>
    <cellStyle name="Header2 2 31 4" xfId="34917"/>
    <cellStyle name="Header2 2 31 5" xfId="46110"/>
    <cellStyle name="Header2 2 32" xfId="2483"/>
    <cellStyle name="Header2 2 32 2" xfId="13680"/>
    <cellStyle name="Header2 2 32 3" xfId="24848"/>
    <cellStyle name="Header2 2 32 4" xfId="36013"/>
    <cellStyle name="Header2 2 32 5" xfId="47206"/>
    <cellStyle name="Header2 2 33" xfId="3047"/>
    <cellStyle name="Header2 2 33 2" xfId="14244"/>
    <cellStyle name="Header2 2 33 3" xfId="25412"/>
    <cellStyle name="Header2 2 33 4" xfId="36577"/>
    <cellStyle name="Header2 2 33 5" xfId="47770"/>
    <cellStyle name="Header2 2 34" xfId="3681"/>
    <cellStyle name="Header2 2 34 2" xfId="14878"/>
    <cellStyle name="Header2 2 34 3" xfId="26046"/>
    <cellStyle name="Header2 2 34 4" xfId="37211"/>
    <cellStyle name="Header2 2 34 5" xfId="48404"/>
    <cellStyle name="Header2 2 35" xfId="4313"/>
    <cellStyle name="Header2 2 35 2" xfId="15510"/>
    <cellStyle name="Header2 2 35 3" xfId="26678"/>
    <cellStyle name="Header2 2 35 4" xfId="37843"/>
    <cellStyle name="Header2 2 35 5" xfId="49036"/>
    <cellStyle name="Header2 2 36" xfId="4946"/>
    <cellStyle name="Header2 2 36 2" xfId="16143"/>
    <cellStyle name="Header2 2 36 3" xfId="27311"/>
    <cellStyle name="Header2 2 36 4" xfId="38476"/>
    <cellStyle name="Header2 2 36 5" xfId="49669"/>
    <cellStyle name="Header2 2 37" xfId="6087"/>
    <cellStyle name="Header2 2 37 2" xfId="17284"/>
    <cellStyle name="Header2 2 37 3" xfId="28452"/>
    <cellStyle name="Header2 2 37 4" xfId="39617"/>
    <cellStyle name="Header2 2 37 5" xfId="50810"/>
    <cellStyle name="Header2 2 38" xfId="6633"/>
    <cellStyle name="Header2 2 38 2" xfId="17830"/>
    <cellStyle name="Header2 2 38 3" xfId="28998"/>
    <cellStyle name="Header2 2 38 4" xfId="40163"/>
    <cellStyle name="Header2 2 38 5" xfId="51356"/>
    <cellStyle name="Header2 2 39" xfId="7266"/>
    <cellStyle name="Header2 2 39 2" xfId="18463"/>
    <cellStyle name="Header2 2 39 3" xfId="29631"/>
    <cellStyle name="Header2 2 39 4" xfId="40796"/>
    <cellStyle name="Header2 2 39 5" xfId="51989"/>
    <cellStyle name="Header2 2 4" xfId="80"/>
    <cellStyle name="Header2 2 4 10" xfId="603"/>
    <cellStyle name="Header2 2 4 10 10" xfId="7172"/>
    <cellStyle name="Header2 2 4 10 10 2" xfId="18369"/>
    <cellStyle name="Header2 2 4 10 10 3" xfId="29537"/>
    <cellStyle name="Header2 2 4 10 10 4" xfId="40702"/>
    <cellStyle name="Header2 2 4 10 10 5" xfId="51895"/>
    <cellStyle name="Header2 2 4 10 11" xfId="7806"/>
    <cellStyle name="Header2 2 4 10 11 2" xfId="19003"/>
    <cellStyle name="Header2 2 4 10 11 3" xfId="30171"/>
    <cellStyle name="Header2 2 4 10 11 4" xfId="41336"/>
    <cellStyle name="Header2 2 4 10 11 5" xfId="52529"/>
    <cellStyle name="Header2 2 4 10 12" xfId="8440"/>
    <cellStyle name="Header2 2 4 10 12 2" xfId="19637"/>
    <cellStyle name="Header2 2 4 10 12 3" xfId="30805"/>
    <cellStyle name="Header2 2 4 10 12 4" xfId="41970"/>
    <cellStyle name="Header2 2 4 10 12 5" xfId="53163"/>
    <cellStyle name="Header2 2 4 10 13" xfId="9491"/>
    <cellStyle name="Header2 2 4 10 13 2" xfId="20688"/>
    <cellStyle name="Header2 2 4 10 13 3" xfId="31856"/>
    <cellStyle name="Header2 2 4 10 13 4" xfId="43021"/>
    <cellStyle name="Header2 2 4 10 13 5" xfId="54214"/>
    <cellStyle name="Header2 2 4 10 14" xfId="10250"/>
    <cellStyle name="Header2 2 4 10 14 2" xfId="21447"/>
    <cellStyle name="Header2 2 4 10 14 3" xfId="32615"/>
    <cellStyle name="Header2 2 4 10 14 4" xfId="43780"/>
    <cellStyle name="Header2 2 4 10 14 5" xfId="54973"/>
    <cellStyle name="Header2 2 4 10 15" xfId="11156"/>
    <cellStyle name="Header2 2 4 10 15 2" xfId="22353"/>
    <cellStyle name="Header2 2 4 10 15 3" xfId="33521"/>
    <cellStyle name="Header2 2 4 10 15 4" xfId="44686"/>
    <cellStyle name="Header2 2 4 10 15 5" xfId="55879"/>
    <cellStyle name="Header2 2 4 10 16" xfId="11803"/>
    <cellStyle name="Header2 2 4 10 17" xfId="22973"/>
    <cellStyle name="Header2 2 4 10 18" xfId="34140"/>
    <cellStyle name="Header2 2 4 10 19" xfId="45326"/>
    <cellStyle name="Header2 2 4 10 2" xfId="1252"/>
    <cellStyle name="Header2 2 4 10 2 2" xfId="12449"/>
    <cellStyle name="Header2 2 4 10 2 3" xfId="23617"/>
    <cellStyle name="Header2 2 4 10 2 4" xfId="34782"/>
    <cellStyle name="Header2 2 4 10 2 5" xfId="45975"/>
    <cellStyle name="Header2 2 4 10 3" xfId="1591"/>
    <cellStyle name="Header2 2 4 10 3 2" xfId="12788"/>
    <cellStyle name="Header2 2 4 10 3 3" xfId="23956"/>
    <cellStyle name="Header2 2 4 10 3 4" xfId="35121"/>
    <cellStyle name="Header2 2 4 10 3 5" xfId="46314"/>
    <cellStyle name="Header2 2 4 10 4" xfId="2953"/>
    <cellStyle name="Header2 2 4 10 4 2" xfId="14150"/>
    <cellStyle name="Header2 2 4 10 4 3" xfId="25318"/>
    <cellStyle name="Header2 2 4 10 4 4" xfId="36483"/>
    <cellStyle name="Header2 2 4 10 4 5" xfId="47676"/>
    <cellStyle name="Header2 2 4 10 5" xfId="3587"/>
    <cellStyle name="Header2 2 4 10 5 2" xfId="14784"/>
    <cellStyle name="Header2 2 4 10 5 3" xfId="25952"/>
    <cellStyle name="Header2 2 4 10 5 4" xfId="37117"/>
    <cellStyle name="Header2 2 4 10 5 5" xfId="48310"/>
    <cellStyle name="Header2 2 4 10 6" xfId="4221"/>
    <cellStyle name="Header2 2 4 10 6 2" xfId="15418"/>
    <cellStyle name="Header2 2 4 10 6 3" xfId="26586"/>
    <cellStyle name="Header2 2 4 10 6 4" xfId="37751"/>
    <cellStyle name="Header2 2 4 10 6 5" xfId="48944"/>
    <cellStyle name="Header2 2 4 10 7" xfId="4854"/>
    <cellStyle name="Header2 2 4 10 7 2" xfId="16051"/>
    <cellStyle name="Header2 2 4 10 7 3" xfId="27219"/>
    <cellStyle name="Header2 2 4 10 7 4" xfId="38384"/>
    <cellStyle name="Header2 2 4 10 7 5" xfId="49577"/>
    <cellStyle name="Header2 2 4 10 8" xfId="5485"/>
    <cellStyle name="Header2 2 4 10 8 2" xfId="16682"/>
    <cellStyle name="Header2 2 4 10 8 3" xfId="27850"/>
    <cellStyle name="Header2 2 4 10 8 4" xfId="39015"/>
    <cellStyle name="Header2 2 4 10 8 5" xfId="50208"/>
    <cellStyle name="Header2 2 4 10 9" xfId="6539"/>
    <cellStyle name="Header2 2 4 10 9 2" xfId="17736"/>
    <cellStyle name="Header2 2 4 10 9 3" xfId="28904"/>
    <cellStyle name="Header2 2 4 10 9 4" xfId="40069"/>
    <cellStyle name="Header2 2 4 10 9 5" xfId="51262"/>
    <cellStyle name="Header2 2 4 11" xfId="668"/>
    <cellStyle name="Header2 2 4 11 10" xfId="7237"/>
    <cellStyle name="Header2 2 4 11 10 2" xfId="18434"/>
    <cellStyle name="Header2 2 4 11 10 3" xfId="29602"/>
    <cellStyle name="Header2 2 4 11 10 4" xfId="40767"/>
    <cellStyle name="Header2 2 4 11 10 5" xfId="51960"/>
    <cellStyle name="Header2 2 4 11 11" xfId="7871"/>
    <cellStyle name="Header2 2 4 11 11 2" xfId="19068"/>
    <cellStyle name="Header2 2 4 11 11 3" xfId="30236"/>
    <cellStyle name="Header2 2 4 11 11 4" xfId="41401"/>
    <cellStyle name="Header2 2 4 11 11 5" xfId="52594"/>
    <cellStyle name="Header2 2 4 11 12" xfId="8505"/>
    <cellStyle name="Header2 2 4 11 12 2" xfId="19702"/>
    <cellStyle name="Header2 2 4 11 12 3" xfId="30870"/>
    <cellStyle name="Header2 2 4 11 12 4" xfId="42035"/>
    <cellStyle name="Header2 2 4 11 12 5" xfId="53228"/>
    <cellStyle name="Header2 2 4 11 13" xfId="9556"/>
    <cellStyle name="Header2 2 4 11 13 2" xfId="20753"/>
    <cellStyle name="Header2 2 4 11 13 3" xfId="31921"/>
    <cellStyle name="Header2 2 4 11 13 4" xfId="43086"/>
    <cellStyle name="Header2 2 4 11 13 5" xfId="54279"/>
    <cellStyle name="Header2 2 4 11 14" xfId="10271"/>
    <cellStyle name="Header2 2 4 11 14 2" xfId="21468"/>
    <cellStyle name="Header2 2 4 11 14 3" xfId="32636"/>
    <cellStyle name="Header2 2 4 11 14 4" xfId="43801"/>
    <cellStyle name="Header2 2 4 11 14 5" xfId="54994"/>
    <cellStyle name="Header2 2 4 11 15" xfId="11221"/>
    <cellStyle name="Header2 2 4 11 15 2" xfId="22418"/>
    <cellStyle name="Header2 2 4 11 15 3" xfId="33586"/>
    <cellStyle name="Header2 2 4 11 15 4" xfId="44751"/>
    <cellStyle name="Header2 2 4 11 15 5" xfId="55944"/>
    <cellStyle name="Header2 2 4 11 16" xfId="11868"/>
    <cellStyle name="Header2 2 4 11 17" xfId="23038"/>
    <cellStyle name="Header2 2 4 11 18" xfId="34205"/>
    <cellStyle name="Header2 2 4 11 19" xfId="45391"/>
    <cellStyle name="Header2 2 4 11 2" xfId="1317"/>
    <cellStyle name="Header2 2 4 11 2 2" xfId="12514"/>
    <cellStyle name="Header2 2 4 11 2 3" xfId="23682"/>
    <cellStyle name="Header2 2 4 11 2 4" xfId="34847"/>
    <cellStyle name="Header2 2 4 11 2 5" xfId="46040"/>
    <cellStyle name="Header2 2 4 11 3" xfId="1536"/>
    <cellStyle name="Header2 2 4 11 3 2" xfId="12733"/>
    <cellStyle name="Header2 2 4 11 3 3" xfId="23901"/>
    <cellStyle name="Header2 2 4 11 3 4" xfId="35066"/>
    <cellStyle name="Header2 2 4 11 3 5" xfId="46259"/>
    <cellStyle name="Header2 2 4 11 4" xfId="3018"/>
    <cellStyle name="Header2 2 4 11 4 2" xfId="14215"/>
    <cellStyle name="Header2 2 4 11 4 3" xfId="25383"/>
    <cellStyle name="Header2 2 4 11 4 4" xfId="36548"/>
    <cellStyle name="Header2 2 4 11 4 5" xfId="47741"/>
    <cellStyle name="Header2 2 4 11 5" xfId="3652"/>
    <cellStyle name="Header2 2 4 11 5 2" xfId="14849"/>
    <cellStyle name="Header2 2 4 11 5 3" xfId="26017"/>
    <cellStyle name="Header2 2 4 11 5 4" xfId="37182"/>
    <cellStyle name="Header2 2 4 11 5 5" xfId="48375"/>
    <cellStyle name="Header2 2 4 11 6" xfId="4286"/>
    <cellStyle name="Header2 2 4 11 6 2" xfId="15483"/>
    <cellStyle name="Header2 2 4 11 6 3" xfId="26651"/>
    <cellStyle name="Header2 2 4 11 6 4" xfId="37816"/>
    <cellStyle name="Header2 2 4 11 6 5" xfId="49009"/>
    <cellStyle name="Header2 2 4 11 7" xfId="4919"/>
    <cellStyle name="Header2 2 4 11 7 2" xfId="16116"/>
    <cellStyle name="Header2 2 4 11 7 3" xfId="27284"/>
    <cellStyle name="Header2 2 4 11 7 4" xfId="38449"/>
    <cellStyle name="Header2 2 4 11 7 5" xfId="49642"/>
    <cellStyle name="Header2 2 4 11 8" xfId="5550"/>
    <cellStyle name="Header2 2 4 11 8 2" xfId="16747"/>
    <cellStyle name="Header2 2 4 11 8 3" xfId="27915"/>
    <cellStyle name="Header2 2 4 11 8 4" xfId="39080"/>
    <cellStyle name="Header2 2 4 11 8 5" xfId="50273"/>
    <cellStyle name="Header2 2 4 11 9" xfId="6604"/>
    <cellStyle name="Header2 2 4 11 9 2" xfId="17801"/>
    <cellStyle name="Header2 2 4 11 9 3" xfId="28969"/>
    <cellStyle name="Header2 2 4 11 9 4" xfId="40134"/>
    <cellStyle name="Header2 2 4 11 9 5" xfId="51327"/>
    <cellStyle name="Header2 2 4 12" xfId="729"/>
    <cellStyle name="Header2 2 4 12 2" xfId="11927"/>
    <cellStyle name="Header2 2 4 12 3" xfId="23096"/>
    <cellStyle name="Header2 2 4 12 4" xfId="34261"/>
    <cellStyle name="Header2 2 4 12 5" xfId="45452"/>
    <cellStyle name="Header2 2 4 13" xfId="1497"/>
    <cellStyle name="Header2 2 4 13 2" xfId="12694"/>
    <cellStyle name="Header2 2 4 13 3" xfId="23862"/>
    <cellStyle name="Header2 2 4 13 4" xfId="35027"/>
    <cellStyle name="Header2 2 4 13 5" xfId="46220"/>
    <cellStyle name="Header2 2 4 14" xfId="2087"/>
    <cellStyle name="Header2 2 4 14 2" xfId="13284"/>
    <cellStyle name="Header2 2 4 14 3" xfId="24452"/>
    <cellStyle name="Header2 2 4 14 4" xfId="35617"/>
    <cellStyle name="Header2 2 4 14 5" xfId="46810"/>
    <cellStyle name="Header2 2 4 15" xfId="3064"/>
    <cellStyle name="Header2 2 4 15 2" xfId="14261"/>
    <cellStyle name="Header2 2 4 15 3" xfId="25429"/>
    <cellStyle name="Header2 2 4 15 4" xfId="36594"/>
    <cellStyle name="Header2 2 4 15 5" xfId="47787"/>
    <cellStyle name="Header2 2 4 16" xfId="3699"/>
    <cellStyle name="Header2 2 4 16 2" xfId="14896"/>
    <cellStyle name="Header2 2 4 16 3" xfId="26064"/>
    <cellStyle name="Header2 2 4 16 4" xfId="37229"/>
    <cellStyle name="Header2 2 4 16 5" xfId="48422"/>
    <cellStyle name="Header2 2 4 17" xfId="4331"/>
    <cellStyle name="Header2 2 4 17 2" xfId="15528"/>
    <cellStyle name="Header2 2 4 17 3" xfId="26696"/>
    <cellStyle name="Header2 2 4 17 4" xfId="37861"/>
    <cellStyle name="Header2 2 4 17 5" xfId="49054"/>
    <cellStyle name="Header2 2 4 18" xfId="4964"/>
    <cellStyle name="Header2 2 4 18 2" xfId="16161"/>
    <cellStyle name="Header2 2 4 18 3" xfId="27329"/>
    <cellStyle name="Header2 2 4 18 4" xfId="38494"/>
    <cellStyle name="Header2 2 4 18 5" xfId="49687"/>
    <cellStyle name="Header2 2 4 19" xfId="5820"/>
    <cellStyle name="Header2 2 4 19 2" xfId="17017"/>
    <cellStyle name="Header2 2 4 19 3" xfId="28185"/>
    <cellStyle name="Header2 2 4 19 4" xfId="39350"/>
    <cellStyle name="Header2 2 4 19 5" xfId="50543"/>
    <cellStyle name="Header2 2 4 2" xfId="145"/>
    <cellStyle name="Header2 2 4 2 10" xfId="6714"/>
    <cellStyle name="Header2 2 4 2 10 2" xfId="17911"/>
    <cellStyle name="Header2 2 4 2 10 3" xfId="29079"/>
    <cellStyle name="Header2 2 4 2 10 4" xfId="40244"/>
    <cellStyle name="Header2 2 4 2 10 5" xfId="51437"/>
    <cellStyle name="Header2 2 4 2 11" xfId="7348"/>
    <cellStyle name="Header2 2 4 2 11 2" xfId="18545"/>
    <cellStyle name="Header2 2 4 2 11 3" xfId="29713"/>
    <cellStyle name="Header2 2 4 2 11 4" xfId="40878"/>
    <cellStyle name="Header2 2 4 2 11 5" xfId="52071"/>
    <cellStyle name="Header2 2 4 2 12" xfId="7982"/>
    <cellStyle name="Header2 2 4 2 12 2" xfId="19179"/>
    <cellStyle name="Header2 2 4 2 12 3" xfId="30347"/>
    <cellStyle name="Header2 2 4 2 12 4" xfId="41512"/>
    <cellStyle name="Header2 2 4 2 12 5" xfId="52705"/>
    <cellStyle name="Header2 2 4 2 13" xfId="8828"/>
    <cellStyle name="Header2 2 4 2 13 2" xfId="20025"/>
    <cellStyle name="Header2 2 4 2 13 3" xfId="31193"/>
    <cellStyle name="Header2 2 4 2 13 4" xfId="42358"/>
    <cellStyle name="Header2 2 4 2 13 5" xfId="53551"/>
    <cellStyle name="Header2 2 4 2 14" xfId="9768"/>
    <cellStyle name="Header2 2 4 2 14 2" xfId="20965"/>
    <cellStyle name="Header2 2 4 2 14 3" xfId="32133"/>
    <cellStyle name="Header2 2 4 2 14 4" xfId="43298"/>
    <cellStyle name="Header2 2 4 2 14 5" xfId="54491"/>
    <cellStyle name="Header2 2 4 2 15" xfId="10698"/>
    <cellStyle name="Header2 2 4 2 15 2" xfId="21895"/>
    <cellStyle name="Header2 2 4 2 15 3" xfId="33063"/>
    <cellStyle name="Header2 2 4 2 15 4" xfId="44228"/>
    <cellStyle name="Header2 2 4 2 15 5" xfId="55421"/>
    <cellStyle name="Header2 2 4 2 16" xfId="11345"/>
    <cellStyle name="Header2 2 4 2 17" xfId="22515"/>
    <cellStyle name="Header2 2 4 2 18" xfId="33682"/>
    <cellStyle name="Header2 2 4 2 19" xfId="44868"/>
    <cellStyle name="Header2 2 4 2 2" xfId="794"/>
    <cellStyle name="Header2 2 4 2 2 2" xfId="11991"/>
    <cellStyle name="Header2 2 4 2 2 3" xfId="23159"/>
    <cellStyle name="Header2 2 4 2 2 4" xfId="34324"/>
    <cellStyle name="Header2 2 4 2 2 5" xfId="45517"/>
    <cellStyle name="Header2 2 4 2 3" xfId="1427"/>
    <cellStyle name="Header2 2 4 2 3 2" xfId="12624"/>
    <cellStyle name="Header2 2 4 2 3 3" xfId="23792"/>
    <cellStyle name="Header2 2 4 2 3 4" xfId="34957"/>
    <cellStyle name="Header2 2 4 2 3 5" xfId="46150"/>
    <cellStyle name="Header2 2 4 2 4" xfId="2123"/>
    <cellStyle name="Header2 2 4 2 4 2" xfId="13320"/>
    <cellStyle name="Header2 2 4 2 4 3" xfId="24488"/>
    <cellStyle name="Header2 2 4 2 4 4" xfId="35653"/>
    <cellStyle name="Header2 2 4 2 4 5" xfId="46846"/>
    <cellStyle name="Header2 2 4 2 5" xfId="3129"/>
    <cellStyle name="Header2 2 4 2 5 2" xfId="14326"/>
    <cellStyle name="Header2 2 4 2 5 3" xfId="25494"/>
    <cellStyle name="Header2 2 4 2 5 4" xfId="36659"/>
    <cellStyle name="Header2 2 4 2 5 5" xfId="47852"/>
    <cellStyle name="Header2 2 4 2 6" xfId="3763"/>
    <cellStyle name="Header2 2 4 2 6 2" xfId="14960"/>
    <cellStyle name="Header2 2 4 2 6 3" xfId="26128"/>
    <cellStyle name="Header2 2 4 2 6 4" xfId="37293"/>
    <cellStyle name="Header2 2 4 2 6 5" xfId="48486"/>
    <cellStyle name="Header2 2 4 2 7" xfId="4396"/>
    <cellStyle name="Header2 2 4 2 7 2" xfId="15593"/>
    <cellStyle name="Header2 2 4 2 7 3" xfId="26761"/>
    <cellStyle name="Header2 2 4 2 7 4" xfId="37926"/>
    <cellStyle name="Header2 2 4 2 7 5" xfId="49119"/>
    <cellStyle name="Header2 2 4 2 8" xfId="5027"/>
    <cellStyle name="Header2 2 4 2 8 2" xfId="16224"/>
    <cellStyle name="Header2 2 4 2 8 3" xfId="27392"/>
    <cellStyle name="Header2 2 4 2 8 4" xfId="38557"/>
    <cellStyle name="Header2 2 4 2 8 5" xfId="49750"/>
    <cellStyle name="Header2 2 4 2 9" xfId="5858"/>
    <cellStyle name="Header2 2 4 2 9 2" xfId="17055"/>
    <cellStyle name="Header2 2 4 2 9 3" xfId="28223"/>
    <cellStyle name="Header2 2 4 2 9 4" xfId="39388"/>
    <cellStyle name="Header2 2 4 2 9 5" xfId="50581"/>
    <cellStyle name="Header2 2 4 20" xfId="6651"/>
    <cellStyle name="Header2 2 4 20 2" xfId="17848"/>
    <cellStyle name="Header2 2 4 20 3" xfId="29016"/>
    <cellStyle name="Header2 2 4 20 4" xfId="40181"/>
    <cellStyle name="Header2 2 4 20 5" xfId="51374"/>
    <cellStyle name="Header2 2 4 21" xfId="7283"/>
    <cellStyle name="Header2 2 4 21 2" xfId="18480"/>
    <cellStyle name="Header2 2 4 21 3" xfId="29648"/>
    <cellStyle name="Header2 2 4 21 4" xfId="40813"/>
    <cellStyle name="Header2 2 4 21 5" xfId="52006"/>
    <cellStyle name="Header2 2 4 22" xfId="7917"/>
    <cellStyle name="Header2 2 4 22 2" xfId="19114"/>
    <cellStyle name="Header2 2 4 22 3" xfId="30282"/>
    <cellStyle name="Header2 2 4 22 4" xfId="41447"/>
    <cellStyle name="Header2 2 4 22 5" xfId="52640"/>
    <cellStyle name="Header2 2 4 23" xfId="8793"/>
    <cellStyle name="Header2 2 4 23 2" xfId="19990"/>
    <cellStyle name="Header2 2 4 23 3" xfId="31158"/>
    <cellStyle name="Header2 2 4 23 4" xfId="42323"/>
    <cellStyle name="Header2 2 4 23 5" xfId="53516"/>
    <cellStyle name="Header2 2 4 24" xfId="10180"/>
    <cellStyle name="Header2 2 4 24 2" xfId="21377"/>
    <cellStyle name="Header2 2 4 24 3" xfId="32545"/>
    <cellStyle name="Header2 2 4 24 4" xfId="43710"/>
    <cellStyle name="Header2 2 4 24 5" xfId="54903"/>
    <cellStyle name="Header2 2 4 25" xfId="10635"/>
    <cellStyle name="Header2 2 4 25 2" xfId="21832"/>
    <cellStyle name="Header2 2 4 25 3" xfId="33000"/>
    <cellStyle name="Header2 2 4 25 4" xfId="44165"/>
    <cellStyle name="Header2 2 4 25 5" xfId="55358"/>
    <cellStyle name="Header2 2 4 26" xfId="11281"/>
    <cellStyle name="Header2 2 4 27" xfId="22452"/>
    <cellStyle name="Header2 2 4 28" xfId="33619"/>
    <cellStyle name="Header2 2 4 29" xfId="44803"/>
    <cellStyle name="Header2 2 4 3" xfId="201"/>
    <cellStyle name="Header2 2 4 3 10" xfId="6770"/>
    <cellStyle name="Header2 2 4 3 10 2" xfId="17967"/>
    <cellStyle name="Header2 2 4 3 10 3" xfId="29135"/>
    <cellStyle name="Header2 2 4 3 10 4" xfId="40300"/>
    <cellStyle name="Header2 2 4 3 10 5" xfId="51493"/>
    <cellStyle name="Header2 2 4 3 11" xfId="7404"/>
    <cellStyle name="Header2 2 4 3 11 2" xfId="18601"/>
    <cellStyle name="Header2 2 4 3 11 3" xfId="29769"/>
    <cellStyle name="Header2 2 4 3 11 4" xfId="40934"/>
    <cellStyle name="Header2 2 4 3 11 5" xfId="52127"/>
    <cellStyle name="Header2 2 4 3 12" xfId="8038"/>
    <cellStyle name="Header2 2 4 3 12 2" xfId="19235"/>
    <cellStyle name="Header2 2 4 3 12 3" xfId="30403"/>
    <cellStyle name="Header2 2 4 3 12 4" xfId="41568"/>
    <cellStyle name="Header2 2 4 3 12 5" xfId="52761"/>
    <cellStyle name="Header2 2 4 3 13" xfId="8833"/>
    <cellStyle name="Header2 2 4 3 13 2" xfId="20030"/>
    <cellStyle name="Header2 2 4 3 13 3" xfId="31198"/>
    <cellStyle name="Header2 2 4 3 13 4" xfId="42363"/>
    <cellStyle name="Header2 2 4 3 13 5" xfId="53556"/>
    <cellStyle name="Header2 2 4 3 14" xfId="10087"/>
    <cellStyle name="Header2 2 4 3 14 2" xfId="21284"/>
    <cellStyle name="Header2 2 4 3 14 3" xfId="32452"/>
    <cellStyle name="Header2 2 4 3 14 4" xfId="43617"/>
    <cellStyle name="Header2 2 4 3 14 5" xfId="54810"/>
    <cellStyle name="Header2 2 4 3 15" xfId="10754"/>
    <cellStyle name="Header2 2 4 3 15 2" xfId="21951"/>
    <cellStyle name="Header2 2 4 3 15 3" xfId="33119"/>
    <cellStyle name="Header2 2 4 3 15 4" xfId="44284"/>
    <cellStyle name="Header2 2 4 3 15 5" xfId="55477"/>
    <cellStyle name="Header2 2 4 3 16" xfId="11401"/>
    <cellStyle name="Header2 2 4 3 17" xfId="22571"/>
    <cellStyle name="Header2 2 4 3 18" xfId="33738"/>
    <cellStyle name="Header2 2 4 3 19" xfId="44924"/>
    <cellStyle name="Header2 2 4 3 2" xfId="850"/>
    <cellStyle name="Header2 2 4 3 2 2" xfId="12047"/>
    <cellStyle name="Header2 2 4 3 2 3" xfId="23215"/>
    <cellStyle name="Header2 2 4 3 2 4" xfId="34380"/>
    <cellStyle name="Header2 2 4 3 2 5" xfId="45573"/>
    <cellStyle name="Header2 2 4 3 3" xfId="1463"/>
    <cellStyle name="Header2 2 4 3 3 2" xfId="12660"/>
    <cellStyle name="Header2 2 4 3 3 3" xfId="23828"/>
    <cellStyle name="Header2 2 4 3 3 4" xfId="34993"/>
    <cellStyle name="Header2 2 4 3 3 5" xfId="46186"/>
    <cellStyle name="Header2 2 4 3 4" xfId="2164"/>
    <cellStyle name="Header2 2 4 3 4 2" xfId="13361"/>
    <cellStyle name="Header2 2 4 3 4 3" xfId="24529"/>
    <cellStyle name="Header2 2 4 3 4 4" xfId="35694"/>
    <cellStyle name="Header2 2 4 3 4 5" xfId="46887"/>
    <cellStyle name="Header2 2 4 3 5" xfId="3185"/>
    <cellStyle name="Header2 2 4 3 5 2" xfId="14382"/>
    <cellStyle name="Header2 2 4 3 5 3" xfId="25550"/>
    <cellStyle name="Header2 2 4 3 5 4" xfId="36715"/>
    <cellStyle name="Header2 2 4 3 5 5" xfId="47908"/>
    <cellStyle name="Header2 2 4 3 6" xfId="3819"/>
    <cellStyle name="Header2 2 4 3 6 2" xfId="15016"/>
    <cellStyle name="Header2 2 4 3 6 3" xfId="26184"/>
    <cellStyle name="Header2 2 4 3 6 4" xfId="37349"/>
    <cellStyle name="Header2 2 4 3 6 5" xfId="48542"/>
    <cellStyle name="Header2 2 4 3 7" xfId="4452"/>
    <cellStyle name="Header2 2 4 3 7 2" xfId="15649"/>
    <cellStyle name="Header2 2 4 3 7 3" xfId="26817"/>
    <cellStyle name="Header2 2 4 3 7 4" xfId="37982"/>
    <cellStyle name="Header2 2 4 3 7 5" xfId="49175"/>
    <cellStyle name="Header2 2 4 3 8" xfId="5083"/>
    <cellStyle name="Header2 2 4 3 8 2" xfId="16280"/>
    <cellStyle name="Header2 2 4 3 8 3" xfId="27448"/>
    <cellStyle name="Header2 2 4 3 8 4" xfId="38613"/>
    <cellStyle name="Header2 2 4 3 8 5" xfId="49806"/>
    <cellStyle name="Header2 2 4 3 9" xfId="5651"/>
    <cellStyle name="Header2 2 4 3 9 2" xfId="16848"/>
    <cellStyle name="Header2 2 4 3 9 3" xfId="28016"/>
    <cellStyle name="Header2 2 4 3 9 4" xfId="39181"/>
    <cellStyle name="Header2 2 4 3 9 5" xfId="50374"/>
    <cellStyle name="Header2 2 4 4" xfId="282"/>
    <cellStyle name="Header2 2 4 4 10" xfId="6851"/>
    <cellStyle name="Header2 2 4 4 10 2" xfId="18048"/>
    <cellStyle name="Header2 2 4 4 10 3" xfId="29216"/>
    <cellStyle name="Header2 2 4 4 10 4" xfId="40381"/>
    <cellStyle name="Header2 2 4 4 10 5" xfId="51574"/>
    <cellStyle name="Header2 2 4 4 11" xfId="7485"/>
    <cellStyle name="Header2 2 4 4 11 2" xfId="18682"/>
    <cellStyle name="Header2 2 4 4 11 3" xfId="29850"/>
    <cellStyle name="Header2 2 4 4 11 4" xfId="41015"/>
    <cellStyle name="Header2 2 4 4 11 5" xfId="52208"/>
    <cellStyle name="Header2 2 4 4 12" xfId="8119"/>
    <cellStyle name="Header2 2 4 4 12 2" xfId="19316"/>
    <cellStyle name="Header2 2 4 4 12 3" xfId="30484"/>
    <cellStyle name="Header2 2 4 4 12 4" xfId="41649"/>
    <cellStyle name="Header2 2 4 4 12 5" xfId="52842"/>
    <cellStyle name="Header2 2 4 4 13" xfId="9170"/>
    <cellStyle name="Header2 2 4 4 13 2" xfId="20367"/>
    <cellStyle name="Header2 2 4 4 13 3" xfId="31535"/>
    <cellStyle name="Header2 2 4 4 13 4" xfId="42700"/>
    <cellStyle name="Header2 2 4 4 13 5" xfId="53893"/>
    <cellStyle name="Header2 2 4 4 14" xfId="10538"/>
    <cellStyle name="Header2 2 4 4 14 2" xfId="21735"/>
    <cellStyle name="Header2 2 4 4 14 3" xfId="32903"/>
    <cellStyle name="Header2 2 4 4 14 4" xfId="44068"/>
    <cellStyle name="Header2 2 4 4 14 5" xfId="55261"/>
    <cellStyle name="Header2 2 4 4 15" xfId="10835"/>
    <cellStyle name="Header2 2 4 4 15 2" xfId="22032"/>
    <cellStyle name="Header2 2 4 4 15 3" xfId="33200"/>
    <cellStyle name="Header2 2 4 4 15 4" xfId="44365"/>
    <cellStyle name="Header2 2 4 4 15 5" xfId="55558"/>
    <cellStyle name="Header2 2 4 4 16" xfId="11482"/>
    <cellStyle name="Header2 2 4 4 17" xfId="22652"/>
    <cellStyle name="Header2 2 4 4 18" xfId="33819"/>
    <cellStyle name="Header2 2 4 4 19" xfId="45005"/>
    <cellStyle name="Header2 2 4 4 2" xfId="931"/>
    <cellStyle name="Header2 2 4 4 2 2" xfId="12128"/>
    <cellStyle name="Header2 2 4 4 2 3" xfId="23296"/>
    <cellStyle name="Header2 2 4 4 2 4" xfId="34461"/>
    <cellStyle name="Header2 2 4 4 2 5" xfId="45654"/>
    <cellStyle name="Header2 2 4 4 3" xfId="1378"/>
    <cellStyle name="Header2 2 4 4 3 2" xfId="12575"/>
    <cellStyle name="Header2 2 4 4 3 3" xfId="23743"/>
    <cellStyle name="Header2 2 4 4 3 4" xfId="34908"/>
    <cellStyle name="Header2 2 4 4 3 5" xfId="46101"/>
    <cellStyle name="Header2 2 4 4 4" xfId="2632"/>
    <cellStyle name="Header2 2 4 4 4 2" xfId="13829"/>
    <cellStyle name="Header2 2 4 4 4 3" xfId="24997"/>
    <cellStyle name="Header2 2 4 4 4 4" xfId="36162"/>
    <cellStyle name="Header2 2 4 4 4 5" xfId="47355"/>
    <cellStyle name="Header2 2 4 4 5" xfId="3266"/>
    <cellStyle name="Header2 2 4 4 5 2" xfId="14463"/>
    <cellStyle name="Header2 2 4 4 5 3" xfId="25631"/>
    <cellStyle name="Header2 2 4 4 5 4" xfId="36796"/>
    <cellStyle name="Header2 2 4 4 5 5" xfId="47989"/>
    <cellStyle name="Header2 2 4 4 6" xfId="3900"/>
    <cellStyle name="Header2 2 4 4 6 2" xfId="15097"/>
    <cellStyle name="Header2 2 4 4 6 3" xfId="26265"/>
    <cellStyle name="Header2 2 4 4 6 4" xfId="37430"/>
    <cellStyle name="Header2 2 4 4 6 5" xfId="48623"/>
    <cellStyle name="Header2 2 4 4 7" xfId="4533"/>
    <cellStyle name="Header2 2 4 4 7 2" xfId="15730"/>
    <cellStyle name="Header2 2 4 4 7 3" xfId="26898"/>
    <cellStyle name="Header2 2 4 4 7 4" xfId="38063"/>
    <cellStyle name="Header2 2 4 4 7 5" xfId="49256"/>
    <cellStyle name="Header2 2 4 4 8" xfId="5164"/>
    <cellStyle name="Header2 2 4 4 8 2" xfId="16361"/>
    <cellStyle name="Header2 2 4 4 8 3" xfId="27529"/>
    <cellStyle name="Header2 2 4 4 8 4" xfId="38694"/>
    <cellStyle name="Header2 2 4 4 8 5" xfId="49887"/>
    <cellStyle name="Header2 2 4 4 9" xfId="6218"/>
    <cellStyle name="Header2 2 4 4 9 2" xfId="17415"/>
    <cellStyle name="Header2 2 4 4 9 3" xfId="28583"/>
    <cellStyle name="Header2 2 4 4 9 4" xfId="39748"/>
    <cellStyle name="Header2 2 4 4 9 5" xfId="50941"/>
    <cellStyle name="Header2 2 4 5" xfId="292"/>
    <cellStyle name="Header2 2 4 5 10" xfId="6861"/>
    <cellStyle name="Header2 2 4 5 10 2" xfId="18058"/>
    <cellStyle name="Header2 2 4 5 10 3" xfId="29226"/>
    <cellStyle name="Header2 2 4 5 10 4" xfId="40391"/>
    <cellStyle name="Header2 2 4 5 10 5" xfId="51584"/>
    <cellStyle name="Header2 2 4 5 11" xfId="7495"/>
    <cellStyle name="Header2 2 4 5 11 2" xfId="18692"/>
    <cellStyle name="Header2 2 4 5 11 3" xfId="29860"/>
    <cellStyle name="Header2 2 4 5 11 4" xfId="41025"/>
    <cellStyle name="Header2 2 4 5 11 5" xfId="52218"/>
    <cellStyle name="Header2 2 4 5 12" xfId="8129"/>
    <cellStyle name="Header2 2 4 5 12 2" xfId="19326"/>
    <cellStyle name="Header2 2 4 5 12 3" xfId="30494"/>
    <cellStyle name="Header2 2 4 5 12 4" xfId="41659"/>
    <cellStyle name="Header2 2 4 5 12 5" xfId="52852"/>
    <cellStyle name="Header2 2 4 5 13" xfId="9180"/>
    <cellStyle name="Header2 2 4 5 13 2" xfId="20377"/>
    <cellStyle name="Header2 2 4 5 13 3" xfId="31545"/>
    <cellStyle name="Header2 2 4 5 13 4" xfId="42710"/>
    <cellStyle name="Header2 2 4 5 13 5" xfId="53903"/>
    <cellStyle name="Header2 2 4 5 14" xfId="10588"/>
    <cellStyle name="Header2 2 4 5 14 2" xfId="21785"/>
    <cellStyle name="Header2 2 4 5 14 3" xfId="32953"/>
    <cellStyle name="Header2 2 4 5 14 4" xfId="44118"/>
    <cellStyle name="Header2 2 4 5 14 5" xfId="55311"/>
    <cellStyle name="Header2 2 4 5 15" xfId="10845"/>
    <cellStyle name="Header2 2 4 5 15 2" xfId="22042"/>
    <cellStyle name="Header2 2 4 5 15 3" xfId="33210"/>
    <cellStyle name="Header2 2 4 5 15 4" xfId="44375"/>
    <cellStyle name="Header2 2 4 5 15 5" xfId="55568"/>
    <cellStyle name="Header2 2 4 5 16" xfId="11492"/>
    <cellStyle name="Header2 2 4 5 17" xfId="22662"/>
    <cellStyle name="Header2 2 4 5 18" xfId="33829"/>
    <cellStyle name="Header2 2 4 5 19" xfId="45015"/>
    <cellStyle name="Header2 2 4 5 2" xfId="941"/>
    <cellStyle name="Header2 2 4 5 2 2" xfId="12138"/>
    <cellStyle name="Header2 2 4 5 2 3" xfId="23306"/>
    <cellStyle name="Header2 2 4 5 2 4" xfId="34471"/>
    <cellStyle name="Header2 2 4 5 2 5" xfId="45664"/>
    <cellStyle name="Header2 2 4 5 3" xfId="1879"/>
    <cellStyle name="Header2 2 4 5 3 2" xfId="13076"/>
    <cellStyle name="Header2 2 4 5 3 3" xfId="24244"/>
    <cellStyle name="Header2 2 4 5 3 4" xfId="35409"/>
    <cellStyle name="Header2 2 4 5 3 5" xfId="46602"/>
    <cellStyle name="Header2 2 4 5 4" xfId="2642"/>
    <cellStyle name="Header2 2 4 5 4 2" xfId="13839"/>
    <cellStyle name="Header2 2 4 5 4 3" xfId="25007"/>
    <cellStyle name="Header2 2 4 5 4 4" xfId="36172"/>
    <cellStyle name="Header2 2 4 5 4 5" xfId="47365"/>
    <cellStyle name="Header2 2 4 5 5" xfId="3276"/>
    <cellStyle name="Header2 2 4 5 5 2" xfId="14473"/>
    <cellStyle name="Header2 2 4 5 5 3" xfId="25641"/>
    <cellStyle name="Header2 2 4 5 5 4" xfId="36806"/>
    <cellStyle name="Header2 2 4 5 5 5" xfId="47999"/>
    <cellStyle name="Header2 2 4 5 6" xfId="3910"/>
    <cellStyle name="Header2 2 4 5 6 2" xfId="15107"/>
    <cellStyle name="Header2 2 4 5 6 3" xfId="26275"/>
    <cellStyle name="Header2 2 4 5 6 4" xfId="37440"/>
    <cellStyle name="Header2 2 4 5 6 5" xfId="48633"/>
    <cellStyle name="Header2 2 4 5 7" xfId="4543"/>
    <cellStyle name="Header2 2 4 5 7 2" xfId="15740"/>
    <cellStyle name="Header2 2 4 5 7 3" xfId="26908"/>
    <cellStyle name="Header2 2 4 5 7 4" xfId="38073"/>
    <cellStyle name="Header2 2 4 5 7 5" xfId="49266"/>
    <cellStyle name="Header2 2 4 5 8" xfId="5174"/>
    <cellStyle name="Header2 2 4 5 8 2" xfId="16371"/>
    <cellStyle name="Header2 2 4 5 8 3" xfId="27539"/>
    <cellStyle name="Header2 2 4 5 8 4" xfId="38704"/>
    <cellStyle name="Header2 2 4 5 8 5" xfId="49897"/>
    <cellStyle name="Header2 2 4 5 9" xfId="6228"/>
    <cellStyle name="Header2 2 4 5 9 2" xfId="17425"/>
    <cellStyle name="Header2 2 4 5 9 3" xfId="28593"/>
    <cellStyle name="Header2 2 4 5 9 4" xfId="39758"/>
    <cellStyle name="Header2 2 4 5 9 5" xfId="50951"/>
    <cellStyle name="Header2 2 4 6" xfId="371"/>
    <cellStyle name="Header2 2 4 6 10" xfId="6940"/>
    <cellStyle name="Header2 2 4 6 10 2" xfId="18137"/>
    <cellStyle name="Header2 2 4 6 10 3" xfId="29305"/>
    <cellStyle name="Header2 2 4 6 10 4" xfId="40470"/>
    <cellStyle name="Header2 2 4 6 10 5" xfId="51663"/>
    <cellStyle name="Header2 2 4 6 11" xfId="7574"/>
    <cellStyle name="Header2 2 4 6 11 2" xfId="18771"/>
    <cellStyle name="Header2 2 4 6 11 3" xfId="29939"/>
    <cellStyle name="Header2 2 4 6 11 4" xfId="41104"/>
    <cellStyle name="Header2 2 4 6 11 5" xfId="52297"/>
    <cellStyle name="Header2 2 4 6 12" xfId="8208"/>
    <cellStyle name="Header2 2 4 6 12 2" xfId="19405"/>
    <cellStyle name="Header2 2 4 6 12 3" xfId="30573"/>
    <cellStyle name="Header2 2 4 6 12 4" xfId="41738"/>
    <cellStyle name="Header2 2 4 6 12 5" xfId="52931"/>
    <cellStyle name="Header2 2 4 6 13" xfId="9259"/>
    <cellStyle name="Header2 2 4 6 13 2" xfId="20456"/>
    <cellStyle name="Header2 2 4 6 13 3" xfId="31624"/>
    <cellStyle name="Header2 2 4 6 13 4" xfId="42789"/>
    <cellStyle name="Header2 2 4 6 13 5" xfId="53982"/>
    <cellStyle name="Header2 2 4 6 14" xfId="10575"/>
    <cellStyle name="Header2 2 4 6 14 2" xfId="21772"/>
    <cellStyle name="Header2 2 4 6 14 3" xfId="32940"/>
    <cellStyle name="Header2 2 4 6 14 4" xfId="44105"/>
    <cellStyle name="Header2 2 4 6 14 5" xfId="55298"/>
    <cellStyle name="Header2 2 4 6 15" xfId="10924"/>
    <cellStyle name="Header2 2 4 6 15 2" xfId="22121"/>
    <cellStyle name="Header2 2 4 6 15 3" xfId="33289"/>
    <cellStyle name="Header2 2 4 6 15 4" xfId="44454"/>
    <cellStyle name="Header2 2 4 6 15 5" xfId="55647"/>
    <cellStyle name="Header2 2 4 6 16" xfId="11571"/>
    <cellStyle name="Header2 2 4 6 17" xfId="22741"/>
    <cellStyle name="Header2 2 4 6 18" xfId="33908"/>
    <cellStyle name="Header2 2 4 6 19" xfId="45094"/>
    <cellStyle name="Header2 2 4 6 2" xfId="1020"/>
    <cellStyle name="Header2 2 4 6 2 2" xfId="12217"/>
    <cellStyle name="Header2 2 4 6 2 3" xfId="23385"/>
    <cellStyle name="Header2 2 4 6 2 4" xfId="34550"/>
    <cellStyle name="Header2 2 4 6 2 5" xfId="45743"/>
    <cellStyle name="Header2 2 4 6 3" xfId="1414"/>
    <cellStyle name="Header2 2 4 6 3 2" xfId="12611"/>
    <cellStyle name="Header2 2 4 6 3 3" xfId="23779"/>
    <cellStyle name="Header2 2 4 6 3 4" xfId="34944"/>
    <cellStyle name="Header2 2 4 6 3 5" xfId="46137"/>
    <cellStyle name="Header2 2 4 6 4" xfId="2721"/>
    <cellStyle name="Header2 2 4 6 4 2" xfId="13918"/>
    <cellStyle name="Header2 2 4 6 4 3" xfId="25086"/>
    <cellStyle name="Header2 2 4 6 4 4" xfId="36251"/>
    <cellStyle name="Header2 2 4 6 4 5" xfId="47444"/>
    <cellStyle name="Header2 2 4 6 5" xfId="3355"/>
    <cellStyle name="Header2 2 4 6 5 2" xfId="14552"/>
    <cellStyle name="Header2 2 4 6 5 3" xfId="25720"/>
    <cellStyle name="Header2 2 4 6 5 4" xfId="36885"/>
    <cellStyle name="Header2 2 4 6 5 5" xfId="48078"/>
    <cellStyle name="Header2 2 4 6 6" xfId="3989"/>
    <cellStyle name="Header2 2 4 6 6 2" xfId="15186"/>
    <cellStyle name="Header2 2 4 6 6 3" xfId="26354"/>
    <cellStyle name="Header2 2 4 6 6 4" xfId="37519"/>
    <cellStyle name="Header2 2 4 6 6 5" xfId="48712"/>
    <cellStyle name="Header2 2 4 6 7" xfId="4622"/>
    <cellStyle name="Header2 2 4 6 7 2" xfId="15819"/>
    <cellStyle name="Header2 2 4 6 7 3" xfId="26987"/>
    <cellStyle name="Header2 2 4 6 7 4" xfId="38152"/>
    <cellStyle name="Header2 2 4 6 7 5" xfId="49345"/>
    <cellStyle name="Header2 2 4 6 8" xfId="5253"/>
    <cellStyle name="Header2 2 4 6 8 2" xfId="16450"/>
    <cellStyle name="Header2 2 4 6 8 3" xfId="27618"/>
    <cellStyle name="Header2 2 4 6 8 4" xfId="38783"/>
    <cellStyle name="Header2 2 4 6 8 5" xfId="49976"/>
    <cellStyle name="Header2 2 4 6 9" xfId="6307"/>
    <cellStyle name="Header2 2 4 6 9 2" xfId="17504"/>
    <cellStyle name="Header2 2 4 6 9 3" xfId="28672"/>
    <cellStyle name="Header2 2 4 6 9 4" xfId="39837"/>
    <cellStyle name="Header2 2 4 6 9 5" xfId="51030"/>
    <cellStyle name="Header2 2 4 7" xfId="454"/>
    <cellStyle name="Header2 2 4 7 10" xfId="7023"/>
    <cellStyle name="Header2 2 4 7 10 2" xfId="18220"/>
    <cellStyle name="Header2 2 4 7 10 3" xfId="29388"/>
    <cellStyle name="Header2 2 4 7 10 4" xfId="40553"/>
    <cellStyle name="Header2 2 4 7 10 5" xfId="51746"/>
    <cellStyle name="Header2 2 4 7 11" xfId="7657"/>
    <cellStyle name="Header2 2 4 7 11 2" xfId="18854"/>
    <cellStyle name="Header2 2 4 7 11 3" xfId="30022"/>
    <cellStyle name="Header2 2 4 7 11 4" xfId="41187"/>
    <cellStyle name="Header2 2 4 7 11 5" xfId="52380"/>
    <cellStyle name="Header2 2 4 7 12" xfId="8291"/>
    <cellStyle name="Header2 2 4 7 12 2" xfId="19488"/>
    <cellStyle name="Header2 2 4 7 12 3" xfId="30656"/>
    <cellStyle name="Header2 2 4 7 12 4" xfId="41821"/>
    <cellStyle name="Header2 2 4 7 12 5" xfId="53014"/>
    <cellStyle name="Header2 2 4 7 13" xfId="9342"/>
    <cellStyle name="Header2 2 4 7 13 2" xfId="20539"/>
    <cellStyle name="Header2 2 4 7 13 3" xfId="31707"/>
    <cellStyle name="Header2 2 4 7 13 4" xfId="42872"/>
    <cellStyle name="Header2 2 4 7 13 5" xfId="54065"/>
    <cellStyle name="Header2 2 4 7 14" xfId="10260"/>
    <cellStyle name="Header2 2 4 7 14 2" xfId="21457"/>
    <cellStyle name="Header2 2 4 7 14 3" xfId="32625"/>
    <cellStyle name="Header2 2 4 7 14 4" xfId="43790"/>
    <cellStyle name="Header2 2 4 7 14 5" xfId="54983"/>
    <cellStyle name="Header2 2 4 7 15" xfId="11007"/>
    <cellStyle name="Header2 2 4 7 15 2" xfId="22204"/>
    <cellStyle name="Header2 2 4 7 15 3" xfId="33372"/>
    <cellStyle name="Header2 2 4 7 15 4" xfId="44537"/>
    <cellStyle name="Header2 2 4 7 15 5" xfId="55730"/>
    <cellStyle name="Header2 2 4 7 16" xfId="11654"/>
    <cellStyle name="Header2 2 4 7 17" xfId="22824"/>
    <cellStyle name="Header2 2 4 7 18" xfId="33991"/>
    <cellStyle name="Header2 2 4 7 19" xfId="45177"/>
    <cellStyle name="Header2 2 4 7 2" xfId="1103"/>
    <cellStyle name="Header2 2 4 7 2 2" xfId="12300"/>
    <cellStyle name="Header2 2 4 7 2 3" xfId="23468"/>
    <cellStyle name="Header2 2 4 7 2 4" xfId="34633"/>
    <cellStyle name="Header2 2 4 7 2 5" xfId="45826"/>
    <cellStyle name="Header2 2 4 7 3" xfId="1347"/>
    <cellStyle name="Header2 2 4 7 3 2" xfId="12544"/>
    <cellStyle name="Header2 2 4 7 3 3" xfId="23712"/>
    <cellStyle name="Header2 2 4 7 3 4" xfId="34877"/>
    <cellStyle name="Header2 2 4 7 3 5" xfId="46070"/>
    <cellStyle name="Header2 2 4 7 4" xfId="2804"/>
    <cellStyle name="Header2 2 4 7 4 2" xfId="14001"/>
    <cellStyle name="Header2 2 4 7 4 3" xfId="25169"/>
    <cellStyle name="Header2 2 4 7 4 4" xfId="36334"/>
    <cellStyle name="Header2 2 4 7 4 5" xfId="47527"/>
    <cellStyle name="Header2 2 4 7 5" xfId="3438"/>
    <cellStyle name="Header2 2 4 7 5 2" xfId="14635"/>
    <cellStyle name="Header2 2 4 7 5 3" xfId="25803"/>
    <cellStyle name="Header2 2 4 7 5 4" xfId="36968"/>
    <cellStyle name="Header2 2 4 7 5 5" xfId="48161"/>
    <cellStyle name="Header2 2 4 7 6" xfId="4072"/>
    <cellStyle name="Header2 2 4 7 6 2" xfId="15269"/>
    <cellStyle name="Header2 2 4 7 6 3" xfId="26437"/>
    <cellStyle name="Header2 2 4 7 6 4" xfId="37602"/>
    <cellStyle name="Header2 2 4 7 6 5" xfId="48795"/>
    <cellStyle name="Header2 2 4 7 7" xfId="4705"/>
    <cellStyle name="Header2 2 4 7 7 2" xfId="15902"/>
    <cellStyle name="Header2 2 4 7 7 3" xfId="27070"/>
    <cellStyle name="Header2 2 4 7 7 4" xfId="38235"/>
    <cellStyle name="Header2 2 4 7 7 5" xfId="49428"/>
    <cellStyle name="Header2 2 4 7 8" xfId="5336"/>
    <cellStyle name="Header2 2 4 7 8 2" xfId="16533"/>
    <cellStyle name="Header2 2 4 7 8 3" xfId="27701"/>
    <cellStyle name="Header2 2 4 7 8 4" xfId="38866"/>
    <cellStyle name="Header2 2 4 7 8 5" xfId="50059"/>
    <cellStyle name="Header2 2 4 7 9" xfId="6390"/>
    <cellStyle name="Header2 2 4 7 9 2" xfId="17587"/>
    <cellStyle name="Header2 2 4 7 9 3" xfId="28755"/>
    <cellStyle name="Header2 2 4 7 9 4" xfId="39920"/>
    <cellStyle name="Header2 2 4 7 9 5" xfId="51113"/>
    <cellStyle name="Header2 2 4 8" xfId="489"/>
    <cellStyle name="Header2 2 4 8 10" xfId="7058"/>
    <cellStyle name="Header2 2 4 8 10 2" xfId="18255"/>
    <cellStyle name="Header2 2 4 8 10 3" xfId="29423"/>
    <cellStyle name="Header2 2 4 8 10 4" xfId="40588"/>
    <cellStyle name="Header2 2 4 8 10 5" xfId="51781"/>
    <cellStyle name="Header2 2 4 8 11" xfId="7692"/>
    <cellStyle name="Header2 2 4 8 11 2" xfId="18889"/>
    <cellStyle name="Header2 2 4 8 11 3" xfId="30057"/>
    <cellStyle name="Header2 2 4 8 11 4" xfId="41222"/>
    <cellStyle name="Header2 2 4 8 11 5" xfId="52415"/>
    <cellStyle name="Header2 2 4 8 12" xfId="8326"/>
    <cellStyle name="Header2 2 4 8 12 2" xfId="19523"/>
    <cellStyle name="Header2 2 4 8 12 3" xfId="30691"/>
    <cellStyle name="Header2 2 4 8 12 4" xfId="41856"/>
    <cellStyle name="Header2 2 4 8 12 5" xfId="53049"/>
    <cellStyle name="Header2 2 4 8 13" xfId="9377"/>
    <cellStyle name="Header2 2 4 8 13 2" xfId="20574"/>
    <cellStyle name="Header2 2 4 8 13 3" xfId="31742"/>
    <cellStyle name="Header2 2 4 8 13 4" xfId="42907"/>
    <cellStyle name="Header2 2 4 8 13 5" xfId="54100"/>
    <cellStyle name="Header2 2 4 8 14" xfId="10430"/>
    <cellStyle name="Header2 2 4 8 14 2" xfId="21627"/>
    <cellStyle name="Header2 2 4 8 14 3" xfId="32795"/>
    <cellStyle name="Header2 2 4 8 14 4" xfId="43960"/>
    <cellStyle name="Header2 2 4 8 14 5" xfId="55153"/>
    <cellStyle name="Header2 2 4 8 15" xfId="11042"/>
    <cellStyle name="Header2 2 4 8 15 2" xfId="22239"/>
    <cellStyle name="Header2 2 4 8 15 3" xfId="33407"/>
    <cellStyle name="Header2 2 4 8 15 4" xfId="44572"/>
    <cellStyle name="Header2 2 4 8 15 5" xfId="55765"/>
    <cellStyle name="Header2 2 4 8 16" xfId="11689"/>
    <cellStyle name="Header2 2 4 8 17" xfId="22859"/>
    <cellStyle name="Header2 2 4 8 18" xfId="34026"/>
    <cellStyle name="Header2 2 4 8 19" xfId="45212"/>
    <cellStyle name="Header2 2 4 8 2" xfId="1138"/>
    <cellStyle name="Header2 2 4 8 2 2" xfId="12335"/>
    <cellStyle name="Header2 2 4 8 2 3" xfId="23503"/>
    <cellStyle name="Header2 2 4 8 2 4" xfId="34668"/>
    <cellStyle name="Header2 2 4 8 2 5" xfId="45861"/>
    <cellStyle name="Header2 2 4 8 3" xfId="1699"/>
    <cellStyle name="Header2 2 4 8 3 2" xfId="12896"/>
    <cellStyle name="Header2 2 4 8 3 3" xfId="24064"/>
    <cellStyle name="Header2 2 4 8 3 4" xfId="35229"/>
    <cellStyle name="Header2 2 4 8 3 5" xfId="46422"/>
    <cellStyle name="Header2 2 4 8 4" xfId="2839"/>
    <cellStyle name="Header2 2 4 8 4 2" xfId="14036"/>
    <cellStyle name="Header2 2 4 8 4 3" xfId="25204"/>
    <cellStyle name="Header2 2 4 8 4 4" xfId="36369"/>
    <cellStyle name="Header2 2 4 8 4 5" xfId="47562"/>
    <cellStyle name="Header2 2 4 8 5" xfId="3473"/>
    <cellStyle name="Header2 2 4 8 5 2" xfId="14670"/>
    <cellStyle name="Header2 2 4 8 5 3" xfId="25838"/>
    <cellStyle name="Header2 2 4 8 5 4" xfId="37003"/>
    <cellStyle name="Header2 2 4 8 5 5" xfId="48196"/>
    <cellStyle name="Header2 2 4 8 6" xfId="4107"/>
    <cellStyle name="Header2 2 4 8 6 2" xfId="15304"/>
    <cellStyle name="Header2 2 4 8 6 3" xfId="26472"/>
    <cellStyle name="Header2 2 4 8 6 4" xfId="37637"/>
    <cellStyle name="Header2 2 4 8 6 5" xfId="48830"/>
    <cellStyle name="Header2 2 4 8 7" xfId="4740"/>
    <cellStyle name="Header2 2 4 8 7 2" xfId="15937"/>
    <cellStyle name="Header2 2 4 8 7 3" xfId="27105"/>
    <cellStyle name="Header2 2 4 8 7 4" xfId="38270"/>
    <cellStyle name="Header2 2 4 8 7 5" xfId="49463"/>
    <cellStyle name="Header2 2 4 8 8" xfId="5371"/>
    <cellStyle name="Header2 2 4 8 8 2" xfId="16568"/>
    <cellStyle name="Header2 2 4 8 8 3" xfId="27736"/>
    <cellStyle name="Header2 2 4 8 8 4" xfId="38901"/>
    <cellStyle name="Header2 2 4 8 8 5" xfId="50094"/>
    <cellStyle name="Header2 2 4 8 9" xfId="6425"/>
    <cellStyle name="Header2 2 4 8 9 2" xfId="17622"/>
    <cellStyle name="Header2 2 4 8 9 3" xfId="28790"/>
    <cellStyle name="Header2 2 4 8 9 4" xfId="39955"/>
    <cellStyle name="Header2 2 4 8 9 5" xfId="51148"/>
    <cellStyle name="Header2 2 4 9" xfId="547"/>
    <cellStyle name="Header2 2 4 9 10" xfId="7116"/>
    <cellStyle name="Header2 2 4 9 10 2" xfId="18313"/>
    <cellStyle name="Header2 2 4 9 10 3" xfId="29481"/>
    <cellStyle name="Header2 2 4 9 10 4" xfId="40646"/>
    <cellStyle name="Header2 2 4 9 10 5" xfId="51839"/>
    <cellStyle name="Header2 2 4 9 11" xfId="7750"/>
    <cellStyle name="Header2 2 4 9 11 2" xfId="18947"/>
    <cellStyle name="Header2 2 4 9 11 3" xfId="30115"/>
    <cellStyle name="Header2 2 4 9 11 4" xfId="41280"/>
    <cellStyle name="Header2 2 4 9 11 5" xfId="52473"/>
    <cellStyle name="Header2 2 4 9 12" xfId="8384"/>
    <cellStyle name="Header2 2 4 9 12 2" xfId="19581"/>
    <cellStyle name="Header2 2 4 9 12 3" xfId="30749"/>
    <cellStyle name="Header2 2 4 9 12 4" xfId="41914"/>
    <cellStyle name="Header2 2 4 9 12 5" xfId="53107"/>
    <cellStyle name="Header2 2 4 9 13" xfId="9435"/>
    <cellStyle name="Header2 2 4 9 13 2" xfId="20632"/>
    <cellStyle name="Header2 2 4 9 13 3" xfId="31800"/>
    <cellStyle name="Header2 2 4 9 13 4" xfId="42965"/>
    <cellStyle name="Header2 2 4 9 13 5" xfId="54158"/>
    <cellStyle name="Header2 2 4 9 14" xfId="10291"/>
    <cellStyle name="Header2 2 4 9 14 2" xfId="21488"/>
    <cellStyle name="Header2 2 4 9 14 3" xfId="32656"/>
    <cellStyle name="Header2 2 4 9 14 4" xfId="43821"/>
    <cellStyle name="Header2 2 4 9 14 5" xfId="55014"/>
    <cellStyle name="Header2 2 4 9 15" xfId="11100"/>
    <cellStyle name="Header2 2 4 9 15 2" xfId="22297"/>
    <cellStyle name="Header2 2 4 9 15 3" xfId="33465"/>
    <cellStyle name="Header2 2 4 9 15 4" xfId="44630"/>
    <cellStyle name="Header2 2 4 9 15 5" xfId="55823"/>
    <cellStyle name="Header2 2 4 9 16" xfId="11747"/>
    <cellStyle name="Header2 2 4 9 17" xfId="22917"/>
    <cellStyle name="Header2 2 4 9 18" xfId="34084"/>
    <cellStyle name="Header2 2 4 9 19" xfId="45270"/>
    <cellStyle name="Header2 2 4 9 2" xfId="1196"/>
    <cellStyle name="Header2 2 4 9 2 2" xfId="12393"/>
    <cellStyle name="Header2 2 4 9 2 3" xfId="23561"/>
    <cellStyle name="Header2 2 4 9 2 4" xfId="34726"/>
    <cellStyle name="Header2 2 4 9 2 5" xfId="45919"/>
    <cellStyle name="Header2 2 4 9 3" xfId="1544"/>
    <cellStyle name="Header2 2 4 9 3 2" xfId="12741"/>
    <cellStyle name="Header2 2 4 9 3 3" xfId="23909"/>
    <cellStyle name="Header2 2 4 9 3 4" xfId="35074"/>
    <cellStyle name="Header2 2 4 9 3 5" xfId="46267"/>
    <cellStyle name="Header2 2 4 9 4" xfId="2897"/>
    <cellStyle name="Header2 2 4 9 4 2" xfId="14094"/>
    <cellStyle name="Header2 2 4 9 4 3" xfId="25262"/>
    <cellStyle name="Header2 2 4 9 4 4" xfId="36427"/>
    <cellStyle name="Header2 2 4 9 4 5" xfId="47620"/>
    <cellStyle name="Header2 2 4 9 5" xfId="3531"/>
    <cellStyle name="Header2 2 4 9 5 2" xfId="14728"/>
    <cellStyle name="Header2 2 4 9 5 3" xfId="25896"/>
    <cellStyle name="Header2 2 4 9 5 4" xfId="37061"/>
    <cellStyle name="Header2 2 4 9 5 5" xfId="48254"/>
    <cellStyle name="Header2 2 4 9 6" xfId="4165"/>
    <cellStyle name="Header2 2 4 9 6 2" xfId="15362"/>
    <cellStyle name="Header2 2 4 9 6 3" xfId="26530"/>
    <cellStyle name="Header2 2 4 9 6 4" xfId="37695"/>
    <cellStyle name="Header2 2 4 9 6 5" xfId="48888"/>
    <cellStyle name="Header2 2 4 9 7" xfId="4798"/>
    <cellStyle name="Header2 2 4 9 7 2" xfId="15995"/>
    <cellStyle name="Header2 2 4 9 7 3" xfId="27163"/>
    <cellStyle name="Header2 2 4 9 7 4" xfId="38328"/>
    <cellStyle name="Header2 2 4 9 7 5" xfId="49521"/>
    <cellStyle name="Header2 2 4 9 8" xfId="5429"/>
    <cellStyle name="Header2 2 4 9 8 2" xfId="16626"/>
    <cellStyle name="Header2 2 4 9 8 3" xfId="27794"/>
    <cellStyle name="Header2 2 4 9 8 4" xfId="38959"/>
    <cellStyle name="Header2 2 4 9 8 5" xfId="50152"/>
    <cellStyle name="Header2 2 4 9 9" xfId="6483"/>
    <cellStyle name="Header2 2 4 9 9 2" xfId="17680"/>
    <cellStyle name="Header2 2 4 9 9 3" xfId="28848"/>
    <cellStyle name="Header2 2 4 9 9 4" xfId="40013"/>
    <cellStyle name="Header2 2 4 9 9 5" xfId="51206"/>
    <cellStyle name="Header2 2 40" xfId="7899"/>
    <cellStyle name="Header2 2 40 2" xfId="19096"/>
    <cellStyle name="Header2 2 40 3" xfId="30264"/>
    <cellStyle name="Header2 2 40 4" xfId="41429"/>
    <cellStyle name="Header2 2 40 5" xfId="52622"/>
    <cellStyle name="Header2 2 41" xfId="9121"/>
    <cellStyle name="Header2 2 41 2" xfId="20318"/>
    <cellStyle name="Header2 2 41 3" xfId="31486"/>
    <cellStyle name="Header2 2 41 4" xfId="42651"/>
    <cellStyle name="Header2 2 41 5" xfId="53844"/>
    <cellStyle name="Header2 2 42" xfId="10565"/>
    <cellStyle name="Header2 2 42 2" xfId="21762"/>
    <cellStyle name="Header2 2 42 3" xfId="32930"/>
    <cellStyle name="Header2 2 42 4" xfId="44095"/>
    <cellStyle name="Header2 2 42 5" xfId="55288"/>
    <cellStyle name="Header2 2 43" xfId="10625"/>
    <cellStyle name="Header2 2 43 2" xfId="21822"/>
    <cellStyle name="Header2 2 43 3" xfId="32990"/>
    <cellStyle name="Header2 2 43 4" xfId="44155"/>
    <cellStyle name="Header2 2 43 5" xfId="55348"/>
    <cellStyle name="Header2 2 44" xfId="11264"/>
    <cellStyle name="Header2 2 45" xfId="42"/>
    <cellStyle name="Header2 2 46" xfId="11269"/>
    <cellStyle name="Header2 2 47" xfId="44791"/>
    <cellStyle name="Header2 2 5" xfId="83"/>
    <cellStyle name="Header2 2 5 10" xfId="615"/>
    <cellStyle name="Header2 2 5 10 10" xfId="7184"/>
    <cellStyle name="Header2 2 5 10 10 2" xfId="18381"/>
    <cellStyle name="Header2 2 5 10 10 3" xfId="29549"/>
    <cellStyle name="Header2 2 5 10 10 4" xfId="40714"/>
    <cellStyle name="Header2 2 5 10 10 5" xfId="51907"/>
    <cellStyle name="Header2 2 5 10 11" xfId="7818"/>
    <cellStyle name="Header2 2 5 10 11 2" xfId="19015"/>
    <cellStyle name="Header2 2 5 10 11 3" xfId="30183"/>
    <cellStyle name="Header2 2 5 10 11 4" xfId="41348"/>
    <cellStyle name="Header2 2 5 10 11 5" xfId="52541"/>
    <cellStyle name="Header2 2 5 10 12" xfId="8452"/>
    <cellStyle name="Header2 2 5 10 12 2" xfId="19649"/>
    <cellStyle name="Header2 2 5 10 12 3" xfId="30817"/>
    <cellStyle name="Header2 2 5 10 12 4" xfId="41982"/>
    <cellStyle name="Header2 2 5 10 12 5" xfId="53175"/>
    <cellStyle name="Header2 2 5 10 13" xfId="9503"/>
    <cellStyle name="Header2 2 5 10 13 2" xfId="20700"/>
    <cellStyle name="Header2 2 5 10 13 3" xfId="31868"/>
    <cellStyle name="Header2 2 5 10 13 4" xfId="43033"/>
    <cellStyle name="Header2 2 5 10 13 5" xfId="54226"/>
    <cellStyle name="Header2 2 5 10 14" xfId="9688"/>
    <cellStyle name="Header2 2 5 10 14 2" xfId="20885"/>
    <cellStyle name="Header2 2 5 10 14 3" xfId="32053"/>
    <cellStyle name="Header2 2 5 10 14 4" xfId="43218"/>
    <cellStyle name="Header2 2 5 10 14 5" xfId="54411"/>
    <cellStyle name="Header2 2 5 10 15" xfId="11168"/>
    <cellStyle name="Header2 2 5 10 15 2" xfId="22365"/>
    <cellStyle name="Header2 2 5 10 15 3" xfId="33533"/>
    <cellStyle name="Header2 2 5 10 15 4" xfId="44698"/>
    <cellStyle name="Header2 2 5 10 15 5" xfId="55891"/>
    <cellStyle name="Header2 2 5 10 16" xfId="11815"/>
    <cellStyle name="Header2 2 5 10 17" xfId="22985"/>
    <cellStyle name="Header2 2 5 10 18" xfId="34152"/>
    <cellStyle name="Header2 2 5 10 19" xfId="45338"/>
    <cellStyle name="Header2 2 5 10 2" xfId="1264"/>
    <cellStyle name="Header2 2 5 10 2 2" xfId="12461"/>
    <cellStyle name="Header2 2 5 10 2 3" xfId="23629"/>
    <cellStyle name="Header2 2 5 10 2 4" xfId="34794"/>
    <cellStyle name="Header2 2 5 10 2 5" xfId="45987"/>
    <cellStyle name="Header2 2 5 10 3" xfId="1529"/>
    <cellStyle name="Header2 2 5 10 3 2" xfId="12726"/>
    <cellStyle name="Header2 2 5 10 3 3" xfId="23894"/>
    <cellStyle name="Header2 2 5 10 3 4" xfId="35059"/>
    <cellStyle name="Header2 2 5 10 3 5" xfId="46252"/>
    <cellStyle name="Header2 2 5 10 4" xfId="2965"/>
    <cellStyle name="Header2 2 5 10 4 2" xfId="14162"/>
    <cellStyle name="Header2 2 5 10 4 3" xfId="25330"/>
    <cellStyle name="Header2 2 5 10 4 4" xfId="36495"/>
    <cellStyle name="Header2 2 5 10 4 5" xfId="47688"/>
    <cellStyle name="Header2 2 5 10 5" xfId="3599"/>
    <cellStyle name="Header2 2 5 10 5 2" xfId="14796"/>
    <cellStyle name="Header2 2 5 10 5 3" xfId="25964"/>
    <cellStyle name="Header2 2 5 10 5 4" xfId="37129"/>
    <cellStyle name="Header2 2 5 10 5 5" xfId="48322"/>
    <cellStyle name="Header2 2 5 10 6" xfId="4233"/>
    <cellStyle name="Header2 2 5 10 6 2" xfId="15430"/>
    <cellStyle name="Header2 2 5 10 6 3" xfId="26598"/>
    <cellStyle name="Header2 2 5 10 6 4" xfId="37763"/>
    <cellStyle name="Header2 2 5 10 6 5" xfId="48956"/>
    <cellStyle name="Header2 2 5 10 7" xfId="4866"/>
    <cellStyle name="Header2 2 5 10 7 2" xfId="16063"/>
    <cellStyle name="Header2 2 5 10 7 3" xfId="27231"/>
    <cellStyle name="Header2 2 5 10 7 4" xfId="38396"/>
    <cellStyle name="Header2 2 5 10 7 5" xfId="49589"/>
    <cellStyle name="Header2 2 5 10 8" xfId="5497"/>
    <cellStyle name="Header2 2 5 10 8 2" xfId="16694"/>
    <cellStyle name="Header2 2 5 10 8 3" xfId="27862"/>
    <cellStyle name="Header2 2 5 10 8 4" xfId="39027"/>
    <cellStyle name="Header2 2 5 10 8 5" xfId="50220"/>
    <cellStyle name="Header2 2 5 10 9" xfId="6551"/>
    <cellStyle name="Header2 2 5 10 9 2" xfId="17748"/>
    <cellStyle name="Header2 2 5 10 9 3" xfId="28916"/>
    <cellStyle name="Header2 2 5 10 9 4" xfId="40081"/>
    <cellStyle name="Header2 2 5 10 9 5" xfId="51274"/>
    <cellStyle name="Header2 2 5 11" xfId="661"/>
    <cellStyle name="Header2 2 5 11 10" xfId="7230"/>
    <cellStyle name="Header2 2 5 11 10 2" xfId="18427"/>
    <cellStyle name="Header2 2 5 11 10 3" xfId="29595"/>
    <cellStyle name="Header2 2 5 11 10 4" xfId="40760"/>
    <cellStyle name="Header2 2 5 11 10 5" xfId="51953"/>
    <cellStyle name="Header2 2 5 11 11" xfId="7864"/>
    <cellStyle name="Header2 2 5 11 11 2" xfId="19061"/>
    <cellStyle name="Header2 2 5 11 11 3" xfId="30229"/>
    <cellStyle name="Header2 2 5 11 11 4" xfId="41394"/>
    <cellStyle name="Header2 2 5 11 11 5" xfId="52587"/>
    <cellStyle name="Header2 2 5 11 12" xfId="8498"/>
    <cellStyle name="Header2 2 5 11 12 2" xfId="19695"/>
    <cellStyle name="Header2 2 5 11 12 3" xfId="30863"/>
    <cellStyle name="Header2 2 5 11 12 4" xfId="42028"/>
    <cellStyle name="Header2 2 5 11 12 5" xfId="53221"/>
    <cellStyle name="Header2 2 5 11 13" xfId="9549"/>
    <cellStyle name="Header2 2 5 11 13 2" xfId="20746"/>
    <cellStyle name="Header2 2 5 11 13 3" xfId="31914"/>
    <cellStyle name="Header2 2 5 11 13 4" xfId="43079"/>
    <cellStyle name="Header2 2 5 11 13 5" xfId="54272"/>
    <cellStyle name="Header2 2 5 11 14" xfId="10202"/>
    <cellStyle name="Header2 2 5 11 14 2" xfId="21399"/>
    <cellStyle name="Header2 2 5 11 14 3" xfId="32567"/>
    <cellStyle name="Header2 2 5 11 14 4" xfId="43732"/>
    <cellStyle name="Header2 2 5 11 14 5" xfId="54925"/>
    <cellStyle name="Header2 2 5 11 15" xfId="11214"/>
    <cellStyle name="Header2 2 5 11 15 2" xfId="22411"/>
    <cellStyle name="Header2 2 5 11 15 3" xfId="33579"/>
    <cellStyle name="Header2 2 5 11 15 4" xfId="44744"/>
    <cellStyle name="Header2 2 5 11 15 5" xfId="55937"/>
    <cellStyle name="Header2 2 5 11 16" xfId="11861"/>
    <cellStyle name="Header2 2 5 11 17" xfId="23031"/>
    <cellStyle name="Header2 2 5 11 18" xfId="34198"/>
    <cellStyle name="Header2 2 5 11 19" xfId="45384"/>
    <cellStyle name="Header2 2 5 11 2" xfId="1310"/>
    <cellStyle name="Header2 2 5 11 2 2" xfId="12507"/>
    <cellStyle name="Header2 2 5 11 2 3" xfId="23675"/>
    <cellStyle name="Header2 2 5 11 2 4" xfId="34840"/>
    <cellStyle name="Header2 2 5 11 2 5" xfId="46033"/>
    <cellStyle name="Header2 2 5 11 3" xfId="1947"/>
    <cellStyle name="Header2 2 5 11 3 2" xfId="13144"/>
    <cellStyle name="Header2 2 5 11 3 3" xfId="24312"/>
    <cellStyle name="Header2 2 5 11 3 4" xfId="35477"/>
    <cellStyle name="Header2 2 5 11 3 5" xfId="46670"/>
    <cellStyle name="Header2 2 5 11 4" xfId="3011"/>
    <cellStyle name="Header2 2 5 11 4 2" xfId="14208"/>
    <cellStyle name="Header2 2 5 11 4 3" xfId="25376"/>
    <cellStyle name="Header2 2 5 11 4 4" xfId="36541"/>
    <cellStyle name="Header2 2 5 11 4 5" xfId="47734"/>
    <cellStyle name="Header2 2 5 11 5" xfId="3645"/>
    <cellStyle name="Header2 2 5 11 5 2" xfId="14842"/>
    <cellStyle name="Header2 2 5 11 5 3" xfId="26010"/>
    <cellStyle name="Header2 2 5 11 5 4" xfId="37175"/>
    <cellStyle name="Header2 2 5 11 5 5" xfId="48368"/>
    <cellStyle name="Header2 2 5 11 6" xfId="4279"/>
    <cellStyle name="Header2 2 5 11 6 2" xfId="15476"/>
    <cellStyle name="Header2 2 5 11 6 3" xfId="26644"/>
    <cellStyle name="Header2 2 5 11 6 4" xfId="37809"/>
    <cellStyle name="Header2 2 5 11 6 5" xfId="49002"/>
    <cellStyle name="Header2 2 5 11 7" xfId="4912"/>
    <cellStyle name="Header2 2 5 11 7 2" xfId="16109"/>
    <cellStyle name="Header2 2 5 11 7 3" xfId="27277"/>
    <cellStyle name="Header2 2 5 11 7 4" xfId="38442"/>
    <cellStyle name="Header2 2 5 11 7 5" xfId="49635"/>
    <cellStyle name="Header2 2 5 11 8" xfId="5543"/>
    <cellStyle name="Header2 2 5 11 8 2" xfId="16740"/>
    <cellStyle name="Header2 2 5 11 8 3" xfId="27908"/>
    <cellStyle name="Header2 2 5 11 8 4" xfId="39073"/>
    <cellStyle name="Header2 2 5 11 8 5" xfId="50266"/>
    <cellStyle name="Header2 2 5 11 9" xfId="6597"/>
    <cellStyle name="Header2 2 5 11 9 2" xfId="17794"/>
    <cellStyle name="Header2 2 5 11 9 3" xfId="28962"/>
    <cellStyle name="Header2 2 5 11 9 4" xfId="40127"/>
    <cellStyle name="Header2 2 5 11 9 5" xfId="51320"/>
    <cellStyle name="Header2 2 5 12" xfId="732"/>
    <cellStyle name="Header2 2 5 12 2" xfId="11930"/>
    <cellStyle name="Header2 2 5 12 3" xfId="23099"/>
    <cellStyle name="Header2 2 5 12 4" xfId="34264"/>
    <cellStyle name="Header2 2 5 12 5" xfId="45455"/>
    <cellStyle name="Header2 2 5 13" xfId="1804"/>
    <cellStyle name="Header2 2 5 13 2" xfId="13001"/>
    <cellStyle name="Header2 2 5 13 3" xfId="24169"/>
    <cellStyle name="Header2 2 5 13 4" xfId="35334"/>
    <cellStyle name="Header2 2 5 13 5" xfId="46527"/>
    <cellStyle name="Header2 2 5 14" xfId="2023"/>
    <cellStyle name="Header2 2 5 14 2" xfId="13220"/>
    <cellStyle name="Header2 2 5 14 3" xfId="24388"/>
    <cellStyle name="Header2 2 5 14 4" xfId="35553"/>
    <cellStyle name="Header2 2 5 14 5" xfId="46746"/>
    <cellStyle name="Header2 2 5 15" xfId="3067"/>
    <cellStyle name="Header2 2 5 15 2" xfId="14264"/>
    <cellStyle name="Header2 2 5 15 3" xfId="25432"/>
    <cellStyle name="Header2 2 5 15 4" xfId="36597"/>
    <cellStyle name="Header2 2 5 15 5" xfId="47790"/>
    <cellStyle name="Header2 2 5 16" xfId="3702"/>
    <cellStyle name="Header2 2 5 16 2" xfId="14899"/>
    <cellStyle name="Header2 2 5 16 3" xfId="26067"/>
    <cellStyle name="Header2 2 5 16 4" xfId="37232"/>
    <cellStyle name="Header2 2 5 16 5" xfId="48425"/>
    <cellStyle name="Header2 2 5 17" xfId="4334"/>
    <cellStyle name="Header2 2 5 17 2" xfId="15531"/>
    <cellStyle name="Header2 2 5 17 3" xfId="26699"/>
    <cellStyle name="Header2 2 5 17 4" xfId="37864"/>
    <cellStyle name="Header2 2 5 17 5" xfId="49057"/>
    <cellStyle name="Header2 2 5 18" xfId="4967"/>
    <cellStyle name="Header2 2 5 18 2" xfId="16164"/>
    <cellStyle name="Header2 2 5 18 3" xfId="27332"/>
    <cellStyle name="Header2 2 5 18 4" xfId="38497"/>
    <cellStyle name="Header2 2 5 18 5" xfId="49690"/>
    <cellStyle name="Header2 2 5 19" xfId="6152"/>
    <cellStyle name="Header2 2 5 19 2" xfId="17349"/>
    <cellStyle name="Header2 2 5 19 3" xfId="28517"/>
    <cellStyle name="Header2 2 5 19 4" xfId="39682"/>
    <cellStyle name="Header2 2 5 19 5" xfId="50875"/>
    <cellStyle name="Header2 2 5 2" xfId="148"/>
    <cellStyle name="Header2 2 5 2 10" xfId="6717"/>
    <cellStyle name="Header2 2 5 2 10 2" xfId="17914"/>
    <cellStyle name="Header2 2 5 2 10 3" xfId="29082"/>
    <cellStyle name="Header2 2 5 2 10 4" xfId="40247"/>
    <cellStyle name="Header2 2 5 2 10 5" xfId="51440"/>
    <cellStyle name="Header2 2 5 2 11" xfId="7351"/>
    <cellStyle name="Header2 2 5 2 11 2" xfId="18548"/>
    <cellStyle name="Header2 2 5 2 11 3" xfId="29716"/>
    <cellStyle name="Header2 2 5 2 11 4" xfId="40881"/>
    <cellStyle name="Header2 2 5 2 11 5" xfId="52074"/>
    <cellStyle name="Header2 2 5 2 12" xfId="7985"/>
    <cellStyle name="Header2 2 5 2 12 2" xfId="19182"/>
    <cellStyle name="Header2 2 5 2 12 3" xfId="30350"/>
    <cellStyle name="Header2 2 5 2 12 4" xfId="41515"/>
    <cellStyle name="Header2 2 5 2 12 5" xfId="52708"/>
    <cellStyle name="Header2 2 5 2 13" xfId="8665"/>
    <cellStyle name="Header2 2 5 2 13 2" xfId="19862"/>
    <cellStyle name="Header2 2 5 2 13 3" xfId="31030"/>
    <cellStyle name="Header2 2 5 2 13 4" xfId="42195"/>
    <cellStyle name="Header2 2 5 2 13 5" xfId="53388"/>
    <cellStyle name="Header2 2 5 2 14" xfId="10528"/>
    <cellStyle name="Header2 2 5 2 14 2" xfId="21725"/>
    <cellStyle name="Header2 2 5 2 14 3" xfId="32893"/>
    <cellStyle name="Header2 2 5 2 14 4" xfId="44058"/>
    <cellStyle name="Header2 2 5 2 14 5" xfId="55251"/>
    <cellStyle name="Header2 2 5 2 15" xfId="10701"/>
    <cellStyle name="Header2 2 5 2 15 2" xfId="21898"/>
    <cellStyle name="Header2 2 5 2 15 3" xfId="33066"/>
    <cellStyle name="Header2 2 5 2 15 4" xfId="44231"/>
    <cellStyle name="Header2 2 5 2 15 5" xfId="55424"/>
    <cellStyle name="Header2 2 5 2 16" xfId="11348"/>
    <cellStyle name="Header2 2 5 2 17" xfId="22518"/>
    <cellStyle name="Header2 2 5 2 18" xfId="33685"/>
    <cellStyle name="Header2 2 5 2 19" xfId="44871"/>
    <cellStyle name="Header2 2 5 2 2" xfId="797"/>
    <cellStyle name="Header2 2 5 2 2 2" xfId="11994"/>
    <cellStyle name="Header2 2 5 2 2 3" xfId="23162"/>
    <cellStyle name="Header2 2 5 2 2 4" xfId="34327"/>
    <cellStyle name="Header2 2 5 2 2 5" xfId="45520"/>
    <cellStyle name="Header2 2 5 2 3" xfId="1364"/>
    <cellStyle name="Header2 2 5 2 3 2" xfId="12561"/>
    <cellStyle name="Header2 2 5 2 3 3" xfId="23729"/>
    <cellStyle name="Header2 2 5 2 3 4" xfId="34894"/>
    <cellStyle name="Header2 2 5 2 3 5" xfId="46087"/>
    <cellStyle name="Header2 2 5 2 4" xfId="2537"/>
    <cellStyle name="Header2 2 5 2 4 2" xfId="13734"/>
    <cellStyle name="Header2 2 5 2 4 3" xfId="24902"/>
    <cellStyle name="Header2 2 5 2 4 4" xfId="36067"/>
    <cellStyle name="Header2 2 5 2 4 5" xfId="47260"/>
    <cellStyle name="Header2 2 5 2 5" xfId="3132"/>
    <cellStyle name="Header2 2 5 2 5 2" xfId="14329"/>
    <cellStyle name="Header2 2 5 2 5 3" xfId="25497"/>
    <cellStyle name="Header2 2 5 2 5 4" xfId="36662"/>
    <cellStyle name="Header2 2 5 2 5 5" xfId="47855"/>
    <cellStyle name="Header2 2 5 2 6" xfId="3766"/>
    <cellStyle name="Header2 2 5 2 6 2" xfId="14963"/>
    <cellStyle name="Header2 2 5 2 6 3" xfId="26131"/>
    <cellStyle name="Header2 2 5 2 6 4" xfId="37296"/>
    <cellStyle name="Header2 2 5 2 6 5" xfId="48489"/>
    <cellStyle name="Header2 2 5 2 7" xfId="4399"/>
    <cellStyle name="Header2 2 5 2 7 2" xfId="15596"/>
    <cellStyle name="Header2 2 5 2 7 3" xfId="26764"/>
    <cellStyle name="Header2 2 5 2 7 4" xfId="37929"/>
    <cellStyle name="Header2 2 5 2 7 5" xfId="49122"/>
    <cellStyle name="Header2 2 5 2 8" xfId="5030"/>
    <cellStyle name="Header2 2 5 2 8 2" xfId="16227"/>
    <cellStyle name="Header2 2 5 2 8 3" xfId="27395"/>
    <cellStyle name="Header2 2 5 2 8 4" xfId="38560"/>
    <cellStyle name="Header2 2 5 2 8 5" xfId="49753"/>
    <cellStyle name="Header2 2 5 2 9" xfId="5941"/>
    <cellStyle name="Header2 2 5 2 9 2" xfId="17138"/>
    <cellStyle name="Header2 2 5 2 9 3" xfId="28306"/>
    <cellStyle name="Header2 2 5 2 9 4" xfId="39471"/>
    <cellStyle name="Header2 2 5 2 9 5" xfId="50664"/>
    <cellStyle name="Header2 2 5 20" xfId="6654"/>
    <cellStyle name="Header2 2 5 20 2" xfId="17851"/>
    <cellStyle name="Header2 2 5 20 3" xfId="29019"/>
    <cellStyle name="Header2 2 5 20 4" xfId="40184"/>
    <cellStyle name="Header2 2 5 20 5" xfId="51377"/>
    <cellStyle name="Header2 2 5 21" xfId="7286"/>
    <cellStyle name="Header2 2 5 21 2" xfId="18483"/>
    <cellStyle name="Header2 2 5 21 3" xfId="29651"/>
    <cellStyle name="Header2 2 5 21 4" xfId="40816"/>
    <cellStyle name="Header2 2 5 21 5" xfId="52009"/>
    <cellStyle name="Header2 2 5 22" xfId="7920"/>
    <cellStyle name="Header2 2 5 22 2" xfId="19117"/>
    <cellStyle name="Header2 2 5 22 3" xfId="30285"/>
    <cellStyle name="Header2 2 5 22 4" xfId="41450"/>
    <cellStyle name="Header2 2 5 22 5" xfId="52643"/>
    <cellStyle name="Header2 2 5 23" xfId="8629"/>
    <cellStyle name="Header2 2 5 23 2" xfId="19826"/>
    <cellStyle name="Header2 2 5 23 3" xfId="30994"/>
    <cellStyle name="Header2 2 5 23 4" xfId="42159"/>
    <cellStyle name="Header2 2 5 23 5" xfId="53352"/>
    <cellStyle name="Header2 2 5 24" xfId="10581"/>
    <cellStyle name="Header2 2 5 24 2" xfId="21778"/>
    <cellStyle name="Header2 2 5 24 3" xfId="32946"/>
    <cellStyle name="Header2 2 5 24 4" xfId="44111"/>
    <cellStyle name="Header2 2 5 24 5" xfId="55304"/>
    <cellStyle name="Header2 2 5 25" xfId="10638"/>
    <cellStyle name="Header2 2 5 25 2" xfId="21835"/>
    <cellStyle name="Header2 2 5 25 3" xfId="33003"/>
    <cellStyle name="Header2 2 5 25 4" xfId="44168"/>
    <cellStyle name="Header2 2 5 25 5" xfId="55361"/>
    <cellStyle name="Header2 2 5 26" xfId="11284"/>
    <cellStyle name="Header2 2 5 27" xfId="22455"/>
    <cellStyle name="Header2 2 5 28" xfId="33622"/>
    <cellStyle name="Header2 2 5 29" xfId="44806"/>
    <cellStyle name="Header2 2 5 3" xfId="204"/>
    <cellStyle name="Header2 2 5 3 10" xfId="6773"/>
    <cellStyle name="Header2 2 5 3 10 2" xfId="17970"/>
    <cellStyle name="Header2 2 5 3 10 3" xfId="29138"/>
    <cellStyle name="Header2 2 5 3 10 4" xfId="40303"/>
    <cellStyle name="Header2 2 5 3 10 5" xfId="51496"/>
    <cellStyle name="Header2 2 5 3 11" xfId="7407"/>
    <cellStyle name="Header2 2 5 3 11 2" xfId="18604"/>
    <cellStyle name="Header2 2 5 3 11 3" xfId="29772"/>
    <cellStyle name="Header2 2 5 3 11 4" xfId="40937"/>
    <cellStyle name="Header2 2 5 3 11 5" xfId="52130"/>
    <cellStyle name="Header2 2 5 3 12" xfId="8041"/>
    <cellStyle name="Header2 2 5 3 12 2" xfId="19238"/>
    <cellStyle name="Header2 2 5 3 12 3" xfId="30406"/>
    <cellStyle name="Header2 2 5 3 12 4" xfId="41571"/>
    <cellStyle name="Header2 2 5 3 12 5" xfId="52764"/>
    <cellStyle name="Header2 2 5 3 13" xfId="8706"/>
    <cellStyle name="Header2 2 5 3 13 2" xfId="19903"/>
    <cellStyle name="Header2 2 5 3 13 3" xfId="31071"/>
    <cellStyle name="Header2 2 5 3 13 4" xfId="42236"/>
    <cellStyle name="Header2 2 5 3 13 5" xfId="53429"/>
    <cellStyle name="Header2 2 5 3 14" xfId="10553"/>
    <cellStyle name="Header2 2 5 3 14 2" xfId="21750"/>
    <cellStyle name="Header2 2 5 3 14 3" xfId="32918"/>
    <cellStyle name="Header2 2 5 3 14 4" xfId="44083"/>
    <cellStyle name="Header2 2 5 3 14 5" xfId="55276"/>
    <cellStyle name="Header2 2 5 3 15" xfId="10757"/>
    <cellStyle name="Header2 2 5 3 15 2" xfId="21954"/>
    <cellStyle name="Header2 2 5 3 15 3" xfId="33122"/>
    <cellStyle name="Header2 2 5 3 15 4" xfId="44287"/>
    <cellStyle name="Header2 2 5 3 15 5" xfId="55480"/>
    <cellStyle name="Header2 2 5 3 16" xfId="11404"/>
    <cellStyle name="Header2 2 5 3 17" xfId="22574"/>
    <cellStyle name="Header2 2 5 3 18" xfId="33741"/>
    <cellStyle name="Header2 2 5 3 19" xfId="44927"/>
    <cellStyle name="Header2 2 5 3 2" xfId="853"/>
    <cellStyle name="Header2 2 5 3 2 2" xfId="12050"/>
    <cellStyle name="Header2 2 5 3 2 3" xfId="23218"/>
    <cellStyle name="Header2 2 5 3 2 4" xfId="34383"/>
    <cellStyle name="Header2 2 5 3 2 5" xfId="45576"/>
    <cellStyle name="Header2 2 5 3 3" xfId="1402"/>
    <cellStyle name="Header2 2 5 3 3 2" xfId="12599"/>
    <cellStyle name="Header2 2 5 3 3 3" xfId="23767"/>
    <cellStyle name="Header2 2 5 3 3 4" xfId="34932"/>
    <cellStyle name="Header2 2 5 3 3 5" xfId="46125"/>
    <cellStyle name="Header2 2 5 3 4" xfId="2556"/>
    <cellStyle name="Header2 2 5 3 4 2" xfId="13753"/>
    <cellStyle name="Header2 2 5 3 4 3" xfId="24921"/>
    <cellStyle name="Header2 2 5 3 4 4" xfId="36086"/>
    <cellStyle name="Header2 2 5 3 4 5" xfId="47279"/>
    <cellStyle name="Header2 2 5 3 5" xfId="3188"/>
    <cellStyle name="Header2 2 5 3 5 2" xfId="14385"/>
    <cellStyle name="Header2 2 5 3 5 3" xfId="25553"/>
    <cellStyle name="Header2 2 5 3 5 4" xfId="36718"/>
    <cellStyle name="Header2 2 5 3 5 5" xfId="47911"/>
    <cellStyle name="Header2 2 5 3 6" xfId="3822"/>
    <cellStyle name="Header2 2 5 3 6 2" xfId="15019"/>
    <cellStyle name="Header2 2 5 3 6 3" xfId="26187"/>
    <cellStyle name="Header2 2 5 3 6 4" xfId="37352"/>
    <cellStyle name="Header2 2 5 3 6 5" xfId="48545"/>
    <cellStyle name="Header2 2 5 3 7" xfId="4455"/>
    <cellStyle name="Header2 2 5 3 7 2" xfId="15652"/>
    <cellStyle name="Header2 2 5 3 7 3" xfId="26820"/>
    <cellStyle name="Header2 2 5 3 7 4" xfId="37985"/>
    <cellStyle name="Header2 2 5 3 7 5" xfId="49178"/>
    <cellStyle name="Header2 2 5 3 8" xfId="5086"/>
    <cellStyle name="Header2 2 5 3 8 2" xfId="16283"/>
    <cellStyle name="Header2 2 5 3 8 3" xfId="27451"/>
    <cellStyle name="Header2 2 5 3 8 4" xfId="38616"/>
    <cellStyle name="Header2 2 5 3 8 5" xfId="49809"/>
    <cellStyle name="Header2 2 5 3 9" xfId="5690"/>
    <cellStyle name="Header2 2 5 3 9 2" xfId="16887"/>
    <cellStyle name="Header2 2 5 3 9 3" xfId="28055"/>
    <cellStyle name="Header2 2 5 3 9 4" xfId="39220"/>
    <cellStyle name="Header2 2 5 3 9 5" xfId="50413"/>
    <cellStyle name="Header2 2 5 4" xfId="256"/>
    <cellStyle name="Header2 2 5 4 10" xfId="6825"/>
    <cellStyle name="Header2 2 5 4 10 2" xfId="18022"/>
    <cellStyle name="Header2 2 5 4 10 3" xfId="29190"/>
    <cellStyle name="Header2 2 5 4 10 4" xfId="40355"/>
    <cellStyle name="Header2 2 5 4 10 5" xfId="51548"/>
    <cellStyle name="Header2 2 5 4 11" xfId="7459"/>
    <cellStyle name="Header2 2 5 4 11 2" xfId="18656"/>
    <cellStyle name="Header2 2 5 4 11 3" xfId="29824"/>
    <cellStyle name="Header2 2 5 4 11 4" xfId="40989"/>
    <cellStyle name="Header2 2 5 4 11 5" xfId="52182"/>
    <cellStyle name="Header2 2 5 4 12" xfId="8093"/>
    <cellStyle name="Header2 2 5 4 12 2" xfId="19290"/>
    <cellStyle name="Header2 2 5 4 12 3" xfId="30458"/>
    <cellStyle name="Header2 2 5 4 12 4" xfId="41623"/>
    <cellStyle name="Header2 2 5 4 12 5" xfId="52816"/>
    <cellStyle name="Header2 2 5 4 13" xfId="8790"/>
    <cellStyle name="Header2 2 5 4 13 2" xfId="19987"/>
    <cellStyle name="Header2 2 5 4 13 3" xfId="31155"/>
    <cellStyle name="Header2 2 5 4 13 4" xfId="42320"/>
    <cellStyle name="Header2 2 5 4 13 5" xfId="53513"/>
    <cellStyle name="Header2 2 5 4 14" xfId="8909"/>
    <cellStyle name="Header2 2 5 4 14 2" xfId="20106"/>
    <cellStyle name="Header2 2 5 4 14 3" xfId="31274"/>
    <cellStyle name="Header2 2 5 4 14 4" xfId="42439"/>
    <cellStyle name="Header2 2 5 4 14 5" xfId="53632"/>
    <cellStyle name="Header2 2 5 4 15" xfId="10809"/>
    <cellStyle name="Header2 2 5 4 15 2" xfId="22006"/>
    <cellStyle name="Header2 2 5 4 15 3" xfId="33174"/>
    <cellStyle name="Header2 2 5 4 15 4" xfId="44339"/>
    <cellStyle name="Header2 2 5 4 15 5" xfId="55532"/>
    <cellStyle name="Header2 2 5 4 16" xfId="11456"/>
    <cellStyle name="Header2 2 5 4 17" xfId="22626"/>
    <cellStyle name="Header2 2 5 4 18" xfId="33793"/>
    <cellStyle name="Header2 2 5 4 19" xfId="44979"/>
    <cellStyle name="Header2 2 5 4 2" xfId="905"/>
    <cellStyle name="Header2 2 5 4 2 2" xfId="12102"/>
    <cellStyle name="Header2 2 5 4 2 3" xfId="23270"/>
    <cellStyle name="Header2 2 5 4 2 4" xfId="34435"/>
    <cellStyle name="Header2 2 5 4 2 5" xfId="45628"/>
    <cellStyle name="Header2 2 5 4 3" xfId="1503"/>
    <cellStyle name="Header2 2 5 4 3 2" xfId="12700"/>
    <cellStyle name="Header2 2 5 4 3 3" xfId="23868"/>
    <cellStyle name="Header2 2 5 4 3 4" xfId="35033"/>
    <cellStyle name="Header2 2 5 4 3 5" xfId="46226"/>
    <cellStyle name="Header2 2 5 4 4" xfId="2146"/>
    <cellStyle name="Header2 2 5 4 4 2" xfId="13343"/>
    <cellStyle name="Header2 2 5 4 4 3" xfId="24511"/>
    <cellStyle name="Header2 2 5 4 4 4" xfId="35676"/>
    <cellStyle name="Header2 2 5 4 4 5" xfId="46869"/>
    <cellStyle name="Header2 2 5 4 5" xfId="3240"/>
    <cellStyle name="Header2 2 5 4 5 2" xfId="14437"/>
    <cellStyle name="Header2 2 5 4 5 3" xfId="25605"/>
    <cellStyle name="Header2 2 5 4 5 4" xfId="36770"/>
    <cellStyle name="Header2 2 5 4 5 5" xfId="47963"/>
    <cellStyle name="Header2 2 5 4 6" xfId="3874"/>
    <cellStyle name="Header2 2 5 4 6 2" xfId="15071"/>
    <cellStyle name="Header2 2 5 4 6 3" xfId="26239"/>
    <cellStyle name="Header2 2 5 4 6 4" xfId="37404"/>
    <cellStyle name="Header2 2 5 4 6 5" xfId="48597"/>
    <cellStyle name="Header2 2 5 4 7" xfId="4507"/>
    <cellStyle name="Header2 2 5 4 7 2" xfId="15704"/>
    <cellStyle name="Header2 2 5 4 7 3" xfId="26872"/>
    <cellStyle name="Header2 2 5 4 7 4" xfId="38037"/>
    <cellStyle name="Header2 2 5 4 7 5" xfId="49230"/>
    <cellStyle name="Header2 2 5 4 8" xfId="5138"/>
    <cellStyle name="Header2 2 5 4 8 2" xfId="16335"/>
    <cellStyle name="Header2 2 5 4 8 3" xfId="27503"/>
    <cellStyle name="Header2 2 5 4 8 4" xfId="38668"/>
    <cellStyle name="Header2 2 5 4 8 5" xfId="49861"/>
    <cellStyle name="Header2 2 5 4 9" xfId="5982"/>
    <cellStyle name="Header2 2 5 4 9 2" xfId="17179"/>
    <cellStyle name="Header2 2 5 4 9 3" xfId="28347"/>
    <cellStyle name="Header2 2 5 4 9 4" xfId="39512"/>
    <cellStyle name="Header2 2 5 4 9 5" xfId="50705"/>
    <cellStyle name="Header2 2 5 5" xfId="357"/>
    <cellStyle name="Header2 2 5 5 10" xfId="6926"/>
    <cellStyle name="Header2 2 5 5 10 2" xfId="18123"/>
    <cellStyle name="Header2 2 5 5 10 3" xfId="29291"/>
    <cellStyle name="Header2 2 5 5 10 4" xfId="40456"/>
    <cellStyle name="Header2 2 5 5 10 5" xfId="51649"/>
    <cellStyle name="Header2 2 5 5 11" xfId="7560"/>
    <cellStyle name="Header2 2 5 5 11 2" xfId="18757"/>
    <cellStyle name="Header2 2 5 5 11 3" xfId="29925"/>
    <cellStyle name="Header2 2 5 5 11 4" xfId="41090"/>
    <cellStyle name="Header2 2 5 5 11 5" xfId="52283"/>
    <cellStyle name="Header2 2 5 5 12" xfId="8194"/>
    <cellStyle name="Header2 2 5 5 12 2" xfId="19391"/>
    <cellStyle name="Header2 2 5 5 12 3" xfId="30559"/>
    <cellStyle name="Header2 2 5 5 12 4" xfId="41724"/>
    <cellStyle name="Header2 2 5 5 12 5" xfId="52917"/>
    <cellStyle name="Header2 2 5 5 13" xfId="9245"/>
    <cellStyle name="Header2 2 5 5 13 2" xfId="20442"/>
    <cellStyle name="Header2 2 5 5 13 3" xfId="31610"/>
    <cellStyle name="Header2 2 5 5 13 4" xfId="42775"/>
    <cellStyle name="Header2 2 5 5 13 5" xfId="53968"/>
    <cellStyle name="Header2 2 5 5 14" xfId="10032"/>
    <cellStyle name="Header2 2 5 5 14 2" xfId="21229"/>
    <cellStyle name="Header2 2 5 5 14 3" xfId="32397"/>
    <cellStyle name="Header2 2 5 5 14 4" xfId="43562"/>
    <cellStyle name="Header2 2 5 5 14 5" xfId="54755"/>
    <cellStyle name="Header2 2 5 5 15" xfId="10910"/>
    <cellStyle name="Header2 2 5 5 15 2" xfId="22107"/>
    <cellStyle name="Header2 2 5 5 15 3" xfId="33275"/>
    <cellStyle name="Header2 2 5 5 15 4" xfId="44440"/>
    <cellStyle name="Header2 2 5 5 15 5" xfId="55633"/>
    <cellStyle name="Header2 2 5 5 16" xfId="11557"/>
    <cellStyle name="Header2 2 5 5 17" xfId="22727"/>
    <cellStyle name="Header2 2 5 5 18" xfId="33894"/>
    <cellStyle name="Header2 2 5 5 19" xfId="45080"/>
    <cellStyle name="Header2 2 5 5 2" xfId="1006"/>
    <cellStyle name="Header2 2 5 5 2 2" xfId="12203"/>
    <cellStyle name="Header2 2 5 5 2 3" xfId="23371"/>
    <cellStyle name="Header2 2 5 5 2 4" xfId="34536"/>
    <cellStyle name="Header2 2 5 5 2 5" xfId="45729"/>
    <cellStyle name="Header2 2 5 5 3" xfId="1422"/>
    <cellStyle name="Header2 2 5 5 3 2" xfId="12619"/>
    <cellStyle name="Header2 2 5 5 3 3" xfId="23787"/>
    <cellStyle name="Header2 2 5 5 3 4" xfId="34952"/>
    <cellStyle name="Header2 2 5 5 3 5" xfId="46145"/>
    <cellStyle name="Header2 2 5 5 4" xfId="2707"/>
    <cellStyle name="Header2 2 5 5 4 2" xfId="13904"/>
    <cellStyle name="Header2 2 5 5 4 3" xfId="25072"/>
    <cellStyle name="Header2 2 5 5 4 4" xfId="36237"/>
    <cellStyle name="Header2 2 5 5 4 5" xfId="47430"/>
    <cellStyle name="Header2 2 5 5 5" xfId="3341"/>
    <cellStyle name="Header2 2 5 5 5 2" xfId="14538"/>
    <cellStyle name="Header2 2 5 5 5 3" xfId="25706"/>
    <cellStyle name="Header2 2 5 5 5 4" xfId="36871"/>
    <cellStyle name="Header2 2 5 5 5 5" xfId="48064"/>
    <cellStyle name="Header2 2 5 5 6" xfId="3975"/>
    <cellStyle name="Header2 2 5 5 6 2" xfId="15172"/>
    <cellStyle name="Header2 2 5 5 6 3" xfId="26340"/>
    <cellStyle name="Header2 2 5 5 6 4" xfId="37505"/>
    <cellStyle name="Header2 2 5 5 6 5" xfId="48698"/>
    <cellStyle name="Header2 2 5 5 7" xfId="4608"/>
    <cellStyle name="Header2 2 5 5 7 2" xfId="15805"/>
    <cellStyle name="Header2 2 5 5 7 3" xfId="26973"/>
    <cellStyle name="Header2 2 5 5 7 4" xfId="38138"/>
    <cellStyle name="Header2 2 5 5 7 5" xfId="49331"/>
    <cellStyle name="Header2 2 5 5 8" xfId="5239"/>
    <cellStyle name="Header2 2 5 5 8 2" xfId="16436"/>
    <cellStyle name="Header2 2 5 5 8 3" xfId="27604"/>
    <cellStyle name="Header2 2 5 5 8 4" xfId="38769"/>
    <cellStyle name="Header2 2 5 5 8 5" xfId="49962"/>
    <cellStyle name="Header2 2 5 5 9" xfId="6293"/>
    <cellStyle name="Header2 2 5 5 9 2" xfId="17490"/>
    <cellStyle name="Header2 2 5 5 9 3" xfId="28658"/>
    <cellStyle name="Header2 2 5 5 9 4" xfId="39823"/>
    <cellStyle name="Header2 2 5 5 9 5" xfId="51016"/>
    <cellStyle name="Header2 2 5 6" xfId="379"/>
    <cellStyle name="Header2 2 5 6 10" xfId="6948"/>
    <cellStyle name="Header2 2 5 6 10 2" xfId="18145"/>
    <cellStyle name="Header2 2 5 6 10 3" xfId="29313"/>
    <cellStyle name="Header2 2 5 6 10 4" xfId="40478"/>
    <cellStyle name="Header2 2 5 6 10 5" xfId="51671"/>
    <cellStyle name="Header2 2 5 6 11" xfId="7582"/>
    <cellStyle name="Header2 2 5 6 11 2" xfId="18779"/>
    <cellStyle name="Header2 2 5 6 11 3" xfId="29947"/>
    <cellStyle name="Header2 2 5 6 11 4" xfId="41112"/>
    <cellStyle name="Header2 2 5 6 11 5" xfId="52305"/>
    <cellStyle name="Header2 2 5 6 12" xfId="8216"/>
    <cellStyle name="Header2 2 5 6 12 2" xfId="19413"/>
    <cellStyle name="Header2 2 5 6 12 3" xfId="30581"/>
    <cellStyle name="Header2 2 5 6 12 4" xfId="41746"/>
    <cellStyle name="Header2 2 5 6 12 5" xfId="52939"/>
    <cellStyle name="Header2 2 5 6 13" xfId="9267"/>
    <cellStyle name="Header2 2 5 6 13 2" xfId="20464"/>
    <cellStyle name="Header2 2 5 6 13 3" xfId="31632"/>
    <cellStyle name="Header2 2 5 6 13 4" xfId="42797"/>
    <cellStyle name="Header2 2 5 6 13 5" xfId="53990"/>
    <cellStyle name="Header2 2 5 6 14" xfId="10083"/>
    <cellStyle name="Header2 2 5 6 14 2" xfId="21280"/>
    <cellStyle name="Header2 2 5 6 14 3" xfId="32448"/>
    <cellStyle name="Header2 2 5 6 14 4" xfId="43613"/>
    <cellStyle name="Header2 2 5 6 14 5" xfId="54806"/>
    <cellStyle name="Header2 2 5 6 15" xfId="10932"/>
    <cellStyle name="Header2 2 5 6 15 2" xfId="22129"/>
    <cellStyle name="Header2 2 5 6 15 3" xfId="33297"/>
    <cellStyle name="Header2 2 5 6 15 4" xfId="44462"/>
    <cellStyle name="Header2 2 5 6 15 5" xfId="55655"/>
    <cellStyle name="Header2 2 5 6 16" xfId="11579"/>
    <cellStyle name="Header2 2 5 6 17" xfId="22749"/>
    <cellStyle name="Header2 2 5 6 18" xfId="33916"/>
    <cellStyle name="Header2 2 5 6 19" xfId="45102"/>
    <cellStyle name="Header2 2 5 6 2" xfId="1028"/>
    <cellStyle name="Header2 2 5 6 2 2" xfId="12225"/>
    <cellStyle name="Header2 2 5 6 2 3" xfId="23393"/>
    <cellStyle name="Header2 2 5 6 2 4" xfId="34558"/>
    <cellStyle name="Header2 2 5 6 2 5" xfId="45751"/>
    <cellStyle name="Header2 2 5 6 3" xfId="1474"/>
    <cellStyle name="Header2 2 5 6 3 2" xfId="12671"/>
    <cellStyle name="Header2 2 5 6 3 3" xfId="23839"/>
    <cellStyle name="Header2 2 5 6 3 4" xfId="35004"/>
    <cellStyle name="Header2 2 5 6 3 5" xfId="46197"/>
    <cellStyle name="Header2 2 5 6 4" xfId="2729"/>
    <cellStyle name="Header2 2 5 6 4 2" xfId="13926"/>
    <cellStyle name="Header2 2 5 6 4 3" xfId="25094"/>
    <cellStyle name="Header2 2 5 6 4 4" xfId="36259"/>
    <cellStyle name="Header2 2 5 6 4 5" xfId="47452"/>
    <cellStyle name="Header2 2 5 6 5" xfId="3363"/>
    <cellStyle name="Header2 2 5 6 5 2" xfId="14560"/>
    <cellStyle name="Header2 2 5 6 5 3" xfId="25728"/>
    <cellStyle name="Header2 2 5 6 5 4" xfId="36893"/>
    <cellStyle name="Header2 2 5 6 5 5" xfId="48086"/>
    <cellStyle name="Header2 2 5 6 6" xfId="3997"/>
    <cellStyle name="Header2 2 5 6 6 2" xfId="15194"/>
    <cellStyle name="Header2 2 5 6 6 3" xfId="26362"/>
    <cellStyle name="Header2 2 5 6 6 4" xfId="37527"/>
    <cellStyle name="Header2 2 5 6 6 5" xfId="48720"/>
    <cellStyle name="Header2 2 5 6 7" xfId="4630"/>
    <cellStyle name="Header2 2 5 6 7 2" xfId="15827"/>
    <cellStyle name="Header2 2 5 6 7 3" xfId="26995"/>
    <cellStyle name="Header2 2 5 6 7 4" xfId="38160"/>
    <cellStyle name="Header2 2 5 6 7 5" xfId="49353"/>
    <cellStyle name="Header2 2 5 6 8" xfId="5261"/>
    <cellStyle name="Header2 2 5 6 8 2" xfId="16458"/>
    <cellStyle name="Header2 2 5 6 8 3" xfId="27626"/>
    <cellStyle name="Header2 2 5 6 8 4" xfId="38791"/>
    <cellStyle name="Header2 2 5 6 8 5" xfId="49984"/>
    <cellStyle name="Header2 2 5 6 9" xfId="6315"/>
    <cellStyle name="Header2 2 5 6 9 2" xfId="17512"/>
    <cellStyle name="Header2 2 5 6 9 3" xfId="28680"/>
    <cellStyle name="Header2 2 5 6 9 4" xfId="39845"/>
    <cellStyle name="Header2 2 5 6 9 5" xfId="51038"/>
    <cellStyle name="Header2 2 5 7" xfId="309"/>
    <cellStyle name="Header2 2 5 7 10" xfId="6878"/>
    <cellStyle name="Header2 2 5 7 10 2" xfId="18075"/>
    <cellStyle name="Header2 2 5 7 10 3" xfId="29243"/>
    <cellStyle name="Header2 2 5 7 10 4" xfId="40408"/>
    <cellStyle name="Header2 2 5 7 10 5" xfId="51601"/>
    <cellStyle name="Header2 2 5 7 11" xfId="7512"/>
    <cellStyle name="Header2 2 5 7 11 2" xfId="18709"/>
    <cellStyle name="Header2 2 5 7 11 3" xfId="29877"/>
    <cellStyle name="Header2 2 5 7 11 4" xfId="41042"/>
    <cellStyle name="Header2 2 5 7 11 5" xfId="52235"/>
    <cellStyle name="Header2 2 5 7 12" xfId="8146"/>
    <cellStyle name="Header2 2 5 7 12 2" xfId="19343"/>
    <cellStyle name="Header2 2 5 7 12 3" xfId="30511"/>
    <cellStyle name="Header2 2 5 7 12 4" xfId="41676"/>
    <cellStyle name="Header2 2 5 7 12 5" xfId="52869"/>
    <cellStyle name="Header2 2 5 7 13" xfId="9197"/>
    <cellStyle name="Header2 2 5 7 13 2" xfId="20394"/>
    <cellStyle name="Header2 2 5 7 13 3" xfId="31562"/>
    <cellStyle name="Header2 2 5 7 13 4" xfId="42727"/>
    <cellStyle name="Header2 2 5 7 13 5" xfId="53920"/>
    <cellStyle name="Header2 2 5 7 14" xfId="9916"/>
    <cellStyle name="Header2 2 5 7 14 2" xfId="21113"/>
    <cellStyle name="Header2 2 5 7 14 3" xfId="32281"/>
    <cellStyle name="Header2 2 5 7 14 4" xfId="43446"/>
    <cellStyle name="Header2 2 5 7 14 5" xfId="54639"/>
    <cellStyle name="Header2 2 5 7 15" xfId="10862"/>
    <cellStyle name="Header2 2 5 7 15 2" xfId="22059"/>
    <cellStyle name="Header2 2 5 7 15 3" xfId="33227"/>
    <cellStyle name="Header2 2 5 7 15 4" xfId="44392"/>
    <cellStyle name="Header2 2 5 7 15 5" xfId="55585"/>
    <cellStyle name="Header2 2 5 7 16" xfId="11509"/>
    <cellStyle name="Header2 2 5 7 17" xfId="22679"/>
    <cellStyle name="Header2 2 5 7 18" xfId="33846"/>
    <cellStyle name="Header2 2 5 7 19" xfId="45032"/>
    <cellStyle name="Header2 2 5 7 2" xfId="958"/>
    <cellStyle name="Header2 2 5 7 2 2" xfId="12155"/>
    <cellStyle name="Header2 2 5 7 2 3" xfId="23323"/>
    <cellStyle name="Header2 2 5 7 2 4" xfId="34488"/>
    <cellStyle name="Header2 2 5 7 2 5" xfId="45681"/>
    <cellStyle name="Header2 2 5 7 3" xfId="1600"/>
    <cellStyle name="Header2 2 5 7 3 2" xfId="12797"/>
    <cellStyle name="Header2 2 5 7 3 3" xfId="23965"/>
    <cellStyle name="Header2 2 5 7 3 4" xfId="35130"/>
    <cellStyle name="Header2 2 5 7 3 5" xfId="46323"/>
    <cellStyle name="Header2 2 5 7 4" xfId="2659"/>
    <cellStyle name="Header2 2 5 7 4 2" xfId="13856"/>
    <cellStyle name="Header2 2 5 7 4 3" xfId="25024"/>
    <cellStyle name="Header2 2 5 7 4 4" xfId="36189"/>
    <cellStyle name="Header2 2 5 7 4 5" xfId="47382"/>
    <cellStyle name="Header2 2 5 7 5" xfId="3293"/>
    <cellStyle name="Header2 2 5 7 5 2" xfId="14490"/>
    <cellStyle name="Header2 2 5 7 5 3" xfId="25658"/>
    <cellStyle name="Header2 2 5 7 5 4" xfId="36823"/>
    <cellStyle name="Header2 2 5 7 5 5" xfId="48016"/>
    <cellStyle name="Header2 2 5 7 6" xfId="3927"/>
    <cellStyle name="Header2 2 5 7 6 2" xfId="15124"/>
    <cellStyle name="Header2 2 5 7 6 3" xfId="26292"/>
    <cellStyle name="Header2 2 5 7 6 4" xfId="37457"/>
    <cellStyle name="Header2 2 5 7 6 5" xfId="48650"/>
    <cellStyle name="Header2 2 5 7 7" xfId="4560"/>
    <cellStyle name="Header2 2 5 7 7 2" xfId="15757"/>
    <cellStyle name="Header2 2 5 7 7 3" xfId="26925"/>
    <cellStyle name="Header2 2 5 7 7 4" xfId="38090"/>
    <cellStyle name="Header2 2 5 7 7 5" xfId="49283"/>
    <cellStyle name="Header2 2 5 7 8" xfId="5191"/>
    <cellStyle name="Header2 2 5 7 8 2" xfId="16388"/>
    <cellStyle name="Header2 2 5 7 8 3" xfId="27556"/>
    <cellStyle name="Header2 2 5 7 8 4" xfId="38721"/>
    <cellStyle name="Header2 2 5 7 8 5" xfId="49914"/>
    <cellStyle name="Header2 2 5 7 9" xfId="6245"/>
    <cellStyle name="Header2 2 5 7 9 2" xfId="17442"/>
    <cellStyle name="Header2 2 5 7 9 3" xfId="28610"/>
    <cellStyle name="Header2 2 5 7 9 4" xfId="39775"/>
    <cellStyle name="Header2 2 5 7 9 5" xfId="50968"/>
    <cellStyle name="Header2 2 5 8" xfId="492"/>
    <cellStyle name="Header2 2 5 8 10" xfId="7061"/>
    <cellStyle name="Header2 2 5 8 10 2" xfId="18258"/>
    <cellStyle name="Header2 2 5 8 10 3" xfId="29426"/>
    <cellStyle name="Header2 2 5 8 10 4" xfId="40591"/>
    <cellStyle name="Header2 2 5 8 10 5" xfId="51784"/>
    <cellStyle name="Header2 2 5 8 11" xfId="7695"/>
    <cellStyle name="Header2 2 5 8 11 2" xfId="18892"/>
    <cellStyle name="Header2 2 5 8 11 3" xfId="30060"/>
    <cellStyle name="Header2 2 5 8 11 4" xfId="41225"/>
    <cellStyle name="Header2 2 5 8 11 5" xfId="52418"/>
    <cellStyle name="Header2 2 5 8 12" xfId="8329"/>
    <cellStyle name="Header2 2 5 8 12 2" xfId="19526"/>
    <cellStyle name="Header2 2 5 8 12 3" xfId="30694"/>
    <cellStyle name="Header2 2 5 8 12 4" xfId="41859"/>
    <cellStyle name="Header2 2 5 8 12 5" xfId="53052"/>
    <cellStyle name="Header2 2 5 8 13" xfId="9380"/>
    <cellStyle name="Header2 2 5 8 13 2" xfId="20577"/>
    <cellStyle name="Header2 2 5 8 13 3" xfId="31745"/>
    <cellStyle name="Header2 2 5 8 13 4" xfId="42910"/>
    <cellStyle name="Header2 2 5 8 13 5" xfId="54103"/>
    <cellStyle name="Header2 2 5 8 14" xfId="10208"/>
    <cellStyle name="Header2 2 5 8 14 2" xfId="21405"/>
    <cellStyle name="Header2 2 5 8 14 3" xfId="32573"/>
    <cellStyle name="Header2 2 5 8 14 4" xfId="43738"/>
    <cellStyle name="Header2 2 5 8 14 5" xfId="54931"/>
    <cellStyle name="Header2 2 5 8 15" xfId="11045"/>
    <cellStyle name="Header2 2 5 8 15 2" xfId="22242"/>
    <cellStyle name="Header2 2 5 8 15 3" xfId="33410"/>
    <cellStyle name="Header2 2 5 8 15 4" xfId="44575"/>
    <cellStyle name="Header2 2 5 8 15 5" xfId="55768"/>
    <cellStyle name="Header2 2 5 8 16" xfId="11692"/>
    <cellStyle name="Header2 2 5 8 17" xfId="22862"/>
    <cellStyle name="Header2 2 5 8 18" xfId="34029"/>
    <cellStyle name="Header2 2 5 8 19" xfId="45215"/>
    <cellStyle name="Header2 2 5 8 2" xfId="1141"/>
    <cellStyle name="Header2 2 5 8 2 2" xfId="12338"/>
    <cellStyle name="Header2 2 5 8 2 3" xfId="23506"/>
    <cellStyle name="Header2 2 5 8 2 4" xfId="34671"/>
    <cellStyle name="Header2 2 5 8 2 5" xfId="45864"/>
    <cellStyle name="Header2 2 5 8 3" xfId="1357"/>
    <cellStyle name="Header2 2 5 8 3 2" xfId="12554"/>
    <cellStyle name="Header2 2 5 8 3 3" xfId="23722"/>
    <cellStyle name="Header2 2 5 8 3 4" xfId="34887"/>
    <cellStyle name="Header2 2 5 8 3 5" xfId="46080"/>
    <cellStyle name="Header2 2 5 8 4" xfId="2842"/>
    <cellStyle name="Header2 2 5 8 4 2" xfId="14039"/>
    <cellStyle name="Header2 2 5 8 4 3" xfId="25207"/>
    <cellStyle name="Header2 2 5 8 4 4" xfId="36372"/>
    <cellStyle name="Header2 2 5 8 4 5" xfId="47565"/>
    <cellStyle name="Header2 2 5 8 5" xfId="3476"/>
    <cellStyle name="Header2 2 5 8 5 2" xfId="14673"/>
    <cellStyle name="Header2 2 5 8 5 3" xfId="25841"/>
    <cellStyle name="Header2 2 5 8 5 4" xfId="37006"/>
    <cellStyle name="Header2 2 5 8 5 5" xfId="48199"/>
    <cellStyle name="Header2 2 5 8 6" xfId="4110"/>
    <cellStyle name="Header2 2 5 8 6 2" xfId="15307"/>
    <cellStyle name="Header2 2 5 8 6 3" xfId="26475"/>
    <cellStyle name="Header2 2 5 8 6 4" xfId="37640"/>
    <cellStyle name="Header2 2 5 8 6 5" xfId="48833"/>
    <cellStyle name="Header2 2 5 8 7" xfId="4743"/>
    <cellStyle name="Header2 2 5 8 7 2" xfId="15940"/>
    <cellStyle name="Header2 2 5 8 7 3" xfId="27108"/>
    <cellStyle name="Header2 2 5 8 7 4" xfId="38273"/>
    <cellStyle name="Header2 2 5 8 7 5" xfId="49466"/>
    <cellStyle name="Header2 2 5 8 8" xfId="5374"/>
    <cellStyle name="Header2 2 5 8 8 2" xfId="16571"/>
    <cellStyle name="Header2 2 5 8 8 3" xfId="27739"/>
    <cellStyle name="Header2 2 5 8 8 4" xfId="38904"/>
    <cellStyle name="Header2 2 5 8 8 5" xfId="50097"/>
    <cellStyle name="Header2 2 5 8 9" xfId="6428"/>
    <cellStyle name="Header2 2 5 8 9 2" xfId="17625"/>
    <cellStyle name="Header2 2 5 8 9 3" xfId="28793"/>
    <cellStyle name="Header2 2 5 8 9 4" xfId="39958"/>
    <cellStyle name="Header2 2 5 8 9 5" xfId="51151"/>
    <cellStyle name="Header2 2 5 9" xfId="550"/>
    <cellStyle name="Header2 2 5 9 10" xfId="7119"/>
    <cellStyle name="Header2 2 5 9 10 2" xfId="18316"/>
    <cellStyle name="Header2 2 5 9 10 3" xfId="29484"/>
    <cellStyle name="Header2 2 5 9 10 4" xfId="40649"/>
    <cellStyle name="Header2 2 5 9 10 5" xfId="51842"/>
    <cellStyle name="Header2 2 5 9 11" xfId="7753"/>
    <cellStyle name="Header2 2 5 9 11 2" xfId="18950"/>
    <cellStyle name="Header2 2 5 9 11 3" xfId="30118"/>
    <cellStyle name="Header2 2 5 9 11 4" xfId="41283"/>
    <cellStyle name="Header2 2 5 9 11 5" xfId="52476"/>
    <cellStyle name="Header2 2 5 9 12" xfId="8387"/>
    <cellStyle name="Header2 2 5 9 12 2" xfId="19584"/>
    <cellStyle name="Header2 2 5 9 12 3" xfId="30752"/>
    <cellStyle name="Header2 2 5 9 12 4" xfId="41917"/>
    <cellStyle name="Header2 2 5 9 12 5" xfId="53110"/>
    <cellStyle name="Header2 2 5 9 13" xfId="9438"/>
    <cellStyle name="Header2 2 5 9 13 2" xfId="20635"/>
    <cellStyle name="Header2 2 5 9 13 3" xfId="31803"/>
    <cellStyle name="Header2 2 5 9 13 4" xfId="42968"/>
    <cellStyle name="Header2 2 5 9 13 5" xfId="54161"/>
    <cellStyle name="Header2 2 5 9 14" xfId="9717"/>
    <cellStyle name="Header2 2 5 9 14 2" xfId="20914"/>
    <cellStyle name="Header2 2 5 9 14 3" xfId="32082"/>
    <cellStyle name="Header2 2 5 9 14 4" xfId="43247"/>
    <cellStyle name="Header2 2 5 9 14 5" xfId="54440"/>
    <cellStyle name="Header2 2 5 9 15" xfId="11103"/>
    <cellStyle name="Header2 2 5 9 15 2" xfId="22300"/>
    <cellStyle name="Header2 2 5 9 15 3" xfId="33468"/>
    <cellStyle name="Header2 2 5 9 15 4" xfId="44633"/>
    <cellStyle name="Header2 2 5 9 15 5" xfId="55826"/>
    <cellStyle name="Header2 2 5 9 16" xfId="11750"/>
    <cellStyle name="Header2 2 5 9 17" xfId="22920"/>
    <cellStyle name="Header2 2 5 9 18" xfId="34087"/>
    <cellStyle name="Header2 2 5 9 19" xfId="45273"/>
    <cellStyle name="Header2 2 5 9 2" xfId="1199"/>
    <cellStyle name="Header2 2 5 9 2 2" xfId="12396"/>
    <cellStyle name="Header2 2 5 9 2 3" xfId="23564"/>
    <cellStyle name="Header2 2 5 9 2 4" xfId="34729"/>
    <cellStyle name="Header2 2 5 9 2 5" xfId="45922"/>
    <cellStyle name="Header2 2 5 9 3" xfId="1944"/>
    <cellStyle name="Header2 2 5 9 3 2" xfId="13141"/>
    <cellStyle name="Header2 2 5 9 3 3" xfId="24309"/>
    <cellStyle name="Header2 2 5 9 3 4" xfId="35474"/>
    <cellStyle name="Header2 2 5 9 3 5" xfId="46667"/>
    <cellStyle name="Header2 2 5 9 4" xfId="2900"/>
    <cellStyle name="Header2 2 5 9 4 2" xfId="14097"/>
    <cellStyle name="Header2 2 5 9 4 3" xfId="25265"/>
    <cellStyle name="Header2 2 5 9 4 4" xfId="36430"/>
    <cellStyle name="Header2 2 5 9 4 5" xfId="47623"/>
    <cellStyle name="Header2 2 5 9 5" xfId="3534"/>
    <cellStyle name="Header2 2 5 9 5 2" xfId="14731"/>
    <cellStyle name="Header2 2 5 9 5 3" xfId="25899"/>
    <cellStyle name="Header2 2 5 9 5 4" xfId="37064"/>
    <cellStyle name="Header2 2 5 9 5 5" xfId="48257"/>
    <cellStyle name="Header2 2 5 9 6" xfId="4168"/>
    <cellStyle name="Header2 2 5 9 6 2" xfId="15365"/>
    <cellStyle name="Header2 2 5 9 6 3" xfId="26533"/>
    <cellStyle name="Header2 2 5 9 6 4" xfId="37698"/>
    <cellStyle name="Header2 2 5 9 6 5" xfId="48891"/>
    <cellStyle name="Header2 2 5 9 7" xfId="4801"/>
    <cellStyle name="Header2 2 5 9 7 2" xfId="15998"/>
    <cellStyle name="Header2 2 5 9 7 3" xfId="27166"/>
    <cellStyle name="Header2 2 5 9 7 4" xfId="38331"/>
    <cellStyle name="Header2 2 5 9 7 5" xfId="49524"/>
    <cellStyle name="Header2 2 5 9 8" xfId="5432"/>
    <cellStyle name="Header2 2 5 9 8 2" xfId="16629"/>
    <cellStyle name="Header2 2 5 9 8 3" xfId="27797"/>
    <cellStyle name="Header2 2 5 9 8 4" xfId="38962"/>
    <cellStyle name="Header2 2 5 9 8 5" xfId="50155"/>
    <cellStyle name="Header2 2 5 9 9" xfId="6486"/>
    <cellStyle name="Header2 2 5 9 9 2" xfId="17683"/>
    <cellStyle name="Header2 2 5 9 9 3" xfId="28851"/>
    <cellStyle name="Header2 2 5 9 9 4" xfId="40016"/>
    <cellStyle name="Header2 2 5 9 9 5" xfId="51209"/>
    <cellStyle name="Header2 2 6" xfId="86"/>
    <cellStyle name="Header2 2 6 10" xfId="644"/>
    <cellStyle name="Header2 2 6 10 10" xfId="7213"/>
    <cellStyle name="Header2 2 6 10 10 2" xfId="18410"/>
    <cellStyle name="Header2 2 6 10 10 3" xfId="29578"/>
    <cellStyle name="Header2 2 6 10 10 4" xfId="40743"/>
    <cellStyle name="Header2 2 6 10 10 5" xfId="51936"/>
    <cellStyle name="Header2 2 6 10 11" xfId="7847"/>
    <cellStyle name="Header2 2 6 10 11 2" xfId="19044"/>
    <cellStyle name="Header2 2 6 10 11 3" xfId="30212"/>
    <cellStyle name="Header2 2 6 10 11 4" xfId="41377"/>
    <cellStyle name="Header2 2 6 10 11 5" xfId="52570"/>
    <cellStyle name="Header2 2 6 10 12" xfId="8481"/>
    <cellStyle name="Header2 2 6 10 12 2" xfId="19678"/>
    <cellStyle name="Header2 2 6 10 12 3" xfId="30846"/>
    <cellStyle name="Header2 2 6 10 12 4" xfId="42011"/>
    <cellStyle name="Header2 2 6 10 12 5" xfId="53204"/>
    <cellStyle name="Header2 2 6 10 13" xfId="9532"/>
    <cellStyle name="Header2 2 6 10 13 2" xfId="20729"/>
    <cellStyle name="Header2 2 6 10 13 3" xfId="31897"/>
    <cellStyle name="Header2 2 6 10 13 4" xfId="43062"/>
    <cellStyle name="Header2 2 6 10 13 5" xfId="54255"/>
    <cellStyle name="Header2 2 6 10 14" xfId="10452"/>
    <cellStyle name="Header2 2 6 10 14 2" xfId="21649"/>
    <cellStyle name="Header2 2 6 10 14 3" xfId="32817"/>
    <cellStyle name="Header2 2 6 10 14 4" xfId="43982"/>
    <cellStyle name="Header2 2 6 10 14 5" xfId="55175"/>
    <cellStyle name="Header2 2 6 10 15" xfId="11197"/>
    <cellStyle name="Header2 2 6 10 15 2" xfId="22394"/>
    <cellStyle name="Header2 2 6 10 15 3" xfId="33562"/>
    <cellStyle name="Header2 2 6 10 15 4" xfId="44727"/>
    <cellStyle name="Header2 2 6 10 15 5" xfId="55920"/>
    <cellStyle name="Header2 2 6 10 16" xfId="11844"/>
    <cellStyle name="Header2 2 6 10 17" xfId="23014"/>
    <cellStyle name="Header2 2 6 10 18" xfId="34181"/>
    <cellStyle name="Header2 2 6 10 19" xfId="45367"/>
    <cellStyle name="Header2 2 6 10 2" xfId="1293"/>
    <cellStyle name="Header2 2 6 10 2 2" xfId="12490"/>
    <cellStyle name="Header2 2 6 10 2 3" xfId="23658"/>
    <cellStyle name="Header2 2 6 10 2 4" xfId="34823"/>
    <cellStyle name="Header2 2 6 10 2 5" xfId="46016"/>
    <cellStyle name="Header2 2 6 10 3" xfId="1760"/>
    <cellStyle name="Header2 2 6 10 3 2" xfId="12957"/>
    <cellStyle name="Header2 2 6 10 3 3" xfId="24125"/>
    <cellStyle name="Header2 2 6 10 3 4" xfId="35290"/>
    <cellStyle name="Header2 2 6 10 3 5" xfId="46483"/>
    <cellStyle name="Header2 2 6 10 4" xfId="2994"/>
    <cellStyle name="Header2 2 6 10 4 2" xfId="14191"/>
    <cellStyle name="Header2 2 6 10 4 3" xfId="25359"/>
    <cellStyle name="Header2 2 6 10 4 4" xfId="36524"/>
    <cellStyle name="Header2 2 6 10 4 5" xfId="47717"/>
    <cellStyle name="Header2 2 6 10 5" xfId="3628"/>
    <cellStyle name="Header2 2 6 10 5 2" xfId="14825"/>
    <cellStyle name="Header2 2 6 10 5 3" xfId="25993"/>
    <cellStyle name="Header2 2 6 10 5 4" xfId="37158"/>
    <cellStyle name="Header2 2 6 10 5 5" xfId="48351"/>
    <cellStyle name="Header2 2 6 10 6" xfId="4262"/>
    <cellStyle name="Header2 2 6 10 6 2" xfId="15459"/>
    <cellStyle name="Header2 2 6 10 6 3" xfId="26627"/>
    <cellStyle name="Header2 2 6 10 6 4" xfId="37792"/>
    <cellStyle name="Header2 2 6 10 6 5" xfId="48985"/>
    <cellStyle name="Header2 2 6 10 7" xfId="4895"/>
    <cellStyle name="Header2 2 6 10 7 2" xfId="16092"/>
    <cellStyle name="Header2 2 6 10 7 3" xfId="27260"/>
    <cellStyle name="Header2 2 6 10 7 4" xfId="38425"/>
    <cellStyle name="Header2 2 6 10 7 5" xfId="49618"/>
    <cellStyle name="Header2 2 6 10 8" xfId="5526"/>
    <cellStyle name="Header2 2 6 10 8 2" xfId="16723"/>
    <cellStyle name="Header2 2 6 10 8 3" xfId="27891"/>
    <cellStyle name="Header2 2 6 10 8 4" xfId="39056"/>
    <cellStyle name="Header2 2 6 10 8 5" xfId="50249"/>
    <cellStyle name="Header2 2 6 10 9" xfId="6580"/>
    <cellStyle name="Header2 2 6 10 9 2" xfId="17777"/>
    <cellStyle name="Header2 2 6 10 9 3" xfId="28945"/>
    <cellStyle name="Header2 2 6 10 9 4" xfId="40110"/>
    <cellStyle name="Header2 2 6 10 9 5" xfId="51303"/>
    <cellStyle name="Header2 2 6 11" xfId="655"/>
    <cellStyle name="Header2 2 6 11 10" xfId="7224"/>
    <cellStyle name="Header2 2 6 11 10 2" xfId="18421"/>
    <cellStyle name="Header2 2 6 11 10 3" xfId="29589"/>
    <cellStyle name="Header2 2 6 11 10 4" xfId="40754"/>
    <cellStyle name="Header2 2 6 11 10 5" xfId="51947"/>
    <cellStyle name="Header2 2 6 11 11" xfId="7858"/>
    <cellStyle name="Header2 2 6 11 11 2" xfId="19055"/>
    <cellStyle name="Header2 2 6 11 11 3" xfId="30223"/>
    <cellStyle name="Header2 2 6 11 11 4" xfId="41388"/>
    <cellStyle name="Header2 2 6 11 11 5" xfId="52581"/>
    <cellStyle name="Header2 2 6 11 12" xfId="8492"/>
    <cellStyle name="Header2 2 6 11 12 2" xfId="19689"/>
    <cellStyle name="Header2 2 6 11 12 3" xfId="30857"/>
    <cellStyle name="Header2 2 6 11 12 4" xfId="42022"/>
    <cellStyle name="Header2 2 6 11 12 5" xfId="53215"/>
    <cellStyle name="Header2 2 6 11 13" xfId="9543"/>
    <cellStyle name="Header2 2 6 11 13 2" xfId="20740"/>
    <cellStyle name="Header2 2 6 11 13 3" xfId="31908"/>
    <cellStyle name="Header2 2 6 11 13 4" xfId="43073"/>
    <cellStyle name="Header2 2 6 11 13 5" xfId="54266"/>
    <cellStyle name="Header2 2 6 11 14" xfId="10446"/>
    <cellStyle name="Header2 2 6 11 14 2" xfId="21643"/>
    <cellStyle name="Header2 2 6 11 14 3" xfId="32811"/>
    <cellStyle name="Header2 2 6 11 14 4" xfId="43976"/>
    <cellStyle name="Header2 2 6 11 14 5" xfId="55169"/>
    <cellStyle name="Header2 2 6 11 15" xfId="11208"/>
    <cellStyle name="Header2 2 6 11 15 2" xfId="22405"/>
    <cellStyle name="Header2 2 6 11 15 3" xfId="33573"/>
    <cellStyle name="Header2 2 6 11 15 4" xfId="44738"/>
    <cellStyle name="Header2 2 6 11 15 5" xfId="55931"/>
    <cellStyle name="Header2 2 6 11 16" xfId="11855"/>
    <cellStyle name="Header2 2 6 11 17" xfId="23025"/>
    <cellStyle name="Header2 2 6 11 18" xfId="34192"/>
    <cellStyle name="Header2 2 6 11 19" xfId="45378"/>
    <cellStyle name="Header2 2 6 11 2" xfId="1304"/>
    <cellStyle name="Header2 2 6 11 2 2" xfId="12501"/>
    <cellStyle name="Header2 2 6 11 2 3" xfId="23669"/>
    <cellStyle name="Header2 2 6 11 2 4" xfId="34834"/>
    <cellStyle name="Header2 2 6 11 2 5" xfId="46027"/>
    <cellStyle name="Header2 2 6 11 3" xfId="1753"/>
    <cellStyle name="Header2 2 6 11 3 2" xfId="12950"/>
    <cellStyle name="Header2 2 6 11 3 3" xfId="24118"/>
    <cellStyle name="Header2 2 6 11 3 4" xfId="35283"/>
    <cellStyle name="Header2 2 6 11 3 5" xfId="46476"/>
    <cellStyle name="Header2 2 6 11 4" xfId="3005"/>
    <cellStyle name="Header2 2 6 11 4 2" xfId="14202"/>
    <cellStyle name="Header2 2 6 11 4 3" xfId="25370"/>
    <cellStyle name="Header2 2 6 11 4 4" xfId="36535"/>
    <cellStyle name="Header2 2 6 11 4 5" xfId="47728"/>
    <cellStyle name="Header2 2 6 11 5" xfId="3639"/>
    <cellStyle name="Header2 2 6 11 5 2" xfId="14836"/>
    <cellStyle name="Header2 2 6 11 5 3" xfId="26004"/>
    <cellStyle name="Header2 2 6 11 5 4" xfId="37169"/>
    <cellStyle name="Header2 2 6 11 5 5" xfId="48362"/>
    <cellStyle name="Header2 2 6 11 6" xfId="4273"/>
    <cellStyle name="Header2 2 6 11 6 2" xfId="15470"/>
    <cellStyle name="Header2 2 6 11 6 3" xfId="26638"/>
    <cellStyle name="Header2 2 6 11 6 4" xfId="37803"/>
    <cellStyle name="Header2 2 6 11 6 5" xfId="48996"/>
    <cellStyle name="Header2 2 6 11 7" xfId="4906"/>
    <cellStyle name="Header2 2 6 11 7 2" xfId="16103"/>
    <cellStyle name="Header2 2 6 11 7 3" xfId="27271"/>
    <cellStyle name="Header2 2 6 11 7 4" xfId="38436"/>
    <cellStyle name="Header2 2 6 11 7 5" xfId="49629"/>
    <cellStyle name="Header2 2 6 11 8" xfId="5537"/>
    <cellStyle name="Header2 2 6 11 8 2" xfId="16734"/>
    <cellStyle name="Header2 2 6 11 8 3" xfId="27902"/>
    <cellStyle name="Header2 2 6 11 8 4" xfId="39067"/>
    <cellStyle name="Header2 2 6 11 8 5" xfId="50260"/>
    <cellStyle name="Header2 2 6 11 9" xfId="6591"/>
    <cellStyle name="Header2 2 6 11 9 2" xfId="17788"/>
    <cellStyle name="Header2 2 6 11 9 3" xfId="28956"/>
    <cellStyle name="Header2 2 6 11 9 4" xfId="40121"/>
    <cellStyle name="Header2 2 6 11 9 5" xfId="51314"/>
    <cellStyle name="Header2 2 6 12" xfId="735"/>
    <cellStyle name="Header2 2 6 12 2" xfId="11933"/>
    <cellStyle name="Header2 2 6 12 3" xfId="23102"/>
    <cellStyle name="Header2 2 6 12 4" xfId="34267"/>
    <cellStyle name="Header2 2 6 12 5" xfId="45458"/>
    <cellStyle name="Header2 2 6 13" xfId="1778"/>
    <cellStyle name="Header2 2 6 13 2" xfId="12975"/>
    <cellStyle name="Header2 2 6 13 3" xfId="24143"/>
    <cellStyle name="Header2 2 6 13 4" xfId="35308"/>
    <cellStyle name="Header2 2 6 13 5" xfId="46501"/>
    <cellStyle name="Header2 2 6 14" xfId="2393"/>
    <cellStyle name="Header2 2 6 14 2" xfId="13590"/>
    <cellStyle name="Header2 2 6 14 3" xfId="24758"/>
    <cellStyle name="Header2 2 6 14 4" xfId="35923"/>
    <cellStyle name="Header2 2 6 14 5" xfId="47116"/>
    <cellStyle name="Header2 2 6 15" xfId="3070"/>
    <cellStyle name="Header2 2 6 15 2" xfId="14267"/>
    <cellStyle name="Header2 2 6 15 3" xfId="25435"/>
    <cellStyle name="Header2 2 6 15 4" xfId="36600"/>
    <cellStyle name="Header2 2 6 15 5" xfId="47793"/>
    <cellStyle name="Header2 2 6 16" xfId="3705"/>
    <cellStyle name="Header2 2 6 16 2" xfId="14902"/>
    <cellStyle name="Header2 2 6 16 3" xfId="26070"/>
    <cellStyle name="Header2 2 6 16 4" xfId="37235"/>
    <cellStyle name="Header2 2 6 16 5" xfId="48428"/>
    <cellStyle name="Header2 2 6 17" xfId="4337"/>
    <cellStyle name="Header2 2 6 17 2" xfId="15534"/>
    <cellStyle name="Header2 2 6 17 3" xfId="26702"/>
    <cellStyle name="Header2 2 6 17 4" xfId="37867"/>
    <cellStyle name="Header2 2 6 17 5" xfId="49060"/>
    <cellStyle name="Header2 2 6 18" xfId="4970"/>
    <cellStyle name="Header2 2 6 18 2" xfId="16167"/>
    <cellStyle name="Header2 2 6 18 3" xfId="27335"/>
    <cellStyle name="Header2 2 6 18 4" xfId="38500"/>
    <cellStyle name="Header2 2 6 18 5" xfId="49693"/>
    <cellStyle name="Header2 2 6 19" xfId="6037"/>
    <cellStyle name="Header2 2 6 19 2" xfId="17234"/>
    <cellStyle name="Header2 2 6 19 3" xfId="28402"/>
    <cellStyle name="Header2 2 6 19 4" xfId="39567"/>
    <cellStyle name="Header2 2 6 19 5" xfId="50760"/>
    <cellStyle name="Header2 2 6 2" xfId="151"/>
    <cellStyle name="Header2 2 6 2 10" xfId="6720"/>
    <cellStyle name="Header2 2 6 2 10 2" xfId="17917"/>
    <cellStyle name="Header2 2 6 2 10 3" xfId="29085"/>
    <cellStyle name="Header2 2 6 2 10 4" xfId="40250"/>
    <cellStyle name="Header2 2 6 2 10 5" xfId="51443"/>
    <cellStyle name="Header2 2 6 2 11" xfId="7354"/>
    <cellStyle name="Header2 2 6 2 11 2" xfId="18551"/>
    <cellStyle name="Header2 2 6 2 11 3" xfId="29719"/>
    <cellStyle name="Header2 2 6 2 11 4" xfId="40884"/>
    <cellStyle name="Header2 2 6 2 11 5" xfId="52077"/>
    <cellStyle name="Header2 2 6 2 12" xfId="7988"/>
    <cellStyle name="Header2 2 6 2 12 2" xfId="19185"/>
    <cellStyle name="Header2 2 6 2 12 3" xfId="30353"/>
    <cellStyle name="Header2 2 6 2 12 4" xfId="41518"/>
    <cellStyle name="Header2 2 6 2 12 5" xfId="52711"/>
    <cellStyle name="Header2 2 6 2 13" xfId="9077"/>
    <cellStyle name="Header2 2 6 2 13 2" xfId="20274"/>
    <cellStyle name="Header2 2 6 2 13 3" xfId="31442"/>
    <cellStyle name="Header2 2 6 2 13 4" xfId="42607"/>
    <cellStyle name="Header2 2 6 2 13 5" xfId="53800"/>
    <cellStyle name="Header2 2 6 2 14" xfId="10521"/>
    <cellStyle name="Header2 2 6 2 14 2" xfId="21718"/>
    <cellStyle name="Header2 2 6 2 14 3" xfId="32886"/>
    <cellStyle name="Header2 2 6 2 14 4" xfId="44051"/>
    <cellStyle name="Header2 2 6 2 14 5" xfId="55244"/>
    <cellStyle name="Header2 2 6 2 15" xfId="10704"/>
    <cellStyle name="Header2 2 6 2 15 2" xfId="21901"/>
    <cellStyle name="Header2 2 6 2 15 3" xfId="33069"/>
    <cellStyle name="Header2 2 6 2 15 4" xfId="44234"/>
    <cellStyle name="Header2 2 6 2 15 5" xfId="55427"/>
    <cellStyle name="Header2 2 6 2 16" xfId="11351"/>
    <cellStyle name="Header2 2 6 2 17" xfId="22521"/>
    <cellStyle name="Header2 2 6 2 18" xfId="33688"/>
    <cellStyle name="Header2 2 6 2 19" xfId="44874"/>
    <cellStyle name="Header2 2 6 2 2" xfId="800"/>
    <cellStyle name="Header2 2 6 2 2 2" xfId="11997"/>
    <cellStyle name="Header2 2 6 2 2 3" xfId="23165"/>
    <cellStyle name="Header2 2 6 2 2 4" xfId="34330"/>
    <cellStyle name="Header2 2 6 2 2 5" xfId="45523"/>
    <cellStyle name="Header2 2 6 2 3" xfId="1818"/>
    <cellStyle name="Header2 2 6 2 3 2" xfId="13015"/>
    <cellStyle name="Header2 2 6 2 3 3" xfId="24183"/>
    <cellStyle name="Header2 2 6 2 3 4" xfId="35348"/>
    <cellStyle name="Header2 2 6 2 3 5" xfId="46541"/>
    <cellStyle name="Header2 2 6 2 4" xfId="2375"/>
    <cellStyle name="Header2 2 6 2 4 2" xfId="13572"/>
    <cellStyle name="Header2 2 6 2 4 3" xfId="24740"/>
    <cellStyle name="Header2 2 6 2 4 4" xfId="35905"/>
    <cellStyle name="Header2 2 6 2 4 5" xfId="47098"/>
    <cellStyle name="Header2 2 6 2 5" xfId="3135"/>
    <cellStyle name="Header2 2 6 2 5 2" xfId="14332"/>
    <cellStyle name="Header2 2 6 2 5 3" xfId="25500"/>
    <cellStyle name="Header2 2 6 2 5 4" xfId="36665"/>
    <cellStyle name="Header2 2 6 2 5 5" xfId="47858"/>
    <cellStyle name="Header2 2 6 2 6" xfId="3769"/>
    <cellStyle name="Header2 2 6 2 6 2" xfId="14966"/>
    <cellStyle name="Header2 2 6 2 6 3" xfId="26134"/>
    <cellStyle name="Header2 2 6 2 6 4" xfId="37299"/>
    <cellStyle name="Header2 2 6 2 6 5" xfId="48492"/>
    <cellStyle name="Header2 2 6 2 7" xfId="4402"/>
    <cellStyle name="Header2 2 6 2 7 2" xfId="15599"/>
    <cellStyle name="Header2 2 6 2 7 3" xfId="26767"/>
    <cellStyle name="Header2 2 6 2 7 4" xfId="37932"/>
    <cellStyle name="Header2 2 6 2 7 5" xfId="49125"/>
    <cellStyle name="Header2 2 6 2 8" xfId="5033"/>
    <cellStyle name="Header2 2 6 2 8 2" xfId="16230"/>
    <cellStyle name="Header2 2 6 2 8 3" xfId="27398"/>
    <cellStyle name="Header2 2 6 2 8 4" xfId="38563"/>
    <cellStyle name="Header2 2 6 2 8 5" xfId="49756"/>
    <cellStyle name="Header2 2 6 2 9" xfId="6030"/>
    <cellStyle name="Header2 2 6 2 9 2" xfId="17227"/>
    <cellStyle name="Header2 2 6 2 9 3" xfId="28395"/>
    <cellStyle name="Header2 2 6 2 9 4" xfId="39560"/>
    <cellStyle name="Header2 2 6 2 9 5" xfId="50753"/>
    <cellStyle name="Header2 2 6 20" xfId="6657"/>
    <cellStyle name="Header2 2 6 20 2" xfId="17854"/>
    <cellStyle name="Header2 2 6 20 3" xfId="29022"/>
    <cellStyle name="Header2 2 6 20 4" xfId="40187"/>
    <cellStyle name="Header2 2 6 20 5" xfId="51380"/>
    <cellStyle name="Header2 2 6 21" xfId="7289"/>
    <cellStyle name="Header2 2 6 21 2" xfId="18486"/>
    <cellStyle name="Header2 2 6 21 3" xfId="29654"/>
    <cellStyle name="Header2 2 6 21 4" xfId="40819"/>
    <cellStyle name="Header2 2 6 21 5" xfId="52012"/>
    <cellStyle name="Header2 2 6 22" xfId="7923"/>
    <cellStyle name="Header2 2 6 22 2" xfId="19120"/>
    <cellStyle name="Header2 2 6 22 3" xfId="30288"/>
    <cellStyle name="Header2 2 6 22 4" xfId="41453"/>
    <cellStyle name="Header2 2 6 22 5" xfId="52646"/>
    <cellStyle name="Header2 2 6 23" xfId="8566"/>
    <cellStyle name="Header2 2 6 23 2" xfId="19763"/>
    <cellStyle name="Header2 2 6 23 3" xfId="30931"/>
    <cellStyle name="Header2 2 6 23 4" xfId="42096"/>
    <cellStyle name="Header2 2 6 23 5" xfId="53289"/>
    <cellStyle name="Header2 2 6 24" xfId="10482"/>
    <cellStyle name="Header2 2 6 24 2" xfId="21679"/>
    <cellStyle name="Header2 2 6 24 3" xfId="32847"/>
    <cellStyle name="Header2 2 6 24 4" xfId="44012"/>
    <cellStyle name="Header2 2 6 24 5" xfId="55205"/>
    <cellStyle name="Header2 2 6 25" xfId="10641"/>
    <cellStyle name="Header2 2 6 25 2" xfId="21838"/>
    <cellStyle name="Header2 2 6 25 3" xfId="33006"/>
    <cellStyle name="Header2 2 6 25 4" xfId="44171"/>
    <cellStyle name="Header2 2 6 25 5" xfId="55364"/>
    <cellStyle name="Header2 2 6 26" xfId="11287"/>
    <cellStyle name="Header2 2 6 27" xfId="22458"/>
    <cellStyle name="Header2 2 6 28" xfId="33625"/>
    <cellStyle name="Header2 2 6 29" xfId="44809"/>
    <cellStyle name="Header2 2 6 3" xfId="207"/>
    <cellStyle name="Header2 2 6 3 10" xfId="6776"/>
    <cellStyle name="Header2 2 6 3 10 2" xfId="17973"/>
    <cellStyle name="Header2 2 6 3 10 3" xfId="29141"/>
    <cellStyle name="Header2 2 6 3 10 4" xfId="40306"/>
    <cellStyle name="Header2 2 6 3 10 5" xfId="51499"/>
    <cellStyle name="Header2 2 6 3 11" xfId="7410"/>
    <cellStyle name="Header2 2 6 3 11 2" xfId="18607"/>
    <cellStyle name="Header2 2 6 3 11 3" xfId="29775"/>
    <cellStyle name="Header2 2 6 3 11 4" xfId="40940"/>
    <cellStyle name="Header2 2 6 3 11 5" xfId="52133"/>
    <cellStyle name="Header2 2 6 3 12" xfId="8044"/>
    <cellStyle name="Header2 2 6 3 12 2" xfId="19241"/>
    <cellStyle name="Header2 2 6 3 12 3" xfId="30409"/>
    <cellStyle name="Header2 2 6 3 12 4" xfId="41574"/>
    <cellStyle name="Header2 2 6 3 12 5" xfId="52767"/>
    <cellStyle name="Header2 2 6 3 13" xfId="9096"/>
    <cellStyle name="Header2 2 6 3 13 2" xfId="20293"/>
    <cellStyle name="Header2 2 6 3 13 3" xfId="31461"/>
    <cellStyle name="Header2 2 6 3 13 4" xfId="42626"/>
    <cellStyle name="Header2 2 6 3 13 5" xfId="53819"/>
    <cellStyle name="Header2 2 6 3 14" xfId="10448"/>
    <cellStyle name="Header2 2 6 3 14 2" xfId="21645"/>
    <cellStyle name="Header2 2 6 3 14 3" xfId="32813"/>
    <cellStyle name="Header2 2 6 3 14 4" xfId="43978"/>
    <cellStyle name="Header2 2 6 3 14 5" xfId="55171"/>
    <cellStyle name="Header2 2 6 3 15" xfId="10760"/>
    <cellStyle name="Header2 2 6 3 15 2" xfId="21957"/>
    <cellStyle name="Header2 2 6 3 15 3" xfId="33125"/>
    <cellStyle name="Header2 2 6 3 15 4" xfId="44290"/>
    <cellStyle name="Header2 2 6 3 15 5" xfId="55483"/>
    <cellStyle name="Header2 2 6 3 16" xfId="11407"/>
    <cellStyle name="Header2 2 6 3 17" xfId="22577"/>
    <cellStyle name="Header2 2 6 3 18" xfId="33744"/>
    <cellStyle name="Header2 2 6 3 19" xfId="44930"/>
    <cellStyle name="Header2 2 6 3 2" xfId="856"/>
    <cellStyle name="Header2 2 6 3 2 2" xfId="12053"/>
    <cellStyle name="Header2 2 6 3 2 3" xfId="23221"/>
    <cellStyle name="Header2 2 6 3 2 4" xfId="34386"/>
    <cellStyle name="Header2 2 6 3 2 5" xfId="45579"/>
    <cellStyle name="Header2 2 6 3 3" xfId="1719"/>
    <cellStyle name="Header2 2 6 3 3 2" xfId="12916"/>
    <cellStyle name="Header2 2 6 3 3 3" xfId="24084"/>
    <cellStyle name="Header2 2 6 3 3 4" xfId="35249"/>
    <cellStyle name="Header2 2 6 3 3 5" xfId="46442"/>
    <cellStyle name="Header2 2 6 3 4" xfId="2450"/>
    <cellStyle name="Header2 2 6 3 4 2" xfId="13647"/>
    <cellStyle name="Header2 2 6 3 4 3" xfId="24815"/>
    <cellStyle name="Header2 2 6 3 4 4" xfId="35980"/>
    <cellStyle name="Header2 2 6 3 4 5" xfId="47173"/>
    <cellStyle name="Header2 2 6 3 5" xfId="3191"/>
    <cellStyle name="Header2 2 6 3 5 2" xfId="14388"/>
    <cellStyle name="Header2 2 6 3 5 3" xfId="25556"/>
    <cellStyle name="Header2 2 6 3 5 4" xfId="36721"/>
    <cellStyle name="Header2 2 6 3 5 5" xfId="47914"/>
    <cellStyle name="Header2 2 6 3 6" xfId="3825"/>
    <cellStyle name="Header2 2 6 3 6 2" xfId="15022"/>
    <cellStyle name="Header2 2 6 3 6 3" xfId="26190"/>
    <cellStyle name="Header2 2 6 3 6 4" xfId="37355"/>
    <cellStyle name="Header2 2 6 3 6 5" xfId="48548"/>
    <cellStyle name="Header2 2 6 3 7" xfId="4458"/>
    <cellStyle name="Header2 2 6 3 7 2" xfId="15655"/>
    <cellStyle name="Header2 2 6 3 7 3" xfId="26823"/>
    <cellStyle name="Header2 2 6 3 7 4" xfId="37988"/>
    <cellStyle name="Header2 2 6 3 7 5" xfId="49181"/>
    <cellStyle name="Header2 2 6 3 8" xfId="5089"/>
    <cellStyle name="Header2 2 6 3 8 2" xfId="16286"/>
    <cellStyle name="Header2 2 6 3 8 3" xfId="27454"/>
    <cellStyle name="Header2 2 6 3 8 4" xfId="38619"/>
    <cellStyle name="Header2 2 6 3 8 5" xfId="49812"/>
    <cellStyle name="Header2 2 6 3 9" xfId="5889"/>
    <cellStyle name="Header2 2 6 3 9 2" xfId="17086"/>
    <cellStyle name="Header2 2 6 3 9 3" xfId="28254"/>
    <cellStyle name="Header2 2 6 3 9 4" xfId="39419"/>
    <cellStyle name="Header2 2 6 3 9 5" xfId="50612"/>
    <cellStyle name="Header2 2 6 4" xfId="290"/>
    <cellStyle name="Header2 2 6 4 10" xfId="6859"/>
    <cellStyle name="Header2 2 6 4 10 2" xfId="18056"/>
    <cellStyle name="Header2 2 6 4 10 3" xfId="29224"/>
    <cellStyle name="Header2 2 6 4 10 4" xfId="40389"/>
    <cellStyle name="Header2 2 6 4 10 5" xfId="51582"/>
    <cellStyle name="Header2 2 6 4 11" xfId="7493"/>
    <cellStyle name="Header2 2 6 4 11 2" xfId="18690"/>
    <cellStyle name="Header2 2 6 4 11 3" xfId="29858"/>
    <cellStyle name="Header2 2 6 4 11 4" xfId="41023"/>
    <cellStyle name="Header2 2 6 4 11 5" xfId="52216"/>
    <cellStyle name="Header2 2 6 4 12" xfId="8127"/>
    <cellStyle name="Header2 2 6 4 12 2" xfId="19324"/>
    <cellStyle name="Header2 2 6 4 12 3" xfId="30492"/>
    <cellStyle name="Header2 2 6 4 12 4" xfId="41657"/>
    <cellStyle name="Header2 2 6 4 12 5" xfId="52850"/>
    <cellStyle name="Header2 2 6 4 13" xfId="9178"/>
    <cellStyle name="Header2 2 6 4 13 2" xfId="20375"/>
    <cellStyle name="Header2 2 6 4 13 3" xfId="31543"/>
    <cellStyle name="Header2 2 6 4 13 4" xfId="42708"/>
    <cellStyle name="Header2 2 6 4 13 5" xfId="53901"/>
    <cellStyle name="Header2 2 6 4 14" xfId="9702"/>
    <cellStyle name="Header2 2 6 4 14 2" xfId="20899"/>
    <cellStyle name="Header2 2 6 4 14 3" xfId="32067"/>
    <cellStyle name="Header2 2 6 4 14 4" xfId="43232"/>
    <cellStyle name="Header2 2 6 4 14 5" xfId="54425"/>
    <cellStyle name="Header2 2 6 4 15" xfId="10843"/>
    <cellStyle name="Header2 2 6 4 15 2" xfId="22040"/>
    <cellStyle name="Header2 2 6 4 15 3" xfId="33208"/>
    <cellStyle name="Header2 2 6 4 15 4" xfId="44373"/>
    <cellStyle name="Header2 2 6 4 15 5" xfId="55566"/>
    <cellStyle name="Header2 2 6 4 16" xfId="11490"/>
    <cellStyle name="Header2 2 6 4 17" xfId="22660"/>
    <cellStyle name="Header2 2 6 4 18" xfId="33827"/>
    <cellStyle name="Header2 2 6 4 19" xfId="45013"/>
    <cellStyle name="Header2 2 6 4 2" xfId="939"/>
    <cellStyle name="Header2 2 6 4 2 2" xfId="12136"/>
    <cellStyle name="Header2 2 6 4 2 3" xfId="23304"/>
    <cellStyle name="Header2 2 6 4 2 4" xfId="34469"/>
    <cellStyle name="Header2 2 6 4 2 5" xfId="45662"/>
    <cellStyle name="Header2 2 6 4 3" xfId="1439"/>
    <cellStyle name="Header2 2 6 4 3 2" xfId="12636"/>
    <cellStyle name="Header2 2 6 4 3 3" xfId="23804"/>
    <cellStyle name="Header2 2 6 4 3 4" xfId="34969"/>
    <cellStyle name="Header2 2 6 4 3 5" xfId="46162"/>
    <cellStyle name="Header2 2 6 4 4" xfId="2640"/>
    <cellStyle name="Header2 2 6 4 4 2" xfId="13837"/>
    <cellStyle name="Header2 2 6 4 4 3" xfId="25005"/>
    <cellStyle name="Header2 2 6 4 4 4" xfId="36170"/>
    <cellStyle name="Header2 2 6 4 4 5" xfId="47363"/>
    <cellStyle name="Header2 2 6 4 5" xfId="3274"/>
    <cellStyle name="Header2 2 6 4 5 2" xfId="14471"/>
    <cellStyle name="Header2 2 6 4 5 3" xfId="25639"/>
    <cellStyle name="Header2 2 6 4 5 4" xfId="36804"/>
    <cellStyle name="Header2 2 6 4 5 5" xfId="47997"/>
    <cellStyle name="Header2 2 6 4 6" xfId="3908"/>
    <cellStyle name="Header2 2 6 4 6 2" xfId="15105"/>
    <cellStyle name="Header2 2 6 4 6 3" xfId="26273"/>
    <cellStyle name="Header2 2 6 4 6 4" xfId="37438"/>
    <cellStyle name="Header2 2 6 4 6 5" xfId="48631"/>
    <cellStyle name="Header2 2 6 4 7" xfId="4541"/>
    <cellStyle name="Header2 2 6 4 7 2" xfId="15738"/>
    <cellStyle name="Header2 2 6 4 7 3" xfId="26906"/>
    <cellStyle name="Header2 2 6 4 7 4" xfId="38071"/>
    <cellStyle name="Header2 2 6 4 7 5" xfId="49264"/>
    <cellStyle name="Header2 2 6 4 8" xfId="5172"/>
    <cellStyle name="Header2 2 6 4 8 2" xfId="16369"/>
    <cellStyle name="Header2 2 6 4 8 3" xfId="27537"/>
    <cellStyle name="Header2 2 6 4 8 4" xfId="38702"/>
    <cellStyle name="Header2 2 6 4 8 5" xfId="49895"/>
    <cellStyle name="Header2 2 6 4 9" xfId="6226"/>
    <cellStyle name="Header2 2 6 4 9 2" xfId="17423"/>
    <cellStyle name="Header2 2 6 4 9 3" xfId="28591"/>
    <cellStyle name="Header2 2 6 4 9 4" xfId="39756"/>
    <cellStyle name="Header2 2 6 4 9 5" xfId="50949"/>
    <cellStyle name="Header2 2 6 5" xfId="325"/>
    <cellStyle name="Header2 2 6 5 10" xfId="6894"/>
    <cellStyle name="Header2 2 6 5 10 2" xfId="18091"/>
    <cellStyle name="Header2 2 6 5 10 3" xfId="29259"/>
    <cellStyle name="Header2 2 6 5 10 4" xfId="40424"/>
    <cellStyle name="Header2 2 6 5 10 5" xfId="51617"/>
    <cellStyle name="Header2 2 6 5 11" xfId="7528"/>
    <cellStyle name="Header2 2 6 5 11 2" xfId="18725"/>
    <cellStyle name="Header2 2 6 5 11 3" xfId="29893"/>
    <cellStyle name="Header2 2 6 5 11 4" xfId="41058"/>
    <cellStyle name="Header2 2 6 5 11 5" xfId="52251"/>
    <cellStyle name="Header2 2 6 5 12" xfId="8162"/>
    <cellStyle name="Header2 2 6 5 12 2" xfId="19359"/>
    <cellStyle name="Header2 2 6 5 12 3" xfId="30527"/>
    <cellStyle name="Header2 2 6 5 12 4" xfId="41692"/>
    <cellStyle name="Header2 2 6 5 12 5" xfId="52885"/>
    <cellStyle name="Header2 2 6 5 13" xfId="9213"/>
    <cellStyle name="Header2 2 6 5 13 2" xfId="20410"/>
    <cellStyle name="Header2 2 6 5 13 3" xfId="31578"/>
    <cellStyle name="Header2 2 6 5 13 4" xfId="42743"/>
    <cellStyle name="Header2 2 6 5 13 5" xfId="53936"/>
    <cellStyle name="Header2 2 6 5 14" xfId="10226"/>
    <cellStyle name="Header2 2 6 5 14 2" xfId="21423"/>
    <cellStyle name="Header2 2 6 5 14 3" xfId="32591"/>
    <cellStyle name="Header2 2 6 5 14 4" xfId="43756"/>
    <cellStyle name="Header2 2 6 5 14 5" xfId="54949"/>
    <cellStyle name="Header2 2 6 5 15" xfId="10878"/>
    <cellStyle name="Header2 2 6 5 15 2" xfId="22075"/>
    <cellStyle name="Header2 2 6 5 15 3" xfId="33243"/>
    <cellStyle name="Header2 2 6 5 15 4" xfId="44408"/>
    <cellStyle name="Header2 2 6 5 15 5" xfId="55601"/>
    <cellStyle name="Header2 2 6 5 16" xfId="11525"/>
    <cellStyle name="Header2 2 6 5 17" xfId="22695"/>
    <cellStyle name="Header2 2 6 5 18" xfId="33862"/>
    <cellStyle name="Header2 2 6 5 19" xfId="45048"/>
    <cellStyle name="Header2 2 6 5 2" xfId="974"/>
    <cellStyle name="Header2 2 6 5 2 2" xfId="12171"/>
    <cellStyle name="Header2 2 6 5 2 3" xfId="23339"/>
    <cellStyle name="Header2 2 6 5 2 4" xfId="34504"/>
    <cellStyle name="Header2 2 6 5 2 5" xfId="45697"/>
    <cellStyle name="Header2 2 6 5 3" xfId="1482"/>
    <cellStyle name="Header2 2 6 5 3 2" xfId="12679"/>
    <cellStyle name="Header2 2 6 5 3 3" xfId="23847"/>
    <cellStyle name="Header2 2 6 5 3 4" xfId="35012"/>
    <cellStyle name="Header2 2 6 5 3 5" xfId="46205"/>
    <cellStyle name="Header2 2 6 5 4" xfId="2675"/>
    <cellStyle name="Header2 2 6 5 4 2" xfId="13872"/>
    <cellStyle name="Header2 2 6 5 4 3" xfId="25040"/>
    <cellStyle name="Header2 2 6 5 4 4" xfId="36205"/>
    <cellStyle name="Header2 2 6 5 4 5" xfId="47398"/>
    <cellStyle name="Header2 2 6 5 5" xfId="3309"/>
    <cellStyle name="Header2 2 6 5 5 2" xfId="14506"/>
    <cellStyle name="Header2 2 6 5 5 3" xfId="25674"/>
    <cellStyle name="Header2 2 6 5 5 4" xfId="36839"/>
    <cellStyle name="Header2 2 6 5 5 5" xfId="48032"/>
    <cellStyle name="Header2 2 6 5 6" xfId="3943"/>
    <cellStyle name="Header2 2 6 5 6 2" xfId="15140"/>
    <cellStyle name="Header2 2 6 5 6 3" xfId="26308"/>
    <cellStyle name="Header2 2 6 5 6 4" xfId="37473"/>
    <cellStyle name="Header2 2 6 5 6 5" xfId="48666"/>
    <cellStyle name="Header2 2 6 5 7" xfId="4576"/>
    <cellStyle name="Header2 2 6 5 7 2" xfId="15773"/>
    <cellStyle name="Header2 2 6 5 7 3" xfId="26941"/>
    <cellStyle name="Header2 2 6 5 7 4" xfId="38106"/>
    <cellStyle name="Header2 2 6 5 7 5" xfId="49299"/>
    <cellStyle name="Header2 2 6 5 8" xfId="5207"/>
    <cellStyle name="Header2 2 6 5 8 2" xfId="16404"/>
    <cellStyle name="Header2 2 6 5 8 3" xfId="27572"/>
    <cellStyle name="Header2 2 6 5 8 4" xfId="38737"/>
    <cellStyle name="Header2 2 6 5 8 5" xfId="49930"/>
    <cellStyle name="Header2 2 6 5 9" xfId="6261"/>
    <cellStyle name="Header2 2 6 5 9 2" xfId="17458"/>
    <cellStyle name="Header2 2 6 5 9 3" xfId="28626"/>
    <cellStyle name="Header2 2 6 5 9 4" xfId="39791"/>
    <cellStyle name="Header2 2 6 5 9 5" xfId="50984"/>
    <cellStyle name="Header2 2 6 6" xfId="421"/>
    <cellStyle name="Header2 2 6 6 10" xfId="6990"/>
    <cellStyle name="Header2 2 6 6 10 2" xfId="18187"/>
    <cellStyle name="Header2 2 6 6 10 3" xfId="29355"/>
    <cellStyle name="Header2 2 6 6 10 4" xfId="40520"/>
    <cellStyle name="Header2 2 6 6 10 5" xfId="51713"/>
    <cellStyle name="Header2 2 6 6 11" xfId="7624"/>
    <cellStyle name="Header2 2 6 6 11 2" xfId="18821"/>
    <cellStyle name="Header2 2 6 6 11 3" xfId="29989"/>
    <cellStyle name="Header2 2 6 6 11 4" xfId="41154"/>
    <cellStyle name="Header2 2 6 6 11 5" xfId="52347"/>
    <cellStyle name="Header2 2 6 6 12" xfId="8258"/>
    <cellStyle name="Header2 2 6 6 12 2" xfId="19455"/>
    <cellStyle name="Header2 2 6 6 12 3" xfId="30623"/>
    <cellStyle name="Header2 2 6 6 12 4" xfId="41788"/>
    <cellStyle name="Header2 2 6 6 12 5" xfId="52981"/>
    <cellStyle name="Header2 2 6 6 13" xfId="9309"/>
    <cellStyle name="Header2 2 6 6 13 2" xfId="20506"/>
    <cellStyle name="Header2 2 6 6 13 3" xfId="31674"/>
    <cellStyle name="Header2 2 6 6 13 4" xfId="42839"/>
    <cellStyle name="Header2 2 6 6 13 5" xfId="54032"/>
    <cellStyle name="Header2 2 6 6 14" xfId="10293"/>
    <cellStyle name="Header2 2 6 6 14 2" xfId="21490"/>
    <cellStyle name="Header2 2 6 6 14 3" xfId="32658"/>
    <cellStyle name="Header2 2 6 6 14 4" xfId="43823"/>
    <cellStyle name="Header2 2 6 6 14 5" xfId="55016"/>
    <cellStyle name="Header2 2 6 6 15" xfId="10974"/>
    <cellStyle name="Header2 2 6 6 15 2" xfId="22171"/>
    <cellStyle name="Header2 2 6 6 15 3" xfId="33339"/>
    <cellStyle name="Header2 2 6 6 15 4" xfId="44504"/>
    <cellStyle name="Header2 2 6 6 15 5" xfId="55697"/>
    <cellStyle name="Header2 2 6 6 16" xfId="11621"/>
    <cellStyle name="Header2 2 6 6 17" xfId="22791"/>
    <cellStyle name="Header2 2 6 6 18" xfId="33958"/>
    <cellStyle name="Header2 2 6 6 19" xfId="45144"/>
    <cellStyle name="Header2 2 6 6 2" xfId="1070"/>
    <cellStyle name="Header2 2 6 6 2 2" xfId="12267"/>
    <cellStyle name="Header2 2 6 6 2 3" xfId="23435"/>
    <cellStyle name="Header2 2 6 6 2 4" xfId="34600"/>
    <cellStyle name="Header2 2 6 6 2 5" xfId="45793"/>
    <cellStyle name="Header2 2 6 6 3" xfId="1548"/>
    <cellStyle name="Header2 2 6 6 3 2" xfId="12745"/>
    <cellStyle name="Header2 2 6 6 3 3" xfId="23913"/>
    <cellStyle name="Header2 2 6 6 3 4" xfId="35078"/>
    <cellStyle name="Header2 2 6 6 3 5" xfId="46271"/>
    <cellStyle name="Header2 2 6 6 4" xfId="2771"/>
    <cellStyle name="Header2 2 6 6 4 2" xfId="13968"/>
    <cellStyle name="Header2 2 6 6 4 3" xfId="25136"/>
    <cellStyle name="Header2 2 6 6 4 4" xfId="36301"/>
    <cellStyle name="Header2 2 6 6 4 5" xfId="47494"/>
    <cellStyle name="Header2 2 6 6 5" xfId="3405"/>
    <cellStyle name="Header2 2 6 6 5 2" xfId="14602"/>
    <cellStyle name="Header2 2 6 6 5 3" xfId="25770"/>
    <cellStyle name="Header2 2 6 6 5 4" xfId="36935"/>
    <cellStyle name="Header2 2 6 6 5 5" xfId="48128"/>
    <cellStyle name="Header2 2 6 6 6" xfId="4039"/>
    <cellStyle name="Header2 2 6 6 6 2" xfId="15236"/>
    <cellStyle name="Header2 2 6 6 6 3" xfId="26404"/>
    <cellStyle name="Header2 2 6 6 6 4" xfId="37569"/>
    <cellStyle name="Header2 2 6 6 6 5" xfId="48762"/>
    <cellStyle name="Header2 2 6 6 7" xfId="4672"/>
    <cellStyle name="Header2 2 6 6 7 2" xfId="15869"/>
    <cellStyle name="Header2 2 6 6 7 3" xfId="27037"/>
    <cellStyle name="Header2 2 6 6 7 4" xfId="38202"/>
    <cellStyle name="Header2 2 6 6 7 5" xfId="49395"/>
    <cellStyle name="Header2 2 6 6 8" xfId="5303"/>
    <cellStyle name="Header2 2 6 6 8 2" xfId="16500"/>
    <cellStyle name="Header2 2 6 6 8 3" xfId="27668"/>
    <cellStyle name="Header2 2 6 6 8 4" xfId="38833"/>
    <cellStyle name="Header2 2 6 6 8 5" xfId="50026"/>
    <cellStyle name="Header2 2 6 6 9" xfId="6357"/>
    <cellStyle name="Header2 2 6 6 9 2" xfId="17554"/>
    <cellStyle name="Header2 2 6 6 9 3" xfId="28722"/>
    <cellStyle name="Header2 2 6 6 9 4" xfId="39887"/>
    <cellStyle name="Header2 2 6 6 9 5" xfId="51080"/>
    <cellStyle name="Header2 2 6 7" xfId="385"/>
    <cellStyle name="Header2 2 6 7 10" xfId="6954"/>
    <cellStyle name="Header2 2 6 7 10 2" xfId="18151"/>
    <cellStyle name="Header2 2 6 7 10 3" xfId="29319"/>
    <cellStyle name="Header2 2 6 7 10 4" xfId="40484"/>
    <cellStyle name="Header2 2 6 7 10 5" xfId="51677"/>
    <cellStyle name="Header2 2 6 7 11" xfId="7588"/>
    <cellStyle name="Header2 2 6 7 11 2" xfId="18785"/>
    <cellStyle name="Header2 2 6 7 11 3" xfId="29953"/>
    <cellStyle name="Header2 2 6 7 11 4" xfId="41118"/>
    <cellStyle name="Header2 2 6 7 11 5" xfId="52311"/>
    <cellStyle name="Header2 2 6 7 12" xfId="8222"/>
    <cellStyle name="Header2 2 6 7 12 2" xfId="19419"/>
    <cellStyle name="Header2 2 6 7 12 3" xfId="30587"/>
    <cellStyle name="Header2 2 6 7 12 4" xfId="41752"/>
    <cellStyle name="Header2 2 6 7 12 5" xfId="52945"/>
    <cellStyle name="Header2 2 6 7 13" xfId="9273"/>
    <cellStyle name="Header2 2 6 7 13 2" xfId="20470"/>
    <cellStyle name="Header2 2 6 7 13 3" xfId="31638"/>
    <cellStyle name="Header2 2 6 7 13 4" xfId="42803"/>
    <cellStyle name="Header2 2 6 7 13 5" xfId="53996"/>
    <cellStyle name="Header2 2 6 7 14" xfId="10459"/>
    <cellStyle name="Header2 2 6 7 14 2" xfId="21656"/>
    <cellStyle name="Header2 2 6 7 14 3" xfId="32824"/>
    <cellStyle name="Header2 2 6 7 14 4" xfId="43989"/>
    <cellStyle name="Header2 2 6 7 14 5" xfId="55182"/>
    <cellStyle name="Header2 2 6 7 15" xfId="10938"/>
    <cellStyle name="Header2 2 6 7 15 2" xfId="22135"/>
    <cellStyle name="Header2 2 6 7 15 3" xfId="33303"/>
    <cellStyle name="Header2 2 6 7 15 4" xfId="44468"/>
    <cellStyle name="Header2 2 6 7 15 5" xfId="55661"/>
    <cellStyle name="Header2 2 6 7 16" xfId="11585"/>
    <cellStyle name="Header2 2 6 7 17" xfId="22755"/>
    <cellStyle name="Header2 2 6 7 18" xfId="33922"/>
    <cellStyle name="Header2 2 6 7 19" xfId="45108"/>
    <cellStyle name="Header2 2 6 7 2" xfId="1034"/>
    <cellStyle name="Header2 2 6 7 2 2" xfId="12231"/>
    <cellStyle name="Header2 2 6 7 2 3" xfId="23399"/>
    <cellStyle name="Header2 2 6 7 2 4" xfId="34564"/>
    <cellStyle name="Header2 2 6 7 2 5" xfId="45757"/>
    <cellStyle name="Header2 2 6 7 3" xfId="1674"/>
    <cellStyle name="Header2 2 6 7 3 2" xfId="12871"/>
    <cellStyle name="Header2 2 6 7 3 3" xfId="24039"/>
    <cellStyle name="Header2 2 6 7 3 4" xfId="35204"/>
    <cellStyle name="Header2 2 6 7 3 5" xfId="46397"/>
    <cellStyle name="Header2 2 6 7 4" xfId="2735"/>
    <cellStyle name="Header2 2 6 7 4 2" xfId="13932"/>
    <cellStyle name="Header2 2 6 7 4 3" xfId="25100"/>
    <cellStyle name="Header2 2 6 7 4 4" xfId="36265"/>
    <cellStyle name="Header2 2 6 7 4 5" xfId="47458"/>
    <cellStyle name="Header2 2 6 7 5" xfId="3369"/>
    <cellStyle name="Header2 2 6 7 5 2" xfId="14566"/>
    <cellStyle name="Header2 2 6 7 5 3" xfId="25734"/>
    <cellStyle name="Header2 2 6 7 5 4" xfId="36899"/>
    <cellStyle name="Header2 2 6 7 5 5" xfId="48092"/>
    <cellStyle name="Header2 2 6 7 6" xfId="4003"/>
    <cellStyle name="Header2 2 6 7 6 2" xfId="15200"/>
    <cellStyle name="Header2 2 6 7 6 3" xfId="26368"/>
    <cellStyle name="Header2 2 6 7 6 4" xfId="37533"/>
    <cellStyle name="Header2 2 6 7 6 5" xfId="48726"/>
    <cellStyle name="Header2 2 6 7 7" xfId="4636"/>
    <cellStyle name="Header2 2 6 7 7 2" xfId="15833"/>
    <cellStyle name="Header2 2 6 7 7 3" xfId="27001"/>
    <cellStyle name="Header2 2 6 7 7 4" xfId="38166"/>
    <cellStyle name="Header2 2 6 7 7 5" xfId="49359"/>
    <cellStyle name="Header2 2 6 7 8" xfId="5267"/>
    <cellStyle name="Header2 2 6 7 8 2" xfId="16464"/>
    <cellStyle name="Header2 2 6 7 8 3" xfId="27632"/>
    <cellStyle name="Header2 2 6 7 8 4" xfId="38797"/>
    <cellStyle name="Header2 2 6 7 8 5" xfId="49990"/>
    <cellStyle name="Header2 2 6 7 9" xfId="6321"/>
    <cellStyle name="Header2 2 6 7 9 2" xfId="17518"/>
    <cellStyle name="Header2 2 6 7 9 3" xfId="28686"/>
    <cellStyle name="Header2 2 6 7 9 4" xfId="39851"/>
    <cellStyle name="Header2 2 6 7 9 5" xfId="51044"/>
    <cellStyle name="Header2 2 6 8" xfId="495"/>
    <cellStyle name="Header2 2 6 8 10" xfId="7064"/>
    <cellStyle name="Header2 2 6 8 10 2" xfId="18261"/>
    <cellStyle name="Header2 2 6 8 10 3" xfId="29429"/>
    <cellStyle name="Header2 2 6 8 10 4" xfId="40594"/>
    <cellStyle name="Header2 2 6 8 10 5" xfId="51787"/>
    <cellStyle name="Header2 2 6 8 11" xfId="7698"/>
    <cellStyle name="Header2 2 6 8 11 2" xfId="18895"/>
    <cellStyle name="Header2 2 6 8 11 3" xfId="30063"/>
    <cellStyle name="Header2 2 6 8 11 4" xfId="41228"/>
    <cellStyle name="Header2 2 6 8 11 5" xfId="52421"/>
    <cellStyle name="Header2 2 6 8 12" xfId="8332"/>
    <cellStyle name="Header2 2 6 8 12 2" xfId="19529"/>
    <cellStyle name="Header2 2 6 8 12 3" xfId="30697"/>
    <cellStyle name="Header2 2 6 8 12 4" xfId="41862"/>
    <cellStyle name="Header2 2 6 8 12 5" xfId="53055"/>
    <cellStyle name="Header2 2 6 8 13" xfId="9383"/>
    <cellStyle name="Header2 2 6 8 13 2" xfId="20580"/>
    <cellStyle name="Header2 2 6 8 13 3" xfId="31748"/>
    <cellStyle name="Header2 2 6 8 13 4" xfId="42913"/>
    <cellStyle name="Header2 2 6 8 13 5" xfId="54106"/>
    <cellStyle name="Header2 2 6 8 14" xfId="9966"/>
    <cellStyle name="Header2 2 6 8 14 2" xfId="21163"/>
    <cellStyle name="Header2 2 6 8 14 3" xfId="32331"/>
    <cellStyle name="Header2 2 6 8 14 4" xfId="43496"/>
    <cellStyle name="Header2 2 6 8 14 5" xfId="54689"/>
    <cellStyle name="Header2 2 6 8 15" xfId="11048"/>
    <cellStyle name="Header2 2 6 8 15 2" xfId="22245"/>
    <cellStyle name="Header2 2 6 8 15 3" xfId="33413"/>
    <cellStyle name="Header2 2 6 8 15 4" xfId="44578"/>
    <cellStyle name="Header2 2 6 8 15 5" xfId="55771"/>
    <cellStyle name="Header2 2 6 8 16" xfId="11695"/>
    <cellStyle name="Header2 2 6 8 17" xfId="22865"/>
    <cellStyle name="Header2 2 6 8 18" xfId="34032"/>
    <cellStyle name="Header2 2 6 8 19" xfId="45218"/>
    <cellStyle name="Header2 2 6 8 2" xfId="1144"/>
    <cellStyle name="Header2 2 6 8 2 2" xfId="12341"/>
    <cellStyle name="Header2 2 6 8 2 3" xfId="23509"/>
    <cellStyle name="Header2 2 6 8 2 4" xfId="34674"/>
    <cellStyle name="Header2 2 6 8 2 5" xfId="45867"/>
    <cellStyle name="Header2 2 6 8 3" xfId="1972"/>
    <cellStyle name="Header2 2 6 8 3 2" xfId="13169"/>
    <cellStyle name="Header2 2 6 8 3 3" xfId="24337"/>
    <cellStyle name="Header2 2 6 8 3 4" xfId="35502"/>
    <cellStyle name="Header2 2 6 8 3 5" xfId="46695"/>
    <cellStyle name="Header2 2 6 8 4" xfId="2845"/>
    <cellStyle name="Header2 2 6 8 4 2" xfId="14042"/>
    <cellStyle name="Header2 2 6 8 4 3" xfId="25210"/>
    <cellStyle name="Header2 2 6 8 4 4" xfId="36375"/>
    <cellStyle name="Header2 2 6 8 4 5" xfId="47568"/>
    <cellStyle name="Header2 2 6 8 5" xfId="3479"/>
    <cellStyle name="Header2 2 6 8 5 2" xfId="14676"/>
    <cellStyle name="Header2 2 6 8 5 3" xfId="25844"/>
    <cellStyle name="Header2 2 6 8 5 4" xfId="37009"/>
    <cellStyle name="Header2 2 6 8 5 5" xfId="48202"/>
    <cellStyle name="Header2 2 6 8 6" xfId="4113"/>
    <cellStyle name="Header2 2 6 8 6 2" xfId="15310"/>
    <cellStyle name="Header2 2 6 8 6 3" xfId="26478"/>
    <cellStyle name="Header2 2 6 8 6 4" xfId="37643"/>
    <cellStyle name="Header2 2 6 8 6 5" xfId="48836"/>
    <cellStyle name="Header2 2 6 8 7" xfId="4746"/>
    <cellStyle name="Header2 2 6 8 7 2" xfId="15943"/>
    <cellStyle name="Header2 2 6 8 7 3" xfId="27111"/>
    <cellStyle name="Header2 2 6 8 7 4" xfId="38276"/>
    <cellStyle name="Header2 2 6 8 7 5" xfId="49469"/>
    <cellStyle name="Header2 2 6 8 8" xfId="5377"/>
    <cellStyle name="Header2 2 6 8 8 2" xfId="16574"/>
    <cellStyle name="Header2 2 6 8 8 3" xfId="27742"/>
    <cellStyle name="Header2 2 6 8 8 4" xfId="38907"/>
    <cellStyle name="Header2 2 6 8 8 5" xfId="50100"/>
    <cellStyle name="Header2 2 6 8 9" xfId="6431"/>
    <cellStyle name="Header2 2 6 8 9 2" xfId="17628"/>
    <cellStyle name="Header2 2 6 8 9 3" xfId="28796"/>
    <cellStyle name="Header2 2 6 8 9 4" xfId="39961"/>
    <cellStyle name="Header2 2 6 8 9 5" xfId="51154"/>
    <cellStyle name="Header2 2 6 9" xfId="553"/>
    <cellStyle name="Header2 2 6 9 10" xfId="7122"/>
    <cellStyle name="Header2 2 6 9 10 2" xfId="18319"/>
    <cellStyle name="Header2 2 6 9 10 3" xfId="29487"/>
    <cellStyle name="Header2 2 6 9 10 4" xfId="40652"/>
    <cellStyle name="Header2 2 6 9 10 5" xfId="51845"/>
    <cellStyle name="Header2 2 6 9 11" xfId="7756"/>
    <cellStyle name="Header2 2 6 9 11 2" xfId="18953"/>
    <cellStyle name="Header2 2 6 9 11 3" xfId="30121"/>
    <cellStyle name="Header2 2 6 9 11 4" xfId="41286"/>
    <cellStyle name="Header2 2 6 9 11 5" xfId="52479"/>
    <cellStyle name="Header2 2 6 9 12" xfId="8390"/>
    <cellStyle name="Header2 2 6 9 12 2" xfId="19587"/>
    <cellStyle name="Header2 2 6 9 12 3" xfId="30755"/>
    <cellStyle name="Header2 2 6 9 12 4" xfId="41920"/>
    <cellStyle name="Header2 2 6 9 12 5" xfId="53113"/>
    <cellStyle name="Header2 2 6 9 13" xfId="9441"/>
    <cellStyle name="Header2 2 6 9 13 2" xfId="20638"/>
    <cellStyle name="Header2 2 6 9 13 3" xfId="31806"/>
    <cellStyle name="Header2 2 6 9 13 4" xfId="42971"/>
    <cellStyle name="Header2 2 6 9 13 5" xfId="54164"/>
    <cellStyle name="Header2 2 6 9 14" xfId="9682"/>
    <cellStyle name="Header2 2 6 9 14 2" xfId="20879"/>
    <cellStyle name="Header2 2 6 9 14 3" xfId="32047"/>
    <cellStyle name="Header2 2 6 9 14 4" xfId="43212"/>
    <cellStyle name="Header2 2 6 9 14 5" xfId="54405"/>
    <cellStyle name="Header2 2 6 9 15" xfId="11106"/>
    <cellStyle name="Header2 2 6 9 15 2" xfId="22303"/>
    <cellStyle name="Header2 2 6 9 15 3" xfId="33471"/>
    <cellStyle name="Header2 2 6 9 15 4" xfId="44636"/>
    <cellStyle name="Header2 2 6 9 15 5" xfId="55829"/>
    <cellStyle name="Header2 2 6 9 16" xfId="11753"/>
    <cellStyle name="Header2 2 6 9 17" xfId="22923"/>
    <cellStyle name="Header2 2 6 9 18" xfId="34090"/>
    <cellStyle name="Header2 2 6 9 19" xfId="45276"/>
    <cellStyle name="Header2 2 6 9 2" xfId="1202"/>
    <cellStyle name="Header2 2 6 9 2 2" xfId="12399"/>
    <cellStyle name="Header2 2 6 9 2 3" xfId="23567"/>
    <cellStyle name="Header2 2 6 9 2 4" xfId="34732"/>
    <cellStyle name="Header2 2 6 9 2 5" xfId="45925"/>
    <cellStyle name="Header2 2 6 9 3" xfId="1831"/>
    <cellStyle name="Header2 2 6 9 3 2" xfId="13028"/>
    <cellStyle name="Header2 2 6 9 3 3" xfId="24196"/>
    <cellStyle name="Header2 2 6 9 3 4" xfId="35361"/>
    <cellStyle name="Header2 2 6 9 3 5" xfId="46554"/>
    <cellStyle name="Header2 2 6 9 4" xfId="2903"/>
    <cellStyle name="Header2 2 6 9 4 2" xfId="14100"/>
    <cellStyle name="Header2 2 6 9 4 3" xfId="25268"/>
    <cellStyle name="Header2 2 6 9 4 4" xfId="36433"/>
    <cellStyle name="Header2 2 6 9 4 5" xfId="47626"/>
    <cellStyle name="Header2 2 6 9 5" xfId="3537"/>
    <cellStyle name="Header2 2 6 9 5 2" xfId="14734"/>
    <cellStyle name="Header2 2 6 9 5 3" xfId="25902"/>
    <cellStyle name="Header2 2 6 9 5 4" xfId="37067"/>
    <cellStyle name="Header2 2 6 9 5 5" xfId="48260"/>
    <cellStyle name="Header2 2 6 9 6" xfId="4171"/>
    <cellStyle name="Header2 2 6 9 6 2" xfId="15368"/>
    <cellStyle name="Header2 2 6 9 6 3" xfId="26536"/>
    <cellStyle name="Header2 2 6 9 6 4" xfId="37701"/>
    <cellStyle name="Header2 2 6 9 6 5" xfId="48894"/>
    <cellStyle name="Header2 2 6 9 7" xfId="4804"/>
    <cellStyle name="Header2 2 6 9 7 2" xfId="16001"/>
    <cellStyle name="Header2 2 6 9 7 3" xfId="27169"/>
    <cellStyle name="Header2 2 6 9 7 4" xfId="38334"/>
    <cellStyle name="Header2 2 6 9 7 5" xfId="49527"/>
    <cellStyle name="Header2 2 6 9 8" xfId="5435"/>
    <cellStyle name="Header2 2 6 9 8 2" xfId="16632"/>
    <cellStyle name="Header2 2 6 9 8 3" xfId="27800"/>
    <cellStyle name="Header2 2 6 9 8 4" xfId="38965"/>
    <cellStyle name="Header2 2 6 9 8 5" xfId="50158"/>
    <cellStyle name="Header2 2 6 9 9" xfId="6489"/>
    <cellStyle name="Header2 2 6 9 9 2" xfId="17686"/>
    <cellStyle name="Header2 2 6 9 9 3" xfId="28854"/>
    <cellStyle name="Header2 2 6 9 9 4" xfId="40019"/>
    <cellStyle name="Header2 2 6 9 9 5" xfId="51212"/>
    <cellStyle name="Header2 2 7" xfId="89"/>
    <cellStyle name="Header2 2 7 10" xfId="605"/>
    <cellStyle name="Header2 2 7 10 10" xfId="7174"/>
    <cellStyle name="Header2 2 7 10 10 2" xfId="18371"/>
    <cellStyle name="Header2 2 7 10 10 3" xfId="29539"/>
    <cellStyle name="Header2 2 7 10 10 4" xfId="40704"/>
    <cellStyle name="Header2 2 7 10 10 5" xfId="51897"/>
    <cellStyle name="Header2 2 7 10 11" xfId="7808"/>
    <cellStyle name="Header2 2 7 10 11 2" xfId="19005"/>
    <cellStyle name="Header2 2 7 10 11 3" xfId="30173"/>
    <cellStyle name="Header2 2 7 10 11 4" xfId="41338"/>
    <cellStyle name="Header2 2 7 10 11 5" xfId="52531"/>
    <cellStyle name="Header2 2 7 10 12" xfId="8442"/>
    <cellStyle name="Header2 2 7 10 12 2" xfId="19639"/>
    <cellStyle name="Header2 2 7 10 12 3" xfId="30807"/>
    <cellStyle name="Header2 2 7 10 12 4" xfId="41972"/>
    <cellStyle name="Header2 2 7 10 12 5" xfId="53165"/>
    <cellStyle name="Header2 2 7 10 13" xfId="9493"/>
    <cellStyle name="Header2 2 7 10 13 2" xfId="20690"/>
    <cellStyle name="Header2 2 7 10 13 3" xfId="31858"/>
    <cellStyle name="Header2 2 7 10 13 4" xfId="43023"/>
    <cellStyle name="Header2 2 7 10 13 5" xfId="54216"/>
    <cellStyle name="Header2 2 7 10 14" xfId="9852"/>
    <cellStyle name="Header2 2 7 10 14 2" xfId="21049"/>
    <cellStyle name="Header2 2 7 10 14 3" xfId="32217"/>
    <cellStyle name="Header2 2 7 10 14 4" xfId="43382"/>
    <cellStyle name="Header2 2 7 10 14 5" xfId="54575"/>
    <cellStyle name="Header2 2 7 10 15" xfId="11158"/>
    <cellStyle name="Header2 2 7 10 15 2" xfId="22355"/>
    <cellStyle name="Header2 2 7 10 15 3" xfId="33523"/>
    <cellStyle name="Header2 2 7 10 15 4" xfId="44688"/>
    <cellStyle name="Header2 2 7 10 15 5" xfId="55881"/>
    <cellStyle name="Header2 2 7 10 16" xfId="11805"/>
    <cellStyle name="Header2 2 7 10 17" xfId="22975"/>
    <cellStyle name="Header2 2 7 10 18" xfId="34142"/>
    <cellStyle name="Header2 2 7 10 19" xfId="45328"/>
    <cellStyle name="Header2 2 7 10 2" xfId="1254"/>
    <cellStyle name="Header2 2 7 10 2 2" xfId="12451"/>
    <cellStyle name="Header2 2 7 10 2 3" xfId="23619"/>
    <cellStyle name="Header2 2 7 10 2 4" xfId="34784"/>
    <cellStyle name="Header2 2 7 10 2 5" xfId="45977"/>
    <cellStyle name="Header2 2 7 10 3" xfId="1477"/>
    <cellStyle name="Header2 2 7 10 3 2" xfId="12674"/>
    <cellStyle name="Header2 2 7 10 3 3" xfId="23842"/>
    <cellStyle name="Header2 2 7 10 3 4" xfId="35007"/>
    <cellStyle name="Header2 2 7 10 3 5" xfId="46200"/>
    <cellStyle name="Header2 2 7 10 4" xfId="2955"/>
    <cellStyle name="Header2 2 7 10 4 2" xfId="14152"/>
    <cellStyle name="Header2 2 7 10 4 3" xfId="25320"/>
    <cellStyle name="Header2 2 7 10 4 4" xfId="36485"/>
    <cellStyle name="Header2 2 7 10 4 5" xfId="47678"/>
    <cellStyle name="Header2 2 7 10 5" xfId="3589"/>
    <cellStyle name="Header2 2 7 10 5 2" xfId="14786"/>
    <cellStyle name="Header2 2 7 10 5 3" xfId="25954"/>
    <cellStyle name="Header2 2 7 10 5 4" xfId="37119"/>
    <cellStyle name="Header2 2 7 10 5 5" xfId="48312"/>
    <cellStyle name="Header2 2 7 10 6" xfId="4223"/>
    <cellStyle name="Header2 2 7 10 6 2" xfId="15420"/>
    <cellStyle name="Header2 2 7 10 6 3" xfId="26588"/>
    <cellStyle name="Header2 2 7 10 6 4" xfId="37753"/>
    <cellStyle name="Header2 2 7 10 6 5" xfId="48946"/>
    <cellStyle name="Header2 2 7 10 7" xfId="4856"/>
    <cellStyle name="Header2 2 7 10 7 2" xfId="16053"/>
    <cellStyle name="Header2 2 7 10 7 3" xfId="27221"/>
    <cellStyle name="Header2 2 7 10 7 4" xfId="38386"/>
    <cellStyle name="Header2 2 7 10 7 5" xfId="49579"/>
    <cellStyle name="Header2 2 7 10 8" xfId="5487"/>
    <cellStyle name="Header2 2 7 10 8 2" xfId="16684"/>
    <cellStyle name="Header2 2 7 10 8 3" xfId="27852"/>
    <cellStyle name="Header2 2 7 10 8 4" xfId="39017"/>
    <cellStyle name="Header2 2 7 10 8 5" xfId="50210"/>
    <cellStyle name="Header2 2 7 10 9" xfId="6541"/>
    <cellStyle name="Header2 2 7 10 9 2" xfId="17738"/>
    <cellStyle name="Header2 2 7 10 9 3" xfId="28906"/>
    <cellStyle name="Header2 2 7 10 9 4" xfId="40071"/>
    <cellStyle name="Header2 2 7 10 9 5" xfId="51264"/>
    <cellStyle name="Header2 2 7 11" xfId="692"/>
    <cellStyle name="Header2 2 7 11 10" xfId="7261"/>
    <cellStyle name="Header2 2 7 11 10 2" xfId="18458"/>
    <cellStyle name="Header2 2 7 11 10 3" xfId="29626"/>
    <cellStyle name="Header2 2 7 11 10 4" xfId="40791"/>
    <cellStyle name="Header2 2 7 11 10 5" xfId="51984"/>
    <cellStyle name="Header2 2 7 11 11" xfId="7895"/>
    <cellStyle name="Header2 2 7 11 11 2" xfId="19092"/>
    <cellStyle name="Header2 2 7 11 11 3" xfId="30260"/>
    <cellStyle name="Header2 2 7 11 11 4" xfId="41425"/>
    <cellStyle name="Header2 2 7 11 11 5" xfId="52618"/>
    <cellStyle name="Header2 2 7 11 12" xfId="8529"/>
    <cellStyle name="Header2 2 7 11 12 2" xfId="19726"/>
    <cellStyle name="Header2 2 7 11 12 3" xfId="30894"/>
    <cellStyle name="Header2 2 7 11 12 4" xfId="42059"/>
    <cellStyle name="Header2 2 7 11 12 5" xfId="53252"/>
    <cellStyle name="Header2 2 7 11 13" xfId="9580"/>
    <cellStyle name="Header2 2 7 11 13 2" xfId="20777"/>
    <cellStyle name="Header2 2 7 11 13 3" xfId="31945"/>
    <cellStyle name="Header2 2 7 11 13 4" xfId="43110"/>
    <cellStyle name="Header2 2 7 11 13 5" xfId="54303"/>
    <cellStyle name="Header2 2 7 11 14" xfId="9590"/>
    <cellStyle name="Header2 2 7 11 14 2" xfId="20787"/>
    <cellStyle name="Header2 2 7 11 14 3" xfId="31955"/>
    <cellStyle name="Header2 2 7 11 14 4" xfId="43120"/>
    <cellStyle name="Header2 2 7 11 14 5" xfId="54313"/>
    <cellStyle name="Header2 2 7 11 15" xfId="11245"/>
    <cellStyle name="Header2 2 7 11 15 2" xfId="22442"/>
    <cellStyle name="Header2 2 7 11 15 3" xfId="33610"/>
    <cellStyle name="Header2 2 7 11 15 4" xfId="44775"/>
    <cellStyle name="Header2 2 7 11 15 5" xfId="55968"/>
    <cellStyle name="Header2 2 7 11 16" xfId="11892"/>
    <cellStyle name="Header2 2 7 11 17" xfId="23062"/>
    <cellStyle name="Header2 2 7 11 18" xfId="34229"/>
    <cellStyle name="Header2 2 7 11 19" xfId="45415"/>
    <cellStyle name="Header2 2 7 11 2" xfId="1341"/>
    <cellStyle name="Header2 2 7 11 2 2" xfId="12538"/>
    <cellStyle name="Header2 2 7 11 2 3" xfId="23706"/>
    <cellStyle name="Header2 2 7 11 2 4" xfId="34871"/>
    <cellStyle name="Header2 2 7 11 2 5" xfId="46064"/>
    <cellStyle name="Header2 2 7 11 3" xfId="1976"/>
    <cellStyle name="Header2 2 7 11 3 2" xfId="13173"/>
    <cellStyle name="Header2 2 7 11 3 3" xfId="24341"/>
    <cellStyle name="Header2 2 7 11 3 4" xfId="35506"/>
    <cellStyle name="Header2 2 7 11 3 5" xfId="46699"/>
    <cellStyle name="Header2 2 7 11 4" xfId="3042"/>
    <cellStyle name="Header2 2 7 11 4 2" xfId="14239"/>
    <cellStyle name="Header2 2 7 11 4 3" xfId="25407"/>
    <cellStyle name="Header2 2 7 11 4 4" xfId="36572"/>
    <cellStyle name="Header2 2 7 11 4 5" xfId="47765"/>
    <cellStyle name="Header2 2 7 11 5" xfId="3676"/>
    <cellStyle name="Header2 2 7 11 5 2" xfId="14873"/>
    <cellStyle name="Header2 2 7 11 5 3" xfId="26041"/>
    <cellStyle name="Header2 2 7 11 5 4" xfId="37206"/>
    <cellStyle name="Header2 2 7 11 5 5" xfId="48399"/>
    <cellStyle name="Header2 2 7 11 6" xfId="4310"/>
    <cellStyle name="Header2 2 7 11 6 2" xfId="15507"/>
    <cellStyle name="Header2 2 7 11 6 3" xfId="26675"/>
    <cellStyle name="Header2 2 7 11 6 4" xfId="37840"/>
    <cellStyle name="Header2 2 7 11 6 5" xfId="49033"/>
    <cellStyle name="Header2 2 7 11 7" xfId="4943"/>
    <cellStyle name="Header2 2 7 11 7 2" xfId="16140"/>
    <cellStyle name="Header2 2 7 11 7 3" xfId="27308"/>
    <cellStyle name="Header2 2 7 11 7 4" xfId="38473"/>
    <cellStyle name="Header2 2 7 11 7 5" xfId="49666"/>
    <cellStyle name="Header2 2 7 11 8" xfId="5574"/>
    <cellStyle name="Header2 2 7 11 8 2" xfId="16771"/>
    <cellStyle name="Header2 2 7 11 8 3" xfId="27939"/>
    <cellStyle name="Header2 2 7 11 8 4" xfId="39104"/>
    <cellStyle name="Header2 2 7 11 8 5" xfId="50297"/>
    <cellStyle name="Header2 2 7 11 9" xfId="6628"/>
    <cellStyle name="Header2 2 7 11 9 2" xfId="17825"/>
    <cellStyle name="Header2 2 7 11 9 3" xfId="28993"/>
    <cellStyle name="Header2 2 7 11 9 4" xfId="40158"/>
    <cellStyle name="Header2 2 7 11 9 5" xfId="51351"/>
    <cellStyle name="Header2 2 7 12" xfId="738"/>
    <cellStyle name="Header2 2 7 12 2" xfId="11936"/>
    <cellStyle name="Header2 2 7 12 3" xfId="23105"/>
    <cellStyle name="Header2 2 7 12 4" xfId="34270"/>
    <cellStyle name="Header2 2 7 12 5" xfId="45461"/>
    <cellStyle name="Header2 2 7 13" xfId="1601"/>
    <cellStyle name="Header2 2 7 13 2" xfId="12798"/>
    <cellStyle name="Header2 2 7 13 3" xfId="23966"/>
    <cellStyle name="Header2 2 7 13 4" xfId="35131"/>
    <cellStyle name="Header2 2 7 13 5" xfId="46324"/>
    <cellStyle name="Header2 2 7 14" xfId="2185"/>
    <cellStyle name="Header2 2 7 14 2" xfId="13382"/>
    <cellStyle name="Header2 2 7 14 3" xfId="24550"/>
    <cellStyle name="Header2 2 7 14 4" xfId="35715"/>
    <cellStyle name="Header2 2 7 14 5" xfId="46908"/>
    <cellStyle name="Header2 2 7 15" xfId="3073"/>
    <cellStyle name="Header2 2 7 15 2" xfId="14270"/>
    <cellStyle name="Header2 2 7 15 3" xfId="25438"/>
    <cellStyle name="Header2 2 7 15 4" xfId="36603"/>
    <cellStyle name="Header2 2 7 15 5" xfId="47796"/>
    <cellStyle name="Header2 2 7 16" xfId="3708"/>
    <cellStyle name="Header2 2 7 16 2" xfId="14905"/>
    <cellStyle name="Header2 2 7 16 3" xfId="26073"/>
    <cellStyle name="Header2 2 7 16 4" xfId="37238"/>
    <cellStyle name="Header2 2 7 16 5" xfId="48431"/>
    <cellStyle name="Header2 2 7 17" xfId="4340"/>
    <cellStyle name="Header2 2 7 17 2" xfId="15537"/>
    <cellStyle name="Header2 2 7 17 3" xfId="26705"/>
    <cellStyle name="Header2 2 7 17 4" xfId="37870"/>
    <cellStyle name="Header2 2 7 17 5" xfId="49063"/>
    <cellStyle name="Header2 2 7 18" xfId="4973"/>
    <cellStyle name="Header2 2 7 18 2" xfId="16170"/>
    <cellStyle name="Header2 2 7 18 3" xfId="27338"/>
    <cellStyle name="Header2 2 7 18 4" xfId="38503"/>
    <cellStyle name="Header2 2 7 18 5" xfId="49696"/>
    <cellStyle name="Header2 2 7 19" xfId="6164"/>
    <cellStyle name="Header2 2 7 19 2" xfId="17361"/>
    <cellStyle name="Header2 2 7 19 3" xfId="28529"/>
    <cellStyle name="Header2 2 7 19 4" xfId="39694"/>
    <cellStyle name="Header2 2 7 19 5" xfId="50887"/>
    <cellStyle name="Header2 2 7 2" xfId="154"/>
    <cellStyle name="Header2 2 7 2 10" xfId="6723"/>
    <cellStyle name="Header2 2 7 2 10 2" xfId="17920"/>
    <cellStyle name="Header2 2 7 2 10 3" xfId="29088"/>
    <cellStyle name="Header2 2 7 2 10 4" xfId="40253"/>
    <cellStyle name="Header2 2 7 2 10 5" xfId="51446"/>
    <cellStyle name="Header2 2 7 2 11" xfId="7357"/>
    <cellStyle name="Header2 2 7 2 11 2" xfId="18554"/>
    <cellStyle name="Header2 2 7 2 11 3" xfId="29722"/>
    <cellStyle name="Header2 2 7 2 11 4" xfId="40887"/>
    <cellStyle name="Header2 2 7 2 11 5" xfId="52080"/>
    <cellStyle name="Header2 2 7 2 12" xfId="7991"/>
    <cellStyle name="Header2 2 7 2 12 2" xfId="19188"/>
    <cellStyle name="Header2 2 7 2 12 3" xfId="30356"/>
    <cellStyle name="Header2 2 7 2 12 4" xfId="41521"/>
    <cellStyle name="Header2 2 7 2 12 5" xfId="52714"/>
    <cellStyle name="Header2 2 7 2 13" xfId="8915"/>
    <cellStyle name="Header2 2 7 2 13 2" xfId="20112"/>
    <cellStyle name="Header2 2 7 2 13 3" xfId="31280"/>
    <cellStyle name="Header2 2 7 2 13 4" xfId="42445"/>
    <cellStyle name="Header2 2 7 2 13 5" xfId="53638"/>
    <cellStyle name="Header2 2 7 2 14" xfId="10353"/>
    <cellStyle name="Header2 2 7 2 14 2" xfId="21550"/>
    <cellStyle name="Header2 2 7 2 14 3" xfId="32718"/>
    <cellStyle name="Header2 2 7 2 14 4" xfId="43883"/>
    <cellStyle name="Header2 2 7 2 14 5" xfId="55076"/>
    <cellStyle name="Header2 2 7 2 15" xfId="10707"/>
    <cellStyle name="Header2 2 7 2 15 2" xfId="21904"/>
    <cellStyle name="Header2 2 7 2 15 3" xfId="33072"/>
    <cellStyle name="Header2 2 7 2 15 4" xfId="44237"/>
    <cellStyle name="Header2 2 7 2 15 5" xfId="55430"/>
    <cellStyle name="Header2 2 7 2 16" xfId="11354"/>
    <cellStyle name="Header2 2 7 2 17" xfId="22524"/>
    <cellStyle name="Header2 2 7 2 18" xfId="33691"/>
    <cellStyle name="Header2 2 7 2 19" xfId="44877"/>
    <cellStyle name="Header2 2 7 2 2" xfId="803"/>
    <cellStyle name="Header2 2 7 2 2 2" xfId="12000"/>
    <cellStyle name="Header2 2 7 2 2 3" xfId="23168"/>
    <cellStyle name="Header2 2 7 2 2 4" xfId="34333"/>
    <cellStyle name="Header2 2 7 2 2 5" xfId="45526"/>
    <cellStyle name="Header2 2 7 2 3" xfId="1598"/>
    <cellStyle name="Header2 2 7 2 3 2" xfId="12795"/>
    <cellStyle name="Header2 2 7 2 3 3" xfId="23963"/>
    <cellStyle name="Header2 2 7 2 3 4" xfId="35128"/>
    <cellStyle name="Header2 2 7 2 3 5" xfId="46321"/>
    <cellStyle name="Header2 2 7 2 4" xfId="2395"/>
    <cellStyle name="Header2 2 7 2 4 2" xfId="13592"/>
    <cellStyle name="Header2 2 7 2 4 3" xfId="24760"/>
    <cellStyle name="Header2 2 7 2 4 4" xfId="35925"/>
    <cellStyle name="Header2 2 7 2 4 5" xfId="47118"/>
    <cellStyle name="Header2 2 7 2 5" xfId="3138"/>
    <cellStyle name="Header2 2 7 2 5 2" xfId="14335"/>
    <cellStyle name="Header2 2 7 2 5 3" xfId="25503"/>
    <cellStyle name="Header2 2 7 2 5 4" xfId="36668"/>
    <cellStyle name="Header2 2 7 2 5 5" xfId="47861"/>
    <cellStyle name="Header2 2 7 2 6" xfId="3772"/>
    <cellStyle name="Header2 2 7 2 6 2" xfId="14969"/>
    <cellStyle name="Header2 2 7 2 6 3" xfId="26137"/>
    <cellStyle name="Header2 2 7 2 6 4" xfId="37302"/>
    <cellStyle name="Header2 2 7 2 6 5" xfId="48495"/>
    <cellStyle name="Header2 2 7 2 7" xfId="4405"/>
    <cellStyle name="Header2 2 7 2 7 2" xfId="15602"/>
    <cellStyle name="Header2 2 7 2 7 3" xfId="26770"/>
    <cellStyle name="Header2 2 7 2 7 4" xfId="37935"/>
    <cellStyle name="Header2 2 7 2 7 5" xfId="49128"/>
    <cellStyle name="Header2 2 7 2 8" xfId="5036"/>
    <cellStyle name="Header2 2 7 2 8 2" xfId="16233"/>
    <cellStyle name="Header2 2 7 2 8 3" xfId="27401"/>
    <cellStyle name="Header2 2 7 2 8 4" xfId="38566"/>
    <cellStyle name="Header2 2 7 2 8 5" xfId="49759"/>
    <cellStyle name="Header2 2 7 2 9" xfId="6079"/>
    <cellStyle name="Header2 2 7 2 9 2" xfId="17276"/>
    <cellStyle name="Header2 2 7 2 9 3" xfId="28444"/>
    <cellStyle name="Header2 2 7 2 9 4" xfId="39609"/>
    <cellStyle name="Header2 2 7 2 9 5" xfId="50802"/>
    <cellStyle name="Header2 2 7 20" xfId="6660"/>
    <cellStyle name="Header2 2 7 20 2" xfId="17857"/>
    <cellStyle name="Header2 2 7 20 3" xfId="29025"/>
    <cellStyle name="Header2 2 7 20 4" xfId="40190"/>
    <cellStyle name="Header2 2 7 20 5" xfId="51383"/>
    <cellStyle name="Header2 2 7 21" xfId="7292"/>
    <cellStyle name="Header2 2 7 21 2" xfId="18489"/>
    <cellStyle name="Header2 2 7 21 3" xfId="29657"/>
    <cellStyle name="Header2 2 7 21 4" xfId="40822"/>
    <cellStyle name="Header2 2 7 21 5" xfId="52015"/>
    <cellStyle name="Header2 2 7 22" xfId="7926"/>
    <cellStyle name="Header2 2 7 22 2" xfId="19123"/>
    <cellStyle name="Header2 2 7 22 3" xfId="30291"/>
    <cellStyle name="Header2 2 7 22 4" xfId="41456"/>
    <cellStyle name="Header2 2 7 22 5" xfId="52649"/>
    <cellStyle name="Header2 2 7 23" xfId="8933"/>
    <cellStyle name="Header2 2 7 23 2" xfId="20130"/>
    <cellStyle name="Header2 2 7 23 3" xfId="31298"/>
    <cellStyle name="Header2 2 7 23 4" xfId="42463"/>
    <cellStyle name="Header2 2 7 23 5" xfId="53656"/>
    <cellStyle name="Header2 2 7 24" xfId="10340"/>
    <cellStyle name="Header2 2 7 24 2" xfId="21537"/>
    <cellStyle name="Header2 2 7 24 3" xfId="32705"/>
    <cellStyle name="Header2 2 7 24 4" xfId="43870"/>
    <cellStyle name="Header2 2 7 24 5" xfId="55063"/>
    <cellStyle name="Header2 2 7 25" xfId="10644"/>
    <cellStyle name="Header2 2 7 25 2" xfId="21841"/>
    <cellStyle name="Header2 2 7 25 3" xfId="33009"/>
    <cellStyle name="Header2 2 7 25 4" xfId="44174"/>
    <cellStyle name="Header2 2 7 25 5" xfId="55367"/>
    <cellStyle name="Header2 2 7 26" xfId="11290"/>
    <cellStyle name="Header2 2 7 27" xfId="22461"/>
    <cellStyle name="Header2 2 7 28" xfId="33628"/>
    <cellStyle name="Header2 2 7 29" xfId="44812"/>
    <cellStyle name="Header2 2 7 3" xfId="210"/>
    <cellStyle name="Header2 2 7 3 10" xfId="6779"/>
    <cellStyle name="Header2 2 7 3 10 2" xfId="17976"/>
    <cellStyle name="Header2 2 7 3 10 3" xfId="29144"/>
    <cellStyle name="Header2 2 7 3 10 4" xfId="40309"/>
    <cellStyle name="Header2 2 7 3 10 5" xfId="51502"/>
    <cellStyle name="Header2 2 7 3 11" xfId="7413"/>
    <cellStyle name="Header2 2 7 3 11 2" xfId="18610"/>
    <cellStyle name="Header2 2 7 3 11 3" xfId="29778"/>
    <cellStyle name="Header2 2 7 3 11 4" xfId="40943"/>
    <cellStyle name="Header2 2 7 3 11 5" xfId="52136"/>
    <cellStyle name="Header2 2 7 3 12" xfId="8047"/>
    <cellStyle name="Header2 2 7 3 12 2" xfId="19244"/>
    <cellStyle name="Header2 2 7 3 12 3" xfId="30412"/>
    <cellStyle name="Header2 2 7 3 12 4" xfId="41577"/>
    <cellStyle name="Header2 2 7 3 12 5" xfId="52770"/>
    <cellStyle name="Header2 2 7 3 13" xfId="8990"/>
    <cellStyle name="Header2 2 7 3 13 2" xfId="20187"/>
    <cellStyle name="Header2 2 7 3 13 3" xfId="31355"/>
    <cellStyle name="Header2 2 7 3 13 4" xfId="42520"/>
    <cellStyle name="Header2 2 7 3 13 5" xfId="53713"/>
    <cellStyle name="Header2 2 7 3 14" xfId="10296"/>
    <cellStyle name="Header2 2 7 3 14 2" xfId="21493"/>
    <cellStyle name="Header2 2 7 3 14 3" xfId="32661"/>
    <cellStyle name="Header2 2 7 3 14 4" xfId="43826"/>
    <cellStyle name="Header2 2 7 3 14 5" xfId="55019"/>
    <cellStyle name="Header2 2 7 3 15" xfId="10763"/>
    <cellStyle name="Header2 2 7 3 15 2" xfId="21960"/>
    <cellStyle name="Header2 2 7 3 15 3" xfId="33128"/>
    <cellStyle name="Header2 2 7 3 15 4" xfId="44293"/>
    <cellStyle name="Header2 2 7 3 15 5" xfId="55486"/>
    <cellStyle name="Header2 2 7 3 16" xfId="11410"/>
    <cellStyle name="Header2 2 7 3 17" xfId="22580"/>
    <cellStyle name="Header2 2 7 3 18" xfId="33747"/>
    <cellStyle name="Header2 2 7 3 19" xfId="44933"/>
    <cellStyle name="Header2 2 7 3 2" xfId="859"/>
    <cellStyle name="Header2 2 7 3 2 2" xfId="12056"/>
    <cellStyle name="Header2 2 7 3 2 3" xfId="23224"/>
    <cellStyle name="Header2 2 7 3 2 4" xfId="34389"/>
    <cellStyle name="Header2 2 7 3 2 5" xfId="45582"/>
    <cellStyle name="Header2 2 7 3 3" xfId="1555"/>
    <cellStyle name="Header2 2 7 3 3 2" xfId="12752"/>
    <cellStyle name="Header2 2 7 3 3 3" xfId="23920"/>
    <cellStyle name="Header2 2 7 3 3 4" xfId="35085"/>
    <cellStyle name="Header2 2 7 3 3 5" xfId="46278"/>
    <cellStyle name="Header2 2 7 3 4" xfId="2184"/>
    <cellStyle name="Header2 2 7 3 4 2" xfId="13381"/>
    <cellStyle name="Header2 2 7 3 4 3" xfId="24549"/>
    <cellStyle name="Header2 2 7 3 4 4" xfId="35714"/>
    <cellStyle name="Header2 2 7 3 4 5" xfId="46907"/>
    <cellStyle name="Header2 2 7 3 5" xfId="3194"/>
    <cellStyle name="Header2 2 7 3 5 2" xfId="14391"/>
    <cellStyle name="Header2 2 7 3 5 3" xfId="25559"/>
    <cellStyle name="Header2 2 7 3 5 4" xfId="36724"/>
    <cellStyle name="Header2 2 7 3 5 5" xfId="47917"/>
    <cellStyle name="Header2 2 7 3 6" xfId="3828"/>
    <cellStyle name="Header2 2 7 3 6 2" xfId="15025"/>
    <cellStyle name="Header2 2 7 3 6 3" xfId="26193"/>
    <cellStyle name="Header2 2 7 3 6 4" xfId="37358"/>
    <cellStyle name="Header2 2 7 3 6 5" xfId="48551"/>
    <cellStyle name="Header2 2 7 3 7" xfId="4461"/>
    <cellStyle name="Header2 2 7 3 7 2" xfId="15658"/>
    <cellStyle name="Header2 2 7 3 7 3" xfId="26826"/>
    <cellStyle name="Header2 2 7 3 7 4" xfId="37991"/>
    <cellStyle name="Header2 2 7 3 7 5" xfId="49184"/>
    <cellStyle name="Header2 2 7 3 8" xfId="5092"/>
    <cellStyle name="Header2 2 7 3 8 2" xfId="16289"/>
    <cellStyle name="Header2 2 7 3 8 3" xfId="27457"/>
    <cellStyle name="Header2 2 7 3 8 4" xfId="38622"/>
    <cellStyle name="Header2 2 7 3 8 5" xfId="49815"/>
    <cellStyle name="Header2 2 7 3 9" xfId="6008"/>
    <cellStyle name="Header2 2 7 3 9 2" xfId="17205"/>
    <cellStyle name="Header2 2 7 3 9 3" xfId="28373"/>
    <cellStyle name="Header2 2 7 3 9 4" xfId="39538"/>
    <cellStyle name="Header2 2 7 3 9 5" xfId="50731"/>
    <cellStyle name="Header2 2 7 4" xfId="56"/>
    <cellStyle name="Header2 2 7 4 10" xfId="4953"/>
    <cellStyle name="Header2 2 7 4 10 2" xfId="16150"/>
    <cellStyle name="Header2 2 7 4 10 3" xfId="27318"/>
    <cellStyle name="Header2 2 7 4 10 4" xfId="38483"/>
    <cellStyle name="Header2 2 7 4 10 5" xfId="49676"/>
    <cellStyle name="Header2 2 7 4 11" xfId="5601"/>
    <cellStyle name="Header2 2 7 4 11 2" xfId="16798"/>
    <cellStyle name="Header2 2 7 4 11 3" xfId="27966"/>
    <cellStyle name="Header2 2 7 4 11 4" xfId="39131"/>
    <cellStyle name="Header2 2 7 4 11 5" xfId="50324"/>
    <cellStyle name="Header2 2 7 4 12" xfId="6638"/>
    <cellStyle name="Header2 2 7 4 12 2" xfId="17835"/>
    <cellStyle name="Header2 2 7 4 12 3" xfId="29003"/>
    <cellStyle name="Header2 2 7 4 12 4" xfId="40168"/>
    <cellStyle name="Header2 2 7 4 12 5" xfId="51361"/>
    <cellStyle name="Header2 2 7 4 13" xfId="8908"/>
    <cellStyle name="Header2 2 7 4 13 2" xfId="20105"/>
    <cellStyle name="Header2 2 7 4 13 3" xfId="31273"/>
    <cellStyle name="Header2 2 7 4 13 4" xfId="42438"/>
    <cellStyle name="Header2 2 7 4 13 5" xfId="53631"/>
    <cellStyle name="Header2 2 7 4 14" xfId="10313"/>
    <cellStyle name="Header2 2 7 4 14 2" xfId="21510"/>
    <cellStyle name="Header2 2 7 4 14 3" xfId="32678"/>
    <cellStyle name="Header2 2 7 4 14 4" xfId="43843"/>
    <cellStyle name="Header2 2 7 4 14 5" xfId="55036"/>
    <cellStyle name="Header2 2 7 4 15" xfId="9582"/>
    <cellStyle name="Header2 2 7 4 15 2" xfId="20779"/>
    <cellStyle name="Header2 2 7 4 15 3" xfId="31947"/>
    <cellStyle name="Header2 2 7 4 15 4" xfId="43112"/>
    <cellStyle name="Header2 2 7 4 15 5" xfId="54305"/>
    <cellStyle name="Header2 2 7 4 16" xfId="11258"/>
    <cellStyle name="Header2 2 7 4 17" xfId="46"/>
    <cellStyle name="Header2 2 7 4 18" xfId="11268"/>
    <cellStyle name="Header2 2 7 4 19" xfId="44785"/>
    <cellStyle name="Header2 2 7 4 2" xfId="711"/>
    <cellStyle name="Header2 2 7 4 2 2" xfId="11910"/>
    <cellStyle name="Header2 2 7 4 2 3" xfId="23079"/>
    <cellStyle name="Header2 2 7 4 2 4" xfId="34246"/>
    <cellStyle name="Header2 2 7 4 2 5" xfId="45434"/>
    <cellStyle name="Header2 2 7 4 3" xfId="1604"/>
    <cellStyle name="Header2 2 7 4 3 2" xfId="12801"/>
    <cellStyle name="Header2 2 7 4 3 3" xfId="23969"/>
    <cellStyle name="Header2 2 7 4 3 4" xfId="35134"/>
    <cellStyle name="Header2 2 7 4 3 5" xfId="46327"/>
    <cellStyle name="Header2 2 7 4 4" xfId="2206"/>
    <cellStyle name="Header2 2 7 4 4 2" xfId="13403"/>
    <cellStyle name="Header2 2 7 4 4 3" xfId="24571"/>
    <cellStyle name="Header2 2 7 4 4 4" xfId="35736"/>
    <cellStyle name="Header2 2 7 4 4 5" xfId="46929"/>
    <cellStyle name="Header2 2 7 4 5" xfId="1996"/>
    <cellStyle name="Header2 2 7 4 5 2" xfId="13193"/>
    <cellStyle name="Header2 2 7 4 5 3" xfId="24361"/>
    <cellStyle name="Header2 2 7 4 5 4" xfId="35526"/>
    <cellStyle name="Header2 2 7 4 5 5" xfId="46719"/>
    <cellStyle name="Header2 2 7 4 6" xfId="1989"/>
    <cellStyle name="Header2 2 7 4 6 2" xfId="13186"/>
    <cellStyle name="Header2 2 7 4 6 3" xfId="24354"/>
    <cellStyle name="Header2 2 7 4 6 4" xfId="35519"/>
    <cellStyle name="Header2 2 7 4 6 5" xfId="46712"/>
    <cellStyle name="Header2 2 7 4 7" xfId="3058"/>
    <cellStyle name="Header2 2 7 4 7 2" xfId="14255"/>
    <cellStyle name="Header2 2 7 4 7 3" xfId="25423"/>
    <cellStyle name="Header2 2 7 4 7 4" xfId="36588"/>
    <cellStyle name="Header2 2 7 4 7 5" xfId="47781"/>
    <cellStyle name="Header2 2 7 4 8" xfId="3686"/>
    <cellStyle name="Header2 2 7 4 8 2" xfId="14883"/>
    <cellStyle name="Header2 2 7 4 8 3" xfId="26051"/>
    <cellStyle name="Header2 2 7 4 8 4" xfId="37216"/>
    <cellStyle name="Header2 2 7 4 8 5" xfId="48409"/>
    <cellStyle name="Header2 2 7 4 9" xfId="5930"/>
    <cellStyle name="Header2 2 7 4 9 2" xfId="17127"/>
    <cellStyle name="Header2 2 7 4 9 3" xfId="28295"/>
    <cellStyle name="Header2 2 7 4 9 4" xfId="39460"/>
    <cellStyle name="Header2 2 7 4 9 5" xfId="50653"/>
    <cellStyle name="Header2 2 7 5" xfId="366"/>
    <cellStyle name="Header2 2 7 5 10" xfId="6935"/>
    <cellStyle name="Header2 2 7 5 10 2" xfId="18132"/>
    <cellStyle name="Header2 2 7 5 10 3" xfId="29300"/>
    <cellStyle name="Header2 2 7 5 10 4" xfId="40465"/>
    <cellStyle name="Header2 2 7 5 10 5" xfId="51658"/>
    <cellStyle name="Header2 2 7 5 11" xfId="7569"/>
    <cellStyle name="Header2 2 7 5 11 2" xfId="18766"/>
    <cellStyle name="Header2 2 7 5 11 3" xfId="29934"/>
    <cellStyle name="Header2 2 7 5 11 4" xfId="41099"/>
    <cellStyle name="Header2 2 7 5 11 5" xfId="52292"/>
    <cellStyle name="Header2 2 7 5 12" xfId="8203"/>
    <cellStyle name="Header2 2 7 5 12 2" xfId="19400"/>
    <cellStyle name="Header2 2 7 5 12 3" xfId="30568"/>
    <cellStyle name="Header2 2 7 5 12 4" xfId="41733"/>
    <cellStyle name="Header2 2 7 5 12 5" xfId="52926"/>
    <cellStyle name="Header2 2 7 5 13" xfId="9254"/>
    <cellStyle name="Header2 2 7 5 13 2" xfId="20451"/>
    <cellStyle name="Header2 2 7 5 13 3" xfId="31619"/>
    <cellStyle name="Header2 2 7 5 13 4" xfId="42784"/>
    <cellStyle name="Header2 2 7 5 13 5" xfId="53977"/>
    <cellStyle name="Header2 2 7 5 14" xfId="10242"/>
    <cellStyle name="Header2 2 7 5 14 2" xfId="21439"/>
    <cellStyle name="Header2 2 7 5 14 3" xfId="32607"/>
    <cellStyle name="Header2 2 7 5 14 4" xfId="43772"/>
    <cellStyle name="Header2 2 7 5 14 5" xfId="54965"/>
    <cellStyle name="Header2 2 7 5 15" xfId="10919"/>
    <cellStyle name="Header2 2 7 5 15 2" xfId="22116"/>
    <cellStyle name="Header2 2 7 5 15 3" xfId="33284"/>
    <cellStyle name="Header2 2 7 5 15 4" xfId="44449"/>
    <cellStyle name="Header2 2 7 5 15 5" xfId="55642"/>
    <cellStyle name="Header2 2 7 5 16" xfId="11566"/>
    <cellStyle name="Header2 2 7 5 17" xfId="22736"/>
    <cellStyle name="Header2 2 7 5 18" xfId="33903"/>
    <cellStyle name="Header2 2 7 5 19" xfId="45089"/>
    <cellStyle name="Header2 2 7 5 2" xfId="1015"/>
    <cellStyle name="Header2 2 7 5 2 2" xfId="12212"/>
    <cellStyle name="Header2 2 7 5 2 3" xfId="23380"/>
    <cellStyle name="Header2 2 7 5 2 4" xfId="34545"/>
    <cellStyle name="Header2 2 7 5 2 5" xfId="45738"/>
    <cellStyle name="Header2 2 7 5 3" xfId="1545"/>
    <cellStyle name="Header2 2 7 5 3 2" xfId="12742"/>
    <cellStyle name="Header2 2 7 5 3 3" xfId="23910"/>
    <cellStyle name="Header2 2 7 5 3 4" xfId="35075"/>
    <cellStyle name="Header2 2 7 5 3 5" xfId="46268"/>
    <cellStyle name="Header2 2 7 5 4" xfId="2716"/>
    <cellStyle name="Header2 2 7 5 4 2" xfId="13913"/>
    <cellStyle name="Header2 2 7 5 4 3" xfId="25081"/>
    <cellStyle name="Header2 2 7 5 4 4" xfId="36246"/>
    <cellStyle name="Header2 2 7 5 4 5" xfId="47439"/>
    <cellStyle name="Header2 2 7 5 5" xfId="3350"/>
    <cellStyle name="Header2 2 7 5 5 2" xfId="14547"/>
    <cellStyle name="Header2 2 7 5 5 3" xfId="25715"/>
    <cellStyle name="Header2 2 7 5 5 4" xfId="36880"/>
    <cellStyle name="Header2 2 7 5 5 5" xfId="48073"/>
    <cellStyle name="Header2 2 7 5 6" xfId="3984"/>
    <cellStyle name="Header2 2 7 5 6 2" xfId="15181"/>
    <cellStyle name="Header2 2 7 5 6 3" xfId="26349"/>
    <cellStyle name="Header2 2 7 5 6 4" xfId="37514"/>
    <cellStyle name="Header2 2 7 5 6 5" xfId="48707"/>
    <cellStyle name="Header2 2 7 5 7" xfId="4617"/>
    <cellStyle name="Header2 2 7 5 7 2" xfId="15814"/>
    <cellStyle name="Header2 2 7 5 7 3" xfId="26982"/>
    <cellStyle name="Header2 2 7 5 7 4" xfId="38147"/>
    <cellStyle name="Header2 2 7 5 7 5" xfId="49340"/>
    <cellStyle name="Header2 2 7 5 8" xfId="5248"/>
    <cellStyle name="Header2 2 7 5 8 2" xfId="16445"/>
    <cellStyle name="Header2 2 7 5 8 3" xfId="27613"/>
    <cellStyle name="Header2 2 7 5 8 4" xfId="38778"/>
    <cellStyle name="Header2 2 7 5 8 5" xfId="49971"/>
    <cellStyle name="Header2 2 7 5 9" xfId="6302"/>
    <cellStyle name="Header2 2 7 5 9 2" xfId="17499"/>
    <cellStyle name="Header2 2 7 5 9 3" xfId="28667"/>
    <cellStyle name="Header2 2 7 5 9 4" xfId="39832"/>
    <cellStyle name="Header2 2 7 5 9 5" xfId="51025"/>
    <cellStyle name="Header2 2 7 6" xfId="300"/>
    <cellStyle name="Header2 2 7 6 10" xfId="6869"/>
    <cellStyle name="Header2 2 7 6 10 2" xfId="18066"/>
    <cellStyle name="Header2 2 7 6 10 3" xfId="29234"/>
    <cellStyle name="Header2 2 7 6 10 4" xfId="40399"/>
    <cellStyle name="Header2 2 7 6 10 5" xfId="51592"/>
    <cellStyle name="Header2 2 7 6 11" xfId="7503"/>
    <cellStyle name="Header2 2 7 6 11 2" xfId="18700"/>
    <cellStyle name="Header2 2 7 6 11 3" xfId="29868"/>
    <cellStyle name="Header2 2 7 6 11 4" xfId="41033"/>
    <cellStyle name="Header2 2 7 6 11 5" xfId="52226"/>
    <cellStyle name="Header2 2 7 6 12" xfId="8137"/>
    <cellStyle name="Header2 2 7 6 12 2" xfId="19334"/>
    <cellStyle name="Header2 2 7 6 12 3" xfId="30502"/>
    <cellStyle name="Header2 2 7 6 12 4" xfId="41667"/>
    <cellStyle name="Header2 2 7 6 12 5" xfId="52860"/>
    <cellStyle name="Header2 2 7 6 13" xfId="9188"/>
    <cellStyle name="Header2 2 7 6 13 2" xfId="20385"/>
    <cellStyle name="Header2 2 7 6 13 3" xfId="31553"/>
    <cellStyle name="Header2 2 7 6 13 4" xfId="42718"/>
    <cellStyle name="Header2 2 7 6 13 5" xfId="53911"/>
    <cellStyle name="Header2 2 7 6 14" xfId="10230"/>
    <cellStyle name="Header2 2 7 6 14 2" xfId="21427"/>
    <cellStyle name="Header2 2 7 6 14 3" xfId="32595"/>
    <cellStyle name="Header2 2 7 6 14 4" xfId="43760"/>
    <cellStyle name="Header2 2 7 6 14 5" xfId="54953"/>
    <cellStyle name="Header2 2 7 6 15" xfId="10853"/>
    <cellStyle name="Header2 2 7 6 15 2" xfId="22050"/>
    <cellStyle name="Header2 2 7 6 15 3" xfId="33218"/>
    <cellStyle name="Header2 2 7 6 15 4" xfId="44383"/>
    <cellStyle name="Header2 2 7 6 15 5" xfId="55576"/>
    <cellStyle name="Header2 2 7 6 16" xfId="11500"/>
    <cellStyle name="Header2 2 7 6 17" xfId="22670"/>
    <cellStyle name="Header2 2 7 6 18" xfId="33837"/>
    <cellStyle name="Header2 2 7 6 19" xfId="45023"/>
    <cellStyle name="Header2 2 7 6 2" xfId="949"/>
    <cellStyle name="Header2 2 7 6 2 2" xfId="12146"/>
    <cellStyle name="Header2 2 7 6 2 3" xfId="23314"/>
    <cellStyle name="Header2 2 7 6 2 4" xfId="34479"/>
    <cellStyle name="Header2 2 7 6 2 5" xfId="45672"/>
    <cellStyle name="Header2 2 7 6 3" xfId="1490"/>
    <cellStyle name="Header2 2 7 6 3 2" xfId="12687"/>
    <cellStyle name="Header2 2 7 6 3 3" xfId="23855"/>
    <cellStyle name="Header2 2 7 6 3 4" xfId="35020"/>
    <cellStyle name="Header2 2 7 6 3 5" xfId="46213"/>
    <cellStyle name="Header2 2 7 6 4" xfId="2650"/>
    <cellStyle name="Header2 2 7 6 4 2" xfId="13847"/>
    <cellStyle name="Header2 2 7 6 4 3" xfId="25015"/>
    <cellStyle name="Header2 2 7 6 4 4" xfId="36180"/>
    <cellStyle name="Header2 2 7 6 4 5" xfId="47373"/>
    <cellStyle name="Header2 2 7 6 5" xfId="3284"/>
    <cellStyle name="Header2 2 7 6 5 2" xfId="14481"/>
    <cellStyle name="Header2 2 7 6 5 3" xfId="25649"/>
    <cellStyle name="Header2 2 7 6 5 4" xfId="36814"/>
    <cellStyle name="Header2 2 7 6 5 5" xfId="48007"/>
    <cellStyle name="Header2 2 7 6 6" xfId="3918"/>
    <cellStyle name="Header2 2 7 6 6 2" xfId="15115"/>
    <cellStyle name="Header2 2 7 6 6 3" xfId="26283"/>
    <cellStyle name="Header2 2 7 6 6 4" xfId="37448"/>
    <cellStyle name="Header2 2 7 6 6 5" xfId="48641"/>
    <cellStyle name="Header2 2 7 6 7" xfId="4551"/>
    <cellStyle name="Header2 2 7 6 7 2" xfId="15748"/>
    <cellStyle name="Header2 2 7 6 7 3" xfId="26916"/>
    <cellStyle name="Header2 2 7 6 7 4" xfId="38081"/>
    <cellStyle name="Header2 2 7 6 7 5" xfId="49274"/>
    <cellStyle name="Header2 2 7 6 8" xfId="5182"/>
    <cellStyle name="Header2 2 7 6 8 2" xfId="16379"/>
    <cellStyle name="Header2 2 7 6 8 3" xfId="27547"/>
    <cellStyle name="Header2 2 7 6 8 4" xfId="38712"/>
    <cellStyle name="Header2 2 7 6 8 5" xfId="49905"/>
    <cellStyle name="Header2 2 7 6 9" xfId="6236"/>
    <cellStyle name="Header2 2 7 6 9 2" xfId="17433"/>
    <cellStyle name="Header2 2 7 6 9 3" xfId="28601"/>
    <cellStyle name="Header2 2 7 6 9 4" xfId="39766"/>
    <cellStyle name="Header2 2 7 6 9 5" xfId="50959"/>
    <cellStyle name="Header2 2 7 7" xfId="418"/>
    <cellStyle name="Header2 2 7 7 10" xfId="6987"/>
    <cellStyle name="Header2 2 7 7 10 2" xfId="18184"/>
    <cellStyle name="Header2 2 7 7 10 3" xfId="29352"/>
    <cellStyle name="Header2 2 7 7 10 4" xfId="40517"/>
    <cellStyle name="Header2 2 7 7 10 5" xfId="51710"/>
    <cellStyle name="Header2 2 7 7 11" xfId="7621"/>
    <cellStyle name="Header2 2 7 7 11 2" xfId="18818"/>
    <cellStyle name="Header2 2 7 7 11 3" xfId="29986"/>
    <cellStyle name="Header2 2 7 7 11 4" xfId="41151"/>
    <cellStyle name="Header2 2 7 7 11 5" xfId="52344"/>
    <cellStyle name="Header2 2 7 7 12" xfId="8255"/>
    <cellStyle name="Header2 2 7 7 12 2" xfId="19452"/>
    <cellStyle name="Header2 2 7 7 12 3" xfId="30620"/>
    <cellStyle name="Header2 2 7 7 12 4" xfId="41785"/>
    <cellStyle name="Header2 2 7 7 12 5" xfId="52978"/>
    <cellStyle name="Header2 2 7 7 13" xfId="9306"/>
    <cellStyle name="Header2 2 7 7 13 2" xfId="20503"/>
    <cellStyle name="Header2 2 7 7 13 3" xfId="31671"/>
    <cellStyle name="Header2 2 7 7 13 4" xfId="42836"/>
    <cellStyle name="Header2 2 7 7 13 5" xfId="54029"/>
    <cellStyle name="Header2 2 7 7 14" xfId="10447"/>
    <cellStyle name="Header2 2 7 7 14 2" xfId="21644"/>
    <cellStyle name="Header2 2 7 7 14 3" xfId="32812"/>
    <cellStyle name="Header2 2 7 7 14 4" xfId="43977"/>
    <cellStyle name="Header2 2 7 7 14 5" xfId="55170"/>
    <cellStyle name="Header2 2 7 7 15" xfId="10971"/>
    <cellStyle name="Header2 2 7 7 15 2" xfId="22168"/>
    <cellStyle name="Header2 2 7 7 15 3" xfId="33336"/>
    <cellStyle name="Header2 2 7 7 15 4" xfId="44501"/>
    <cellStyle name="Header2 2 7 7 15 5" xfId="55694"/>
    <cellStyle name="Header2 2 7 7 16" xfId="11618"/>
    <cellStyle name="Header2 2 7 7 17" xfId="22788"/>
    <cellStyle name="Header2 2 7 7 18" xfId="33955"/>
    <cellStyle name="Header2 2 7 7 19" xfId="45141"/>
    <cellStyle name="Header2 2 7 7 2" xfId="1067"/>
    <cellStyle name="Header2 2 7 7 2 2" xfId="12264"/>
    <cellStyle name="Header2 2 7 7 2 3" xfId="23432"/>
    <cellStyle name="Header2 2 7 7 2 4" xfId="34597"/>
    <cellStyle name="Header2 2 7 7 2 5" xfId="45790"/>
    <cellStyle name="Header2 2 7 7 3" xfId="1762"/>
    <cellStyle name="Header2 2 7 7 3 2" xfId="12959"/>
    <cellStyle name="Header2 2 7 7 3 3" xfId="24127"/>
    <cellStyle name="Header2 2 7 7 3 4" xfId="35292"/>
    <cellStyle name="Header2 2 7 7 3 5" xfId="46485"/>
    <cellStyle name="Header2 2 7 7 4" xfId="2768"/>
    <cellStyle name="Header2 2 7 7 4 2" xfId="13965"/>
    <cellStyle name="Header2 2 7 7 4 3" xfId="25133"/>
    <cellStyle name="Header2 2 7 7 4 4" xfId="36298"/>
    <cellStyle name="Header2 2 7 7 4 5" xfId="47491"/>
    <cellStyle name="Header2 2 7 7 5" xfId="3402"/>
    <cellStyle name="Header2 2 7 7 5 2" xfId="14599"/>
    <cellStyle name="Header2 2 7 7 5 3" xfId="25767"/>
    <cellStyle name="Header2 2 7 7 5 4" xfId="36932"/>
    <cellStyle name="Header2 2 7 7 5 5" xfId="48125"/>
    <cellStyle name="Header2 2 7 7 6" xfId="4036"/>
    <cellStyle name="Header2 2 7 7 6 2" xfId="15233"/>
    <cellStyle name="Header2 2 7 7 6 3" xfId="26401"/>
    <cellStyle name="Header2 2 7 7 6 4" xfId="37566"/>
    <cellStyle name="Header2 2 7 7 6 5" xfId="48759"/>
    <cellStyle name="Header2 2 7 7 7" xfId="4669"/>
    <cellStyle name="Header2 2 7 7 7 2" xfId="15866"/>
    <cellStyle name="Header2 2 7 7 7 3" xfId="27034"/>
    <cellStyle name="Header2 2 7 7 7 4" xfId="38199"/>
    <cellStyle name="Header2 2 7 7 7 5" xfId="49392"/>
    <cellStyle name="Header2 2 7 7 8" xfId="5300"/>
    <cellStyle name="Header2 2 7 7 8 2" xfId="16497"/>
    <cellStyle name="Header2 2 7 7 8 3" xfId="27665"/>
    <cellStyle name="Header2 2 7 7 8 4" xfId="38830"/>
    <cellStyle name="Header2 2 7 7 8 5" xfId="50023"/>
    <cellStyle name="Header2 2 7 7 9" xfId="6354"/>
    <cellStyle name="Header2 2 7 7 9 2" xfId="17551"/>
    <cellStyle name="Header2 2 7 7 9 3" xfId="28719"/>
    <cellStyle name="Header2 2 7 7 9 4" xfId="39884"/>
    <cellStyle name="Header2 2 7 7 9 5" xfId="51077"/>
    <cellStyle name="Header2 2 7 8" xfId="498"/>
    <cellStyle name="Header2 2 7 8 10" xfId="7067"/>
    <cellStyle name="Header2 2 7 8 10 2" xfId="18264"/>
    <cellStyle name="Header2 2 7 8 10 3" xfId="29432"/>
    <cellStyle name="Header2 2 7 8 10 4" xfId="40597"/>
    <cellStyle name="Header2 2 7 8 10 5" xfId="51790"/>
    <cellStyle name="Header2 2 7 8 11" xfId="7701"/>
    <cellStyle name="Header2 2 7 8 11 2" xfId="18898"/>
    <cellStyle name="Header2 2 7 8 11 3" xfId="30066"/>
    <cellStyle name="Header2 2 7 8 11 4" xfId="41231"/>
    <cellStyle name="Header2 2 7 8 11 5" xfId="52424"/>
    <cellStyle name="Header2 2 7 8 12" xfId="8335"/>
    <cellStyle name="Header2 2 7 8 12 2" xfId="19532"/>
    <cellStyle name="Header2 2 7 8 12 3" xfId="30700"/>
    <cellStyle name="Header2 2 7 8 12 4" xfId="41865"/>
    <cellStyle name="Header2 2 7 8 12 5" xfId="53058"/>
    <cellStyle name="Header2 2 7 8 13" xfId="9386"/>
    <cellStyle name="Header2 2 7 8 13 2" xfId="20583"/>
    <cellStyle name="Header2 2 7 8 13 3" xfId="31751"/>
    <cellStyle name="Header2 2 7 8 13 4" xfId="42916"/>
    <cellStyle name="Header2 2 7 8 13 5" xfId="54109"/>
    <cellStyle name="Header2 2 7 8 14" xfId="9855"/>
    <cellStyle name="Header2 2 7 8 14 2" xfId="21052"/>
    <cellStyle name="Header2 2 7 8 14 3" xfId="32220"/>
    <cellStyle name="Header2 2 7 8 14 4" xfId="43385"/>
    <cellStyle name="Header2 2 7 8 14 5" xfId="54578"/>
    <cellStyle name="Header2 2 7 8 15" xfId="11051"/>
    <cellStyle name="Header2 2 7 8 15 2" xfId="22248"/>
    <cellStyle name="Header2 2 7 8 15 3" xfId="33416"/>
    <cellStyle name="Header2 2 7 8 15 4" xfId="44581"/>
    <cellStyle name="Header2 2 7 8 15 5" xfId="55774"/>
    <cellStyle name="Header2 2 7 8 16" xfId="11698"/>
    <cellStyle name="Header2 2 7 8 17" xfId="22868"/>
    <cellStyle name="Header2 2 7 8 18" xfId="34035"/>
    <cellStyle name="Header2 2 7 8 19" xfId="45221"/>
    <cellStyle name="Header2 2 7 8 2" xfId="1147"/>
    <cellStyle name="Header2 2 7 8 2 2" xfId="12344"/>
    <cellStyle name="Header2 2 7 8 2 3" xfId="23512"/>
    <cellStyle name="Header2 2 7 8 2 4" xfId="34677"/>
    <cellStyle name="Header2 2 7 8 2 5" xfId="45870"/>
    <cellStyle name="Header2 2 7 8 3" xfId="1847"/>
    <cellStyle name="Header2 2 7 8 3 2" xfId="13044"/>
    <cellStyle name="Header2 2 7 8 3 3" xfId="24212"/>
    <cellStyle name="Header2 2 7 8 3 4" xfId="35377"/>
    <cellStyle name="Header2 2 7 8 3 5" xfId="46570"/>
    <cellStyle name="Header2 2 7 8 4" xfId="2848"/>
    <cellStyle name="Header2 2 7 8 4 2" xfId="14045"/>
    <cellStyle name="Header2 2 7 8 4 3" xfId="25213"/>
    <cellStyle name="Header2 2 7 8 4 4" xfId="36378"/>
    <cellStyle name="Header2 2 7 8 4 5" xfId="47571"/>
    <cellStyle name="Header2 2 7 8 5" xfId="3482"/>
    <cellStyle name="Header2 2 7 8 5 2" xfId="14679"/>
    <cellStyle name="Header2 2 7 8 5 3" xfId="25847"/>
    <cellStyle name="Header2 2 7 8 5 4" xfId="37012"/>
    <cellStyle name="Header2 2 7 8 5 5" xfId="48205"/>
    <cellStyle name="Header2 2 7 8 6" xfId="4116"/>
    <cellStyle name="Header2 2 7 8 6 2" xfId="15313"/>
    <cellStyle name="Header2 2 7 8 6 3" xfId="26481"/>
    <cellStyle name="Header2 2 7 8 6 4" xfId="37646"/>
    <cellStyle name="Header2 2 7 8 6 5" xfId="48839"/>
    <cellStyle name="Header2 2 7 8 7" xfId="4749"/>
    <cellStyle name="Header2 2 7 8 7 2" xfId="15946"/>
    <cellStyle name="Header2 2 7 8 7 3" xfId="27114"/>
    <cellStyle name="Header2 2 7 8 7 4" xfId="38279"/>
    <cellStyle name="Header2 2 7 8 7 5" xfId="49472"/>
    <cellStyle name="Header2 2 7 8 8" xfId="5380"/>
    <cellStyle name="Header2 2 7 8 8 2" xfId="16577"/>
    <cellStyle name="Header2 2 7 8 8 3" xfId="27745"/>
    <cellStyle name="Header2 2 7 8 8 4" xfId="38910"/>
    <cellStyle name="Header2 2 7 8 8 5" xfId="50103"/>
    <cellStyle name="Header2 2 7 8 9" xfId="6434"/>
    <cellStyle name="Header2 2 7 8 9 2" xfId="17631"/>
    <cellStyle name="Header2 2 7 8 9 3" xfId="28799"/>
    <cellStyle name="Header2 2 7 8 9 4" xfId="39964"/>
    <cellStyle name="Header2 2 7 8 9 5" xfId="51157"/>
    <cellStyle name="Header2 2 7 9" xfId="556"/>
    <cellStyle name="Header2 2 7 9 10" xfId="7125"/>
    <cellStyle name="Header2 2 7 9 10 2" xfId="18322"/>
    <cellStyle name="Header2 2 7 9 10 3" xfId="29490"/>
    <cellStyle name="Header2 2 7 9 10 4" xfId="40655"/>
    <cellStyle name="Header2 2 7 9 10 5" xfId="51848"/>
    <cellStyle name="Header2 2 7 9 11" xfId="7759"/>
    <cellStyle name="Header2 2 7 9 11 2" xfId="18956"/>
    <cellStyle name="Header2 2 7 9 11 3" xfId="30124"/>
    <cellStyle name="Header2 2 7 9 11 4" xfId="41289"/>
    <cellStyle name="Header2 2 7 9 11 5" xfId="52482"/>
    <cellStyle name="Header2 2 7 9 12" xfId="8393"/>
    <cellStyle name="Header2 2 7 9 12 2" xfId="19590"/>
    <cellStyle name="Header2 2 7 9 12 3" xfId="30758"/>
    <cellStyle name="Header2 2 7 9 12 4" xfId="41923"/>
    <cellStyle name="Header2 2 7 9 12 5" xfId="53116"/>
    <cellStyle name="Header2 2 7 9 13" xfId="9444"/>
    <cellStyle name="Header2 2 7 9 13 2" xfId="20641"/>
    <cellStyle name="Header2 2 7 9 13 3" xfId="31809"/>
    <cellStyle name="Header2 2 7 9 13 4" xfId="42974"/>
    <cellStyle name="Header2 2 7 9 13 5" xfId="54167"/>
    <cellStyle name="Header2 2 7 9 14" xfId="10385"/>
    <cellStyle name="Header2 2 7 9 14 2" xfId="21582"/>
    <cellStyle name="Header2 2 7 9 14 3" xfId="32750"/>
    <cellStyle name="Header2 2 7 9 14 4" xfId="43915"/>
    <cellStyle name="Header2 2 7 9 14 5" xfId="55108"/>
    <cellStyle name="Header2 2 7 9 15" xfId="11109"/>
    <cellStyle name="Header2 2 7 9 15 2" xfId="22306"/>
    <cellStyle name="Header2 2 7 9 15 3" xfId="33474"/>
    <cellStyle name="Header2 2 7 9 15 4" xfId="44639"/>
    <cellStyle name="Header2 2 7 9 15 5" xfId="55832"/>
    <cellStyle name="Header2 2 7 9 16" xfId="11756"/>
    <cellStyle name="Header2 2 7 9 17" xfId="22926"/>
    <cellStyle name="Header2 2 7 9 18" xfId="34093"/>
    <cellStyle name="Header2 2 7 9 19" xfId="45279"/>
    <cellStyle name="Header2 2 7 9 2" xfId="1205"/>
    <cellStyle name="Header2 2 7 9 2 2" xfId="12402"/>
    <cellStyle name="Header2 2 7 9 2 3" xfId="23570"/>
    <cellStyle name="Header2 2 7 9 2 4" xfId="34735"/>
    <cellStyle name="Header2 2 7 9 2 5" xfId="45928"/>
    <cellStyle name="Header2 2 7 9 3" xfId="1656"/>
    <cellStyle name="Header2 2 7 9 3 2" xfId="12853"/>
    <cellStyle name="Header2 2 7 9 3 3" xfId="24021"/>
    <cellStyle name="Header2 2 7 9 3 4" xfId="35186"/>
    <cellStyle name="Header2 2 7 9 3 5" xfId="46379"/>
    <cellStyle name="Header2 2 7 9 4" xfId="2906"/>
    <cellStyle name="Header2 2 7 9 4 2" xfId="14103"/>
    <cellStyle name="Header2 2 7 9 4 3" xfId="25271"/>
    <cellStyle name="Header2 2 7 9 4 4" xfId="36436"/>
    <cellStyle name="Header2 2 7 9 4 5" xfId="47629"/>
    <cellStyle name="Header2 2 7 9 5" xfId="3540"/>
    <cellStyle name="Header2 2 7 9 5 2" xfId="14737"/>
    <cellStyle name="Header2 2 7 9 5 3" xfId="25905"/>
    <cellStyle name="Header2 2 7 9 5 4" xfId="37070"/>
    <cellStyle name="Header2 2 7 9 5 5" xfId="48263"/>
    <cellStyle name="Header2 2 7 9 6" xfId="4174"/>
    <cellStyle name="Header2 2 7 9 6 2" xfId="15371"/>
    <cellStyle name="Header2 2 7 9 6 3" xfId="26539"/>
    <cellStyle name="Header2 2 7 9 6 4" xfId="37704"/>
    <cellStyle name="Header2 2 7 9 6 5" xfId="48897"/>
    <cellStyle name="Header2 2 7 9 7" xfId="4807"/>
    <cellStyle name="Header2 2 7 9 7 2" xfId="16004"/>
    <cellStyle name="Header2 2 7 9 7 3" xfId="27172"/>
    <cellStyle name="Header2 2 7 9 7 4" xfId="38337"/>
    <cellStyle name="Header2 2 7 9 7 5" xfId="49530"/>
    <cellStyle name="Header2 2 7 9 8" xfId="5438"/>
    <cellStyle name="Header2 2 7 9 8 2" xfId="16635"/>
    <cellStyle name="Header2 2 7 9 8 3" xfId="27803"/>
    <cellStyle name="Header2 2 7 9 8 4" xfId="38968"/>
    <cellStyle name="Header2 2 7 9 8 5" xfId="50161"/>
    <cellStyle name="Header2 2 7 9 9" xfId="6492"/>
    <cellStyle name="Header2 2 7 9 9 2" xfId="17689"/>
    <cellStyle name="Header2 2 7 9 9 3" xfId="28857"/>
    <cellStyle name="Header2 2 7 9 9 4" xfId="40022"/>
    <cellStyle name="Header2 2 7 9 9 5" xfId="51215"/>
    <cellStyle name="Header2 2 8" xfId="94"/>
    <cellStyle name="Header2 2 8 10" xfId="634"/>
    <cellStyle name="Header2 2 8 10 10" xfId="7203"/>
    <cellStyle name="Header2 2 8 10 10 2" xfId="18400"/>
    <cellStyle name="Header2 2 8 10 10 3" xfId="29568"/>
    <cellStyle name="Header2 2 8 10 10 4" xfId="40733"/>
    <cellStyle name="Header2 2 8 10 10 5" xfId="51926"/>
    <cellStyle name="Header2 2 8 10 11" xfId="7837"/>
    <cellStyle name="Header2 2 8 10 11 2" xfId="19034"/>
    <cellStyle name="Header2 2 8 10 11 3" xfId="30202"/>
    <cellStyle name="Header2 2 8 10 11 4" xfId="41367"/>
    <cellStyle name="Header2 2 8 10 11 5" xfId="52560"/>
    <cellStyle name="Header2 2 8 10 12" xfId="8471"/>
    <cellStyle name="Header2 2 8 10 12 2" xfId="19668"/>
    <cellStyle name="Header2 2 8 10 12 3" xfId="30836"/>
    <cellStyle name="Header2 2 8 10 12 4" xfId="42001"/>
    <cellStyle name="Header2 2 8 10 12 5" xfId="53194"/>
    <cellStyle name="Header2 2 8 10 13" xfId="9522"/>
    <cellStyle name="Header2 2 8 10 13 2" xfId="20719"/>
    <cellStyle name="Header2 2 8 10 13 3" xfId="31887"/>
    <cellStyle name="Header2 2 8 10 13 4" xfId="43052"/>
    <cellStyle name="Header2 2 8 10 13 5" xfId="54245"/>
    <cellStyle name="Header2 2 8 10 14" xfId="10390"/>
    <cellStyle name="Header2 2 8 10 14 2" xfId="21587"/>
    <cellStyle name="Header2 2 8 10 14 3" xfId="32755"/>
    <cellStyle name="Header2 2 8 10 14 4" xfId="43920"/>
    <cellStyle name="Header2 2 8 10 14 5" xfId="55113"/>
    <cellStyle name="Header2 2 8 10 15" xfId="11187"/>
    <cellStyle name="Header2 2 8 10 15 2" xfId="22384"/>
    <cellStyle name="Header2 2 8 10 15 3" xfId="33552"/>
    <cellStyle name="Header2 2 8 10 15 4" xfId="44717"/>
    <cellStyle name="Header2 2 8 10 15 5" xfId="55910"/>
    <cellStyle name="Header2 2 8 10 16" xfId="11834"/>
    <cellStyle name="Header2 2 8 10 17" xfId="23004"/>
    <cellStyle name="Header2 2 8 10 18" xfId="34171"/>
    <cellStyle name="Header2 2 8 10 19" xfId="45357"/>
    <cellStyle name="Header2 2 8 10 2" xfId="1283"/>
    <cellStyle name="Header2 2 8 10 2 2" xfId="12480"/>
    <cellStyle name="Header2 2 8 10 2 3" xfId="23648"/>
    <cellStyle name="Header2 2 8 10 2 4" xfId="34813"/>
    <cellStyle name="Header2 2 8 10 2 5" xfId="46006"/>
    <cellStyle name="Header2 2 8 10 3" xfId="1658"/>
    <cellStyle name="Header2 2 8 10 3 2" xfId="12855"/>
    <cellStyle name="Header2 2 8 10 3 3" xfId="24023"/>
    <cellStyle name="Header2 2 8 10 3 4" xfId="35188"/>
    <cellStyle name="Header2 2 8 10 3 5" xfId="46381"/>
    <cellStyle name="Header2 2 8 10 4" xfId="2984"/>
    <cellStyle name="Header2 2 8 10 4 2" xfId="14181"/>
    <cellStyle name="Header2 2 8 10 4 3" xfId="25349"/>
    <cellStyle name="Header2 2 8 10 4 4" xfId="36514"/>
    <cellStyle name="Header2 2 8 10 4 5" xfId="47707"/>
    <cellStyle name="Header2 2 8 10 5" xfId="3618"/>
    <cellStyle name="Header2 2 8 10 5 2" xfId="14815"/>
    <cellStyle name="Header2 2 8 10 5 3" xfId="25983"/>
    <cellStyle name="Header2 2 8 10 5 4" xfId="37148"/>
    <cellStyle name="Header2 2 8 10 5 5" xfId="48341"/>
    <cellStyle name="Header2 2 8 10 6" xfId="4252"/>
    <cellStyle name="Header2 2 8 10 6 2" xfId="15449"/>
    <cellStyle name="Header2 2 8 10 6 3" xfId="26617"/>
    <cellStyle name="Header2 2 8 10 6 4" xfId="37782"/>
    <cellStyle name="Header2 2 8 10 6 5" xfId="48975"/>
    <cellStyle name="Header2 2 8 10 7" xfId="4885"/>
    <cellStyle name="Header2 2 8 10 7 2" xfId="16082"/>
    <cellStyle name="Header2 2 8 10 7 3" xfId="27250"/>
    <cellStyle name="Header2 2 8 10 7 4" xfId="38415"/>
    <cellStyle name="Header2 2 8 10 7 5" xfId="49608"/>
    <cellStyle name="Header2 2 8 10 8" xfId="5516"/>
    <cellStyle name="Header2 2 8 10 8 2" xfId="16713"/>
    <cellStyle name="Header2 2 8 10 8 3" xfId="27881"/>
    <cellStyle name="Header2 2 8 10 8 4" xfId="39046"/>
    <cellStyle name="Header2 2 8 10 8 5" xfId="50239"/>
    <cellStyle name="Header2 2 8 10 9" xfId="6570"/>
    <cellStyle name="Header2 2 8 10 9 2" xfId="17767"/>
    <cellStyle name="Header2 2 8 10 9 3" xfId="28935"/>
    <cellStyle name="Header2 2 8 10 9 4" xfId="40100"/>
    <cellStyle name="Header2 2 8 10 9 5" xfId="51293"/>
    <cellStyle name="Header2 2 8 11" xfId="684"/>
    <cellStyle name="Header2 2 8 11 10" xfId="7253"/>
    <cellStyle name="Header2 2 8 11 10 2" xfId="18450"/>
    <cellStyle name="Header2 2 8 11 10 3" xfId="29618"/>
    <cellStyle name="Header2 2 8 11 10 4" xfId="40783"/>
    <cellStyle name="Header2 2 8 11 10 5" xfId="51976"/>
    <cellStyle name="Header2 2 8 11 11" xfId="7887"/>
    <cellStyle name="Header2 2 8 11 11 2" xfId="19084"/>
    <cellStyle name="Header2 2 8 11 11 3" xfId="30252"/>
    <cellStyle name="Header2 2 8 11 11 4" xfId="41417"/>
    <cellStyle name="Header2 2 8 11 11 5" xfId="52610"/>
    <cellStyle name="Header2 2 8 11 12" xfId="8521"/>
    <cellStyle name="Header2 2 8 11 12 2" xfId="19718"/>
    <cellStyle name="Header2 2 8 11 12 3" xfId="30886"/>
    <cellStyle name="Header2 2 8 11 12 4" xfId="42051"/>
    <cellStyle name="Header2 2 8 11 12 5" xfId="53244"/>
    <cellStyle name="Header2 2 8 11 13" xfId="9572"/>
    <cellStyle name="Header2 2 8 11 13 2" xfId="20769"/>
    <cellStyle name="Header2 2 8 11 13 3" xfId="31937"/>
    <cellStyle name="Header2 2 8 11 13 4" xfId="43102"/>
    <cellStyle name="Header2 2 8 11 13 5" xfId="54295"/>
    <cellStyle name="Header2 2 8 11 14" xfId="10596"/>
    <cellStyle name="Header2 2 8 11 14 2" xfId="21793"/>
    <cellStyle name="Header2 2 8 11 14 3" xfId="32961"/>
    <cellStyle name="Header2 2 8 11 14 4" xfId="44126"/>
    <cellStyle name="Header2 2 8 11 14 5" xfId="55319"/>
    <cellStyle name="Header2 2 8 11 15" xfId="11237"/>
    <cellStyle name="Header2 2 8 11 15 2" xfId="22434"/>
    <cellStyle name="Header2 2 8 11 15 3" xfId="33602"/>
    <cellStyle name="Header2 2 8 11 15 4" xfId="44767"/>
    <cellStyle name="Header2 2 8 11 15 5" xfId="55960"/>
    <cellStyle name="Header2 2 8 11 16" xfId="11884"/>
    <cellStyle name="Header2 2 8 11 17" xfId="23054"/>
    <cellStyle name="Header2 2 8 11 18" xfId="34221"/>
    <cellStyle name="Header2 2 8 11 19" xfId="45407"/>
    <cellStyle name="Header2 2 8 11 2" xfId="1333"/>
    <cellStyle name="Header2 2 8 11 2 2" xfId="12530"/>
    <cellStyle name="Header2 2 8 11 2 3" xfId="23698"/>
    <cellStyle name="Header2 2 8 11 2 4" xfId="34863"/>
    <cellStyle name="Header2 2 8 11 2 5" xfId="46056"/>
    <cellStyle name="Header2 2 8 11 3" xfId="1884"/>
    <cellStyle name="Header2 2 8 11 3 2" xfId="13081"/>
    <cellStyle name="Header2 2 8 11 3 3" xfId="24249"/>
    <cellStyle name="Header2 2 8 11 3 4" xfId="35414"/>
    <cellStyle name="Header2 2 8 11 3 5" xfId="46607"/>
    <cellStyle name="Header2 2 8 11 4" xfId="3034"/>
    <cellStyle name="Header2 2 8 11 4 2" xfId="14231"/>
    <cellStyle name="Header2 2 8 11 4 3" xfId="25399"/>
    <cellStyle name="Header2 2 8 11 4 4" xfId="36564"/>
    <cellStyle name="Header2 2 8 11 4 5" xfId="47757"/>
    <cellStyle name="Header2 2 8 11 5" xfId="3668"/>
    <cellStyle name="Header2 2 8 11 5 2" xfId="14865"/>
    <cellStyle name="Header2 2 8 11 5 3" xfId="26033"/>
    <cellStyle name="Header2 2 8 11 5 4" xfId="37198"/>
    <cellStyle name="Header2 2 8 11 5 5" xfId="48391"/>
    <cellStyle name="Header2 2 8 11 6" xfId="4302"/>
    <cellStyle name="Header2 2 8 11 6 2" xfId="15499"/>
    <cellStyle name="Header2 2 8 11 6 3" xfId="26667"/>
    <cellStyle name="Header2 2 8 11 6 4" xfId="37832"/>
    <cellStyle name="Header2 2 8 11 6 5" xfId="49025"/>
    <cellStyle name="Header2 2 8 11 7" xfId="4935"/>
    <cellStyle name="Header2 2 8 11 7 2" xfId="16132"/>
    <cellStyle name="Header2 2 8 11 7 3" xfId="27300"/>
    <cellStyle name="Header2 2 8 11 7 4" xfId="38465"/>
    <cellStyle name="Header2 2 8 11 7 5" xfId="49658"/>
    <cellStyle name="Header2 2 8 11 8" xfId="5566"/>
    <cellStyle name="Header2 2 8 11 8 2" xfId="16763"/>
    <cellStyle name="Header2 2 8 11 8 3" xfId="27931"/>
    <cellStyle name="Header2 2 8 11 8 4" xfId="39096"/>
    <cellStyle name="Header2 2 8 11 8 5" xfId="50289"/>
    <cellStyle name="Header2 2 8 11 9" xfId="6620"/>
    <cellStyle name="Header2 2 8 11 9 2" xfId="17817"/>
    <cellStyle name="Header2 2 8 11 9 3" xfId="28985"/>
    <cellStyle name="Header2 2 8 11 9 4" xfId="40150"/>
    <cellStyle name="Header2 2 8 11 9 5" xfId="51343"/>
    <cellStyle name="Header2 2 8 12" xfId="743"/>
    <cellStyle name="Header2 2 8 12 2" xfId="11941"/>
    <cellStyle name="Header2 2 8 12 3" xfId="23109"/>
    <cellStyle name="Header2 2 8 12 4" xfId="34274"/>
    <cellStyle name="Header2 2 8 12 5" xfId="45466"/>
    <cellStyle name="Header2 2 8 13" xfId="1729"/>
    <cellStyle name="Header2 2 8 13 2" xfId="12926"/>
    <cellStyle name="Header2 2 8 13 3" xfId="24094"/>
    <cellStyle name="Header2 2 8 13 4" xfId="35259"/>
    <cellStyle name="Header2 2 8 13 5" xfId="46452"/>
    <cellStyle name="Header2 2 8 14" xfId="2020"/>
    <cellStyle name="Header2 2 8 14 2" xfId="13217"/>
    <cellStyle name="Header2 2 8 14 3" xfId="24385"/>
    <cellStyle name="Header2 2 8 14 4" xfId="35550"/>
    <cellStyle name="Header2 2 8 14 5" xfId="46743"/>
    <cellStyle name="Header2 2 8 15" xfId="3078"/>
    <cellStyle name="Header2 2 8 15 2" xfId="14275"/>
    <cellStyle name="Header2 2 8 15 3" xfId="25443"/>
    <cellStyle name="Header2 2 8 15 4" xfId="36608"/>
    <cellStyle name="Header2 2 8 15 5" xfId="47801"/>
    <cellStyle name="Header2 2 8 16" xfId="3712"/>
    <cellStyle name="Header2 2 8 16 2" xfId="14909"/>
    <cellStyle name="Header2 2 8 16 3" xfId="26077"/>
    <cellStyle name="Header2 2 8 16 4" xfId="37242"/>
    <cellStyle name="Header2 2 8 16 5" xfId="48435"/>
    <cellStyle name="Header2 2 8 17" xfId="4345"/>
    <cellStyle name="Header2 2 8 17 2" xfId="15542"/>
    <cellStyle name="Header2 2 8 17 3" xfId="26710"/>
    <cellStyle name="Header2 2 8 17 4" xfId="37875"/>
    <cellStyle name="Header2 2 8 17 5" xfId="49068"/>
    <cellStyle name="Header2 2 8 18" xfId="4977"/>
    <cellStyle name="Header2 2 8 18 2" xfId="16174"/>
    <cellStyle name="Header2 2 8 18 3" xfId="27342"/>
    <cellStyle name="Header2 2 8 18 4" xfId="38507"/>
    <cellStyle name="Header2 2 8 18 5" xfId="49700"/>
    <cellStyle name="Header2 2 8 19" xfId="5680"/>
    <cellStyle name="Header2 2 8 19 2" xfId="16877"/>
    <cellStyle name="Header2 2 8 19 3" xfId="28045"/>
    <cellStyle name="Header2 2 8 19 4" xfId="39210"/>
    <cellStyle name="Header2 2 8 19 5" xfId="50403"/>
    <cellStyle name="Header2 2 8 2" xfId="158"/>
    <cellStyle name="Header2 2 8 2 10" xfId="6727"/>
    <cellStyle name="Header2 2 8 2 10 2" xfId="17924"/>
    <cellStyle name="Header2 2 8 2 10 3" xfId="29092"/>
    <cellStyle name="Header2 2 8 2 10 4" xfId="40257"/>
    <cellStyle name="Header2 2 8 2 10 5" xfId="51450"/>
    <cellStyle name="Header2 2 8 2 11" xfId="7361"/>
    <cellStyle name="Header2 2 8 2 11 2" xfId="18558"/>
    <cellStyle name="Header2 2 8 2 11 3" xfId="29726"/>
    <cellStyle name="Header2 2 8 2 11 4" xfId="40891"/>
    <cellStyle name="Header2 2 8 2 11 5" xfId="52084"/>
    <cellStyle name="Header2 2 8 2 12" xfId="7995"/>
    <cellStyle name="Header2 2 8 2 12 2" xfId="19192"/>
    <cellStyle name="Header2 2 8 2 12 3" xfId="30360"/>
    <cellStyle name="Header2 2 8 2 12 4" xfId="41525"/>
    <cellStyle name="Header2 2 8 2 12 5" xfId="52718"/>
    <cellStyle name="Header2 2 8 2 13" xfId="8875"/>
    <cellStyle name="Header2 2 8 2 13 2" xfId="20072"/>
    <cellStyle name="Header2 2 8 2 13 3" xfId="31240"/>
    <cellStyle name="Header2 2 8 2 13 4" xfId="42405"/>
    <cellStyle name="Header2 2 8 2 13 5" xfId="53598"/>
    <cellStyle name="Header2 2 8 2 14" xfId="10044"/>
    <cellStyle name="Header2 2 8 2 14 2" xfId="21241"/>
    <cellStyle name="Header2 2 8 2 14 3" xfId="32409"/>
    <cellStyle name="Header2 2 8 2 14 4" xfId="43574"/>
    <cellStyle name="Header2 2 8 2 14 5" xfId="54767"/>
    <cellStyle name="Header2 2 8 2 15" xfId="10711"/>
    <cellStyle name="Header2 2 8 2 15 2" xfId="21908"/>
    <cellStyle name="Header2 2 8 2 15 3" xfId="33076"/>
    <cellStyle name="Header2 2 8 2 15 4" xfId="44241"/>
    <cellStyle name="Header2 2 8 2 15 5" xfId="55434"/>
    <cellStyle name="Header2 2 8 2 16" xfId="11358"/>
    <cellStyle name="Header2 2 8 2 17" xfId="22528"/>
    <cellStyle name="Header2 2 8 2 18" xfId="33695"/>
    <cellStyle name="Header2 2 8 2 19" xfId="44881"/>
    <cellStyle name="Header2 2 8 2 2" xfId="807"/>
    <cellStyle name="Header2 2 8 2 2 2" xfId="12004"/>
    <cellStyle name="Header2 2 8 2 2 3" xfId="23172"/>
    <cellStyle name="Header2 2 8 2 2 4" xfId="34337"/>
    <cellStyle name="Header2 2 8 2 2 5" xfId="45530"/>
    <cellStyle name="Header2 2 8 2 3" xfId="1905"/>
    <cellStyle name="Header2 2 8 2 3 2" xfId="13102"/>
    <cellStyle name="Header2 2 8 2 3 3" xfId="24270"/>
    <cellStyle name="Header2 2 8 2 3 4" xfId="35435"/>
    <cellStyle name="Header2 2 8 2 3 5" xfId="46628"/>
    <cellStyle name="Header2 2 8 2 4" xfId="2254"/>
    <cellStyle name="Header2 2 8 2 4 2" xfId="13451"/>
    <cellStyle name="Header2 2 8 2 4 3" xfId="24619"/>
    <cellStyle name="Header2 2 8 2 4 4" xfId="35784"/>
    <cellStyle name="Header2 2 8 2 4 5" xfId="46977"/>
    <cellStyle name="Header2 2 8 2 5" xfId="3142"/>
    <cellStyle name="Header2 2 8 2 5 2" xfId="14339"/>
    <cellStyle name="Header2 2 8 2 5 3" xfId="25507"/>
    <cellStyle name="Header2 2 8 2 5 4" xfId="36672"/>
    <cellStyle name="Header2 2 8 2 5 5" xfId="47865"/>
    <cellStyle name="Header2 2 8 2 6" xfId="3776"/>
    <cellStyle name="Header2 2 8 2 6 2" xfId="14973"/>
    <cellStyle name="Header2 2 8 2 6 3" xfId="26141"/>
    <cellStyle name="Header2 2 8 2 6 4" xfId="37306"/>
    <cellStyle name="Header2 2 8 2 6 5" xfId="48499"/>
    <cellStyle name="Header2 2 8 2 7" xfId="4409"/>
    <cellStyle name="Header2 2 8 2 7 2" xfId="15606"/>
    <cellStyle name="Header2 2 8 2 7 3" xfId="26774"/>
    <cellStyle name="Header2 2 8 2 7 4" xfId="37939"/>
    <cellStyle name="Header2 2 8 2 7 5" xfId="49132"/>
    <cellStyle name="Header2 2 8 2 8" xfId="5040"/>
    <cellStyle name="Header2 2 8 2 8 2" xfId="16237"/>
    <cellStyle name="Header2 2 8 2 8 3" xfId="27405"/>
    <cellStyle name="Header2 2 8 2 8 4" xfId="38570"/>
    <cellStyle name="Header2 2 8 2 8 5" xfId="49763"/>
    <cellStyle name="Header2 2 8 2 9" xfId="5630"/>
    <cellStyle name="Header2 2 8 2 9 2" xfId="16827"/>
    <cellStyle name="Header2 2 8 2 9 3" xfId="27995"/>
    <cellStyle name="Header2 2 8 2 9 4" xfId="39160"/>
    <cellStyle name="Header2 2 8 2 9 5" xfId="50353"/>
    <cellStyle name="Header2 2 8 20" xfId="6664"/>
    <cellStyle name="Header2 2 8 20 2" xfId="17861"/>
    <cellStyle name="Header2 2 8 20 3" xfId="29029"/>
    <cellStyle name="Header2 2 8 20 4" xfId="40194"/>
    <cellStyle name="Header2 2 8 20 5" xfId="51387"/>
    <cellStyle name="Header2 2 8 21" xfId="7297"/>
    <cellStyle name="Header2 2 8 21 2" xfId="18494"/>
    <cellStyle name="Header2 2 8 21 3" xfId="29662"/>
    <cellStyle name="Header2 2 8 21 4" xfId="40827"/>
    <cellStyle name="Header2 2 8 21 5" xfId="52020"/>
    <cellStyle name="Header2 2 8 22" xfId="7931"/>
    <cellStyle name="Header2 2 8 22 2" xfId="19128"/>
    <cellStyle name="Header2 2 8 22 3" xfId="30296"/>
    <cellStyle name="Header2 2 8 22 4" xfId="41461"/>
    <cellStyle name="Header2 2 8 22 5" xfId="52654"/>
    <cellStyle name="Header2 2 8 23" xfId="8626"/>
    <cellStyle name="Header2 2 8 23 2" xfId="19823"/>
    <cellStyle name="Header2 2 8 23 3" xfId="30991"/>
    <cellStyle name="Header2 2 8 23 4" xfId="42156"/>
    <cellStyle name="Header2 2 8 23 5" xfId="53349"/>
    <cellStyle name="Header2 2 8 24" xfId="10586"/>
    <cellStyle name="Header2 2 8 24 2" xfId="21783"/>
    <cellStyle name="Header2 2 8 24 3" xfId="32951"/>
    <cellStyle name="Header2 2 8 24 4" xfId="44116"/>
    <cellStyle name="Header2 2 8 24 5" xfId="55309"/>
    <cellStyle name="Header2 2 8 25" xfId="10648"/>
    <cellStyle name="Header2 2 8 25 2" xfId="21845"/>
    <cellStyle name="Header2 2 8 25 3" xfId="33013"/>
    <cellStyle name="Header2 2 8 25 4" xfId="44178"/>
    <cellStyle name="Header2 2 8 25 5" xfId="55371"/>
    <cellStyle name="Header2 2 8 26" xfId="11295"/>
    <cellStyle name="Header2 2 8 27" xfId="22465"/>
    <cellStyle name="Header2 2 8 28" xfId="33632"/>
    <cellStyle name="Header2 2 8 29" xfId="44817"/>
    <cellStyle name="Header2 2 8 3" xfId="214"/>
    <cellStyle name="Header2 2 8 3 10" xfId="6783"/>
    <cellStyle name="Header2 2 8 3 10 2" xfId="17980"/>
    <cellStyle name="Header2 2 8 3 10 3" xfId="29148"/>
    <cellStyle name="Header2 2 8 3 10 4" xfId="40313"/>
    <cellStyle name="Header2 2 8 3 10 5" xfId="51506"/>
    <cellStyle name="Header2 2 8 3 11" xfId="7417"/>
    <cellStyle name="Header2 2 8 3 11 2" xfId="18614"/>
    <cellStyle name="Header2 2 8 3 11 3" xfId="29782"/>
    <cellStyle name="Header2 2 8 3 11 4" xfId="40947"/>
    <cellStyle name="Header2 2 8 3 11 5" xfId="52140"/>
    <cellStyle name="Header2 2 8 3 12" xfId="8051"/>
    <cellStyle name="Header2 2 8 3 12 2" xfId="19248"/>
    <cellStyle name="Header2 2 8 3 12 3" xfId="30416"/>
    <cellStyle name="Header2 2 8 3 12 4" xfId="41581"/>
    <cellStyle name="Header2 2 8 3 12 5" xfId="52774"/>
    <cellStyle name="Header2 2 8 3 13" xfId="8761"/>
    <cellStyle name="Header2 2 8 3 13 2" xfId="19958"/>
    <cellStyle name="Header2 2 8 3 13 3" xfId="31126"/>
    <cellStyle name="Header2 2 8 3 13 4" xfId="42291"/>
    <cellStyle name="Header2 2 8 3 13 5" xfId="53484"/>
    <cellStyle name="Header2 2 8 3 14" xfId="10587"/>
    <cellStyle name="Header2 2 8 3 14 2" xfId="21784"/>
    <cellStyle name="Header2 2 8 3 14 3" xfId="32952"/>
    <cellStyle name="Header2 2 8 3 14 4" xfId="44117"/>
    <cellStyle name="Header2 2 8 3 14 5" xfId="55310"/>
    <cellStyle name="Header2 2 8 3 15" xfId="10767"/>
    <cellStyle name="Header2 2 8 3 15 2" xfId="21964"/>
    <cellStyle name="Header2 2 8 3 15 3" xfId="33132"/>
    <cellStyle name="Header2 2 8 3 15 4" xfId="44297"/>
    <cellStyle name="Header2 2 8 3 15 5" xfId="55490"/>
    <cellStyle name="Header2 2 8 3 16" xfId="11414"/>
    <cellStyle name="Header2 2 8 3 17" xfId="22584"/>
    <cellStyle name="Header2 2 8 3 18" xfId="33751"/>
    <cellStyle name="Header2 2 8 3 19" xfId="44937"/>
    <cellStyle name="Header2 2 8 3 2" xfId="863"/>
    <cellStyle name="Header2 2 8 3 2 2" xfId="12060"/>
    <cellStyle name="Header2 2 8 3 2 3" xfId="23228"/>
    <cellStyle name="Header2 2 8 3 2 4" xfId="34393"/>
    <cellStyle name="Header2 2 8 3 2 5" xfId="45586"/>
    <cellStyle name="Header2 2 8 3 3" xfId="1880"/>
    <cellStyle name="Header2 2 8 3 3 2" xfId="13077"/>
    <cellStyle name="Header2 2 8 3 3 3" xfId="24245"/>
    <cellStyle name="Header2 2 8 3 3 4" xfId="35410"/>
    <cellStyle name="Header2 2 8 3 3 5" xfId="46603"/>
    <cellStyle name="Header2 2 8 3 4" xfId="2609"/>
    <cellStyle name="Header2 2 8 3 4 2" xfId="13806"/>
    <cellStyle name="Header2 2 8 3 4 3" xfId="24974"/>
    <cellStyle name="Header2 2 8 3 4 4" xfId="36139"/>
    <cellStyle name="Header2 2 8 3 4 5" xfId="47332"/>
    <cellStyle name="Header2 2 8 3 5" xfId="3198"/>
    <cellStyle name="Header2 2 8 3 5 2" xfId="14395"/>
    <cellStyle name="Header2 2 8 3 5 3" xfId="25563"/>
    <cellStyle name="Header2 2 8 3 5 4" xfId="36728"/>
    <cellStyle name="Header2 2 8 3 5 5" xfId="47921"/>
    <cellStyle name="Header2 2 8 3 6" xfId="3832"/>
    <cellStyle name="Header2 2 8 3 6 2" xfId="15029"/>
    <cellStyle name="Header2 2 8 3 6 3" xfId="26197"/>
    <cellStyle name="Header2 2 8 3 6 4" xfId="37362"/>
    <cellStyle name="Header2 2 8 3 6 5" xfId="48555"/>
    <cellStyle name="Header2 2 8 3 7" xfId="4465"/>
    <cellStyle name="Header2 2 8 3 7 2" xfId="15662"/>
    <cellStyle name="Header2 2 8 3 7 3" xfId="26830"/>
    <cellStyle name="Header2 2 8 3 7 4" xfId="37995"/>
    <cellStyle name="Header2 2 8 3 7 5" xfId="49188"/>
    <cellStyle name="Header2 2 8 3 8" xfId="5096"/>
    <cellStyle name="Header2 2 8 3 8 2" xfId="16293"/>
    <cellStyle name="Header2 2 8 3 8 3" xfId="27461"/>
    <cellStyle name="Header2 2 8 3 8 4" xfId="38626"/>
    <cellStyle name="Header2 2 8 3 8 5" xfId="49819"/>
    <cellStyle name="Header2 2 8 3 9" xfId="5709"/>
    <cellStyle name="Header2 2 8 3 9 2" xfId="16906"/>
    <cellStyle name="Header2 2 8 3 9 3" xfId="28074"/>
    <cellStyle name="Header2 2 8 3 9 4" xfId="39239"/>
    <cellStyle name="Header2 2 8 3 9 5" xfId="50432"/>
    <cellStyle name="Header2 2 8 4" xfId="259"/>
    <cellStyle name="Header2 2 8 4 10" xfId="6828"/>
    <cellStyle name="Header2 2 8 4 10 2" xfId="18025"/>
    <cellStyle name="Header2 2 8 4 10 3" xfId="29193"/>
    <cellStyle name="Header2 2 8 4 10 4" xfId="40358"/>
    <cellStyle name="Header2 2 8 4 10 5" xfId="51551"/>
    <cellStyle name="Header2 2 8 4 11" xfId="7462"/>
    <cellStyle name="Header2 2 8 4 11 2" xfId="18659"/>
    <cellStyle name="Header2 2 8 4 11 3" xfId="29827"/>
    <cellStyle name="Header2 2 8 4 11 4" xfId="40992"/>
    <cellStyle name="Header2 2 8 4 11 5" xfId="52185"/>
    <cellStyle name="Header2 2 8 4 12" xfId="8096"/>
    <cellStyle name="Header2 2 8 4 12 2" xfId="19293"/>
    <cellStyle name="Header2 2 8 4 12 3" xfId="30461"/>
    <cellStyle name="Header2 2 8 4 12 4" xfId="41626"/>
    <cellStyle name="Header2 2 8 4 12 5" xfId="52819"/>
    <cellStyle name="Header2 2 8 4 13" xfId="8688"/>
    <cellStyle name="Header2 2 8 4 13 2" xfId="19885"/>
    <cellStyle name="Header2 2 8 4 13 3" xfId="31053"/>
    <cellStyle name="Header2 2 8 4 13 4" xfId="42218"/>
    <cellStyle name="Header2 2 8 4 13 5" xfId="53411"/>
    <cellStyle name="Header2 2 8 4 14" xfId="10610"/>
    <cellStyle name="Header2 2 8 4 14 2" xfId="21807"/>
    <cellStyle name="Header2 2 8 4 14 3" xfId="32975"/>
    <cellStyle name="Header2 2 8 4 14 4" xfId="44140"/>
    <cellStyle name="Header2 2 8 4 14 5" xfId="55333"/>
    <cellStyle name="Header2 2 8 4 15" xfId="10812"/>
    <cellStyle name="Header2 2 8 4 15 2" xfId="22009"/>
    <cellStyle name="Header2 2 8 4 15 3" xfId="33177"/>
    <cellStyle name="Header2 2 8 4 15 4" xfId="44342"/>
    <cellStyle name="Header2 2 8 4 15 5" xfId="55535"/>
    <cellStyle name="Header2 2 8 4 16" xfId="11459"/>
    <cellStyle name="Header2 2 8 4 17" xfId="22629"/>
    <cellStyle name="Header2 2 8 4 18" xfId="33796"/>
    <cellStyle name="Header2 2 8 4 19" xfId="44982"/>
    <cellStyle name="Header2 2 8 4 2" xfId="908"/>
    <cellStyle name="Header2 2 8 4 2 2" xfId="12105"/>
    <cellStyle name="Header2 2 8 4 2 3" xfId="23273"/>
    <cellStyle name="Header2 2 8 4 2 4" xfId="34438"/>
    <cellStyle name="Header2 2 8 4 2 5" xfId="45631"/>
    <cellStyle name="Header2 2 8 4 3" xfId="1896"/>
    <cellStyle name="Header2 2 8 4 3 2" xfId="13093"/>
    <cellStyle name="Header2 2 8 4 3 3" xfId="24261"/>
    <cellStyle name="Header2 2 8 4 3 4" xfId="35426"/>
    <cellStyle name="Header2 2 8 4 3 5" xfId="46619"/>
    <cellStyle name="Header2 2 8 4 4" xfId="2526"/>
    <cellStyle name="Header2 2 8 4 4 2" xfId="13723"/>
    <cellStyle name="Header2 2 8 4 4 3" xfId="24891"/>
    <cellStyle name="Header2 2 8 4 4 4" xfId="36056"/>
    <cellStyle name="Header2 2 8 4 4 5" xfId="47249"/>
    <cellStyle name="Header2 2 8 4 5" xfId="3243"/>
    <cellStyle name="Header2 2 8 4 5 2" xfId="14440"/>
    <cellStyle name="Header2 2 8 4 5 3" xfId="25608"/>
    <cellStyle name="Header2 2 8 4 5 4" xfId="36773"/>
    <cellStyle name="Header2 2 8 4 5 5" xfId="47966"/>
    <cellStyle name="Header2 2 8 4 6" xfId="3877"/>
    <cellStyle name="Header2 2 8 4 6 2" xfId="15074"/>
    <cellStyle name="Header2 2 8 4 6 3" xfId="26242"/>
    <cellStyle name="Header2 2 8 4 6 4" xfId="37407"/>
    <cellStyle name="Header2 2 8 4 6 5" xfId="48600"/>
    <cellStyle name="Header2 2 8 4 7" xfId="4510"/>
    <cellStyle name="Header2 2 8 4 7 2" xfId="15707"/>
    <cellStyle name="Header2 2 8 4 7 3" xfId="26875"/>
    <cellStyle name="Header2 2 8 4 7 4" xfId="38040"/>
    <cellStyle name="Header2 2 8 4 7 5" xfId="49233"/>
    <cellStyle name="Header2 2 8 4 8" xfId="5141"/>
    <cellStyle name="Header2 2 8 4 8 2" xfId="16338"/>
    <cellStyle name="Header2 2 8 4 8 3" xfId="27506"/>
    <cellStyle name="Header2 2 8 4 8 4" xfId="38671"/>
    <cellStyle name="Header2 2 8 4 8 5" xfId="49864"/>
    <cellStyle name="Header2 2 8 4 9" xfId="5936"/>
    <cellStyle name="Header2 2 8 4 9 2" xfId="17133"/>
    <cellStyle name="Header2 2 8 4 9 3" xfId="28301"/>
    <cellStyle name="Header2 2 8 4 9 4" xfId="39466"/>
    <cellStyle name="Header2 2 8 4 9 5" xfId="50659"/>
    <cellStyle name="Header2 2 8 5" xfId="340"/>
    <cellStyle name="Header2 2 8 5 10" xfId="6909"/>
    <cellStyle name="Header2 2 8 5 10 2" xfId="18106"/>
    <cellStyle name="Header2 2 8 5 10 3" xfId="29274"/>
    <cellStyle name="Header2 2 8 5 10 4" xfId="40439"/>
    <cellStyle name="Header2 2 8 5 10 5" xfId="51632"/>
    <cellStyle name="Header2 2 8 5 11" xfId="7543"/>
    <cellStyle name="Header2 2 8 5 11 2" xfId="18740"/>
    <cellStyle name="Header2 2 8 5 11 3" xfId="29908"/>
    <cellStyle name="Header2 2 8 5 11 4" xfId="41073"/>
    <cellStyle name="Header2 2 8 5 11 5" xfId="52266"/>
    <cellStyle name="Header2 2 8 5 12" xfId="8177"/>
    <cellStyle name="Header2 2 8 5 12 2" xfId="19374"/>
    <cellStyle name="Header2 2 8 5 12 3" xfId="30542"/>
    <cellStyle name="Header2 2 8 5 12 4" xfId="41707"/>
    <cellStyle name="Header2 2 8 5 12 5" xfId="52900"/>
    <cellStyle name="Header2 2 8 5 13" xfId="9228"/>
    <cellStyle name="Header2 2 8 5 13 2" xfId="20425"/>
    <cellStyle name="Header2 2 8 5 13 3" xfId="31593"/>
    <cellStyle name="Header2 2 8 5 13 4" xfId="42758"/>
    <cellStyle name="Header2 2 8 5 13 5" xfId="53951"/>
    <cellStyle name="Header2 2 8 5 14" xfId="10523"/>
    <cellStyle name="Header2 2 8 5 14 2" xfId="21720"/>
    <cellStyle name="Header2 2 8 5 14 3" xfId="32888"/>
    <cellStyle name="Header2 2 8 5 14 4" xfId="44053"/>
    <cellStyle name="Header2 2 8 5 14 5" xfId="55246"/>
    <cellStyle name="Header2 2 8 5 15" xfId="10893"/>
    <cellStyle name="Header2 2 8 5 15 2" xfId="22090"/>
    <cellStyle name="Header2 2 8 5 15 3" xfId="33258"/>
    <cellStyle name="Header2 2 8 5 15 4" xfId="44423"/>
    <cellStyle name="Header2 2 8 5 15 5" xfId="55616"/>
    <cellStyle name="Header2 2 8 5 16" xfId="11540"/>
    <cellStyle name="Header2 2 8 5 17" xfId="22710"/>
    <cellStyle name="Header2 2 8 5 18" xfId="33877"/>
    <cellStyle name="Header2 2 8 5 19" xfId="45063"/>
    <cellStyle name="Header2 2 8 5 2" xfId="989"/>
    <cellStyle name="Header2 2 8 5 2 2" xfId="12186"/>
    <cellStyle name="Header2 2 8 5 2 3" xfId="23354"/>
    <cellStyle name="Header2 2 8 5 2 4" xfId="34519"/>
    <cellStyle name="Header2 2 8 5 2 5" xfId="45712"/>
    <cellStyle name="Header2 2 8 5 3" xfId="1820"/>
    <cellStyle name="Header2 2 8 5 3 2" xfId="13017"/>
    <cellStyle name="Header2 2 8 5 3 3" xfId="24185"/>
    <cellStyle name="Header2 2 8 5 3 4" xfId="35350"/>
    <cellStyle name="Header2 2 8 5 3 5" xfId="46543"/>
    <cellStyle name="Header2 2 8 5 4" xfId="2690"/>
    <cellStyle name="Header2 2 8 5 4 2" xfId="13887"/>
    <cellStyle name="Header2 2 8 5 4 3" xfId="25055"/>
    <cellStyle name="Header2 2 8 5 4 4" xfId="36220"/>
    <cellStyle name="Header2 2 8 5 4 5" xfId="47413"/>
    <cellStyle name="Header2 2 8 5 5" xfId="3324"/>
    <cellStyle name="Header2 2 8 5 5 2" xfId="14521"/>
    <cellStyle name="Header2 2 8 5 5 3" xfId="25689"/>
    <cellStyle name="Header2 2 8 5 5 4" xfId="36854"/>
    <cellStyle name="Header2 2 8 5 5 5" xfId="48047"/>
    <cellStyle name="Header2 2 8 5 6" xfId="3958"/>
    <cellStyle name="Header2 2 8 5 6 2" xfId="15155"/>
    <cellStyle name="Header2 2 8 5 6 3" xfId="26323"/>
    <cellStyle name="Header2 2 8 5 6 4" xfId="37488"/>
    <cellStyle name="Header2 2 8 5 6 5" xfId="48681"/>
    <cellStyle name="Header2 2 8 5 7" xfId="4591"/>
    <cellStyle name="Header2 2 8 5 7 2" xfId="15788"/>
    <cellStyle name="Header2 2 8 5 7 3" xfId="26956"/>
    <cellStyle name="Header2 2 8 5 7 4" xfId="38121"/>
    <cellStyle name="Header2 2 8 5 7 5" xfId="49314"/>
    <cellStyle name="Header2 2 8 5 8" xfId="5222"/>
    <cellStyle name="Header2 2 8 5 8 2" xfId="16419"/>
    <cellStyle name="Header2 2 8 5 8 3" xfId="27587"/>
    <cellStyle name="Header2 2 8 5 8 4" xfId="38752"/>
    <cellStyle name="Header2 2 8 5 8 5" xfId="49945"/>
    <cellStyle name="Header2 2 8 5 9" xfId="6276"/>
    <cellStyle name="Header2 2 8 5 9 2" xfId="17473"/>
    <cellStyle name="Header2 2 8 5 9 3" xfId="28641"/>
    <cellStyle name="Header2 2 8 5 9 4" xfId="39806"/>
    <cellStyle name="Header2 2 8 5 9 5" xfId="50999"/>
    <cellStyle name="Header2 2 8 6" xfId="392"/>
    <cellStyle name="Header2 2 8 6 10" xfId="6961"/>
    <cellStyle name="Header2 2 8 6 10 2" xfId="18158"/>
    <cellStyle name="Header2 2 8 6 10 3" xfId="29326"/>
    <cellStyle name="Header2 2 8 6 10 4" xfId="40491"/>
    <cellStyle name="Header2 2 8 6 10 5" xfId="51684"/>
    <cellStyle name="Header2 2 8 6 11" xfId="7595"/>
    <cellStyle name="Header2 2 8 6 11 2" xfId="18792"/>
    <cellStyle name="Header2 2 8 6 11 3" xfId="29960"/>
    <cellStyle name="Header2 2 8 6 11 4" xfId="41125"/>
    <cellStyle name="Header2 2 8 6 11 5" xfId="52318"/>
    <cellStyle name="Header2 2 8 6 12" xfId="8229"/>
    <cellStyle name="Header2 2 8 6 12 2" xfId="19426"/>
    <cellStyle name="Header2 2 8 6 12 3" xfId="30594"/>
    <cellStyle name="Header2 2 8 6 12 4" xfId="41759"/>
    <cellStyle name="Header2 2 8 6 12 5" xfId="52952"/>
    <cellStyle name="Header2 2 8 6 13" xfId="9280"/>
    <cellStyle name="Header2 2 8 6 13 2" xfId="20477"/>
    <cellStyle name="Header2 2 8 6 13 3" xfId="31645"/>
    <cellStyle name="Header2 2 8 6 13 4" xfId="42810"/>
    <cellStyle name="Header2 2 8 6 13 5" xfId="54003"/>
    <cellStyle name="Header2 2 8 6 14" xfId="10601"/>
    <cellStyle name="Header2 2 8 6 14 2" xfId="21798"/>
    <cellStyle name="Header2 2 8 6 14 3" xfId="32966"/>
    <cellStyle name="Header2 2 8 6 14 4" xfId="44131"/>
    <cellStyle name="Header2 2 8 6 14 5" xfId="55324"/>
    <cellStyle name="Header2 2 8 6 15" xfId="10945"/>
    <cellStyle name="Header2 2 8 6 15 2" xfId="22142"/>
    <cellStyle name="Header2 2 8 6 15 3" xfId="33310"/>
    <cellStyle name="Header2 2 8 6 15 4" xfId="44475"/>
    <cellStyle name="Header2 2 8 6 15 5" xfId="55668"/>
    <cellStyle name="Header2 2 8 6 16" xfId="11592"/>
    <cellStyle name="Header2 2 8 6 17" xfId="22762"/>
    <cellStyle name="Header2 2 8 6 18" xfId="33929"/>
    <cellStyle name="Header2 2 8 6 19" xfId="45115"/>
    <cellStyle name="Header2 2 8 6 2" xfId="1041"/>
    <cellStyle name="Header2 2 8 6 2 2" xfId="12238"/>
    <cellStyle name="Header2 2 8 6 2 3" xfId="23406"/>
    <cellStyle name="Header2 2 8 6 2 4" xfId="34571"/>
    <cellStyle name="Header2 2 8 6 2 5" xfId="45764"/>
    <cellStyle name="Header2 2 8 6 3" xfId="1902"/>
    <cellStyle name="Header2 2 8 6 3 2" xfId="13099"/>
    <cellStyle name="Header2 2 8 6 3 3" xfId="24267"/>
    <cellStyle name="Header2 2 8 6 3 4" xfId="35432"/>
    <cellStyle name="Header2 2 8 6 3 5" xfId="46625"/>
    <cellStyle name="Header2 2 8 6 4" xfId="2742"/>
    <cellStyle name="Header2 2 8 6 4 2" xfId="13939"/>
    <cellStyle name="Header2 2 8 6 4 3" xfId="25107"/>
    <cellStyle name="Header2 2 8 6 4 4" xfId="36272"/>
    <cellStyle name="Header2 2 8 6 4 5" xfId="47465"/>
    <cellStyle name="Header2 2 8 6 5" xfId="3376"/>
    <cellStyle name="Header2 2 8 6 5 2" xfId="14573"/>
    <cellStyle name="Header2 2 8 6 5 3" xfId="25741"/>
    <cellStyle name="Header2 2 8 6 5 4" xfId="36906"/>
    <cellStyle name="Header2 2 8 6 5 5" xfId="48099"/>
    <cellStyle name="Header2 2 8 6 6" xfId="4010"/>
    <cellStyle name="Header2 2 8 6 6 2" xfId="15207"/>
    <cellStyle name="Header2 2 8 6 6 3" xfId="26375"/>
    <cellStyle name="Header2 2 8 6 6 4" xfId="37540"/>
    <cellStyle name="Header2 2 8 6 6 5" xfId="48733"/>
    <cellStyle name="Header2 2 8 6 7" xfId="4643"/>
    <cellStyle name="Header2 2 8 6 7 2" xfId="15840"/>
    <cellStyle name="Header2 2 8 6 7 3" xfId="27008"/>
    <cellStyle name="Header2 2 8 6 7 4" xfId="38173"/>
    <cellStyle name="Header2 2 8 6 7 5" xfId="49366"/>
    <cellStyle name="Header2 2 8 6 8" xfId="5274"/>
    <cellStyle name="Header2 2 8 6 8 2" xfId="16471"/>
    <cellStyle name="Header2 2 8 6 8 3" xfId="27639"/>
    <cellStyle name="Header2 2 8 6 8 4" xfId="38804"/>
    <cellStyle name="Header2 2 8 6 8 5" xfId="49997"/>
    <cellStyle name="Header2 2 8 6 9" xfId="6328"/>
    <cellStyle name="Header2 2 8 6 9 2" xfId="17525"/>
    <cellStyle name="Header2 2 8 6 9 3" xfId="28693"/>
    <cellStyle name="Header2 2 8 6 9 4" xfId="39858"/>
    <cellStyle name="Header2 2 8 6 9 5" xfId="51051"/>
    <cellStyle name="Header2 2 8 7" xfId="468"/>
    <cellStyle name="Header2 2 8 7 10" xfId="7037"/>
    <cellStyle name="Header2 2 8 7 10 2" xfId="18234"/>
    <cellStyle name="Header2 2 8 7 10 3" xfId="29402"/>
    <cellStyle name="Header2 2 8 7 10 4" xfId="40567"/>
    <cellStyle name="Header2 2 8 7 10 5" xfId="51760"/>
    <cellStyle name="Header2 2 8 7 11" xfId="7671"/>
    <cellStyle name="Header2 2 8 7 11 2" xfId="18868"/>
    <cellStyle name="Header2 2 8 7 11 3" xfId="30036"/>
    <cellStyle name="Header2 2 8 7 11 4" xfId="41201"/>
    <cellStyle name="Header2 2 8 7 11 5" xfId="52394"/>
    <cellStyle name="Header2 2 8 7 12" xfId="8305"/>
    <cellStyle name="Header2 2 8 7 12 2" xfId="19502"/>
    <cellStyle name="Header2 2 8 7 12 3" xfId="30670"/>
    <cellStyle name="Header2 2 8 7 12 4" xfId="41835"/>
    <cellStyle name="Header2 2 8 7 12 5" xfId="53028"/>
    <cellStyle name="Header2 2 8 7 13" xfId="9356"/>
    <cellStyle name="Header2 2 8 7 13 2" xfId="20553"/>
    <cellStyle name="Header2 2 8 7 13 3" xfId="31721"/>
    <cellStyle name="Header2 2 8 7 13 4" xfId="42886"/>
    <cellStyle name="Header2 2 8 7 13 5" xfId="54079"/>
    <cellStyle name="Header2 2 8 7 14" xfId="9795"/>
    <cellStyle name="Header2 2 8 7 14 2" xfId="20992"/>
    <cellStyle name="Header2 2 8 7 14 3" xfId="32160"/>
    <cellStyle name="Header2 2 8 7 14 4" xfId="43325"/>
    <cellStyle name="Header2 2 8 7 14 5" xfId="54518"/>
    <cellStyle name="Header2 2 8 7 15" xfId="11021"/>
    <cellStyle name="Header2 2 8 7 15 2" xfId="22218"/>
    <cellStyle name="Header2 2 8 7 15 3" xfId="33386"/>
    <cellStyle name="Header2 2 8 7 15 4" xfId="44551"/>
    <cellStyle name="Header2 2 8 7 15 5" xfId="55744"/>
    <cellStyle name="Header2 2 8 7 16" xfId="11668"/>
    <cellStyle name="Header2 2 8 7 17" xfId="22838"/>
    <cellStyle name="Header2 2 8 7 18" xfId="34005"/>
    <cellStyle name="Header2 2 8 7 19" xfId="45191"/>
    <cellStyle name="Header2 2 8 7 2" xfId="1117"/>
    <cellStyle name="Header2 2 8 7 2 2" xfId="12314"/>
    <cellStyle name="Header2 2 8 7 2 3" xfId="23482"/>
    <cellStyle name="Header2 2 8 7 2 4" xfId="34647"/>
    <cellStyle name="Header2 2 8 7 2 5" xfId="45840"/>
    <cellStyle name="Header2 2 8 7 3" xfId="1956"/>
    <cellStyle name="Header2 2 8 7 3 2" xfId="13153"/>
    <cellStyle name="Header2 2 8 7 3 3" xfId="24321"/>
    <cellStyle name="Header2 2 8 7 3 4" xfId="35486"/>
    <cellStyle name="Header2 2 8 7 3 5" xfId="46679"/>
    <cellStyle name="Header2 2 8 7 4" xfId="2818"/>
    <cellStyle name="Header2 2 8 7 4 2" xfId="14015"/>
    <cellStyle name="Header2 2 8 7 4 3" xfId="25183"/>
    <cellStyle name="Header2 2 8 7 4 4" xfId="36348"/>
    <cellStyle name="Header2 2 8 7 4 5" xfId="47541"/>
    <cellStyle name="Header2 2 8 7 5" xfId="3452"/>
    <cellStyle name="Header2 2 8 7 5 2" xfId="14649"/>
    <cellStyle name="Header2 2 8 7 5 3" xfId="25817"/>
    <cellStyle name="Header2 2 8 7 5 4" xfId="36982"/>
    <cellStyle name="Header2 2 8 7 5 5" xfId="48175"/>
    <cellStyle name="Header2 2 8 7 6" xfId="4086"/>
    <cellStyle name="Header2 2 8 7 6 2" xfId="15283"/>
    <cellStyle name="Header2 2 8 7 6 3" xfId="26451"/>
    <cellStyle name="Header2 2 8 7 6 4" xfId="37616"/>
    <cellStyle name="Header2 2 8 7 6 5" xfId="48809"/>
    <cellStyle name="Header2 2 8 7 7" xfId="4719"/>
    <cellStyle name="Header2 2 8 7 7 2" xfId="15916"/>
    <cellStyle name="Header2 2 8 7 7 3" xfId="27084"/>
    <cellStyle name="Header2 2 8 7 7 4" xfId="38249"/>
    <cellStyle name="Header2 2 8 7 7 5" xfId="49442"/>
    <cellStyle name="Header2 2 8 7 8" xfId="5350"/>
    <cellStyle name="Header2 2 8 7 8 2" xfId="16547"/>
    <cellStyle name="Header2 2 8 7 8 3" xfId="27715"/>
    <cellStyle name="Header2 2 8 7 8 4" xfId="38880"/>
    <cellStyle name="Header2 2 8 7 8 5" xfId="50073"/>
    <cellStyle name="Header2 2 8 7 9" xfId="6404"/>
    <cellStyle name="Header2 2 8 7 9 2" xfId="17601"/>
    <cellStyle name="Header2 2 8 7 9 3" xfId="28769"/>
    <cellStyle name="Header2 2 8 7 9 4" xfId="39934"/>
    <cellStyle name="Header2 2 8 7 9 5" xfId="51127"/>
    <cellStyle name="Header2 2 8 8" xfId="503"/>
    <cellStyle name="Header2 2 8 8 10" xfId="7072"/>
    <cellStyle name="Header2 2 8 8 10 2" xfId="18269"/>
    <cellStyle name="Header2 2 8 8 10 3" xfId="29437"/>
    <cellStyle name="Header2 2 8 8 10 4" xfId="40602"/>
    <cellStyle name="Header2 2 8 8 10 5" xfId="51795"/>
    <cellStyle name="Header2 2 8 8 11" xfId="7706"/>
    <cellStyle name="Header2 2 8 8 11 2" xfId="18903"/>
    <cellStyle name="Header2 2 8 8 11 3" xfId="30071"/>
    <cellStyle name="Header2 2 8 8 11 4" xfId="41236"/>
    <cellStyle name="Header2 2 8 8 11 5" xfId="52429"/>
    <cellStyle name="Header2 2 8 8 12" xfId="8340"/>
    <cellStyle name="Header2 2 8 8 12 2" xfId="19537"/>
    <cellStyle name="Header2 2 8 8 12 3" xfId="30705"/>
    <cellStyle name="Header2 2 8 8 12 4" xfId="41870"/>
    <cellStyle name="Header2 2 8 8 12 5" xfId="53063"/>
    <cellStyle name="Header2 2 8 8 13" xfId="9391"/>
    <cellStyle name="Header2 2 8 8 13 2" xfId="20588"/>
    <cellStyle name="Header2 2 8 8 13 3" xfId="31756"/>
    <cellStyle name="Header2 2 8 8 13 4" xfId="42921"/>
    <cellStyle name="Header2 2 8 8 13 5" xfId="54114"/>
    <cellStyle name="Header2 2 8 8 14" xfId="10261"/>
    <cellStyle name="Header2 2 8 8 14 2" xfId="21458"/>
    <cellStyle name="Header2 2 8 8 14 3" xfId="32626"/>
    <cellStyle name="Header2 2 8 8 14 4" xfId="43791"/>
    <cellStyle name="Header2 2 8 8 14 5" xfId="54984"/>
    <cellStyle name="Header2 2 8 8 15" xfId="11056"/>
    <cellStyle name="Header2 2 8 8 15 2" xfId="22253"/>
    <cellStyle name="Header2 2 8 8 15 3" xfId="33421"/>
    <cellStyle name="Header2 2 8 8 15 4" xfId="44586"/>
    <cellStyle name="Header2 2 8 8 15 5" xfId="55779"/>
    <cellStyle name="Header2 2 8 8 16" xfId="11703"/>
    <cellStyle name="Header2 2 8 8 17" xfId="22873"/>
    <cellStyle name="Header2 2 8 8 18" xfId="34040"/>
    <cellStyle name="Header2 2 8 8 19" xfId="45226"/>
    <cellStyle name="Header2 2 8 8 2" xfId="1152"/>
    <cellStyle name="Header2 2 8 8 2 2" xfId="12349"/>
    <cellStyle name="Header2 2 8 8 2 3" xfId="23517"/>
    <cellStyle name="Header2 2 8 8 2 4" xfId="34682"/>
    <cellStyle name="Header2 2 8 8 2 5" xfId="45875"/>
    <cellStyle name="Header2 2 8 8 3" xfId="1575"/>
    <cellStyle name="Header2 2 8 8 3 2" xfId="12772"/>
    <cellStyle name="Header2 2 8 8 3 3" xfId="23940"/>
    <cellStyle name="Header2 2 8 8 3 4" xfId="35105"/>
    <cellStyle name="Header2 2 8 8 3 5" xfId="46298"/>
    <cellStyle name="Header2 2 8 8 4" xfId="2853"/>
    <cellStyle name="Header2 2 8 8 4 2" xfId="14050"/>
    <cellStyle name="Header2 2 8 8 4 3" xfId="25218"/>
    <cellStyle name="Header2 2 8 8 4 4" xfId="36383"/>
    <cellStyle name="Header2 2 8 8 4 5" xfId="47576"/>
    <cellStyle name="Header2 2 8 8 5" xfId="3487"/>
    <cellStyle name="Header2 2 8 8 5 2" xfId="14684"/>
    <cellStyle name="Header2 2 8 8 5 3" xfId="25852"/>
    <cellStyle name="Header2 2 8 8 5 4" xfId="37017"/>
    <cellStyle name="Header2 2 8 8 5 5" xfId="48210"/>
    <cellStyle name="Header2 2 8 8 6" xfId="4121"/>
    <cellStyle name="Header2 2 8 8 6 2" xfId="15318"/>
    <cellStyle name="Header2 2 8 8 6 3" xfId="26486"/>
    <cellStyle name="Header2 2 8 8 6 4" xfId="37651"/>
    <cellStyle name="Header2 2 8 8 6 5" xfId="48844"/>
    <cellStyle name="Header2 2 8 8 7" xfId="4754"/>
    <cellStyle name="Header2 2 8 8 7 2" xfId="15951"/>
    <cellStyle name="Header2 2 8 8 7 3" xfId="27119"/>
    <cellStyle name="Header2 2 8 8 7 4" xfId="38284"/>
    <cellStyle name="Header2 2 8 8 7 5" xfId="49477"/>
    <cellStyle name="Header2 2 8 8 8" xfId="5385"/>
    <cellStyle name="Header2 2 8 8 8 2" xfId="16582"/>
    <cellStyle name="Header2 2 8 8 8 3" xfId="27750"/>
    <cellStyle name="Header2 2 8 8 8 4" xfId="38915"/>
    <cellStyle name="Header2 2 8 8 8 5" xfId="50108"/>
    <cellStyle name="Header2 2 8 8 9" xfId="6439"/>
    <cellStyle name="Header2 2 8 8 9 2" xfId="17636"/>
    <cellStyle name="Header2 2 8 8 9 3" xfId="28804"/>
    <cellStyle name="Header2 2 8 8 9 4" xfId="39969"/>
    <cellStyle name="Header2 2 8 8 9 5" xfId="51162"/>
    <cellStyle name="Header2 2 8 9" xfId="561"/>
    <cellStyle name="Header2 2 8 9 10" xfId="7130"/>
    <cellStyle name="Header2 2 8 9 10 2" xfId="18327"/>
    <cellStyle name="Header2 2 8 9 10 3" xfId="29495"/>
    <cellStyle name="Header2 2 8 9 10 4" xfId="40660"/>
    <cellStyle name="Header2 2 8 9 10 5" xfId="51853"/>
    <cellStyle name="Header2 2 8 9 11" xfId="7764"/>
    <cellStyle name="Header2 2 8 9 11 2" xfId="18961"/>
    <cellStyle name="Header2 2 8 9 11 3" xfId="30129"/>
    <cellStyle name="Header2 2 8 9 11 4" xfId="41294"/>
    <cellStyle name="Header2 2 8 9 11 5" xfId="52487"/>
    <cellStyle name="Header2 2 8 9 12" xfId="8398"/>
    <cellStyle name="Header2 2 8 9 12 2" xfId="19595"/>
    <cellStyle name="Header2 2 8 9 12 3" xfId="30763"/>
    <cellStyle name="Header2 2 8 9 12 4" xfId="41928"/>
    <cellStyle name="Header2 2 8 9 12 5" xfId="53121"/>
    <cellStyle name="Header2 2 8 9 13" xfId="9449"/>
    <cellStyle name="Header2 2 8 9 13 2" xfId="20646"/>
    <cellStyle name="Header2 2 8 9 13 3" xfId="31814"/>
    <cellStyle name="Header2 2 8 9 13 4" xfId="42979"/>
    <cellStyle name="Header2 2 8 9 13 5" xfId="54172"/>
    <cellStyle name="Header2 2 8 9 14" xfId="9877"/>
    <cellStyle name="Header2 2 8 9 14 2" xfId="21074"/>
    <cellStyle name="Header2 2 8 9 14 3" xfId="32242"/>
    <cellStyle name="Header2 2 8 9 14 4" xfId="43407"/>
    <cellStyle name="Header2 2 8 9 14 5" xfId="54600"/>
    <cellStyle name="Header2 2 8 9 15" xfId="11114"/>
    <cellStyle name="Header2 2 8 9 15 2" xfId="22311"/>
    <cellStyle name="Header2 2 8 9 15 3" xfId="33479"/>
    <cellStyle name="Header2 2 8 9 15 4" xfId="44644"/>
    <cellStyle name="Header2 2 8 9 15 5" xfId="55837"/>
    <cellStyle name="Header2 2 8 9 16" xfId="11761"/>
    <cellStyle name="Header2 2 8 9 17" xfId="22931"/>
    <cellStyle name="Header2 2 8 9 18" xfId="34098"/>
    <cellStyle name="Header2 2 8 9 19" xfId="45284"/>
    <cellStyle name="Header2 2 8 9 2" xfId="1210"/>
    <cellStyle name="Header2 2 8 9 2 2" xfId="12407"/>
    <cellStyle name="Header2 2 8 9 2 3" xfId="23575"/>
    <cellStyle name="Header2 2 8 9 2 4" xfId="34740"/>
    <cellStyle name="Header2 2 8 9 2 5" xfId="45933"/>
    <cellStyle name="Header2 2 8 9 3" xfId="1951"/>
    <cellStyle name="Header2 2 8 9 3 2" xfId="13148"/>
    <cellStyle name="Header2 2 8 9 3 3" xfId="24316"/>
    <cellStyle name="Header2 2 8 9 3 4" xfId="35481"/>
    <cellStyle name="Header2 2 8 9 3 5" xfId="46674"/>
    <cellStyle name="Header2 2 8 9 4" xfId="2911"/>
    <cellStyle name="Header2 2 8 9 4 2" xfId="14108"/>
    <cellStyle name="Header2 2 8 9 4 3" xfId="25276"/>
    <cellStyle name="Header2 2 8 9 4 4" xfId="36441"/>
    <cellStyle name="Header2 2 8 9 4 5" xfId="47634"/>
    <cellStyle name="Header2 2 8 9 5" xfId="3545"/>
    <cellStyle name="Header2 2 8 9 5 2" xfId="14742"/>
    <cellStyle name="Header2 2 8 9 5 3" xfId="25910"/>
    <cellStyle name="Header2 2 8 9 5 4" xfId="37075"/>
    <cellStyle name="Header2 2 8 9 5 5" xfId="48268"/>
    <cellStyle name="Header2 2 8 9 6" xfId="4179"/>
    <cellStyle name="Header2 2 8 9 6 2" xfId="15376"/>
    <cellStyle name="Header2 2 8 9 6 3" xfId="26544"/>
    <cellStyle name="Header2 2 8 9 6 4" xfId="37709"/>
    <cellStyle name="Header2 2 8 9 6 5" xfId="48902"/>
    <cellStyle name="Header2 2 8 9 7" xfId="4812"/>
    <cellStyle name="Header2 2 8 9 7 2" xfId="16009"/>
    <cellStyle name="Header2 2 8 9 7 3" xfId="27177"/>
    <cellStyle name="Header2 2 8 9 7 4" xfId="38342"/>
    <cellStyle name="Header2 2 8 9 7 5" xfId="49535"/>
    <cellStyle name="Header2 2 8 9 8" xfId="5443"/>
    <cellStyle name="Header2 2 8 9 8 2" xfId="16640"/>
    <cellStyle name="Header2 2 8 9 8 3" xfId="27808"/>
    <cellStyle name="Header2 2 8 9 8 4" xfId="38973"/>
    <cellStyle name="Header2 2 8 9 8 5" xfId="50166"/>
    <cellStyle name="Header2 2 8 9 9" xfId="6497"/>
    <cellStyle name="Header2 2 8 9 9 2" xfId="17694"/>
    <cellStyle name="Header2 2 8 9 9 3" xfId="28862"/>
    <cellStyle name="Header2 2 8 9 9 4" xfId="40027"/>
    <cellStyle name="Header2 2 8 9 9 5" xfId="51220"/>
    <cellStyle name="Header2 2 9" xfId="97"/>
    <cellStyle name="Header2 2 9 10" xfId="629"/>
    <cellStyle name="Header2 2 9 10 10" xfId="7198"/>
    <cellStyle name="Header2 2 9 10 10 2" xfId="18395"/>
    <cellStyle name="Header2 2 9 10 10 3" xfId="29563"/>
    <cellStyle name="Header2 2 9 10 10 4" xfId="40728"/>
    <cellStyle name="Header2 2 9 10 10 5" xfId="51921"/>
    <cellStyle name="Header2 2 9 10 11" xfId="7832"/>
    <cellStyle name="Header2 2 9 10 11 2" xfId="19029"/>
    <cellStyle name="Header2 2 9 10 11 3" xfId="30197"/>
    <cellStyle name="Header2 2 9 10 11 4" xfId="41362"/>
    <cellStyle name="Header2 2 9 10 11 5" xfId="52555"/>
    <cellStyle name="Header2 2 9 10 12" xfId="8466"/>
    <cellStyle name="Header2 2 9 10 12 2" xfId="19663"/>
    <cellStyle name="Header2 2 9 10 12 3" xfId="30831"/>
    <cellStyle name="Header2 2 9 10 12 4" xfId="41996"/>
    <cellStyle name="Header2 2 9 10 12 5" xfId="53189"/>
    <cellStyle name="Header2 2 9 10 13" xfId="9517"/>
    <cellStyle name="Header2 2 9 10 13 2" xfId="20714"/>
    <cellStyle name="Header2 2 9 10 13 3" xfId="31882"/>
    <cellStyle name="Header2 2 9 10 13 4" xfId="43047"/>
    <cellStyle name="Header2 2 9 10 13 5" xfId="54240"/>
    <cellStyle name="Header2 2 9 10 14" xfId="10604"/>
    <cellStyle name="Header2 2 9 10 14 2" xfId="21801"/>
    <cellStyle name="Header2 2 9 10 14 3" xfId="32969"/>
    <cellStyle name="Header2 2 9 10 14 4" xfId="44134"/>
    <cellStyle name="Header2 2 9 10 14 5" xfId="55327"/>
    <cellStyle name="Header2 2 9 10 15" xfId="11182"/>
    <cellStyle name="Header2 2 9 10 15 2" xfId="22379"/>
    <cellStyle name="Header2 2 9 10 15 3" xfId="33547"/>
    <cellStyle name="Header2 2 9 10 15 4" xfId="44712"/>
    <cellStyle name="Header2 2 9 10 15 5" xfId="55905"/>
    <cellStyle name="Header2 2 9 10 16" xfId="11829"/>
    <cellStyle name="Header2 2 9 10 17" xfId="22999"/>
    <cellStyle name="Header2 2 9 10 18" xfId="34166"/>
    <cellStyle name="Header2 2 9 10 19" xfId="45352"/>
    <cellStyle name="Header2 2 9 10 2" xfId="1278"/>
    <cellStyle name="Header2 2 9 10 2 2" xfId="12475"/>
    <cellStyle name="Header2 2 9 10 2 3" xfId="23643"/>
    <cellStyle name="Header2 2 9 10 2 4" xfId="34808"/>
    <cellStyle name="Header2 2 9 10 2 5" xfId="46001"/>
    <cellStyle name="Header2 2 9 10 3" xfId="1914"/>
    <cellStyle name="Header2 2 9 10 3 2" xfId="13111"/>
    <cellStyle name="Header2 2 9 10 3 3" xfId="24279"/>
    <cellStyle name="Header2 2 9 10 3 4" xfId="35444"/>
    <cellStyle name="Header2 2 9 10 3 5" xfId="46637"/>
    <cellStyle name="Header2 2 9 10 4" xfId="2979"/>
    <cellStyle name="Header2 2 9 10 4 2" xfId="14176"/>
    <cellStyle name="Header2 2 9 10 4 3" xfId="25344"/>
    <cellStyle name="Header2 2 9 10 4 4" xfId="36509"/>
    <cellStyle name="Header2 2 9 10 4 5" xfId="47702"/>
    <cellStyle name="Header2 2 9 10 5" xfId="3613"/>
    <cellStyle name="Header2 2 9 10 5 2" xfId="14810"/>
    <cellStyle name="Header2 2 9 10 5 3" xfId="25978"/>
    <cellStyle name="Header2 2 9 10 5 4" xfId="37143"/>
    <cellStyle name="Header2 2 9 10 5 5" xfId="48336"/>
    <cellStyle name="Header2 2 9 10 6" xfId="4247"/>
    <cellStyle name="Header2 2 9 10 6 2" xfId="15444"/>
    <cellStyle name="Header2 2 9 10 6 3" xfId="26612"/>
    <cellStyle name="Header2 2 9 10 6 4" xfId="37777"/>
    <cellStyle name="Header2 2 9 10 6 5" xfId="48970"/>
    <cellStyle name="Header2 2 9 10 7" xfId="4880"/>
    <cellStyle name="Header2 2 9 10 7 2" xfId="16077"/>
    <cellStyle name="Header2 2 9 10 7 3" xfId="27245"/>
    <cellStyle name="Header2 2 9 10 7 4" xfId="38410"/>
    <cellStyle name="Header2 2 9 10 7 5" xfId="49603"/>
    <cellStyle name="Header2 2 9 10 8" xfId="5511"/>
    <cellStyle name="Header2 2 9 10 8 2" xfId="16708"/>
    <cellStyle name="Header2 2 9 10 8 3" xfId="27876"/>
    <cellStyle name="Header2 2 9 10 8 4" xfId="39041"/>
    <cellStyle name="Header2 2 9 10 8 5" xfId="50234"/>
    <cellStyle name="Header2 2 9 10 9" xfId="6565"/>
    <cellStyle name="Header2 2 9 10 9 2" xfId="17762"/>
    <cellStyle name="Header2 2 9 10 9 3" xfId="28930"/>
    <cellStyle name="Header2 2 9 10 9 4" xfId="40095"/>
    <cellStyle name="Header2 2 9 10 9 5" xfId="51288"/>
    <cellStyle name="Header2 2 9 11" xfId="674"/>
    <cellStyle name="Header2 2 9 11 10" xfId="7243"/>
    <cellStyle name="Header2 2 9 11 10 2" xfId="18440"/>
    <cellStyle name="Header2 2 9 11 10 3" xfId="29608"/>
    <cellStyle name="Header2 2 9 11 10 4" xfId="40773"/>
    <cellStyle name="Header2 2 9 11 10 5" xfId="51966"/>
    <cellStyle name="Header2 2 9 11 11" xfId="7877"/>
    <cellStyle name="Header2 2 9 11 11 2" xfId="19074"/>
    <cellStyle name="Header2 2 9 11 11 3" xfId="30242"/>
    <cellStyle name="Header2 2 9 11 11 4" xfId="41407"/>
    <cellStyle name="Header2 2 9 11 11 5" xfId="52600"/>
    <cellStyle name="Header2 2 9 11 12" xfId="8511"/>
    <cellStyle name="Header2 2 9 11 12 2" xfId="19708"/>
    <cellStyle name="Header2 2 9 11 12 3" xfId="30876"/>
    <cellStyle name="Header2 2 9 11 12 4" xfId="42041"/>
    <cellStyle name="Header2 2 9 11 12 5" xfId="53234"/>
    <cellStyle name="Header2 2 9 11 13" xfId="9562"/>
    <cellStyle name="Header2 2 9 11 13 2" xfId="20759"/>
    <cellStyle name="Header2 2 9 11 13 3" xfId="31927"/>
    <cellStyle name="Header2 2 9 11 13 4" xfId="43092"/>
    <cellStyle name="Header2 2 9 11 13 5" xfId="54285"/>
    <cellStyle name="Header2 2 9 11 14" xfId="10571"/>
    <cellStyle name="Header2 2 9 11 14 2" xfId="21768"/>
    <cellStyle name="Header2 2 9 11 14 3" xfId="32936"/>
    <cellStyle name="Header2 2 9 11 14 4" xfId="44101"/>
    <cellStyle name="Header2 2 9 11 14 5" xfId="55294"/>
    <cellStyle name="Header2 2 9 11 15" xfId="11227"/>
    <cellStyle name="Header2 2 9 11 15 2" xfId="22424"/>
    <cellStyle name="Header2 2 9 11 15 3" xfId="33592"/>
    <cellStyle name="Header2 2 9 11 15 4" xfId="44757"/>
    <cellStyle name="Header2 2 9 11 15 5" xfId="55950"/>
    <cellStyle name="Header2 2 9 11 16" xfId="11874"/>
    <cellStyle name="Header2 2 9 11 17" xfId="23044"/>
    <cellStyle name="Header2 2 9 11 18" xfId="34211"/>
    <cellStyle name="Header2 2 9 11 19" xfId="45397"/>
    <cellStyle name="Header2 2 9 11 2" xfId="1323"/>
    <cellStyle name="Header2 2 9 11 2 2" xfId="12520"/>
    <cellStyle name="Header2 2 9 11 2 3" xfId="23688"/>
    <cellStyle name="Header2 2 9 11 2 4" xfId="34853"/>
    <cellStyle name="Header2 2 9 11 2 5" xfId="46046"/>
    <cellStyle name="Header2 2 9 11 3" xfId="1394"/>
    <cellStyle name="Header2 2 9 11 3 2" xfId="12591"/>
    <cellStyle name="Header2 2 9 11 3 3" xfId="23759"/>
    <cellStyle name="Header2 2 9 11 3 4" xfId="34924"/>
    <cellStyle name="Header2 2 9 11 3 5" xfId="46117"/>
    <cellStyle name="Header2 2 9 11 4" xfId="3024"/>
    <cellStyle name="Header2 2 9 11 4 2" xfId="14221"/>
    <cellStyle name="Header2 2 9 11 4 3" xfId="25389"/>
    <cellStyle name="Header2 2 9 11 4 4" xfId="36554"/>
    <cellStyle name="Header2 2 9 11 4 5" xfId="47747"/>
    <cellStyle name="Header2 2 9 11 5" xfId="3658"/>
    <cellStyle name="Header2 2 9 11 5 2" xfId="14855"/>
    <cellStyle name="Header2 2 9 11 5 3" xfId="26023"/>
    <cellStyle name="Header2 2 9 11 5 4" xfId="37188"/>
    <cellStyle name="Header2 2 9 11 5 5" xfId="48381"/>
    <cellStyle name="Header2 2 9 11 6" xfId="4292"/>
    <cellStyle name="Header2 2 9 11 6 2" xfId="15489"/>
    <cellStyle name="Header2 2 9 11 6 3" xfId="26657"/>
    <cellStyle name="Header2 2 9 11 6 4" xfId="37822"/>
    <cellStyle name="Header2 2 9 11 6 5" xfId="49015"/>
    <cellStyle name="Header2 2 9 11 7" xfId="4925"/>
    <cellStyle name="Header2 2 9 11 7 2" xfId="16122"/>
    <cellStyle name="Header2 2 9 11 7 3" xfId="27290"/>
    <cellStyle name="Header2 2 9 11 7 4" xfId="38455"/>
    <cellStyle name="Header2 2 9 11 7 5" xfId="49648"/>
    <cellStyle name="Header2 2 9 11 8" xfId="5556"/>
    <cellStyle name="Header2 2 9 11 8 2" xfId="16753"/>
    <cellStyle name="Header2 2 9 11 8 3" xfId="27921"/>
    <cellStyle name="Header2 2 9 11 8 4" xfId="39086"/>
    <cellStyle name="Header2 2 9 11 8 5" xfId="50279"/>
    <cellStyle name="Header2 2 9 11 9" xfId="6610"/>
    <cellStyle name="Header2 2 9 11 9 2" xfId="17807"/>
    <cellStyle name="Header2 2 9 11 9 3" xfId="28975"/>
    <cellStyle name="Header2 2 9 11 9 4" xfId="40140"/>
    <cellStyle name="Header2 2 9 11 9 5" xfId="51333"/>
    <cellStyle name="Header2 2 9 12" xfId="746"/>
    <cellStyle name="Header2 2 9 12 2" xfId="11944"/>
    <cellStyle name="Header2 2 9 12 3" xfId="23112"/>
    <cellStyle name="Header2 2 9 12 4" xfId="34277"/>
    <cellStyle name="Header2 2 9 12 5" xfId="45469"/>
    <cellStyle name="Header2 2 9 13" xfId="1775"/>
    <cellStyle name="Header2 2 9 13 2" xfId="12972"/>
    <cellStyle name="Header2 2 9 13 3" xfId="24140"/>
    <cellStyle name="Header2 2 9 13 4" xfId="35305"/>
    <cellStyle name="Header2 2 9 13 5" xfId="46498"/>
    <cellStyle name="Header2 2 9 14" xfId="2343"/>
    <cellStyle name="Header2 2 9 14 2" xfId="13540"/>
    <cellStyle name="Header2 2 9 14 3" xfId="24708"/>
    <cellStyle name="Header2 2 9 14 4" xfId="35873"/>
    <cellStyle name="Header2 2 9 14 5" xfId="47066"/>
    <cellStyle name="Header2 2 9 15" xfId="3081"/>
    <cellStyle name="Header2 2 9 15 2" xfId="14278"/>
    <cellStyle name="Header2 2 9 15 3" xfId="25446"/>
    <cellStyle name="Header2 2 9 15 4" xfId="36611"/>
    <cellStyle name="Header2 2 9 15 5" xfId="47804"/>
    <cellStyle name="Header2 2 9 16" xfId="3715"/>
    <cellStyle name="Header2 2 9 16 2" xfId="14912"/>
    <cellStyle name="Header2 2 9 16 3" xfId="26080"/>
    <cellStyle name="Header2 2 9 16 4" xfId="37245"/>
    <cellStyle name="Header2 2 9 16 5" xfId="48438"/>
    <cellStyle name="Header2 2 9 17" xfId="4348"/>
    <cellStyle name="Header2 2 9 17 2" xfId="15545"/>
    <cellStyle name="Header2 2 9 17 3" xfId="26713"/>
    <cellStyle name="Header2 2 9 17 4" xfId="37878"/>
    <cellStyle name="Header2 2 9 17 5" xfId="49071"/>
    <cellStyle name="Header2 2 9 18" xfId="4980"/>
    <cellStyle name="Header2 2 9 18 2" xfId="16177"/>
    <cellStyle name="Header2 2 9 18 3" xfId="27345"/>
    <cellStyle name="Header2 2 9 18 4" xfId="38510"/>
    <cellStyle name="Header2 2 9 18 5" xfId="49703"/>
    <cellStyle name="Header2 2 9 19" xfId="5764"/>
    <cellStyle name="Header2 2 9 19 2" xfId="16961"/>
    <cellStyle name="Header2 2 9 19 3" xfId="28129"/>
    <cellStyle name="Header2 2 9 19 4" xfId="39294"/>
    <cellStyle name="Header2 2 9 19 5" xfId="50487"/>
    <cellStyle name="Header2 2 9 2" xfId="161"/>
    <cellStyle name="Header2 2 9 2 10" xfId="6730"/>
    <cellStyle name="Header2 2 9 2 10 2" xfId="17927"/>
    <cellStyle name="Header2 2 9 2 10 3" xfId="29095"/>
    <cellStyle name="Header2 2 9 2 10 4" xfId="40260"/>
    <cellStyle name="Header2 2 9 2 10 5" xfId="51453"/>
    <cellStyle name="Header2 2 9 2 11" xfId="7364"/>
    <cellStyle name="Header2 2 9 2 11 2" xfId="18561"/>
    <cellStyle name="Header2 2 9 2 11 3" xfId="29729"/>
    <cellStyle name="Header2 2 9 2 11 4" xfId="40894"/>
    <cellStyle name="Header2 2 9 2 11 5" xfId="52087"/>
    <cellStyle name="Header2 2 9 2 12" xfId="7998"/>
    <cellStyle name="Header2 2 9 2 12 2" xfId="19195"/>
    <cellStyle name="Header2 2 9 2 12 3" xfId="30363"/>
    <cellStyle name="Header2 2 9 2 12 4" xfId="41528"/>
    <cellStyle name="Header2 2 9 2 12 5" xfId="52721"/>
    <cellStyle name="Header2 2 9 2 13" xfId="8795"/>
    <cellStyle name="Header2 2 9 2 13 2" xfId="19992"/>
    <cellStyle name="Header2 2 9 2 13 3" xfId="31160"/>
    <cellStyle name="Header2 2 9 2 13 4" xfId="42325"/>
    <cellStyle name="Header2 2 9 2 13 5" xfId="53518"/>
    <cellStyle name="Header2 2 9 2 14" xfId="9775"/>
    <cellStyle name="Header2 2 9 2 14 2" xfId="20972"/>
    <cellStyle name="Header2 2 9 2 14 3" xfId="32140"/>
    <cellStyle name="Header2 2 9 2 14 4" xfId="43305"/>
    <cellStyle name="Header2 2 9 2 14 5" xfId="54498"/>
    <cellStyle name="Header2 2 9 2 15" xfId="10714"/>
    <cellStyle name="Header2 2 9 2 15 2" xfId="21911"/>
    <cellStyle name="Header2 2 9 2 15 3" xfId="33079"/>
    <cellStyle name="Header2 2 9 2 15 4" xfId="44244"/>
    <cellStyle name="Header2 2 9 2 15 5" xfId="55437"/>
    <cellStyle name="Header2 2 9 2 16" xfId="11361"/>
    <cellStyle name="Header2 2 9 2 17" xfId="22531"/>
    <cellStyle name="Header2 2 9 2 18" xfId="33698"/>
    <cellStyle name="Header2 2 9 2 19" xfId="44884"/>
    <cellStyle name="Header2 2 9 2 2" xfId="810"/>
    <cellStyle name="Header2 2 9 2 2 2" xfId="12007"/>
    <cellStyle name="Header2 2 9 2 2 3" xfId="23175"/>
    <cellStyle name="Header2 2 9 2 2 4" xfId="34340"/>
    <cellStyle name="Header2 2 9 2 2 5" xfId="45533"/>
    <cellStyle name="Header2 2 9 2 3" xfId="1871"/>
    <cellStyle name="Header2 2 9 2 3 2" xfId="13068"/>
    <cellStyle name="Header2 2 9 2 3 3" xfId="24236"/>
    <cellStyle name="Header2 2 9 2 3 4" xfId="35401"/>
    <cellStyle name="Header2 2 9 2 3 5" xfId="46594"/>
    <cellStyle name="Header2 2 9 2 4" xfId="2406"/>
    <cellStyle name="Header2 2 9 2 4 2" xfId="13603"/>
    <cellStyle name="Header2 2 9 2 4 3" xfId="24771"/>
    <cellStyle name="Header2 2 9 2 4 4" xfId="35936"/>
    <cellStyle name="Header2 2 9 2 4 5" xfId="47129"/>
    <cellStyle name="Header2 2 9 2 5" xfId="3145"/>
    <cellStyle name="Header2 2 9 2 5 2" xfId="14342"/>
    <cellStyle name="Header2 2 9 2 5 3" xfId="25510"/>
    <cellStyle name="Header2 2 9 2 5 4" xfId="36675"/>
    <cellStyle name="Header2 2 9 2 5 5" xfId="47868"/>
    <cellStyle name="Header2 2 9 2 6" xfId="3779"/>
    <cellStyle name="Header2 2 9 2 6 2" xfId="14976"/>
    <cellStyle name="Header2 2 9 2 6 3" xfId="26144"/>
    <cellStyle name="Header2 2 9 2 6 4" xfId="37309"/>
    <cellStyle name="Header2 2 9 2 6 5" xfId="48502"/>
    <cellStyle name="Header2 2 9 2 7" xfId="4412"/>
    <cellStyle name="Header2 2 9 2 7 2" xfId="15609"/>
    <cellStyle name="Header2 2 9 2 7 3" xfId="26777"/>
    <cellStyle name="Header2 2 9 2 7 4" xfId="37942"/>
    <cellStyle name="Header2 2 9 2 7 5" xfId="49135"/>
    <cellStyle name="Header2 2 9 2 8" xfId="5043"/>
    <cellStyle name="Header2 2 9 2 8 2" xfId="16240"/>
    <cellStyle name="Header2 2 9 2 8 3" xfId="27408"/>
    <cellStyle name="Header2 2 9 2 8 4" xfId="38573"/>
    <cellStyle name="Header2 2 9 2 8 5" xfId="49766"/>
    <cellStyle name="Header2 2 9 2 9" xfId="5801"/>
    <cellStyle name="Header2 2 9 2 9 2" xfId="16998"/>
    <cellStyle name="Header2 2 9 2 9 3" xfId="28166"/>
    <cellStyle name="Header2 2 9 2 9 4" xfId="39331"/>
    <cellStyle name="Header2 2 9 2 9 5" xfId="50524"/>
    <cellStyle name="Header2 2 9 20" xfId="6667"/>
    <cellStyle name="Header2 2 9 20 2" xfId="17864"/>
    <cellStyle name="Header2 2 9 20 3" xfId="29032"/>
    <cellStyle name="Header2 2 9 20 4" xfId="40197"/>
    <cellStyle name="Header2 2 9 20 5" xfId="51390"/>
    <cellStyle name="Header2 2 9 21" xfId="7300"/>
    <cellStyle name="Header2 2 9 21 2" xfId="18497"/>
    <cellStyle name="Header2 2 9 21 3" xfId="29665"/>
    <cellStyle name="Header2 2 9 21 4" xfId="40830"/>
    <cellStyle name="Header2 2 9 21 5" xfId="52023"/>
    <cellStyle name="Header2 2 9 22" xfId="7934"/>
    <cellStyle name="Header2 2 9 22 2" xfId="19131"/>
    <cellStyle name="Header2 2 9 22 3" xfId="30299"/>
    <cellStyle name="Header2 2 9 22 4" xfId="41464"/>
    <cellStyle name="Header2 2 9 22 5" xfId="52657"/>
    <cellStyle name="Header2 2 9 23" xfId="8563"/>
    <cellStyle name="Header2 2 9 23 2" xfId="19760"/>
    <cellStyle name="Header2 2 9 23 3" xfId="30928"/>
    <cellStyle name="Header2 2 9 23 4" xfId="42093"/>
    <cellStyle name="Header2 2 9 23 5" xfId="53286"/>
    <cellStyle name="Header2 2 9 24" xfId="10479"/>
    <cellStyle name="Header2 2 9 24 2" xfId="21676"/>
    <cellStyle name="Header2 2 9 24 3" xfId="32844"/>
    <cellStyle name="Header2 2 9 24 4" xfId="44009"/>
    <cellStyle name="Header2 2 9 24 5" xfId="55202"/>
    <cellStyle name="Header2 2 9 25" xfId="10651"/>
    <cellStyle name="Header2 2 9 25 2" xfId="21848"/>
    <cellStyle name="Header2 2 9 25 3" xfId="33016"/>
    <cellStyle name="Header2 2 9 25 4" xfId="44181"/>
    <cellStyle name="Header2 2 9 25 5" xfId="55374"/>
    <cellStyle name="Header2 2 9 26" xfId="11298"/>
    <cellStyle name="Header2 2 9 27" xfId="22468"/>
    <cellStyle name="Header2 2 9 28" xfId="33635"/>
    <cellStyle name="Header2 2 9 29" xfId="44820"/>
    <cellStyle name="Header2 2 9 3" xfId="217"/>
    <cellStyle name="Header2 2 9 3 10" xfId="6786"/>
    <cellStyle name="Header2 2 9 3 10 2" xfId="17983"/>
    <cellStyle name="Header2 2 9 3 10 3" xfId="29151"/>
    <cellStyle name="Header2 2 9 3 10 4" xfId="40316"/>
    <cellStyle name="Header2 2 9 3 10 5" xfId="51509"/>
    <cellStyle name="Header2 2 9 3 11" xfId="7420"/>
    <cellStyle name="Header2 2 9 3 11 2" xfId="18617"/>
    <cellStyle name="Header2 2 9 3 11 3" xfId="29785"/>
    <cellStyle name="Header2 2 9 3 11 4" xfId="40950"/>
    <cellStyle name="Header2 2 9 3 11 5" xfId="52143"/>
    <cellStyle name="Header2 2 9 3 12" xfId="8054"/>
    <cellStyle name="Header2 2 9 3 12 2" xfId="19251"/>
    <cellStyle name="Header2 2 9 3 12 3" xfId="30419"/>
    <cellStyle name="Header2 2 9 3 12 4" xfId="41584"/>
    <cellStyle name="Header2 2 9 3 12 5" xfId="52777"/>
    <cellStyle name="Header2 2 9 3 13" xfId="9150"/>
    <cellStyle name="Header2 2 9 3 13 2" xfId="20347"/>
    <cellStyle name="Header2 2 9 3 13 3" xfId="31515"/>
    <cellStyle name="Header2 2 9 3 13 4" xfId="42680"/>
    <cellStyle name="Header2 2 9 3 13 5" xfId="53873"/>
    <cellStyle name="Header2 2 9 3 14" xfId="10502"/>
    <cellStyle name="Header2 2 9 3 14 2" xfId="21699"/>
    <cellStyle name="Header2 2 9 3 14 3" xfId="32867"/>
    <cellStyle name="Header2 2 9 3 14 4" xfId="44032"/>
    <cellStyle name="Header2 2 9 3 14 5" xfId="55225"/>
    <cellStyle name="Header2 2 9 3 15" xfId="10770"/>
    <cellStyle name="Header2 2 9 3 15 2" xfId="21967"/>
    <cellStyle name="Header2 2 9 3 15 3" xfId="33135"/>
    <cellStyle name="Header2 2 9 3 15 4" xfId="44300"/>
    <cellStyle name="Header2 2 9 3 15 5" xfId="55493"/>
    <cellStyle name="Header2 2 9 3 16" xfId="11417"/>
    <cellStyle name="Header2 2 9 3 17" xfId="22587"/>
    <cellStyle name="Header2 2 9 3 18" xfId="33754"/>
    <cellStyle name="Header2 2 9 3 19" xfId="44940"/>
    <cellStyle name="Header2 2 9 3 2" xfId="866"/>
    <cellStyle name="Header2 2 9 3 2 2" xfId="12063"/>
    <cellStyle name="Header2 2 9 3 2 3" xfId="23231"/>
    <cellStyle name="Header2 2 9 3 2 4" xfId="34396"/>
    <cellStyle name="Header2 2 9 3 2 5" xfId="45589"/>
    <cellStyle name="Header2 2 9 3 3" xfId="1799"/>
    <cellStyle name="Header2 2 9 3 3 2" xfId="12996"/>
    <cellStyle name="Header2 2 9 3 3 3" xfId="24164"/>
    <cellStyle name="Header2 2 9 3 3 4" xfId="35329"/>
    <cellStyle name="Header2 2 9 3 3 5" xfId="46522"/>
    <cellStyle name="Header2 2 9 3 4" xfId="2505"/>
    <cellStyle name="Header2 2 9 3 4 2" xfId="13702"/>
    <cellStyle name="Header2 2 9 3 4 3" xfId="24870"/>
    <cellStyle name="Header2 2 9 3 4 4" xfId="36035"/>
    <cellStyle name="Header2 2 9 3 4 5" xfId="47228"/>
    <cellStyle name="Header2 2 9 3 5" xfId="3201"/>
    <cellStyle name="Header2 2 9 3 5 2" xfId="14398"/>
    <cellStyle name="Header2 2 9 3 5 3" xfId="25566"/>
    <cellStyle name="Header2 2 9 3 5 4" xfId="36731"/>
    <cellStyle name="Header2 2 9 3 5 5" xfId="47924"/>
    <cellStyle name="Header2 2 9 3 6" xfId="3835"/>
    <cellStyle name="Header2 2 9 3 6 2" xfId="15032"/>
    <cellStyle name="Header2 2 9 3 6 3" xfId="26200"/>
    <cellStyle name="Header2 2 9 3 6 4" xfId="37365"/>
    <cellStyle name="Header2 2 9 3 6 5" xfId="48558"/>
    <cellStyle name="Header2 2 9 3 7" xfId="4468"/>
    <cellStyle name="Header2 2 9 3 7 2" xfId="15665"/>
    <cellStyle name="Header2 2 9 3 7 3" xfId="26833"/>
    <cellStyle name="Header2 2 9 3 7 4" xfId="37998"/>
    <cellStyle name="Header2 2 9 3 7 5" xfId="49191"/>
    <cellStyle name="Header2 2 9 3 8" xfId="5099"/>
    <cellStyle name="Header2 2 9 3 8 2" xfId="16296"/>
    <cellStyle name="Header2 2 9 3 8 3" xfId="27464"/>
    <cellStyle name="Header2 2 9 3 8 4" xfId="38629"/>
    <cellStyle name="Header2 2 9 3 8 5" xfId="49822"/>
    <cellStyle name="Header2 2 9 3 9" xfId="5756"/>
    <cellStyle name="Header2 2 9 3 9 2" xfId="16953"/>
    <cellStyle name="Header2 2 9 3 9 3" xfId="28121"/>
    <cellStyle name="Header2 2 9 3 9 4" xfId="39286"/>
    <cellStyle name="Header2 2 9 3 9 5" xfId="50479"/>
    <cellStyle name="Header2 2 9 4" xfId="288"/>
    <cellStyle name="Header2 2 9 4 10" xfId="6857"/>
    <cellStyle name="Header2 2 9 4 10 2" xfId="18054"/>
    <cellStyle name="Header2 2 9 4 10 3" xfId="29222"/>
    <cellStyle name="Header2 2 9 4 10 4" xfId="40387"/>
    <cellStyle name="Header2 2 9 4 10 5" xfId="51580"/>
    <cellStyle name="Header2 2 9 4 11" xfId="7491"/>
    <cellStyle name="Header2 2 9 4 11 2" xfId="18688"/>
    <cellStyle name="Header2 2 9 4 11 3" xfId="29856"/>
    <cellStyle name="Header2 2 9 4 11 4" xfId="41021"/>
    <cellStyle name="Header2 2 9 4 11 5" xfId="52214"/>
    <cellStyle name="Header2 2 9 4 12" xfId="8125"/>
    <cellStyle name="Header2 2 9 4 12 2" xfId="19322"/>
    <cellStyle name="Header2 2 9 4 12 3" xfId="30490"/>
    <cellStyle name="Header2 2 9 4 12 4" xfId="41655"/>
    <cellStyle name="Header2 2 9 4 12 5" xfId="52848"/>
    <cellStyle name="Header2 2 9 4 13" xfId="9176"/>
    <cellStyle name="Header2 2 9 4 13 2" xfId="20373"/>
    <cellStyle name="Header2 2 9 4 13 3" xfId="31541"/>
    <cellStyle name="Header2 2 9 4 13 4" xfId="42706"/>
    <cellStyle name="Header2 2 9 4 13 5" xfId="53899"/>
    <cellStyle name="Header2 2 9 4 14" xfId="10174"/>
    <cellStyle name="Header2 2 9 4 14 2" xfId="21371"/>
    <cellStyle name="Header2 2 9 4 14 3" xfId="32539"/>
    <cellStyle name="Header2 2 9 4 14 4" xfId="43704"/>
    <cellStyle name="Header2 2 9 4 14 5" xfId="54897"/>
    <cellStyle name="Header2 2 9 4 15" xfId="10841"/>
    <cellStyle name="Header2 2 9 4 15 2" xfId="22038"/>
    <cellStyle name="Header2 2 9 4 15 3" xfId="33206"/>
    <cellStyle name="Header2 2 9 4 15 4" xfId="44371"/>
    <cellStyle name="Header2 2 9 4 15 5" xfId="55564"/>
    <cellStyle name="Header2 2 9 4 16" xfId="11488"/>
    <cellStyle name="Header2 2 9 4 17" xfId="22658"/>
    <cellStyle name="Header2 2 9 4 18" xfId="33825"/>
    <cellStyle name="Header2 2 9 4 19" xfId="45011"/>
    <cellStyle name="Header2 2 9 4 2" xfId="937"/>
    <cellStyle name="Header2 2 9 4 2 2" xfId="12134"/>
    <cellStyle name="Header2 2 9 4 2 3" xfId="23302"/>
    <cellStyle name="Header2 2 9 4 2 4" xfId="34467"/>
    <cellStyle name="Header2 2 9 4 2 5" xfId="45660"/>
    <cellStyle name="Header2 2 9 4 3" xfId="1552"/>
    <cellStyle name="Header2 2 9 4 3 2" xfId="12749"/>
    <cellStyle name="Header2 2 9 4 3 3" xfId="23917"/>
    <cellStyle name="Header2 2 9 4 3 4" xfId="35082"/>
    <cellStyle name="Header2 2 9 4 3 5" xfId="46275"/>
    <cellStyle name="Header2 2 9 4 4" xfId="2638"/>
    <cellStyle name="Header2 2 9 4 4 2" xfId="13835"/>
    <cellStyle name="Header2 2 9 4 4 3" xfId="25003"/>
    <cellStyle name="Header2 2 9 4 4 4" xfId="36168"/>
    <cellStyle name="Header2 2 9 4 4 5" xfId="47361"/>
    <cellStyle name="Header2 2 9 4 5" xfId="3272"/>
    <cellStyle name="Header2 2 9 4 5 2" xfId="14469"/>
    <cellStyle name="Header2 2 9 4 5 3" xfId="25637"/>
    <cellStyle name="Header2 2 9 4 5 4" xfId="36802"/>
    <cellStyle name="Header2 2 9 4 5 5" xfId="47995"/>
    <cellStyle name="Header2 2 9 4 6" xfId="3906"/>
    <cellStyle name="Header2 2 9 4 6 2" xfId="15103"/>
    <cellStyle name="Header2 2 9 4 6 3" xfId="26271"/>
    <cellStyle name="Header2 2 9 4 6 4" xfId="37436"/>
    <cellStyle name="Header2 2 9 4 6 5" xfId="48629"/>
    <cellStyle name="Header2 2 9 4 7" xfId="4539"/>
    <cellStyle name="Header2 2 9 4 7 2" xfId="15736"/>
    <cellStyle name="Header2 2 9 4 7 3" xfId="26904"/>
    <cellStyle name="Header2 2 9 4 7 4" xfId="38069"/>
    <cellStyle name="Header2 2 9 4 7 5" xfId="49262"/>
    <cellStyle name="Header2 2 9 4 8" xfId="5170"/>
    <cellStyle name="Header2 2 9 4 8 2" xfId="16367"/>
    <cellStyle name="Header2 2 9 4 8 3" xfId="27535"/>
    <cellStyle name="Header2 2 9 4 8 4" xfId="38700"/>
    <cellStyle name="Header2 2 9 4 8 5" xfId="49893"/>
    <cellStyle name="Header2 2 9 4 9" xfId="6224"/>
    <cellStyle name="Header2 2 9 4 9 2" xfId="17421"/>
    <cellStyle name="Header2 2 9 4 9 3" xfId="28589"/>
    <cellStyle name="Header2 2 9 4 9 4" xfId="39754"/>
    <cellStyle name="Header2 2 9 4 9 5" xfId="50947"/>
    <cellStyle name="Header2 2 9 5" xfId="327"/>
    <cellStyle name="Header2 2 9 5 10" xfId="6896"/>
    <cellStyle name="Header2 2 9 5 10 2" xfId="18093"/>
    <cellStyle name="Header2 2 9 5 10 3" xfId="29261"/>
    <cellStyle name="Header2 2 9 5 10 4" xfId="40426"/>
    <cellStyle name="Header2 2 9 5 10 5" xfId="51619"/>
    <cellStyle name="Header2 2 9 5 11" xfId="7530"/>
    <cellStyle name="Header2 2 9 5 11 2" xfId="18727"/>
    <cellStyle name="Header2 2 9 5 11 3" xfId="29895"/>
    <cellStyle name="Header2 2 9 5 11 4" xfId="41060"/>
    <cellStyle name="Header2 2 9 5 11 5" xfId="52253"/>
    <cellStyle name="Header2 2 9 5 12" xfId="8164"/>
    <cellStyle name="Header2 2 9 5 12 2" xfId="19361"/>
    <cellStyle name="Header2 2 9 5 12 3" xfId="30529"/>
    <cellStyle name="Header2 2 9 5 12 4" xfId="41694"/>
    <cellStyle name="Header2 2 9 5 12 5" xfId="52887"/>
    <cellStyle name="Header2 2 9 5 13" xfId="9215"/>
    <cellStyle name="Header2 2 9 5 13 2" xfId="20412"/>
    <cellStyle name="Header2 2 9 5 13 3" xfId="31580"/>
    <cellStyle name="Header2 2 9 5 13 4" xfId="42745"/>
    <cellStyle name="Header2 2 9 5 13 5" xfId="53938"/>
    <cellStyle name="Header2 2 9 5 14" xfId="10181"/>
    <cellStyle name="Header2 2 9 5 14 2" xfId="21378"/>
    <cellStyle name="Header2 2 9 5 14 3" xfId="32546"/>
    <cellStyle name="Header2 2 9 5 14 4" xfId="43711"/>
    <cellStyle name="Header2 2 9 5 14 5" xfId="54904"/>
    <cellStyle name="Header2 2 9 5 15" xfId="10880"/>
    <cellStyle name="Header2 2 9 5 15 2" xfId="22077"/>
    <cellStyle name="Header2 2 9 5 15 3" xfId="33245"/>
    <cellStyle name="Header2 2 9 5 15 4" xfId="44410"/>
    <cellStyle name="Header2 2 9 5 15 5" xfId="55603"/>
    <cellStyle name="Header2 2 9 5 16" xfId="11527"/>
    <cellStyle name="Header2 2 9 5 17" xfId="22697"/>
    <cellStyle name="Header2 2 9 5 18" xfId="33864"/>
    <cellStyle name="Header2 2 9 5 19" xfId="45050"/>
    <cellStyle name="Header2 2 9 5 2" xfId="976"/>
    <cellStyle name="Header2 2 9 5 2 2" xfId="12173"/>
    <cellStyle name="Header2 2 9 5 2 3" xfId="23341"/>
    <cellStyle name="Header2 2 9 5 2 4" xfId="34506"/>
    <cellStyle name="Header2 2 9 5 2 5" xfId="45699"/>
    <cellStyle name="Header2 2 9 5 3" xfId="1970"/>
    <cellStyle name="Header2 2 9 5 3 2" xfId="13167"/>
    <cellStyle name="Header2 2 9 5 3 3" xfId="24335"/>
    <cellStyle name="Header2 2 9 5 3 4" xfId="35500"/>
    <cellStyle name="Header2 2 9 5 3 5" xfId="46693"/>
    <cellStyle name="Header2 2 9 5 4" xfId="2677"/>
    <cellStyle name="Header2 2 9 5 4 2" xfId="13874"/>
    <cellStyle name="Header2 2 9 5 4 3" xfId="25042"/>
    <cellStyle name="Header2 2 9 5 4 4" xfId="36207"/>
    <cellStyle name="Header2 2 9 5 4 5" xfId="47400"/>
    <cellStyle name="Header2 2 9 5 5" xfId="3311"/>
    <cellStyle name="Header2 2 9 5 5 2" xfId="14508"/>
    <cellStyle name="Header2 2 9 5 5 3" xfId="25676"/>
    <cellStyle name="Header2 2 9 5 5 4" xfId="36841"/>
    <cellStyle name="Header2 2 9 5 5 5" xfId="48034"/>
    <cellStyle name="Header2 2 9 5 6" xfId="3945"/>
    <cellStyle name="Header2 2 9 5 6 2" xfId="15142"/>
    <cellStyle name="Header2 2 9 5 6 3" xfId="26310"/>
    <cellStyle name="Header2 2 9 5 6 4" xfId="37475"/>
    <cellStyle name="Header2 2 9 5 6 5" xfId="48668"/>
    <cellStyle name="Header2 2 9 5 7" xfId="4578"/>
    <cellStyle name="Header2 2 9 5 7 2" xfId="15775"/>
    <cellStyle name="Header2 2 9 5 7 3" xfId="26943"/>
    <cellStyle name="Header2 2 9 5 7 4" xfId="38108"/>
    <cellStyle name="Header2 2 9 5 7 5" xfId="49301"/>
    <cellStyle name="Header2 2 9 5 8" xfId="5209"/>
    <cellStyle name="Header2 2 9 5 8 2" xfId="16406"/>
    <cellStyle name="Header2 2 9 5 8 3" xfId="27574"/>
    <cellStyle name="Header2 2 9 5 8 4" xfId="38739"/>
    <cellStyle name="Header2 2 9 5 8 5" xfId="49932"/>
    <cellStyle name="Header2 2 9 5 9" xfId="6263"/>
    <cellStyle name="Header2 2 9 5 9 2" xfId="17460"/>
    <cellStyle name="Header2 2 9 5 9 3" xfId="28628"/>
    <cellStyle name="Header2 2 9 5 9 4" xfId="39793"/>
    <cellStyle name="Header2 2 9 5 9 5" xfId="50986"/>
    <cellStyle name="Header2 2 9 6" xfId="377"/>
    <cellStyle name="Header2 2 9 6 10" xfId="6946"/>
    <cellStyle name="Header2 2 9 6 10 2" xfId="18143"/>
    <cellStyle name="Header2 2 9 6 10 3" xfId="29311"/>
    <cellStyle name="Header2 2 9 6 10 4" xfId="40476"/>
    <cellStyle name="Header2 2 9 6 10 5" xfId="51669"/>
    <cellStyle name="Header2 2 9 6 11" xfId="7580"/>
    <cellStyle name="Header2 2 9 6 11 2" xfId="18777"/>
    <cellStyle name="Header2 2 9 6 11 3" xfId="29945"/>
    <cellStyle name="Header2 2 9 6 11 4" xfId="41110"/>
    <cellStyle name="Header2 2 9 6 11 5" xfId="52303"/>
    <cellStyle name="Header2 2 9 6 12" xfId="8214"/>
    <cellStyle name="Header2 2 9 6 12 2" xfId="19411"/>
    <cellStyle name="Header2 2 9 6 12 3" xfId="30579"/>
    <cellStyle name="Header2 2 9 6 12 4" xfId="41744"/>
    <cellStyle name="Header2 2 9 6 12 5" xfId="52937"/>
    <cellStyle name="Header2 2 9 6 13" xfId="9265"/>
    <cellStyle name="Header2 2 9 6 13 2" xfId="20462"/>
    <cellStyle name="Header2 2 9 6 13 3" xfId="31630"/>
    <cellStyle name="Header2 2 9 6 13 4" xfId="42795"/>
    <cellStyle name="Header2 2 9 6 13 5" xfId="53988"/>
    <cellStyle name="Header2 2 9 6 14" xfId="10022"/>
    <cellStyle name="Header2 2 9 6 14 2" xfId="21219"/>
    <cellStyle name="Header2 2 9 6 14 3" xfId="32387"/>
    <cellStyle name="Header2 2 9 6 14 4" xfId="43552"/>
    <cellStyle name="Header2 2 9 6 14 5" xfId="54745"/>
    <cellStyle name="Header2 2 9 6 15" xfId="10930"/>
    <cellStyle name="Header2 2 9 6 15 2" xfId="22127"/>
    <cellStyle name="Header2 2 9 6 15 3" xfId="33295"/>
    <cellStyle name="Header2 2 9 6 15 4" xfId="44460"/>
    <cellStyle name="Header2 2 9 6 15 5" xfId="55653"/>
    <cellStyle name="Header2 2 9 6 16" xfId="11577"/>
    <cellStyle name="Header2 2 9 6 17" xfId="22747"/>
    <cellStyle name="Header2 2 9 6 18" xfId="33914"/>
    <cellStyle name="Header2 2 9 6 19" xfId="45100"/>
    <cellStyle name="Header2 2 9 6 2" xfId="1026"/>
    <cellStyle name="Header2 2 9 6 2 2" xfId="12223"/>
    <cellStyle name="Header2 2 9 6 2 3" xfId="23391"/>
    <cellStyle name="Header2 2 9 6 2 4" xfId="34556"/>
    <cellStyle name="Header2 2 9 6 2 5" xfId="45749"/>
    <cellStyle name="Header2 2 9 6 3" xfId="1541"/>
    <cellStyle name="Header2 2 9 6 3 2" xfId="12738"/>
    <cellStyle name="Header2 2 9 6 3 3" xfId="23906"/>
    <cellStyle name="Header2 2 9 6 3 4" xfId="35071"/>
    <cellStyle name="Header2 2 9 6 3 5" xfId="46264"/>
    <cellStyle name="Header2 2 9 6 4" xfId="2727"/>
    <cellStyle name="Header2 2 9 6 4 2" xfId="13924"/>
    <cellStyle name="Header2 2 9 6 4 3" xfId="25092"/>
    <cellStyle name="Header2 2 9 6 4 4" xfId="36257"/>
    <cellStyle name="Header2 2 9 6 4 5" xfId="47450"/>
    <cellStyle name="Header2 2 9 6 5" xfId="3361"/>
    <cellStyle name="Header2 2 9 6 5 2" xfId="14558"/>
    <cellStyle name="Header2 2 9 6 5 3" xfId="25726"/>
    <cellStyle name="Header2 2 9 6 5 4" xfId="36891"/>
    <cellStyle name="Header2 2 9 6 5 5" xfId="48084"/>
    <cellStyle name="Header2 2 9 6 6" xfId="3995"/>
    <cellStyle name="Header2 2 9 6 6 2" xfId="15192"/>
    <cellStyle name="Header2 2 9 6 6 3" xfId="26360"/>
    <cellStyle name="Header2 2 9 6 6 4" xfId="37525"/>
    <cellStyle name="Header2 2 9 6 6 5" xfId="48718"/>
    <cellStyle name="Header2 2 9 6 7" xfId="4628"/>
    <cellStyle name="Header2 2 9 6 7 2" xfId="15825"/>
    <cellStyle name="Header2 2 9 6 7 3" xfId="26993"/>
    <cellStyle name="Header2 2 9 6 7 4" xfId="38158"/>
    <cellStyle name="Header2 2 9 6 7 5" xfId="49351"/>
    <cellStyle name="Header2 2 9 6 8" xfId="5259"/>
    <cellStyle name="Header2 2 9 6 8 2" xfId="16456"/>
    <cellStyle name="Header2 2 9 6 8 3" xfId="27624"/>
    <cellStyle name="Header2 2 9 6 8 4" xfId="38789"/>
    <cellStyle name="Header2 2 9 6 8 5" xfId="49982"/>
    <cellStyle name="Header2 2 9 6 9" xfId="6313"/>
    <cellStyle name="Header2 2 9 6 9 2" xfId="17510"/>
    <cellStyle name="Header2 2 9 6 9 3" xfId="28678"/>
    <cellStyle name="Header2 2 9 6 9 4" xfId="39843"/>
    <cellStyle name="Header2 2 9 6 9 5" xfId="51036"/>
    <cellStyle name="Header2 2 9 7" xfId="444"/>
    <cellStyle name="Header2 2 9 7 10" xfId="7013"/>
    <cellStyle name="Header2 2 9 7 10 2" xfId="18210"/>
    <cellStyle name="Header2 2 9 7 10 3" xfId="29378"/>
    <cellStyle name="Header2 2 9 7 10 4" xfId="40543"/>
    <cellStyle name="Header2 2 9 7 10 5" xfId="51736"/>
    <cellStyle name="Header2 2 9 7 11" xfId="7647"/>
    <cellStyle name="Header2 2 9 7 11 2" xfId="18844"/>
    <cellStyle name="Header2 2 9 7 11 3" xfId="30012"/>
    <cellStyle name="Header2 2 9 7 11 4" xfId="41177"/>
    <cellStyle name="Header2 2 9 7 11 5" xfId="52370"/>
    <cellStyle name="Header2 2 9 7 12" xfId="8281"/>
    <cellStyle name="Header2 2 9 7 12 2" xfId="19478"/>
    <cellStyle name="Header2 2 9 7 12 3" xfId="30646"/>
    <cellStyle name="Header2 2 9 7 12 4" xfId="41811"/>
    <cellStyle name="Header2 2 9 7 12 5" xfId="53004"/>
    <cellStyle name="Header2 2 9 7 13" xfId="9332"/>
    <cellStyle name="Header2 2 9 7 13 2" xfId="20529"/>
    <cellStyle name="Header2 2 9 7 13 3" xfId="31697"/>
    <cellStyle name="Header2 2 9 7 13 4" xfId="42862"/>
    <cellStyle name="Header2 2 9 7 13 5" xfId="54055"/>
    <cellStyle name="Header2 2 9 7 14" xfId="10211"/>
    <cellStyle name="Header2 2 9 7 14 2" xfId="21408"/>
    <cellStyle name="Header2 2 9 7 14 3" xfId="32576"/>
    <cellStyle name="Header2 2 9 7 14 4" xfId="43741"/>
    <cellStyle name="Header2 2 9 7 14 5" xfId="54934"/>
    <cellStyle name="Header2 2 9 7 15" xfId="10997"/>
    <cellStyle name="Header2 2 9 7 15 2" xfId="22194"/>
    <cellStyle name="Header2 2 9 7 15 3" xfId="33362"/>
    <cellStyle name="Header2 2 9 7 15 4" xfId="44527"/>
    <cellStyle name="Header2 2 9 7 15 5" xfId="55720"/>
    <cellStyle name="Header2 2 9 7 16" xfId="11644"/>
    <cellStyle name="Header2 2 9 7 17" xfId="22814"/>
    <cellStyle name="Header2 2 9 7 18" xfId="33981"/>
    <cellStyle name="Header2 2 9 7 19" xfId="45167"/>
    <cellStyle name="Header2 2 9 7 2" xfId="1093"/>
    <cellStyle name="Header2 2 9 7 2 2" xfId="12290"/>
    <cellStyle name="Header2 2 9 7 2 3" xfId="23458"/>
    <cellStyle name="Header2 2 9 7 2 4" xfId="34623"/>
    <cellStyle name="Header2 2 9 7 2 5" xfId="45816"/>
    <cellStyle name="Header2 2 9 7 3" xfId="1512"/>
    <cellStyle name="Header2 2 9 7 3 2" xfId="12709"/>
    <cellStyle name="Header2 2 9 7 3 3" xfId="23877"/>
    <cellStyle name="Header2 2 9 7 3 4" xfId="35042"/>
    <cellStyle name="Header2 2 9 7 3 5" xfId="46235"/>
    <cellStyle name="Header2 2 9 7 4" xfId="2794"/>
    <cellStyle name="Header2 2 9 7 4 2" xfId="13991"/>
    <cellStyle name="Header2 2 9 7 4 3" xfId="25159"/>
    <cellStyle name="Header2 2 9 7 4 4" xfId="36324"/>
    <cellStyle name="Header2 2 9 7 4 5" xfId="47517"/>
    <cellStyle name="Header2 2 9 7 5" xfId="3428"/>
    <cellStyle name="Header2 2 9 7 5 2" xfId="14625"/>
    <cellStyle name="Header2 2 9 7 5 3" xfId="25793"/>
    <cellStyle name="Header2 2 9 7 5 4" xfId="36958"/>
    <cellStyle name="Header2 2 9 7 5 5" xfId="48151"/>
    <cellStyle name="Header2 2 9 7 6" xfId="4062"/>
    <cellStyle name="Header2 2 9 7 6 2" xfId="15259"/>
    <cellStyle name="Header2 2 9 7 6 3" xfId="26427"/>
    <cellStyle name="Header2 2 9 7 6 4" xfId="37592"/>
    <cellStyle name="Header2 2 9 7 6 5" xfId="48785"/>
    <cellStyle name="Header2 2 9 7 7" xfId="4695"/>
    <cellStyle name="Header2 2 9 7 7 2" xfId="15892"/>
    <cellStyle name="Header2 2 9 7 7 3" xfId="27060"/>
    <cellStyle name="Header2 2 9 7 7 4" xfId="38225"/>
    <cellStyle name="Header2 2 9 7 7 5" xfId="49418"/>
    <cellStyle name="Header2 2 9 7 8" xfId="5326"/>
    <cellStyle name="Header2 2 9 7 8 2" xfId="16523"/>
    <cellStyle name="Header2 2 9 7 8 3" xfId="27691"/>
    <cellStyle name="Header2 2 9 7 8 4" xfId="38856"/>
    <cellStyle name="Header2 2 9 7 8 5" xfId="50049"/>
    <cellStyle name="Header2 2 9 7 9" xfId="6380"/>
    <cellStyle name="Header2 2 9 7 9 2" xfId="17577"/>
    <cellStyle name="Header2 2 9 7 9 3" xfId="28745"/>
    <cellStyle name="Header2 2 9 7 9 4" xfId="39910"/>
    <cellStyle name="Header2 2 9 7 9 5" xfId="51103"/>
    <cellStyle name="Header2 2 9 8" xfId="506"/>
    <cellStyle name="Header2 2 9 8 10" xfId="7075"/>
    <cellStyle name="Header2 2 9 8 10 2" xfId="18272"/>
    <cellStyle name="Header2 2 9 8 10 3" xfId="29440"/>
    <cellStyle name="Header2 2 9 8 10 4" xfId="40605"/>
    <cellStyle name="Header2 2 9 8 10 5" xfId="51798"/>
    <cellStyle name="Header2 2 9 8 11" xfId="7709"/>
    <cellStyle name="Header2 2 9 8 11 2" xfId="18906"/>
    <cellStyle name="Header2 2 9 8 11 3" xfId="30074"/>
    <cellStyle name="Header2 2 9 8 11 4" xfId="41239"/>
    <cellStyle name="Header2 2 9 8 11 5" xfId="52432"/>
    <cellStyle name="Header2 2 9 8 12" xfId="8343"/>
    <cellStyle name="Header2 2 9 8 12 2" xfId="19540"/>
    <cellStyle name="Header2 2 9 8 12 3" xfId="30708"/>
    <cellStyle name="Header2 2 9 8 12 4" xfId="41873"/>
    <cellStyle name="Header2 2 9 8 12 5" xfId="53066"/>
    <cellStyle name="Header2 2 9 8 13" xfId="9394"/>
    <cellStyle name="Header2 2 9 8 13 2" xfId="20591"/>
    <cellStyle name="Header2 2 9 8 13 3" xfId="31759"/>
    <cellStyle name="Header2 2 9 8 13 4" xfId="42924"/>
    <cellStyle name="Header2 2 9 8 13 5" xfId="54117"/>
    <cellStyle name="Header2 2 9 8 14" xfId="9844"/>
    <cellStyle name="Header2 2 9 8 14 2" xfId="21041"/>
    <cellStyle name="Header2 2 9 8 14 3" xfId="32209"/>
    <cellStyle name="Header2 2 9 8 14 4" xfId="43374"/>
    <cellStyle name="Header2 2 9 8 14 5" xfId="54567"/>
    <cellStyle name="Header2 2 9 8 15" xfId="11059"/>
    <cellStyle name="Header2 2 9 8 15 2" xfId="22256"/>
    <cellStyle name="Header2 2 9 8 15 3" xfId="33424"/>
    <cellStyle name="Header2 2 9 8 15 4" xfId="44589"/>
    <cellStyle name="Header2 2 9 8 15 5" xfId="55782"/>
    <cellStyle name="Header2 2 9 8 16" xfId="11706"/>
    <cellStyle name="Header2 2 9 8 17" xfId="22876"/>
    <cellStyle name="Header2 2 9 8 18" xfId="34043"/>
    <cellStyle name="Header2 2 9 8 19" xfId="45229"/>
    <cellStyle name="Header2 2 9 8 2" xfId="1155"/>
    <cellStyle name="Header2 2 9 8 2 2" xfId="12352"/>
    <cellStyle name="Header2 2 9 8 2 3" xfId="23520"/>
    <cellStyle name="Header2 2 9 8 2 4" xfId="34685"/>
    <cellStyle name="Header2 2 9 8 2 5" xfId="45878"/>
    <cellStyle name="Header2 2 9 8 3" xfId="1957"/>
    <cellStyle name="Header2 2 9 8 3 2" xfId="13154"/>
    <cellStyle name="Header2 2 9 8 3 3" xfId="24322"/>
    <cellStyle name="Header2 2 9 8 3 4" xfId="35487"/>
    <cellStyle name="Header2 2 9 8 3 5" xfId="46680"/>
    <cellStyle name="Header2 2 9 8 4" xfId="2856"/>
    <cellStyle name="Header2 2 9 8 4 2" xfId="14053"/>
    <cellStyle name="Header2 2 9 8 4 3" xfId="25221"/>
    <cellStyle name="Header2 2 9 8 4 4" xfId="36386"/>
    <cellStyle name="Header2 2 9 8 4 5" xfId="47579"/>
    <cellStyle name="Header2 2 9 8 5" xfId="3490"/>
    <cellStyle name="Header2 2 9 8 5 2" xfId="14687"/>
    <cellStyle name="Header2 2 9 8 5 3" xfId="25855"/>
    <cellStyle name="Header2 2 9 8 5 4" xfId="37020"/>
    <cellStyle name="Header2 2 9 8 5 5" xfId="48213"/>
    <cellStyle name="Header2 2 9 8 6" xfId="4124"/>
    <cellStyle name="Header2 2 9 8 6 2" xfId="15321"/>
    <cellStyle name="Header2 2 9 8 6 3" xfId="26489"/>
    <cellStyle name="Header2 2 9 8 6 4" xfId="37654"/>
    <cellStyle name="Header2 2 9 8 6 5" xfId="48847"/>
    <cellStyle name="Header2 2 9 8 7" xfId="4757"/>
    <cellStyle name="Header2 2 9 8 7 2" xfId="15954"/>
    <cellStyle name="Header2 2 9 8 7 3" xfId="27122"/>
    <cellStyle name="Header2 2 9 8 7 4" xfId="38287"/>
    <cellStyle name="Header2 2 9 8 7 5" xfId="49480"/>
    <cellStyle name="Header2 2 9 8 8" xfId="5388"/>
    <cellStyle name="Header2 2 9 8 8 2" xfId="16585"/>
    <cellStyle name="Header2 2 9 8 8 3" xfId="27753"/>
    <cellStyle name="Header2 2 9 8 8 4" xfId="38918"/>
    <cellStyle name="Header2 2 9 8 8 5" xfId="50111"/>
    <cellStyle name="Header2 2 9 8 9" xfId="6442"/>
    <cellStyle name="Header2 2 9 8 9 2" xfId="17639"/>
    <cellStyle name="Header2 2 9 8 9 3" xfId="28807"/>
    <cellStyle name="Header2 2 9 8 9 4" xfId="39972"/>
    <cellStyle name="Header2 2 9 8 9 5" xfId="51165"/>
    <cellStyle name="Header2 2 9 9" xfId="564"/>
    <cellStyle name="Header2 2 9 9 10" xfId="7133"/>
    <cellStyle name="Header2 2 9 9 10 2" xfId="18330"/>
    <cellStyle name="Header2 2 9 9 10 3" xfId="29498"/>
    <cellStyle name="Header2 2 9 9 10 4" xfId="40663"/>
    <cellStyle name="Header2 2 9 9 10 5" xfId="51856"/>
    <cellStyle name="Header2 2 9 9 11" xfId="7767"/>
    <cellStyle name="Header2 2 9 9 11 2" xfId="18964"/>
    <cellStyle name="Header2 2 9 9 11 3" xfId="30132"/>
    <cellStyle name="Header2 2 9 9 11 4" xfId="41297"/>
    <cellStyle name="Header2 2 9 9 11 5" xfId="52490"/>
    <cellStyle name="Header2 2 9 9 12" xfId="8401"/>
    <cellStyle name="Header2 2 9 9 12 2" xfId="19598"/>
    <cellStyle name="Header2 2 9 9 12 3" xfId="30766"/>
    <cellStyle name="Header2 2 9 9 12 4" xfId="41931"/>
    <cellStyle name="Header2 2 9 9 12 5" xfId="53124"/>
    <cellStyle name="Header2 2 9 9 13" xfId="9452"/>
    <cellStyle name="Header2 2 9 9 13 2" xfId="20649"/>
    <cellStyle name="Header2 2 9 9 13 3" xfId="31817"/>
    <cellStyle name="Header2 2 9 9 13 4" xfId="42982"/>
    <cellStyle name="Header2 2 9 9 13 5" xfId="54175"/>
    <cellStyle name="Header2 2 9 9 14" xfId="9842"/>
    <cellStyle name="Header2 2 9 9 14 2" xfId="21039"/>
    <cellStyle name="Header2 2 9 9 14 3" xfId="32207"/>
    <cellStyle name="Header2 2 9 9 14 4" xfId="43372"/>
    <cellStyle name="Header2 2 9 9 14 5" xfId="54565"/>
    <cellStyle name="Header2 2 9 9 15" xfId="11117"/>
    <cellStyle name="Header2 2 9 9 15 2" xfId="22314"/>
    <cellStyle name="Header2 2 9 9 15 3" xfId="33482"/>
    <cellStyle name="Header2 2 9 9 15 4" xfId="44647"/>
    <cellStyle name="Header2 2 9 9 15 5" xfId="55840"/>
    <cellStyle name="Header2 2 9 9 16" xfId="11764"/>
    <cellStyle name="Header2 2 9 9 17" xfId="22934"/>
    <cellStyle name="Header2 2 9 9 18" xfId="34101"/>
    <cellStyle name="Header2 2 9 9 19" xfId="45287"/>
    <cellStyle name="Header2 2 9 9 2" xfId="1213"/>
    <cellStyle name="Header2 2 9 9 2 2" xfId="12410"/>
    <cellStyle name="Header2 2 9 9 2 3" xfId="23578"/>
    <cellStyle name="Header2 2 9 9 2 4" xfId="34743"/>
    <cellStyle name="Header2 2 9 9 2 5" xfId="45936"/>
    <cellStyle name="Header2 2 9 9 3" xfId="1827"/>
    <cellStyle name="Header2 2 9 9 3 2" xfId="13024"/>
    <cellStyle name="Header2 2 9 9 3 3" xfId="24192"/>
    <cellStyle name="Header2 2 9 9 3 4" xfId="35357"/>
    <cellStyle name="Header2 2 9 9 3 5" xfId="46550"/>
    <cellStyle name="Header2 2 9 9 4" xfId="2914"/>
    <cellStyle name="Header2 2 9 9 4 2" xfId="14111"/>
    <cellStyle name="Header2 2 9 9 4 3" xfId="25279"/>
    <cellStyle name="Header2 2 9 9 4 4" xfId="36444"/>
    <cellStyle name="Header2 2 9 9 4 5" xfId="47637"/>
    <cellStyle name="Header2 2 9 9 5" xfId="3548"/>
    <cellStyle name="Header2 2 9 9 5 2" xfId="14745"/>
    <cellStyle name="Header2 2 9 9 5 3" xfId="25913"/>
    <cellStyle name="Header2 2 9 9 5 4" xfId="37078"/>
    <cellStyle name="Header2 2 9 9 5 5" xfId="48271"/>
    <cellStyle name="Header2 2 9 9 6" xfId="4182"/>
    <cellStyle name="Header2 2 9 9 6 2" xfId="15379"/>
    <cellStyle name="Header2 2 9 9 6 3" xfId="26547"/>
    <cellStyle name="Header2 2 9 9 6 4" xfId="37712"/>
    <cellStyle name="Header2 2 9 9 6 5" xfId="48905"/>
    <cellStyle name="Header2 2 9 9 7" xfId="4815"/>
    <cellStyle name="Header2 2 9 9 7 2" xfId="16012"/>
    <cellStyle name="Header2 2 9 9 7 3" xfId="27180"/>
    <cellStyle name="Header2 2 9 9 7 4" xfId="38345"/>
    <cellStyle name="Header2 2 9 9 7 5" xfId="49538"/>
    <cellStyle name="Header2 2 9 9 8" xfId="5446"/>
    <cellStyle name="Header2 2 9 9 8 2" xfId="16643"/>
    <cellStyle name="Header2 2 9 9 8 3" xfId="27811"/>
    <cellStyle name="Header2 2 9 9 8 4" xfId="38976"/>
    <cellStyle name="Header2 2 9 9 8 5" xfId="50169"/>
    <cellStyle name="Header2 2 9 9 9" xfId="6500"/>
    <cellStyle name="Header2 2 9 9 9 2" xfId="17697"/>
    <cellStyle name="Header2 2 9 9 9 3" xfId="28865"/>
    <cellStyle name="Header2 2 9 9 9 4" xfId="40030"/>
    <cellStyle name="Header2 2 9 9 9 5" xfId="51223"/>
    <cellStyle name="Header2 3" xfId="91"/>
    <cellStyle name="Header2 3 10" xfId="635"/>
    <cellStyle name="Header2 3 10 10" xfId="7204"/>
    <cellStyle name="Header2 3 10 10 2" xfId="18401"/>
    <cellStyle name="Header2 3 10 10 3" xfId="29569"/>
    <cellStyle name="Header2 3 10 10 4" xfId="40734"/>
    <cellStyle name="Header2 3 10 10 5" xfId="51927"/>
    <cellStyle name="Header2 3 10 11" xfId="7838"/>
    <cellStyle name="Header2 3 10 11 2" xfId="19035"/>
    <cellStyle name="Header2 3 10 11 3" xfId="30203"/>
    <cellStyle name="Header2 3 10 11 4" xfId="41368"/>
    <cellStyle name="Header2 3 10 11 5" xfId="52561"/>
    <cellStyle name="Header2 3 10 12" xfId="8472"/>
    <cellStyle name="Header2 3 10 12 2" xfId="19669"/>
    <cellStyle name="Header2 3 10 12 3" xfId="30837"/>
    <cellStyle name="Header2 3 10 12 4" xfId="42002"/>
    <cellStyle name="Header2 3 10 12 5" xfId="53195"/>
    <cellStyle name="Header2 3 10 13" xfId="9523"/>
    <cellStyle name="Header2 3 10 13 2" xfId="20720"/>
    <cellStyle name="Header2 3 10 13 3" xfId="31888"/>
    <cellStyle name="Header2 3 10 13 4" xfId="43053"/>
    <cellStyle name="Header2 3 10 13 5" xfId="54246"/>
    <cellStyle name="Header2 3 10 14" xfId="10306"/>
    <cellStyle name="Header2 3 10 14 2" xfId="21503"/>
    <cellStyle name="Header2 3 10 14 3" xfId="32671"/>
    <cellStyle name="Header2 3 10 14 4" xfId="43836"/>
    <cellStyle name="Header2 3 10 14 5" xfId="55029"/>
    <cellStyle name="Header2 3 10 15" xfId="11188"/>
    <cellStyle name="Header2 3 10 15 2" xfId="22385"/>
    <cellStyle name="Header2 3 10 15 3" xfId="33553"/>
    <cellStyle name="Header2 3 10 15 4" xfId="44718"/>
    <cellStyle name="Header2 3 10 15 5" xfId="55911"/>
    <cellStyle name="Header2 3 10 16" xfId="11835"/>
    <cellStyle name="Header2 3 10 17" xfId="23005"/>
    <cellStyle name="Header2 3 10 18" xfId="34172"/>
    <cellStyle name="Header2 3 10 19" xfId="45358"/>
    <cellStyle name="Header2 3 10 2" xfId="1284"/>
    <cellStyle name="Header2 3 10 2 2" xfId="12481"/>
    <cellStyle name="Header2 3 10 2 3" xfId="23649"/>
    <cellStyle name="Header2 3 10 2 4" xfId="34814"/>
    <cellStyle name="Header2 3 10 2 5" xfId="46007"/>
    <cellStyle name="Header2 3 10 3" xfId="1546"/>
    <cellStyle name="Header2 3 10 3 2" xfId="12743"/>
    <cellStyle name="Header2 3 10 3 3" xfId="23911"/>
    <cellStyle name="Header2 3 10 3 4" xfId="35076"/>
    <cellStyle name="Header2 3 10 3 5" xfId="46269"/>
    <cellStyle name="Header2 3 10 4" xfId="2985"/>
    <cellStyle name="Header2 3 10 4 2" xfId="14182"/>
    <cellStyle name="Header2 3 10 4 3" xfId="25350"/>
    <cellStyle name="Header2 3 10 4 4" xfId="36515"/>
    <cellStyle name="Header2 3 10 4 5" xfId="47708"/>
    <cellStyle name="Header2 3 10 5" xfId="3619"/>
    <cellStyle name="Header2 3 10 5 2" xfId="14816"/>
    <cellStyle name="Header2 3 10 5 3" xfId="25984"/>
    <cellStyle name="Header2 3 10 5 4" xfId="37149"/>
    <cellStyle name="Header2 3 10 5 5" xfId="48342"/>
    <cellStyle name="Header2 3 10 6" xfId="4253"/>
    <cellStyle name="Header2 3 10 6 2" xfId="15450"/>
    <cellStyle name="Header2 3 10 6 3" xfId="26618"/>
    <cellStyle name="Header2 3 10 6 4" xfId="37783"/>
    <cellStyle name="Header2 3 10 6 5" xfId="48976"/>
    <cellStyle name="Header2 3 10 7" xfId="4886"/>
    <cellStyle name="Header2 3 10 7 2" xfId="16083"/>
    <cellStyle name="Header2 3 10 7 3" xfId="27251"/>
    <cellStyle name="Header2 3 10 7 4" xfId="38416"/>
    <cellStyle name="Header2 3 10 7 5" xfId="49609"/>
    <cellStyle name="Header2 3 10 8" xfId="5517"/>
    <cellStyle name="Header2 3 10 8 2" xfId="16714"/>
    <cellStyle name="Header2 3 10 8 3" xfId="27882"/>
    <cellStyle name="Header2 3 10 8 4" xfId="39047"/>
    <cellStyle name="Header2 3 10 8 5" xfId="50240"/>
    <cellStyle name="Header2 3 10 9" xfId="6571"/>
    <cellStyle name="Header2 3 10 9 2" xfId="17768"/>
    <cellStyle name="Header2 3 10 9 3" xfId="28936"/>
    <cellStyle name="Header2 3 10 9 4" xfId="40101"/>
    <cellStyle name="Header2 3 10 9 5" xfId="51294"/>
    <cellStyle name="Header2 3 11" xfId="689"/>
    <cellStyle name="Header2 3 11 10" xfId="7258"/>
    <cellStyle name="Header2 3 11 10 2" xfId="18455"/>
    <cellStyle name="Header2 3 11 10 3" xfId="29623"/>
    <cellStyle name="Header2 3 11 10 4" xfId="40788"/>
    <cellStyle name="Header2 3 11 10 5" xfId="51981"/>
    <cellStyle name="Header2 3 11 11" xfId="7892"/>
    <cellStyle name="Header2 3 11 11 2" xfId="19089"/>
    <cellStyle name="Header2 3 11 11 3" xfId="30257"/>
    <cellStyle name="Header2 3 11 11 4" xfId="41422"/>
    <cellStyle name="Header2 3 11 11 5" xfId="52615"/>
    <cellStyle name="Header2 3 11 12" xfId="8526"/>
    <cellStyle name="Header2 3 11 12 2" xfId="19723"/>
    <cellStyle name="Header2 3 11 12 3" xfId="30891"/>
    <cellStyle name="Header2 3 11 12 4" xfId="42056"/>
    <cellStyle name="Header2 3 11 12 5" xfId="53249"/>
    <cellStyle name="Header2 3 11 13" xfId="9577"/>
    <cellStyle name="Header2 3 11 13 2" xfId="20774"/>
    <cellStyle name="Header2 3 11 13 3" xfId="31942"/>
    <cellStyle name="Header2 3 11 13 4" xfId="43107"/>
    <cellStyle name="Header2 3 11 13 5" xfId="54300"/>
    <cellStyle name="Header2 3 11 14" xfId="9596"/>
    <cellStyle name="Header2 3 11 14 2" xfId="20793"/>
    <cellStyle name="Header2 3 11 14 3" xfId="31961"/>
    <cellStyle name="Header2 3 11 14 4" xfId="43126"/>
    <cellStyle name="Header2 3 11 14 5" xfId="54319"/>
    <cellStyle name="Header2 3 11 15" xfId="11242"/>
    <cellStyle name="Header2 3 11 15 2" xfId="22439"/>
    <cellStyle name="Header2 3 11 15 3" xfId="33607"/>
    <cellStyle name="Header2 3 11 15 4" xfId="44772"/>
    <cellStyle name="Header2 3 11 15 5" xfId="55965"/>
    <cellStyle name="Header2 3 11 16" xfId="11889"/>
    <cellStyle name="Header2 3 11 17" xfId="23059"/>
    <cellStyle name="Header2 3 11 18" xfId="34226"/>
    <cellStyle name="Header2 3 11 19" xfId="45412"/>
    <cellStyle name="Header2 3 11 2" xfId="1338"/>
    <cellStyle name="Header2 3 11 2 2" xfId="12535"/>
    <cellStyle name="Header2 3 11 2 3" xfId="23703"/>
    <cellStyle name="Header2 3 11 2 4" xfId="34868"/>
    <cellStyle name="Header2 3 11 2 5" xfId="46061"/>
    <cellStyle name="Header2 3 11 3" xfId="699"/>
    <cellStyle name="Header2 3 11 3 2" xfId="11899"/>
    <cellStyle name="Header2 3 11 3 3" xfId="23069"/>
    <cellStyle name="Header2 3 11 3 4" xfId="34236"/>
    <cellStyle name="Header2 3 11 3 5" xfId="45422"/>
    <cellStyle name="Header2 3 11 4" xfId="3039"/>
    <cellStyle name="Header2 3 11 4 2" xfId="14236"/>
    <cellStyle name="Header2 3 11 4 3" xfId="25404"/>
    <cellStyle name="Header2 3 11 4 4" xfId="36569"/>
    <cellStyle name="Header2 3 11 4 5" xfId="47762"/>
    <cellStyle name="Header2 3 11 5" xfId="3673"/>
    <cellStyle name="Header2 3 11 5 2" xfId="14870"/>
    <cellStyle name="Header2 3 11 5 3" xfId="26038"/>
    <cellStyle name="Header2 3 11 5 4" xfId="37203"/>
    <cellStyle name="Header2 3 11 5 5" xfId="48396"/>
    <cellStyle name="Header2 3 11 6" xfId="4307"/>
    <cellStyle name="Header2 3 11 6 2" xfId="15504"/>
    <cellStyle name="Header2 3 11 6 3" xfId="26672"/>
    <cellStyle name="Header2 3 11 6 4" xfId="37837"/>
    <cellStyle name="Header2 3 11 6 5" xfId="49030"/>
    <cellStyle name="Header2 3 11 7" xfId="4940"/>
    <cellStyle name="Header2 3 11 7 2" xfId="16137"/>
    <cellStyle name="Header2 3 11 7 3" xfId="27305"/>
    <cellStyle name="Header2 3 11 7 4" xfId="38470"/>
    <cellStyle name="Header2 3 11 7 5" xfId="49663"/>
    <cellStyle name="Header2 3 11 8" xfId="5571"/>
    <cellStyle name="Header2 3 11 8 2" xfId="16768"/>
    <cellStyle name="Header2 3 11 8 3" xfId="27936"/>
    <cellStyle name="Header2 3 11 8 4" xfId="39101"/>
    <cellStyle name="Header2 3 11 8 5" xfId="50294"/>
    <cellStyle name="Header2 3 11 9" xfId="6625"/>
    <cellStyle name="Header2 3 11 9 2" xfId="17822"/>
    <cellStyle name="Header2 3 11 9 3" xfId="28990"/>
    <cellStyle name="Header2 3 11 9 4" xfId="40155"/>
    <cellStyle name="Header2 3 11 9 5" xfId="51348"/>
    <cellStyle name="Header2 3 12" xfId="740"/>
    <cellStyle name="Header2 3 12 2" xfId="11938"/>
    <cellStyle name="Header2 3 12 3" xfId="23107"/>
    <cellStyle name="Header2 3 12 4" xfId="34272"/>
    <cellStyle name="Header2 3 12 5" xfId="45463"/>
    <cellStyle name="Header2 3 13" xfId="1494"/>
    <cellStyle name="Header2 3 13 2" xfId="12691"/>
    <cellStyle name="Header2 3 13 3" xfId="23859"/>
    <cellStyle name="Header2 3 13 4" xfId="35024"/>
    <cellStyle name="Header2 3 13 5" xfId="46217"/>
    <cellStyle name="Header2 3 14" xfId="2084"/>
    <cellStyle name="Header2 3 14 2" xfId="13281"/>
    <cellStyle name="Header2 3 14 3" xfId="24449"/>
    <cellStyle name="Header2 3 14 4" xfId="35614"/>
    <cellStyle name="Header2 3 14 5" xfId="46807"/>
    <cellStyle name="Header2 3 15" xfId="3075"/>
    <cellStyle name="Header2 3 15 2" xfId="14272"/>
    <cellStyle name="Header2 3 15 3" xfId="25440"/>
    <cellStyle name="Header2 3 15 4" xfId="36605"/>
    <cellStyle name="Header2 3 15 5" xfId="47798"/>
    <cellStyle name="Header2 3 16" xfId="3710"/>
    <cellStyle name="Header2 3 16 2" xfId="14907"/>
    <cellStyle name="Header2 3 16 3" xfId="26075"/>
    <cellStyle name="Header2 3 16 4" xfId="37240"/>
    <cellStyle name="Header2 3 16 5" xfId="48433"/>
    <cellStyle name="Header2 3 17" xfId="4342"/>
    <cellStyle name="Header2 3 17 2" xfId="15539"/>
    <cellStyle name="Header2 3 17 3" xfId="26707"/>
    <cellStyle name="Header2 3 17 4" xfId="37872"/>
    <cellStyle name="Header2 3 17 5" xfId="49065"/>
    <cellStyle name="Header2 3 18" xfId="4975"/>
    <cellStyle name="Header2 3 18 2" xfId="16172"/>
    <cellStyle name="Header2 3 18 3" xfId="27340"/>
    <cellStyle name="Header2 3 18 4" xfId="38505"/>
    <cellStyle name="Header2 3 18 5" xfId="49698"/>
    <cellStyle name="Header2 3 19" xfId="5967"/>
    <cellStyle name="Header2 3 19 2" xfId="17164"/>
    <cellStyle name="Header2 3 19 3" xfId="28332"/>
    <cellStyle name="Header2 3 19 4" xfId="39497"/>
    <cellStyle name="Header2 3 19 5" xfId="50690"/>
    <cellStyle name="Header2 3 2" xfId="156"/>
    <cellStyle name="Header2 3 2 10" xfId="6725"/>
    <cellStyle name="Header2 3 2 10 2" xfId="17922"/>
    <cellStyle name="Header2 3 2 10 3" xfId="29090"/>
    <cellStyle name="Header2 3 2 10 4" xfId="40255"/>
    <cellStyle name="Header2 3 2 10 5" xfId="51448"/>
    <cellStyle name="Header2 3 2 11" xfId="7359"/>
    <cellStyle name="Header2 3 2 11 2" xfId="18556"/>
    <cellStyle name="Header2 3 2 11 3" xfId="29724"/>
    <cellStyle name="Header2 3 2 11 4" xfId="40889"/>
    <cellStyle name="Header2 3 2 11 5" xfId="52082"/>
    <cellStyle name="Header2 3 2 12" xfId="7993"/>
    <cellStyle name="Header2 3 2 12 2" xfId="19190"/>
    <cellStyle name="Header2 3 2 12 3" xfId="30358"/>
    <cellStyle name="Header2 3 2 12 4" xfId="41523"/>
    <cellStyle name="Header2 3 2 12 5" xfId="52716"/>
    <cellStyle name="Header2 3 2 13" xfId="8917"/>
    <cellStyle name="Header2 3 2 13 2" xfId="20114"/>
    <cellStyle name="Header2 3 2 13 3" xfId="31282"/>
    <cellStyle name="Header2 3 2 13 4" xfId="42447"/>
    <cellStyle name="Header2 3 2 13 5" xfId="53640"/>
    <cellStyle name="Header2 3 2 14" xfId="9807"/>
    <cellStyle name="Header2 3 2 14 2" xfId="21004"/>
    <cellStyle name="Header2 3 2 14 3" xfId="32172"/>
    <cellStyle name="Header2 3 2 14 4" xfId="43337"/>
    <cellStyle name="Header2 3 2 14 5" xfId="54530"/>
    <cellStyle name="Header2 3 2 15" xfId="10709"/>
    <cellStyle name="Header2 3 2 15 2" xfId="21906"/>
    <cellStyle name="Header2 3 2 15 3" xfId="33074"/>
    <cellStyle name="Header2 3 2 15 4" xfId="44239"/>
    <cellStyle name="Header2 3 2 15 5" xfId="55432"/>
    <cellStyle name="Header2 3 2 16" xfId="11356"/>
    <cellStyle name="Header2 3 2 17" xfId="22526"/>
    <cellStyle name="Header2 3 2 18" xfId="33693"/>
    <cellStyle name="Header2 3 2 19" xfId="44879"/>
    <cellStyle name="Header2 3 2 2" xfId="805"/>
    <cellStyle name="Header2 3 2 2 2" xfId="12002"/>
    <cellStyle name="Header2 3 2 2 3" xfId="23170"/>
    <cellStyle name="Header2 3 2 2 4" xfId="34335"/>
    <cellStyle name="Header2 3 2 2 5" xfId="45528"/>
    <cellStyle name="Header2 3 2 3" xfId="1532"/>
    <cellStyle name="Header2 3 2 3 2" xfId="12729"/>
    <cellStyle name="Header2 3 2 3 3" xfId="23897"/>
    <cellStyle name="Header2 3 2 3 4" xfId="35062"/>
    <cellStyle name="Header2 3 2 3 5" xfId="46255"/>
    <cellStyle name="Header2 3 2 4" xfId="2294"/>
    <cellStyle name="Header2 3 2 4 2" xfId="13491"/>
    <cellStyle name="Header2 3 2 4 3" xfId="24659"/>
    <cellStyle name="Header2 3 2 4 4" xfId="35824"/>
    <cellStyle name="Header2 3 2 4 5" xfId="47017"/>
    <cellStyle name="Header2 3 2 5" xfId="3140"/>
    <cellStyle name="Header2 3 2 5 2" xfId="14337"/>
    <cellStyle name="Header2 3 2 5 3" xfId="25505"/>
    <cellStyle name="Header2 3 2 5 4" xfId="36670"/>
    <cellStyle name="Header2 3 2 5 5" xfId="47863"/>
    <cellStyle name="Header2 3 2 6" xfId="3774"/>
    <cellStyle name="Header2 3 2 6 2" xfId="14971"/>
    <cellStyle name="Header2 3 2 6 3" xfId="26139"/>
    <cellStyle name="Header2 3 2 6 4" xfId="37304"/>
    <cellStyle name="Header2 3 2 6 5" xfId="48497"/>
    <cellStyle name="Header2 3 2 7" xfId="4407"/>
    <cellStyle name="Header2 3 2 7 2" xfId="15604"/>
    <cellStyle name="Header2 3 2 7 3" xfId="26772"/>
    <cellStyle name="Header2 3 2 7 4" xfId="37937"/>
    <cellStyle name="Header2 3 2 7 5" xfId="49130"/>
    <cellStyle name="Header2 3 2 8" xfId="5038"/>
    <cellStyle name="Header2 3 2 8 2" xfId="16235"/>
    <cellStyle name="Header2 3 2 8 3" xfId="27403"/>
    <cellStyle name="Header2 3 2 8 4" xfId="38568"/>
    <cellStyle name="Header2 3 2 8 5" xfId="49761"/>
    <cellStyle name="Header2 3 2 9" xfId="5780"/>
    <cellStyle name="Header2 3 2 9 2" xfId="16977"/>
    <cellStyle name="Header2 3 2 9 3" xfId="28145"/>
    <cellStyle name="Header2 3 2 9 4" xfId="39310"/>
    <cellStyle name="Header2 3 2 9 5" xfId="50503"/>
    <cellStyle name="Header2 3 20" xfId="6662"/>
    <cellStyle name="Header2 3 20 2" xfId="17859"/>
    <cellStyle name="Header2 3 20 3" xfId="29027"/>
    <cellStyle name="Header2 3 20 4" xfId="40192"/>
    <cellStyle name="Header2 3 20 5" xfId="51385"/>
    <cellStyle name="Header2 3 21" xfId="7294"/>
    <cellStyle name="Header2 3 21 2" xfId="18491"/>
    <cellStyle name="Header2 3 21 3" xfId="29659"/>
    <cellStyle name="Header2 3 21 4" xfId="40824"/>
    <cellStyle name="Header2 3 21 5" xfId="52017"/>
    <cellStyle name="Header2 3 22" xfId="7928"/>
    <cellStyle name="Header2 3 22 2" xfId="19125"/>
    <cellStyle name="Header2 3 22 3" xfId="30293"/>
    <cellStyle name="Header2 3 22 4" xfId="41458"/>
    <cellStyle name="Header2 3 22 5" xfId="52651"/>
    <cellStyle name="Header2 3 23" xfId="8806"/>
    <cellStyle name="Header2 3 23 2" xfId="20003"/>
    <cellStyle name="Header2 3 23 3" xfId="31171"/>
    <cellStyle name="Header2 3 23 4" xfId="42336"/>
    <cellStyle name="Header2 3 23 5" xfId="53529"/>
    <cellStyle name="Header2 3 24" xfId="10212"/>
    <cellStyle name="Header2 3 24 2" xfId="21409"/>
    <cellStyle name="Header2 3 24 3" xfId="32577"/>
    <cellStyle name="Header2 3 24 4" xfId="43742"/>
    <cellStyle name="Header2 3 24 5" xfId="54935"/>
    <cellStyle name="Header2 3 25" xfId="10646"/>
    <cellStyle name="Header2 3 25 2" xfId="21843"/>
    <cellStyle name="Header2 3 25 3" xfId="33011"/>
    <cellStyle name="Header2 3 25 4" xfId="44176"/>
    <cellStyle name="Header2 3 25 5" xfId="55369"/>
    <cellStyle name="Header2 3 26" xfId="11292"/>
    <cellStyle name="Header2 3 27" xfId="22463"/>
    <cellStyle name="Header2 3 28" xfId="33630"/>
    <cellStyle name="Header2 3 29" xfId="44814"/>
    <cellStyle name="Header2 3 3" xfId="212"/>
    <cellStyle name="Header2 3 3 10" xfId="6781"/>
    <cellStyle name="Header2 3 3 10 2" xfId="17978"/>
    <cellStyle name="Header2 3 3 10 3" xfId="29146"/>
    <cellStyle name="Header2 3 3 10 4" xfId="40311"/>
    <cellStyle name="Header2 3 3 10 5" xfId="51504"/>
    <cellStyle name="Header2 3 3 11" xfId="7415"/>
    <cellStyle name="Header2 3 3 11 2" xfId="18612"/>
    <cellStyle name="Header2 3 3 11 3" xfId="29780"/>
    <cellStyle name="Header2 3 3 11 4" xfId="40945"/>
    <cellStyle name="Header2 3 3 11 5" xfId="52138"/>
    <cellStyle name="Header2 3 3 12" xfId="8049"/>
    <cellStyle name="Header2 3 3 12 2" xfId="19246"/>
    <cellStyle name="Header2 3 3 12 3" xfId="30414"/>
    <cellStyle name="Header2 3 3 12 4" xfId="41579"/>
    <cellStyle name="Header2 3 3 12 5" xfId="52772"/>
    <cellStyle name="Header2 3 3 13" xfId="8839"/>
    <cellStyle name="Header2 3 3 13 2" xfId="20036"/>
    <cellStyle name="Header2 3 3 13 3" xfId="31204"/>
    <cellStyle name="Header2 3 3 13 4" xfId="42369"/>
    <cellStyle name="Header2 3 3 13 5" xfId="53562"/>
    <cellStyle name="Header2 3 3 14" xfId="10153"/>
    <cellStyle name="Header2 3 3 14 2" xfId="21350"/>
    <cellStyle name="Header2 3 3 14 3" xfId="32518"/>
    <cellStyle name="Header2 3 3 14 4" xfId="43683"/>
    <cellStyle name="Header2 3 3 14 5" xfId="54876"/>
    <cellStyle name="Header2 3 3 15" xfId="10765"/>
    <cellStyle name="Header2 3 3 15 2" xfId="21962"/>
    <cellStyle name="Header2 3 3 15 3" xfId="33130"/>
    <cellStyle name="Header2 3 3 15 4" xfId="44295"/>
    <cellStyle name="Header2 3 3 15 5" xfId="55488"/>
    <cellStyle name="Header2 3 3 16" xfId="11412"/>
    <cellStyle name="Header2 3 3 17" xfId="22582"/>
    <cellStyle name="Header2 3 3 18" xfId="33749"/>
    <cellStyle name="Header2 3 3 19" xfId="44935"/>
    <cellStyle name="Header2 3 3 2" xfId="861"/>
    <cellStyle name="Header2 3 3 2 2" xfId="12058"/>
    <cellStyle name="Header2 3 3 2 3" xfId="23226"/>
    <cellStyle name="Header2 3 3 2 4" xfId="34391"/>
    <cellStyle name="Header2 3 3 2 5" xfId="45584"/>
    <cellStyle name="Header2 3 3 3" xfId="1461"/>
    <cellStyle name="Header2 3 3 3 2" xfId="12658"/>
    <cellStyle name="Header2 3 3 3 3" xfId="23826"/>
    <cellStyle name="Header2 3 3 3 4" xfId="34991"/>
    <cellStyle name="Header2 3 3 3 5" xfId="46184"/>
    <cellStyle name="Header2 3 3 4" xfId="2161"/>
    <cellStyle name="Header2 3 3 4 2" xfId="13358"/>
    <cellStyle name="Header2 3 3 4 3" xfId="24526"/>
    <cellStyle name="Header2 3 3 4 4" xfId="35691"/>
    <cellStyle name="Header2 3 3 4 5" xfId="46884"/>
    <cellStyle name="Header2 3 3 5" xfId="3196"/>
    <cellStyle name="Header2 3 3 5 2" xfId="14393"/>
    <cellStyle name="Header2 3 3 5 3" xfId="25561"/>
    <cellStyle name="Header2 3 3 5 4" xfId="36726"/>
    <cellStyle name="Header2 3 3 5 5" xfId="47919"/>
    <cellStyle name="Header2 3 3 6" xfId="3830"/>
    <cellStyle name="Header2 3 3 6 2" xfId="15027"/>
    <cellStyle name="Header2 3 3 6 3" xfId="26195"/>
    <cellStyle name="Header2 3 3 6 4" xfId="37360"/>
    <cellStyle name="Header2 3 3 6 5" xfId="48553"/>
    <cellStyle name="Header2 3 3 7" xfId="4463"/>
    <cellStyle name="Header2 3 3 7 2" xfId="15660"/>
    <cellStyle name="Header2 3 3 7 3" xfId="26828"/>
    <cellStyle name="Header2 3 3 7 4" xfId="37993"/>
    <cellStyle name="Header2 3 3 7 5" xfId="49186"/>
    <cellStyle name="Header2 3 3 8" xfId="5094"/>
    <cellStyle name="Header2 3 3 8 2" xfId="16291"/>
    <cellStyle name="Header2 3 3 8 3" xfId="27459"/>
    <cellStyle name="Header2 3 3 8 4" xfId="38624"/>
    <cellStyle name="Header2 3 3 8 5" xfId="49817"/>
    <cellStyle name="Header2 3 3 9" xfId="5759"/>
    <cellStyle name="Header2 3 3 9 2" xfId="16956"/>
    <cellStyle name="Header2 3 3 9 3" xfId="28124"/>
    <cellStyle name="Header2 3 3 9 4" xfId="39289"/>
    <cellStyle name="Header2 3 3 9 5" xfId="50482"/>
    <cellStyle name="Header2 3 4" xfId="60"/>
    <cellStyle name="Header2 3 4 10" xfId="6631"/>
    <cellStyle name="Header2 3 4 10 2" xfId="17828"/>
    <cellStyle name="Header2 3 4 10 3" xfId="28996"/>
    <cellStyle name="Header2 3 4 10 4" xfId="40161"/>
    <cellStyle name="Header2 3 4 10 5" xfId="51354"/>
    <cellStyle name="Header2 3 4 11" xfId="7264"/>
    <cellStyle name="Header2 3 4 11 2" xfId="18461"/>
    <cellStyle name="Header2 3 4 11 3" xfId="29629"/>
    <cellStyle name="Header2 3 4 11 4" xfId="40794"/>
    <cellStyle name="Header2 3 4 11 5" xfId="51987"/>
    <cellStyle name="Header2 3 4 12" xfId="7897"/>
    <cellStyle name="Header2 3 4 12 2" xfId="19094"/>
    <cellStyle name="Header2 3 4 12 3" xfId="30262"/>
    <cellStyle name="Header2 3 4 12 4" xfId="41427"/>
    <cellStyle name="Header2 3 4 12 5" xfId="52620"/>
    <cellStyle name="Header2 3 4 13" xfId="8698"/>
    <cellStyle name="Header2 3 4 13 2" xfId="19895"/>
    <cellStyle name="Header2 3 4 13 3" xfId="31063"/>
    <cellStyle name="Header2 3 4 13 4" xfId="42228"/>
    <cellStyle name="Header2 3 4 13 5" xfId="53421"/>
    <cellStyle name="Header2 3 4 14" xfId="9908"/>
    <cellStyle name="Header2 3 4 14 2" xfId="21105"/>
    <cellStyle name="Header2 3 4 14 3" xfId="32273"/>
    <cellStyle name="Header2 3 4 14 4" xfId="43438"/>
    <cellStyle name="Header2 3 4 14 5" xfId="54631"/>
    <cellStyle name="Header2 3 4 15" xfId="10623"/>
    <cellStyle name="Header2 3 4 15 2" xfId="21820"/>
    <cellStyle name="Header2 3 4 15 3" xfId="32988"/>
    <cellStyle name="Header2 3 4 15 4" xfId="44153"/>
    <cellStyle name="Header2 3 4 15 5" xfId="55346"/>
    <cellStyle name="Header2 3 4 16" xfId="11262"/>
    <cellStyle name="Header2 3 4 17" xfId="39"/>
    <cellStyle name="Header2 3 4 18" xfId="11275"/>
    <cellStyle name="Header2 3 4 19" xfId="44789"/>
    <cellStyle name="Header2 3 4 2" xfId="715"/>
    <cellStyle name="Header2 3 4 2 2" xfId="11913"/>
    <cellStyle name="Header2 3 4 2 3" xfId="23082"/>
    <cellStyle name="Header2 3 4 2 4" xfId="34249"/>
    <cellStyle name="Header2 3 4 2 5" xfId="45438"/>
    <cellStyle name="Header2 3 4 3" xfId="1959"/>
    <cellStyle name="Header2 3 4 3 2" xfId="13156"/>
    <cellStyle name="Header2 3 4 3 3" xfId="24324"/>
    <cellStyle name="Header2 3 4 3 4" xfId="35489"/>
    <cellStyle name="Header2 3 4 3 5" xfId="46682"/>
    <cellStyle name="Header2 3 4 4" xfId="2568"/>
    <cellStyle name="Header2 3 4 4 2" xfId="13765"/>
    <cellStyle name="Header2 3 4 4 3" xfId="24933"/>
    <cellStyle name="Header2 3 4 4 4" xfId="36098"/>
    <cellStyle name="Header2 3 4 4 5" xfId="47291"/>
    <cellStyle name="Header2 3 4 5" xfId="3045"/>
    <cellStyle name="Header2 3 4 5 2" xfId="14242"/>
    <cellStyle name="Header2 3 4 5 3" xfId="25410"/>
    <cellStyle name="Header2 3 4 5 4" xfId="36575"/>
    <cellStyle name="Header2 3 4 5 5" xfId="47768"/>
    <cellStyle name="Header2 3 4 6" xfId="3679"/>
    <cellStyle name="Header2 3 4 6 2" xfId="14876"/>
    <cellStyle name="Header2 3 4 6 3" xfId="26044"/>
    <cellStyle name="Header2 3 4 6 4" xfId="37209"/>
    <cellStyle name="Header2 3 4 6 5" xfId="48402"/>
    <cellStyle name="Header2 3 4 7" xfId="4311"/>
    <cellStyle name="Header2 3 4 7 2" xfId="15508"/>
    <cellStyle name="Header2 3 4 7 3" xfId="26676"/>
    <cellStyle name="Header2 3 4 7 4" xfId="37841"/>
    <cellStyle name="Header2 3 4 7 5" xfId="49034"/>
    <cellStyle name="Header2 3 4 8" xfId="4944"/>
    <cellStyle name="Header2 3 4 8 2" xfId="16141"/>
    <cellStyle name="Header2 3 4 8 3" xfId="27309"/>
    <cellStyle name="Header2 3 4 8 4" xfId="38474"/>
    <cellStyle name="Header2 3 4 8 5" xfId="49667"/>
    <cellStyle name="Header2 3 4 9" xfId="5837"/>
    <cellStyle name="Header2 3 4 9 2" xfId="17034"/>
    <cellStyle name="Header2 3 4 9 3" xfId="28202"/>
    <cellStyle name="Header2 3 4 9 4" xfId="39367"/>
    <cellStyle name="Header2 3 4 9 5" xfId="50560"/>
    <cellStyle name="Header2 3 5" xfId="273"/>
    <cellStyle name="Header2 3 5 10" xfId="6842"/>
    <cellStyle name="Header2 3 5 10 2" xfId="18039"/>
    <cellStyle name="Header2 3 5 10 3" xfId="29207"/>
    <cellStyle name="Header2 3 5 10 4" xfId="40372"/>
    <cellStyle name="Header2 3 5 10 5" xfId="51565"/>
    <cellStyle name="Header2 3 5 11" xfId="7476"/>
    <cellStyle name="Header2 3 5 11 2" xfId="18673"/>
    <cellStyle name="Header2 3 5 11 3" xfId="29841"/>
    <cellStyle name="Header2 3 5 11 4" xfId="41006"/>
    <cellStyle name="Header2 3 5 11 5" xfId="52199"/>
    <cellStyle name="Header2 3 5 12" xfId="8110"/>
    <cellStyle name="Header2 3 5 12 2" xfId="19307"/>
    <cellStyle name="Header2 3 5 12 3" xfId="30475"/>
    <cellStyle name="Header2 3 5 12 4" xfId="41640"/>
    <cellStyle name="Header2 3 5 12 5" xfId="52833"/>
    <cellStyle name="Header2 3 5 13" xfId="9161"/>
    <cellStyle name="Header2 3 5 13 2" xfId="20358"/>
    <cellStyle name="Header2 3 5 13 3" xfId="31526"/>
    <cellStyle name="Header2 3 5 13 4" xfId="42691"/>
    <cellStyle name="Header2 3 5 13 5" xfId="53884"/>
    <cellStyle name="Header2 3 5 14" xfId="10484"/>
    <cellStyle name="Header2 3 5 14 2" xfId="21681"/>
    <cellStyle name="Header2 3 5 14 3" xfId="32849"/>
    <cellStyle name="Header2 3 5 14 4" xfId="44014"/>
    <cellStyle name="Header2 3 5 14 5" xfId="55207"/>
    <cellStyle name="Header2 3 5 15" xfId="10826"/>
    <cellStyle name="Header2 3 5 15 2" xfId="22023"/>
    <cellStyle name="Header2 3 5 15 3" xfId="33191"/>
    <cellStyle name="Header2 3 5 15 4" xfId="44356"/>
    <cellStyle name="Header2 3 5 15 5" xfId="55549"/>
    <cellStyle name="Header2 3 5 16" xfId="11473"/>
    <cellStyle name="Header2 3 5 17" xfId="22643"/>
    <cellStyle name="Header2 3 5 18" xfId="33810"/>
    <cellStyle name="Header2 3 5 19" xfId="44996"/>
    <cellStyle name="Header2 3 5 2" xfId="922"/>
    <cellStyle name="Header2 3 5 2 2" xfId="12119"/>
    <cellStyle name="Header2 3 5 2 3" xfId="23287"/>
    <cellStyle name="Header2 3 5 2 4" xfId="34452"/>
    <cellStyle name="Header2 3 5 2 5" xfId="45645"/>
    <cellStyle name="Header2 3 5 3" xfId="1780"/>
    <cellStyle name="Header2 3 5 3 2" xfId="12977"/>
    <cellStyle name="Header2 3 5 3 3" xfId="24145"/>
    <cellStyle name="Header2 3 5 3 4" xfId="35310"/>
    <cellStyle name="Header2 3 5 3 5" xfId="46503"/>
    <cellStyle name="Header2 3 5 4" xfId="2623"/>
    <cellStyle name="Header2 3 5 4 2" xfId="13820"/>
    <cellStyle name="Header2 3 5 4 3" xfId="24988"/>
    <cellStyle name="Header2 3 5 4 4" xfId="36153"/>
    <cellStyle name="Header2 3 5 4 5" xfId="47346"/>
    <cellStyle name="Header2 3 5 5" xfId="3257"/>
    <cellStyle name="Header2 3 5 5 2" xfId="14454"/>
    <cellStyle name="Header2 3 5 5 3" xfId="25622"/>
    <cellStyle name="Header2 3 5 5 4" xfId="36787"/>
    <cellStyle name="Header2 3 5 5 5" xfId="47980"/>
    <cellStyle name="Header2 3 5 6" xfId="3891"/>
    <cellStyle name="Header2 3 5 6 2" xfId="15088"/>
    <cellStyle name="Header2 3 5 6 3" xfId="26256"/>
    <cellStyle name="Header2 3 5 6 4" xfId="37421"/>
    <cellStyle name="Header2 3 5 6 5" xfId="48614"/>
    <cellStyle name="Header2 3 5 7" xfId="4524"/>
    <cellStyle name="Header2 3 5 7 2" xfId="15721"/>
    <cellStyle name="Header2 3 5 7 3" xfId="26889"/>
    <cellStyle name="Header2 3 5 7 4" xfId="38054"/>
    <cellStyle name="Header2 3 5 7 5" xfId="49247"/>
    <cellStyle name="Header2 3 5 8" xfId="5155"/>
    <cellStyle name="Header2 3 5 8 2" xfId="16352"/>
    <cellStyle name="Header2 3 5 8 3" xfId="27520"/>
    <cellStyle name="Header2 3 5 8 4" xfId="38685"/>
    <cellStyle name="Header2 3 5 8 5" xfId="49878"/>
    <cellStyle name="Header2 3 5 9" xfId="6209"/>
    <cellStyle name="Header2 3 5 9 2" xfId="17406"/>
    <cellStyle name="Header2 3 5 9 3" xfId="28574"/>
    <cellStyle name="Header2 3 5 9 4" xfId="39739"/>
    <cellStyle name="Header2 3 5 9 5" xfId="50932"/>
    <cellStyle name="Header2 3 6" xfId="370"/>
    <cellStyle name="Header2 3 6 10" xfId="6939"/>
    <cellStyle name="Header2 3 6 10 2" xfId="18136"/>
    <cellStyle name="Header2 3 6 10 3" xfId="29304"/>
    <cellStyle name="Header2 3 6 10 4" xfId="40469"/>
    <cellStyle name="Header2 3 6 10 5" xfId="51662"/>
    <cellStyle name="Header2 3 6 11" xfId="7573"/>
    <cellStyle name="Header2 3 6 11 2" xfId="18770"/>
    <cellStyle name="Header2 3 6 11 3" xfId="29938"/>
    <cellStyle name="Header2 3 6 11 4" xfId="41103"/>
    <cellStyle name="Header2 3 6 11 5" xfId="52296"/>
    <cellStyle name="Header2 3 6 12" xfId="8207"/>
    <cellStyle name="Header2 3 6 12 2" xfId="19404"/>
    <cellStyle name="Header2 3 6 12 3" xfId="30572"/>
    <cellStyle name="Header2 3 6 12 4" xfId="41737"/>
    <cellStyle name="Header2 3 6 12 5" xfId="52930"/>
    <cellStyle name="Header2 3 6 13" xfId="9258"/>
    <cellStyle name="Header2 3 6 13 2" xfId="20455"/>
    <cellStyle name="Header2 3 6 13 3" xfId="31623"/>
    <cellStyle name="Header2 3 6 13 4" xfId="42788"/>
    <cellStyle name="Header2 3 6 13 5" xfId="53981"/>
    <cellStyle name="Header2 3 6 14" xfId="10555"/>
    <cellStyle name="Header2 3 6 14 2" xfId="21752"/>
    <cellStyle name="Header2 3 6 14 3" xfId="32920"/>
    <cellStyle name="Header2 3 6 14 4" xfId="44085"/>
    <cellStyle name="Header2 3 6 14 5" xfId="55278"/>
    <cellStyle name="Header2 3 6 15" xfId="10923"/>
    <cellStyle name="Header2 3 6 15 2" xfId="22120"/>
    <cellStyle name="Header2 3 6 15 3" xfId="33288"/>
    <cellStyle name="Header2 3 6 15 4" xfId="44453"/>
    <cellStyle name="Header2 3 6 15 5" xfId="55646"/>
    <cellStyle name="Header2 3 6 16" xfId="11570"/>
    <cellStyle name="Header2 3 6 17" xfId="22740"/>
    <cellStyle name="Header2 3 6 18" xfId="33907"/>
    <cellStyle name="Header2 3 6 19" xfId="45093"/>
    <cellStyle name="Header2 3 6 2" xfId="1019"/>
    <cellStyle name="Header2 3 6 2 2" xfId="12216"/>
    <cellStyle name="Header2 3 6 2 3" xfId="23384"/>
    <cellStyle name="Header2 3 6 2 4" xfId="34549"/>
    <cellStyle name="Header2 3 6 2 5" xfId="45742"/>
    <cellStyle name="Header2 3 6 3" xfId="1929"/>
    <cellStyle name="Header2 3 6 3 2" xfId="13126"/>
    <cellStyle name="Header2 3 6 3 3" xfId="24294"/>
    <cellStyle name="Header2 3 6 3 4" xfId="35459"/>
    <cellStyle name="Header2 3 6 3 5" xfId="46652"/>
    <cellStyle name="Header2 3 6 4" xfId="2720"/>
    <cellStyle name="Header2 3 6 4 2" xfId="13917"/>
    <cellStyle name="Header2 3 6 4 3" xfId="25085"/>
    <cellStyle name="Header2 3 6 4 4" xfId="36250"/>
    <cellStyle name="Header2 3 6 4 5" xfId="47443"/>
    <cellStyle name="Header2 3 6 5" xfId="3354"/>
    <cellStyle name="Header2 3 6 5 2" xfId="14551"/>
    <cellStyle name="Header2 3 6 5 3" xfId="25719"/>
    <cellStyle name="Header2 3 6 5 4" xfId="36884"/>
    <cellStyle name="Header2 3 6 5 5" xfId="48077"/>
    <cellStyle name="Header2 3 6 6" xfId="3988"/>
    <cellStyle name="Header2 3 6 6 2" xfId="15185"/>
    <cellStyle name="Header2 3 6 6 3" xfId="26353"/>
    <cellStyle name="Header2 3 6 6 4" xfId="37518"/>
    <cellStyle name="Header2 3 6 6 5" xfId="48711"/>
    <cellStyle name="Header2 3 6 7" xfId="4621"/>
    <cellStyle name="Header2 3 6 7 2" xfId="15818"/>
    <cellStyle name="Header2 3 6 7 3" xfId="26986"/>
    <cellStyle name="Header2 3 6 7 4" xfId="38151"/>
    <cellStyle name="Header2 3 6 7 5" xfId="49344"/>
    <cellStyle name="Header2 3 6 8" xfId="5252"/>
    <cellStyle name="Header2 3 6 8 2" xfId="16449"/>
    <cellStyle name="Header2 3 6 8 3" xfId="27617"/>
    <cellStyle name="Header2 3 6 8 4" xfId="38782"/>
    <cellStyle name="Header2 3 6 8 5" xfId="49975"/>
    <cellStyle name="Header2 3 6 9" xfId="6306"/>
    <cellStyle name="Header2 3 6 9 2" xfId="17503"/>
    <cellStyle name="Header2 3 6 9 3" xfId="28671"/>
    <cellStyle name="Header2 3 6 9 4" xfId="39836"/>
    <cellStyle name="Header2 3 6 9 5" xfId="51029"/>
    <cellStyle name="Header2 3 7" xfId="415"/>
    <cellStyle name="Header2 3 7 10" xfId="6984"/>
    <cellStyle name="Header2 3 7 10 2" xfId="18181"/>
    <cellStyle name="Header2 3 7 10 3" xfId="29349"/>
    <cellStyle name="Header2 3 7 10 4" xfId="40514"/>
    <cellStyle name="Header2 3 7 10 5" xfId="51707"/>
    <cellStyle name="Header2 3 7 11" xfId="7618"/>
    <cellStyle name="Header2 3 7 11 2" xfId="18815"/>
    <cellStyle name="Header2 3 7 11 3" xfId="29983"/>
    <cellStyle name="Header2 3 7 11 4" xfId="41148"/>
    <cellStyle name="Header2 3 7 11 5" xfId="52341"/>
    <cellStyle name="Header2 3 7 12" xfId="8252"/>
    <cellStyle name="Header2 3 7 12 2" xfId="19449"/>
    <cellStyle name="Header2 3 7 12 3" xfId="30617"/>
    <cellStyle name="Header2 3 7 12 4" xfId="41782"/>
    <cellStyle name="Header2 3 7 12 5" xfId="52975"/>
    <cellStyle name="Header2 3 7 13" xfId="9303"/>
    <cellStyle name="Header2 3 7 13 2" xfId="20500"/>
    <cellStyle name="Header2 3 7 13 3" xfId="31668"/>
    <cellStyle name="Header2 3 7 13 4" xfId="42833"/>
    <cellStyle name="Header2 3 7 13 5" xfId="54026"/>
    <cellStyle name="Header2 3 7 14" xfId="10507"/>
    <cellStyle name="Header2 3 7 14 2" xfId="21704"/>
    <cellStyle name="Header2 3 7 14 3" xfId="32872"/>
    <cellStyle name="Header2 3 7 14 4" xfId="44037"/>
    <cellStyle name="Header2 3 7 14 5" xfId="55230"/>
    <cellStyle name="Header2 3 7 15" xfId="10968"/>
    <cellStyle name="Header2 3 7 15 2" xfId="22165"/>
    <cellStyle name="Header2 3 7 15 3" xfId="33333"/>
    <cellStyle name="Header2 3 7 15 4" xfId="44498"/>
    <cellStyle name="Header2 3 7 15 5" xfId="55691"/>
    <cellStyle name="Header2 3 7 16" xfId="11615"/>
    <cellStyle name="Header2 3 7 17" xfId="22785"/>
    <cellStyle name="Header2 3 7 18" xfId="33952"/>
    <cellStyle name="Header2 3 7 19" xfId="45138"/>
    <cellStyle name="Header2 3 7 2" xfId="1064"/>
    <cellStyle name="Header2 3 7 2 2" xfId="12261"/>
    <cellStyle name="Header2 3 7 2 3" xfId="23429"/>
    <cellStyle name="Header2 3 7 2 4" xfId="34594"/>
    <cellStyle name="Header2 3 7 2 5" xfId="45787"/>
    <cellStyle name="Header2 3 7 3" xfId="1404"/>
    <cellStyle name="Header2 3 7 3 2" xfId="12601"/>
    <cellStyle name="Header2 3 7 3 3" xfId="23769"/>
    <cellStyle name="Header2 3 7 3 4" xfId="34934"/>
    <cellStyle name="Header2 3 7 3 5" xfId="46127"/>
    <cellStyle name="Header2 3 7 4" xfId="2765"/>
    <cellStyle name="Header2 3 7 4 2" xfId="13962"/>
    <cellStyle name="Header2 3 7 4 3" xfId="25130"/>
    <cellStyle name="Header2 3 7 4 4" xfId="36295"/>
    <cellStyle name="Header2 3 7 4 5" xfId="47488"/>
    <cellStyle name="Header2 3 7 5" xfId="3399"/>
    <cellStyle name="Header2 3 7 5 2" xfId="14596"/>
    <cellStyle name="Header2 3 7 5 3" xfId="25764"/>
    <cellStyle name="Header2 3 7 5 4" xfId="36929"/>
    <cellStyle name="Header2 3 7 5 5" xfId="48122"/>
    <cellStyle name="Header2 3 7 6" xfId="4033"/>
    <cellStyle name="Header2 3 7 6 2" xfId="15230"/>
    <cellStyle name="Header2 3 7 6 3" xfId="26398"/>
    <cellStyle name="Header2 3 7 6 4" xfId="37563"/>
    <cellStyle name="Header2 3 7 6 5" xfId="48756"/>
    <cellStyle name="Header2 3 7 7" xfId="4666"/>
    <cellStyle name="Header2 3 7 7 2" xfId="15863"/>
    <cellStyle name="Header2 3 7 7 3" xfId="27031"/>
    <cellStyle name="Header2 3 7 7 4" xfId="38196"/>
    <cellStyle name="Header2 3 7 7 5" xfId="49389"/>
    <cellStyle name="Header2 3 7 8" xfId="5297"/>
    <cellStyle name="Header2 3 7 8 2" xfId="16494"/>
    <cellStyle name="Header2 3 7 8 3" xfId="27662"/>
    <cellStyle name="Header2 3 7 8 4" xfId="38827"/>
    <cellStyle name="Header2 3 7 8 5" xfId="50020"/>
    <cellStyle name="Header2 3 7 9" xfId="6351"/>
    <cellStyle name="Header2 3 7 9 2" xfId="17548"/>
    <cellStyle name="Header2 3 7 9 3" xfId="28716"/>
    <cellStyle name="Header2 3 7 9 4" xfId="39881"/>
    <cellStyle name="Header2 3 7 9 5" xfId="51074"/>
    <cellStyle name="Header2 3 8" xfId="500"/>
    <cellStyle name="Header2 3 8 10" xfId="7069"/>
    <cellStyle name="Header2 3 8 10 2" xfId="18266"/>
    <cellStyle name="Header2 3 8 10 3" xfId="29434"/>
    <cellStyle name="Header2 3 8 10 4" xfId="40599"/>
    <cellStyle name="Header2 3 8 10 5" xfId="51792"/>
    <cellStyle name="Header2 3 8 11" xfId="7703"/>
    <cellStyle name="Header2 3 8 11 2" xfId="18900"/>
    <cellStyle name="Header2 3 8 11 3" xfId="30068"/>
    <cellStyle name="Header2 3 8 11 4" xfId="41233"/>
    <cellStyle name="Header2 3 8 11 5" xfId="52426"/>
    <cellStyle name="Header2 3 8 12" xfId="8337"/>
    <cellStyle name="Header2 3 8 12 2" xfId="19534"/>
    <cellStyle name="Header2 3 8 12 3" xfId="30702"/>
    <cellStyle name="Header2 3 8 12 4" xfId="41867"/>
    <cellStyle name="Header2 3 8 12 5" xfId="53060"/>
    <cellStyle name="Header2 3 8 13" xfId="9388"/>
    <cellStyle name="Header2 3 8 13 2" xfId="20585"/>
    <cellStyle name="Header2 3 8 13 3" xfId="31753"/>
    <cellStyle name="Header2 3 8 13 4" xfId="42918"/>
    <cellStyle name="Header2 3 8 13 5" xfId="54111"/>
    <cellStyle name="Header2 3 8 14" xfId="10436"/>
    <cellStyle name="Header2 3 8 14 2" xfId="21633"/>
    <cellStyle name="Header2 3 8 14 3" xfId="32801"/>
    <cellStyle name="Header2 3 8 14 4" xfId="43966"/>
    <cellStyle name="Header2 3 8 14 5" xfId="55159"/>
    <cellStyle name="Header2 3 8 15" xfId="11053"/>
    <cellStyle name="Header2 3 8 15 2" xfId="22250"/>
    <cellStyle name="Header2 3 8 15 3" xfId="33418"/>
    <cellStyle name="Header2 3 8 15 4" xfId="44583"/>
    <cellStyle name="Header2 3 8 15 5" xfId="55776"/>
    <cellStyle name="Header2 3 8 16" xfId="11700"/>
    <cellStyle name="Header2 3 8 17" xfId="22870"/>
    <cellStyle name="Header2 3 8 18" xfId="34037"/>
    <cellStyle name="Header2 3 8 19" xfId="45223"/>
    <cellStyle name="Header2 3 8 2" xfId="1149"/>
    <cellStyle name="Header2 3 8 2 2" xfId="12346"/>
    <cellStyle name="Header2 3 8 2 3" xfId="23514"/>
    <cellStyle name="Header2 3 8 2 4" xfId="34679"/>
    <cellStyle name="Header2 3 8 2 5" xfId="45872"/>
    <cellStyle name="Header2 3 8 3" xfId="1728"/>
    <cellStyle name="Header2 3 8 3 2" xfId="12925"/>
    <cellStyle name="Header2 3 8 3 3" xfId="24093"/>
    <cellStyle name="Header2 3 8 3 4" xfId="35258"/>
    <cellStyle name="Header2 3 8 3 5" xfId="46451"/>
    <cellStyle name="Header2 3 8 4" xfId="2850"/>
    <cellStyle name="Header2 3 8 4 2" xfId="14047"/>
    <cellStyle name="Header2 3 8 4 3" xfId="25215"/>
    <cellStyle name="Header2 3 8 4 4" xfId="36380"/>
    <cellStyle name="Header2 3 8 4 5" xfId="47573"/>
    <cellStyle name="Header2 3 8 5" xfId="3484"/>
    <cellStyle name="Header2 3 8 5 2" xfId="14681"/>
    <cellStyle name="Header2 3 8 5 3" xfId="25849"/>
    <cellStyle name="Header2 3 8 5 4" xfId="37014"/>
    <cellStyle name="Header2 3 8 5 5" xfId="48207"/>
    <cellStyle name="Header2 3 8 6" xfId="4118"/>
    <cellStyle name="Header2 3 8 6 2" xfId="15315"/>
    <cellStyle name="Header2 3 8 6 3" xfId="26483"/>
    <cellStyle name="Header2 3 8 6 4" xfId="37648"/>
    <cellStyle name="Header2 3 8 6 5" xfId="48841"/>
    <cellStyle name="Header2 3 8 7" xfId="4751"/>
    <cellStyle name="Header2 3 8 7 2" xfId="15948"/>
    <cellStyle name="Header2 3 8 7 3" xfId="27116"/>
    <cellStyle name="Header2 3 8 7 4" xfId="38281"/>
    <cellStyle name="Header2 3 8 7 5" xfId="49474"/>
    <cellStyle name="Header2 3 8 8" xfId="5382"/>
    <cellStyle name="Header2 3 8 8 2" xfId="16579"/>
    <cellStyle name="Header2 3 8 8 3" xfId="27747"/>
    <cellStyle name="Header2 3 8 8 4" xfId="38912"/>
    <cellStyle name="Header2 3 8 8 5" xfId="50105"/>
    <cellStyle name="Header2 3 8 9" xfId="6436"/>
    <cellStyle name="Header2 3 8 9 2" xfId="17633"/>
    <cellStyle name="Header2 3 8 9 3" xfId="28801"/>
    <cellStyle name="Header2 3 8 9 4" xfId="39966"/>
    <cellStyle name="Header2 3 8 9 5" xfId="51159"/>
    <cellStyle name="Header2 3 9" xfId="558"/>
    <cellStyle name="Header2 3 9 10" xfId="7127"/>
    <cellStyle name="Header2 3 9 10 2" xfId="18324"/>
    <cellStyle name="Header2 3 9 10 3" xfId="29492"/>
    <cellStyle name="Header2 3 9 10 4" xfId="40657"/>
    <cellStyle name="Header2 3 9 10 5" xfId="51850"/>
    <cellStyle name="Header2 3 9 11" xfId="7761"/>
    <cellStyle name="Header2 3 9 11 2" xfId="18958"/>
    <cellStyle name="Header2 3 9 11 3" xfId="30126"/>
    <cellStyle name="Header2 3 9 11 4" xfId="41291"/>
    <cellStyle name="Header2 3 9 11 5" xfId="52484"/>
    <cellStyle name="Header2 3 9 12" xfId="8395"/>
    <cellStyle name="Header2 3 9 12 2" xfId="19592"/>
    <cellStyle name="Header2 3 9 12 3" xfId="30760"/>
    <cellStyle name="Header2 3 9 12 4" xfId="41925"/>
    <cellStyle name="Header2 3 9 12 5" xfId="53118"/>
    <cellStyle name="Header2 3 9 13" xfId="9446"/>
    <cellStyle name="Header2 3 9 13 2" xfId="20643"/>
    <cellStyle name="Header2 3 9 13 3" xfId="31811"/>
    <cellStyle name="Header2 3 9 13 4" xfId="42976"/>
    <cellStyle name="Header2 3 9 13 5" xfId="54169"/>
    <cellStyle name="Header2 3 9 14" xfId="10227"/>
    <cellStyle name="Header2 3 9 14 2" xfId="21424"/>
    <cellStyle name="Header2 3 9 14 3" xfId="32592"/>
    <cellStyle name="Header2 3 9 14 4" xfId="43757"/>
    <cellStyle name="Header2 3 9 14 5" xfId="54950"/>
    <cellStyle name="Header2 3 9 15" xfId="11111"/>
    <cellStyle name="Header2 3 9 15 2" xfId="22308"/>
    <cellStyle name="Header2 3 9 15 3" xfId="33476"/>
    <cellStyle name="Header2 3 9 15 4" xfId="44641"/>
    <cellStyle name="Header2 3 9 15 5" xfId="55834"/>
    <cellStyle name="Header2 3 9 16" xfId="11758"/>
    <cellStyle name="Header2 3 9 17" xfId="22928"/>
    <cellStyle name="Header2 3 9 18" xfId="34095"/>
    <cellStyle name="Header2 3 9 19" xfId="45281"/>
    <cellStyle name="Header2 3 9 2" xfId="1207"/>
    <cellStyle name="Header2 3 9 2 2" xfId="12404"/>
    <cellStyle name="Header2 3 9 2 3" xfId="23572"/>
    <cellStyle name="Header2 3 9 2 4" xfId="34737"/>
    <cellStyle name="Header2 3 9 2 5" xfId="45930"/>
    <cellStyle name="Header2 3 9 3" xfId="1569"/>
    <cellStyle name="Header2 3 9 3 2" xfId="12766"/>
    <cellStyle name="Header2 3 9 3 3" xfId="23934"/>
    <cellStyle name="Header2 3 9 3 4" xfId="35099"/>
    <cellStyle name="Header2 3 9 3 5" xfId="46292"/>
    <cellStyle name="Header2 3 9 4" xfId="2908"/>
    <cellStyle name="Header2 3 9 4 2" xfId="14105"/>
    <cellStyle name="Header2 3 9 4 3" xfId="25273"/>
    <cellStyle name="Header2 3 9 4 4" xfId="36438"/>
    <cellStyle name="Header2 3 9 4 5" xfId="47631"/>
    <cellStyle name="Header2 3 9 5" xfId="3542"/>
    <cellStyle name="Header2 3 9 5 2" xfId="14739"/>
    <cellStyle name="Header2 3 9 5 3" xfId="25907"/>
    <cellStyle name="Header2 3 9 5 4" xfId="37072"/>
    <cellStyle name="Header2 3 9 5 5" xfId="48265"/>
    <cellStyle name="Header2 3 9 6" xfId="4176"/>
    <cellStyle name="Header2 3 9 6 2" xfId="15373"/>
    <cellStyle name="Header2 3 9 6 3" xfId="26541"/>
    <cellStyle name="Header2 3 9 6 4" xfId="37706"/>
    <cellStyle name="Header2 3 9 6 5" xfId="48899"/>
    <cellStyle name="Header2 3 9 7" xfId="4809"/>
    <cellStyle name="Header2 3 9 7 2" xfId="16006"/>
    <cellStyle name="Header2 3 9 7 3" xfId="27174"/>
    <cellStyle name="Header2 3 9 7 4" xfId="38339"/>
    <cellStyle name="Header2 3 9 7 5" xfId="49532"/>
    <cellStyle name="Header2 3 9 8" xfId="5440"/>
    <cellStyle name="Header2 3 9 8 2" xfId="16637"/>
    <cellStyle name="Header2 3 9 8 3" xfId="27805"/>
    <cellStyle name="Header2 3 9 8 4" xfId="38970"/>
    <cellStyle name="Header2 3 9 8 5" xfId="50163"/>
    <cellStyle name="Header2 3 9 9" xfId="6494"/>
    <cellStyle name="Header2 3 9 9 2" xfId="17691"/>
    <cellStyle name="Header2 3 9 9 3" xfId="28859"/>
    <cellStyle name="Header2 3 9 9 4" xfId="40024"/>
    <cellStyle name="Header2 3 9 9 5" xfId="51217"/>
    <cellStyle name="Header2 4" xfId="110"/>
    <cellStyle name="Header2 4 10" xfId="643"/>
    <cellStyle name="Header2 4 10 10" xfId="7212"/>
    <cellStyle name="Header2 4 10 10 2" xfId="18409"/>
    <cellStyle name="Header2 4 10 10 3" xfId="29577"/>
    <cellStyle name="Header2 4 10 10 4" xfId="40742"/>
    <cellStyle name="Header2 4 10 10 5" xfId="51935"/>
    <cellStyle name="Header2 4 10 11" xfId="7846"/>
    <cellStyle name="Header2 4 10 11 2" xfId="19043"/>
    <cellStyle name="Header2 4 10 11 3" xfId="30211"/>
    <cellStyle name="Header2 4 10 11 4" xfId="41376"/>
    <cellStyle name="Header2 4 10 11 5" xfId="52569"/>
    <cellStyle name="Header2 4 10 12" xfId="8480"/>
    <cellStyle name="Header2 4 10 12 2" xfId="19677"/>
    <cellStyle name="Header2 4 10 12 3" xfId="30845"/>
    <cellStyle name="Header2 4 10 12 4" xfId="42010"/>
    <cellStyle name="Header2 4 10 12 5" xfId="53203"/>
    <cellStyle name="Header2 4 10 13" xfId="9531"/>
    <cellStyle name="Header2 4 10 13 2" xfId="20728"/>
    <cellStyle name="Header2 4 10 13 3" xfId="31896"/>
    <cellStyle name="Header2 4 10 13 4" xfId="43061"/>
    <cellStyle name="Header2 4 10 13 5" xfId="54254"/>
    <cellStyle name="Header2 4 10 14" xfId="10509"/>
    <cellStyle name="Header2 4 10 14 2" xfId="21706"/>
    <cellStyle name="Header2 4 10 14 3" xfId="32874"/>
    <cellStyle name="Header2 4 10 14 4" xfId="44039"/>
    <cellStyle name="Header2 4 10 14 5" xfId="55232"/>
    <cellStyle name="Header2 4 10 15" xfId="11196"/>
    <cellStyle name="Header2 4 10 15 2" xfId="22393"/>
    <cellStyle name="Header2 4 10 15 3" xfId="33561"/>
    <cellStyle name="Header2 4 10 15 4" xfId="44726"/>
    <cellStyle name="Header2 4 10 15 5" xfId="55919"/>
    <cellStyle name="Header2 4 10 16" xfId="11843"/>
    <cellStyle name="Header2 4 10 17" xfId="23013"/>
    <cellStyle name="Header2 4 10 18" xfId="34180"/>
    <cellStyle name="Header2 4 10 19" xfId="45366"/>
    <cellStyle name="Header2 4 10 2" xfId="1292"/>
    <cellStyle name="Header2 4 10 2 2" xfId="12489"/>
    <cellStyle name="Header2 4 10 2 3" xfId="23657"/>
    <cellStyle name="Header2 4 10 2 4" xfId="34822"/>
    <cellStyle name="Header2 4 10 2 5" xfId="46015"/>
    <cellStyle name="Header2 4 10 3" xfId="1806"/>
    <cellStyle name="Header2 4 10 3 2" xfId="13003"/>
    <cellStyle name="Header2 4 10 3 3" xfId="24171"/>
    <cellStyle name="Header2 4 10 3 4" xfId="35336"/>
    <cellStyle name="Header2 4 10 3 5" xfId="46529"/>
    <cellStyle name="Header2 4 10 4" xfId="2993"/>
    <cellStyle name="Header2 4 10 4 2" xfId="14190"/>
    <cellStyle name="Header2 4 10 4 3" xfId="25358"/>
    <cellStyle name="Header2 4 10 4 4" xfId="36523"/>
    <cellStyle name="Header2 4 10 4 5" xfId="47716"/>
    <cellStyle name="Header2 4 10 5" xfId="3627"/>
    <cellStyle name="Header2 4 10 5 2" xfId="14824"/>
    <cellStyle name="Header2 4 10 5 3" xfId="25992"/>
    <cellStyle name="Header2 4 10 5 4" xfId="37157"/>
    <cellStyle name="Header2 4 10 5 5" xfId="48350"/>
    <cellStyle name="Header2 4 10 6" xfId="4261"/>
    <cellStyle name="Header2 4 10 6 2" xfId="15458"/>
    <cellStyle name="Header2 4 10 6 3" xfId="26626"/>
    <cellStyle name="Header2 4 10 6 4" xfId="37791"/>
    <cellStyle name="Header2 4 10 6 5" xfId="48984"/>
    <cellStyle name="Header2 4 10 7" xfId="4894"/>
    <cellStyle name="Header2 4 10 7 2" xfId="16091"/>
    <cellStyle name="Header2 4 10 7 3" xfId="27259"/>
    <cellStyle name="Header2 4 10 7 4" xfId="38424"/>
    <cellStyle name="Header2 4 10 7 5" xfId="49617"/>
    <cellStyle name="Header2 4 10 8" xfId="5525"/>
    <cellStyle name="Header2 4 10 8 2" xfId="16722"/>
    <cellStyle name="Header2 4 10 8 3" xfId="27890"/>
    <cellStyle name="Header2 4 10 8 4" xfId="39055"/>
    <cellStyle name="Header2 4 10 8 5" xfId="50248"/>
    <cellStyle name="Header2 4 10 9" xfId="6579"/>
    <cellStyle name="Header2 4 10 9 2" xfId="17776"/>
    <cellStyle name="Header2 4 10 9 3" xfId="28944"/>
    <cellStyle name="Header2 4 10 9 4" xfId="40109"/>
    <cellStyle name="Header2 4 10 9 5" xfId="51302"/>
    <cellStyle name="Header2 4 11" xfId="656"/>
    <cellStyle name="Header2 4 11 10" xfId="7225"/>
    <cellStyle name="Header2 4 11 10 2" xfId="18422"/>
    <cellStyle name="Header2 4 11 10 3" xfId="29590"/>
    <cellStyle name="Header2 4 11 10 4" xfId="40755"/>
    <cellStyle name="Header2 4 11 10 5" xfId="51948"/>
    <cellStyle name="Header2 4 11 11" xfId="7859"/>
    <cellStyle name="Header2 4 11 11 2" xfId="19056"/>
    <cellStyle name="Header2 4 11 11 3" xfId="30224"/>
    <cellStyle name="Header2 4 11 11 4" xfId="41389"/>
    <cellStyle name="Header2 4 11 11 5" xfId="52582"/>
    <cellStyle name="Header2 4 11 12" xfId="8493"/>
    <cellStyle name="Header2 4 11 12 2" xfId="19690"/>
    <cellStyle name="Header2 4 11 12 3" xfId="30858"/>
    <cellStyle name="Header2 4 11 12 4" xfId="42023"/>
    <cellStyle name="Header2 4 11 12 5" xfId="53216"/>
    <cellStyle name="Header2 4 11 13" xfId="9544"/>
    <cellStyle name="Header2 4 11 13 2" xfId="20741"/>
    <cellStyle name="Header2 4 11 13 3" xfId="31909"/>
    <cellStyle name="Header2 4 11 13 4" xfId="43074"/>
    <cellStyle name="Header2 4 11 13 5" xfId="54267"/>
    <cellStyle name="Header2 4 11 14" xfId="10399"/>
    <cellStyle name="Header2 4 11 14 2" xfId="21596"/>
    <cellStyle name="Header2 4 11 14 3" xfId="32764"/>
    <cellStyle name="Header2 4 11 14 4" xfId="43929"/>
    <cellStyle name="Header2 4 11 14 5" xfId="55122"/>
    <cellStyle name="Header2 4 11 15" xfId="11209"/>
    <cellStyle name="Header2 4 11 15 2" xfId="22406"/>
    <cellStyle name="Header2 4 11 15 3" xfId="33574"/>
    <cellStyle name="Header2 4 11 15 4" xfId="44739"/>
    <cellStyle name="Header2 4 11 15 5" xfId="55932"/>
    <cellStyle name="Header2 4 11 16" xfId="11856"/>
    <cellStyle name="Header2 4 11 17" xfId="23026"/>
    <cellStyle name="Header2 4 11 18" xfId="34193"/>
    <cellStyle name="Header2 4 11 19" xfId="45379"/>
    <cellStyle name="Header2 4 11 2" xfId="1305"/>
    <cellStyle name="Header2 4 11 2 2" xfId="12502"/>
    <cellStyle name="Header2 4 11 2 3" xfId="23670"/>
    <cellStyle name="Header2 4 11 2 4" xfId="34835"/>
    <cellStyle name="Header2 4 11 2 5" xfId="46028"/>
    <cellStyle name="Header2 4 11 3" xfId="1690"/>
    <cellStyle name="Header2 4 11 3 2" xfId="12887"/>
    <cellStyle name="Header2 4 11 3 3" xfId="24055"/>
    <cellStyle name="Header2 4 11 3 4" xfId="35220"/>
    <cellStyle name="Header2 4 11 3 5" xfId="46413"/>
    <cellStyle name="Header2 4 11 4" xfId="3006"/>
    <cellStyle name="Header2 4 11 4 2" xfId="14203"/>
    <cellStyle name="Header2 4 11 4 3" xfId="25371"/>
    <cellStyle name="Header2 4 11 4 4" xfId="36536"/>
    <cellStyle name="Header2 4 11 4 5" xfId="47729"/>
    <cellStyle name="Header2 4 11 5" xfId="3640"/>
    <cellStyle name="Header2 4 11 5 2" xfId="14837"/>
    <cellStyle name="Header2 4 11 5 3" xfId="26005"/>
    <cellStyle name="Header2 4 11 5 4" xfId="37170"/>
    <cellStyle name="Header2 4 11 5 5" xfId="48363"/>
    <cellStyle name="Header2 4 11 6" xfId="4274"/>
    <cellStyle name="Header2 4 11 6 2" xfId="15471"/>
    <cellStyle name="Header2 4 11 6 3" xfId="26639"/>
    <cellStyle name="Header2 4 11 6 4" xfId="37804"/>
    <cellStyle name="Header2 4 11 6 5" xfId="48997"/>
    <cellStyle name="Header2 4 11 7" xfId="4907"/>
    <cellStyle name="Header2 4 11 7 2" xfId="16104"/>
    <cellStyle name="Header2 4 11 7 3" xfId="27272"/>
    <cellStyle name="Header2 4 11 7 4" xfId="38437"/>
    <cellStyle name="Header2 4 11 7 5" xfId="49630"/>
    <cellStyle name="Header2 4 11 8" xfId="5538"/>
    <cellStyle name="Header2 4 11 8 2" xfId="16735"/>
    <cellStyle name="Header2 4 11 8 3" xfId="27903"/>
    <cellStyle name="Header2 4 11 8 4" xfId="39068"/>
    <cellStyle name="Header2 4 11 8 5" xfId="50261"/>
    <cellStyle name="Header2 4 11 9" xfId="6592"/>
    <cellStyle name="Header2 4 11 9 2" xfId="17789"/>
    <cellStyle name="Header2 4 11 9 3" xfId="28957"/>
    <cellStyle name="Header2 4 11 9 4" xfId="40122"/>
    <cellStyle name="Header2 4 11 9 5" xfId="51315"/>
    <cellStyle name="Header2 4 12" xfId="759"/>
    <cellStyle name="Header2 4 12 2" xfId="11957"/>
    <cellStyle name="Header2 4 12 3" xfId="23125"/>
    <cellStyle name="Header2 4 12 4" xfId="34290"/>
    <cellStyle name="Header2 4 12 5" xfId="45482"/>
    <cellStyle name="Header2 4 13" xfId="1661"/>
    <cellStyle name="Header2 4 13 2" xfId="12858"/>
    <cellStyle name="Header2 4 13 3" xfId="24026"/>
    <cellStyle name="Header2 4 13 4" xfId="35191"/>
    <cellStyle name="Header2 4 13 5" xfId="46384"/>
    <cellStyle name="Header2 4 14" xfId="2250"/>
    <cellStyle name="Header2 4 14 2" xfId="13447"/>
    <cellStyle name="Header2 4 14 3" xfId="24615"/>
    <cellStyle name="Header2 4 14 4" xfId="35780"/>
    <cellStyle name="Header2 4 14 5" xfId="46973"/>
    <cellStyle name="Header2 4 15" xfId="3094"/>
    <cellStyle name="Header2 4 15 2" xfId="14291"/>
    <cellStyle name="Header2 4 15 3" xfId="25459"/>
    <cellStyle name="Header2 4 15 4" xfId="36624"/>
    <cellStyle name="Header2 4 15 5" xfId="47817"/>
    <cellStyle name="Header2 4 16" xfId="3728"/>
    <cellStyle name="Header2 4 16 2" xfId="14925"/>
    <cellStyle name="Header2 4 16 3" xfId="26093"/>
    <cellStyle name="Header2 4 16 4" xfId="37258"/>
    <cellStyle name="Header2 4 16 5" xfId="48451"/>
    <cellStyle name="Header2 4 17" xfId="4361"/>
    <cellStyle name="Header2 4 17 2" xfId="15558"/>
    <cellStyle name="Header2 4 17 3" xfId="26726"/>
    <cellStyle name="Header2 4 17 4" xfId="37891"/>
    <cellStyle name="Header2 4 17 5" xfId="49084"/>
    <cellStyle name="Header2 4 18" xfId="4993"/>
    <cellStyle name="Header2 4 18 2" xfId="16190"/>
    <cellStyle name="Header2 4 18 3" xfId="27358"/>
    <cellStyle name="Header2 4 18 4" xfId="38523"/>
    <cellStyle name="Header2 4 18 5" xfId="49716"/>
    <cellStyle name="Header2 4 19" xfId="5649"/>
    <cellStyle name="Header2 4 19 2" xfId="16846"/>
    <cellStyle name="Header2 4 19 3" xfId="28014"/>
    <cellStyle name="Header2 4 19 4" xfId="39179"/>
    <cellStyle name="Header2 4 19 5" xfId="50372"/>
    <cellStyle name="Header2 4 2" xfId="174"/>
    <cellStyle name="Header2 4 2 10" xfId="6743"/>
    <cellStyle name="Header2 4 2 10 2" xfId="17940"/>
    <cellStyle name="Header2 4 2 10 3" xfId="29108"/>
    <cellStyle name="Header2 4 2 10 4" xfId="40273"/>
    <cellStyle name="Header2 4 2 10 5" xfId="51466"/>
    <cellStyle name="Header2 4 2 11" xfId="7377"/>
    <cellStyle name="Header2 4 2 11 2" xfId="18574"/>
    <cellStyle name="Header2 4 2 11 3" xfId="29742"/>
    <cellStyle name="Header2 4 2 11 4" xfId="40907"/>
    <cellStyle name="Header2 4 2 11 5" xfId="52100"/>
    <cellStyle name="Header2 4 2 12" xfId="8011"/>
    <cellStyle name="Header2 4 2 12 2" xfId="19208"/>
    <cellStyle name="Header2 4 2 12 3" xfId="30376"/>
    <cellStyle name="Header2 4 2 12 4" xfId="41541"/>
    <cellStyle name="Header2 4 2 12 5" xfId="52734"/>
    <cellStyle name="Header2 4 2 13" xfId="6630"/>
    <cellStyle name="Header2 4 2 13 2" xfId="17827"/>
    <cellStyle name="Header2 4 2 13 3" xfId="28995"/>
    <cellStyle name="Header2 4 2 13 4" xfId="40160"/>
    <cellStyle name="Header2 4 2 13 5" xfId="51353"/>
    <cellStyle name="Header2 4 2 14" xfId="10457"/>
    <cellStyle name="Header2 4 2 14 2" xfId="21654"/>
    <cellStyle name="Header2 4 2 14 3" xfId="32822"/>
    <cellStyle name="Header2 4 2 14 4" xfId="43987"/>
    <cellStyle name="Header2 4 2 14 5" xfId="55180"/>
    <cellStyle name="Header2 4 2 15" xfId="10727"/>
    <cellStyle name="Header2 4 2 15 2" xfId="21924"/>
    <cellStyle name="Header2 4 2 15 3" xfId="33092"/>
    <cellStyle name="Header2 4 2 15 4" xfId="44257"/>
    <cellStyle name="Header2 4 2 15 5" xfId="55450"/>
    <cellStyle name="Header2 4 2 16" xfId="11374"/>
    <cellStyle name="Header2 4 2 17" xfId="22544"/>
    <cellStyle name="Header2 4 2 18" xfId="33711"/>
    <cellStyle name="Header2 4 2 19" xfId="44897"/>
    <cellStyle name="Header2 4 2 2" xfId="823"/>
    <cellStyle name="Header2 4 2 2 2" xfId="12020"/>
    <cellStyle name="Header2 4 2 2 3" xfId="23188"/>
    <cellStyle name="Header2 4 2 2 4" xfId="34353"/>
    <cellStyle name="Header2 4 2 2 5" xfId="45546"/>
    <cellStyle name="Header2 4 2 3" xfId="1712"/>
    <cellStyle name="Header2 4 2 3 2" xfId="12909"/>
    <cellStyle name="Header2 4 2 3 3" xfId="24077"/>
    <cellStyle name="Header2 4 2 3 4" xfId="35242"/>
    <cellStyle name="Header2 4 2 3 5" xfId="46435"/>
    <cellStyle name="Header2 4 2 4" xfId="2460"/>
    <cellStyle name="Header2 4 2 4 2" xfId="13657"/>
    <cellStyle name="Header2 4 2 4 3" xfId="24825"/>
    <cellStyle name="Header2 4 2 4 4" xfId="35990"/>
    <cellStyle name="Header2 4 2 4 5" xfId="47183"/>
    <cellStyle name="Header2 4 2 5" xfId="3158"/>
    <cellStyle name="Header2 4 2 5 2" xfId="14355"/>
    <cellStyle name="Header2 4 2 5 3" xfId="25523"/>
    <cellStyle name="Header2 4 2 5 4" xfId="36688"/>
    <cellStyle name="Header2 4 2 5 5" xfId="47881"/>
    <cellStyle name="Header2 4 2 6" xfId="3792"/>
    <cellStyle name="Header2 4 2 6 2" xfId="14989"/>
    <cellStyle name="Header2 4 2 6 3" xfId="26157"/>
    <cellStyle name="Header2 4 2 6 4" xfId="37322"/>
    <cellStyle name="Header2 4 2 6 5" xfId="48515"/>
    <cellStyle name="Header2 4 2 7" xfId="4425"/>
    <cellStyle name="Header2 4 2 7 2" xfId="15622"/>
    <cellStyle name="Header2 4 2 7 3" xfId="26790"/>
    <cellStyle name="Header2 4 2 7 4" xfId="37955"/>
    <cellStyle name="Header2 4 2 7 5" xfId="49148"/>
    <cellStyle name="Header2 4 2 8" xfId="5056"/>
    <cellStyle name="Header2 4 2 8 2" xfId="16253"/>
    <cellStyle name="Header2 4 2 8 3" xfId="27421"/>
    <cellStyle name="Header2 4 2 8 4" xfId="38586"/>
    <cellStyle name="Header2 4 2 8 5" xfId="49779"/>
    <cellStyle name="Header2 4 2 9" xfId="6024"/>
    <cellStyle name="Header2 4 2 9 2" xfId="17221"/>
    <cellStyle name="Header2 4 2 9 3" xfId="28389"/>
    <cellStyle name="Header2 4 2 9 4" xfId="39554"/>
    <cellStyle name="Header2 4 2 9 5" xfId="50747"/>
    <cellStyle name="Header2 4 20" xfId="6680"/>
    <cellStyle name="Header2 4 20 2" xfId="17877"/>
    <cellStyle name="Header2 4 20 3" xfId="29045"/>
    <cellStyle name="Header2 4 20 4" xfId="40210"/>
    <cellStyle name="Header2 4 20 5" xfId="51403"/>
    <cellStyle name="Header2 4 21" xfId="7313"/>
    <cellStyle name="Header2 4 21 2" xfId="18510"/>
    <cellStyle name="Header2 4 21 3" xfId="29678"/>
    <cellStyle name="Header2 4 21 4" xfId="40843"/>
    <cellStyle name="Header2 4 21 5" xfId="52036"/>
    <cellStyle name="Header2 4 22" xfId="7947"/>
    <cellStyle name="Header2 4 22 2" xfId="19144"/>
    <cellStyle name="Header2 4 22 3" xfId="30312"/>
    <cellStyle name="Header2 4 22 4" xfId="41477"/>
    <cellStyle name="Header2 4 22 5" xfId="52670"/>
    <cellStyle name="Header2 4 23" xfId="8960"/>
    <cellStyle name="Header2 4 23 2" xfId="20157"/>
    <cellStyle name="Header2 4 23 3" xfId="31325"/>
    <cellStyle name="Header2 4 23 4" xfId="42490"/>
    <cellStyle name="Header2 4 23 5" xfId="53683"/>
    <cellStyle name="Header2 4 24" xfId="10329"/>
    <cellStyle name="Header2 4 24 2" xfId="21526"/>
    <cellStyle name="Header2 4 24 3" xfId="32694"/>
    <cellStyle name="Header2 4 24 4" xfId="43859"/>
    <cellStyle name="Header2 4 24 5" xfId="55052"/>
    <cellStyle name="Header2 4 25" xfId="10664"/>
    <cellStyle name="Header2 4 25 2" xfId="21861"/>
    <cellStyle name="Header2 4 25 3" xfId="33029"/>
    <cellStyle name="Header2 4 25 4" xfId="44194"/>
    <cellStyle name="Header2 4 25 5" xfId="55387"/>
    <cellStyle name="Header2 4 26" xfId="11311"/>
    <cellStyle name="Header2 4 27" xfId="22481"/>
    <cellStyle name="Header2 4 28" xfId="33648"/>
    <cellStyle name="Header2 4 29" xfId="44833"/>
    <cellStyle name="Header2 4 3" xfId="230"/>
    <cellStyle name="Header2 4 3 10" xfId="6799"/>
    <cellStyle name="Header2 4 3 10 2" xfId="17996"/>
    <cellStyle name="Header2 4 3 10 3" xfId="29164"/>
    <cellStyle name="Header2 4 3 10 4" xfId="40329"/>
    <cellStyle name="Header2 4 3 10 5" xfId="51522"/>
    <cellStyle name="Header2 4 3 11" xfId="7433"/>
    <cellStyle name="Header2 4 3 11 2" xfId="18630"/>
    <cellStyle name="Header2 4 3 11 3" xfId="29798"/>
    <cellStyle name="Header2 4 3 11 4" xfId="40963"/>
    <cellStyle name="Header2 4 3 11 5" xfId="52156"/>
    <cellStyle name="Header2 4 3 12" xfId="8067"/>
    <cellStyle name="Header2 4 3 12 2" xfId="19264"/>
    <cellStyle name="Header2 4 3 12 3" xfId="30432"/>
    <cellStyle name="Header2 4 3 12 4" xfId="41597"/>
    <cellStyle name="Header2 4 3 12 5" xfId="52790"/>
    <cellStyle name="Header2 4 3 13" xfId="8581"/>
    <cellStyle name="Header2 4 3 13 2" xfId="19778"/>
    <cellStyle name="Header2 4 3 13 3" xfId="30946"/>
    <cellStyle name="Header2 4 3 13 4" xfId="42111"/>
    <cellStyle name="Header2 4 3 13 5" xfId="53304"/>
    <cellStyle name="Header2 4 3 14" xfId="10357"/>
    <cellStyle name="Header2 4 3 14 2" xfId="21554"/>
    <cellStyle name="Header2 4 3 14 3" xfId="32722"/>
    <cellStyle name="Header2 4 3 14 4" xfId="43887"/>
    <cellStyle name="Header2 4 3 14 5" xfId="55080"/>
    <cellStyle name="Header2 4 3 15" xfId="10783"/>
    <cellStyle name="Header2 4 3 15 2" xfId="21980"/>
    <cellStyle name="Header2 4 3 15 3" xfId="33148"/>
    <cellStyle name="Header2 4 3 15 4" xfId="44313"/>
    <cellStyle name="Header2 4 3 15 5" xfId="55506"/>
    <cellStyle name="Header2 4 3 16" xfId="11430"/>
    <cellStyle name="Header2 4 3 17" xfId="22600"/>
    <cellStyle name="Header2 4 3 18" xfId="33767"/>
    <cellStyle name="Header2 4 3 19" xfId="44953"/>
    <cellStyle name="Header2 4 3 2" xfId="879"/>
    <cellStyle name="Header2 4 3 2 2" xfId="12076"/>
    <cellStyle name="Header2 4 3 2 3" xfId="23244"/>
    <cellStyle name="Header2 4 3 2 4" xfId="34409"/>
    <cellStyle name="Header2 4 3 2 5" xfId="45602"/>
    <cellStyle name="Header2 4 3 3" xfId="1660"/>
    <cellStyle name="Header2 4 3 3 2" xfId="12857"/>
    <cellStyle name="Header2 4 3 3 3" xfId="24025"/>
    <cellStyle name="Header2 4 3 3 4" xfId="35190"/>
    <cellStyle name="Header2 4 3 3 5" xfId="46383"/>
    <cellStyle name="Header2 4 3 4" xfId="2394"/>
    <cellStyle name="Header2 4 3 4 2" xfId="13591"/>
    <cellStyle name="Header2 4 3 4 3" xfId="24759"/>
    <cellStyle name="Header2 4 3 4 4" xfId="35924"/>
    <cellStyle name="Header2 4 3 4 5" xfId="47117"/>
    <cellStyle name="Header2 4 3 5" xfId="3214"/>
    <cellStyle name="Header2 4 3 5 2" xfId="14411"/>
    <cellStyle name="Header2 4 3 5 3" xfId="25579"/>
    <cellStyle name="Header2 4 3 5 4" xfId="36744"/>
    <cellStyle name="Header2 4 3 5 5" xfId="47937"/>
    <cellStyle name="Header2 4 3 6" xfId="3848"/>
    <cellStyle name="Header2 4 3 6 2" xfId="15045"/>
    <cellStyle name="Header2 4 3 6 3" xfId="26213"/>
    <cellStyle name="Header2 4 3 6 4" xfId="37378"/>
    <cellStyle name="Header2 4 3 6 5" xfId="48571"/>
    <cellStyle name="Header2 4 3 7" xfId="4481"/>
    <cellStyle name="Header2 4 3 7 2" xfId="15678"/>
    <cellStyle name="Header2 4 3 7 3" xfId="26846"/>
    <cellStyle name="Header2 4 3 7 4" xfId="38011"/>
    <cellStyle name="Header2 4 3 7 5" xfId="49204"/>
    <cellStyle name="Header2 4 3 8" xfId="5112"/>
    <cellStyle name="Header2 4 3 8 2" xfId="16309"/>
    <cellStyle name="Header2 4 3 8 3" xfId="27477"/>
    <cellStyle name="Header2 4 3 8 4" xfId="38642"/>
    <cellStyle name="Header2 4 3 8 5" xfId="49835"/>
    <cellStyle name="Header2 4 3 9" xfId="5629"/>
    <cellStyle name="Header2 4 3 9 2" xfId="16826"/>
    <cellStyle name="Header2 4 3 9 3" xfId="27994"/>
    <cellStyle name="Header2 4 3 9 4" xfId="39159"/>
    <cellStyle name="Header2 4 3 9 5" xfId="50352"/>
    <cellStyle name="Header2 4 4" xfId="280"/>
    <cellStyle name="Header2 4 4 10" xfId="6849"/>
    <cellStyle name="Header2 4 4 10 2" xfId="18046"/>
    <cellStyle name="Header2 4 4 10 3" xfId="29214"/>
    <cellStyle name="Header2 4 4 10 4" xfId="40379"/>
    <cellStyle name="Header2 4 4 10 5" xfId="51572"/>
    <cellStyle name="Header2 4 4 11" xfId="7483"/>
    <cellStyle name="Header2 4 4 11 2" xfId="18680"/>
    <cellStyle name="Header2 4 4 11 3" xfId="29848"/>
    <cellStyle name="Header2 4 4 11 4" xfId="41013"/>
    <cellStyle name="Header2 4 4 11 5" xfId="52206"/>
    <cellStyle name="Header2 4 4 12" xfId="8117"/>
    <cellStyle name="Header2 4 4 12 2" xfId="19314"/>
    <cellStyle name="Header2 4 4 12 3" xfId="30482"/>
    <cellStyle name="Header2 4 4 12 4" xfId="41647"/>
    <cellStyle name="Header2 4 4 12 5" xfId="52840"/>
    <cellStyle name="Header2 4 4 13" xfId="9168"/>
    <cellStyle name="Header2 4 4 13 2" xfId="20365"/>
    <cellStyle name="Header2 4 4 13 3" xfId="31533"/>
    <cellStyle name="Header2 4 4 13 4" xfId="42698"/>
    <cellStyle name="Header2 4 4 13 5" xfId="53891"/>
    <cellStyle name="Header2 4 4 14" xfId="9598"/>
    <cellStyle name="Header2 4 4 14 2" xfId="20795"/>
    <cellStyle name="Header2 4 4 14 3" xfId="31963"/>
    <cellStyle name="Header2 4 4 14 4" xfId="43128"/>
    <cellStyle name="Header2 4 4 14 5" xfId="54321"/>
    <cellStyle name="Header2 4 4 15" xfId="10833"/>
    <cellStyle name="Header2 4 4 15 2" xfId="22030"/>
    <cellStyle name="Header2 4 4 15 3" xfId="33198"/>
    <cellStyle name="Header2 4 4 15 4" xfId="44363"/>
    <cellStyle name="Header2 4 4 15 5" xfId="55556"/>
    <cellStyle name="Header2 4 4 16" xfId="11480"/>
    <cellStyle name="Header2 4 4 17" xfId="22650"/>
    <cellStyle name="Header2 4 4 18" xfId="33817"/>
    <cellStyle name="Header2 4 4 19" xfId="45003"/>
    <cellStyle name="Header2 4 4 2" xfId="929"/>
    <cellStyle name="Header2 4 4 2 2" xfId="12126"/>
    <cellStyle name="Header2 4 4 2 3" xfId="23294"/>
    <cellStyle name="Header2 4 4 2 4" xfId="34459"/>
    <cellStyle name="Header2 4 4 2 5" xfId="45652"/>
    <cellStyle name="Header2 4 4 3" xfId="1937"/>
    <cellStyle name="Header2 4 4 3 2" xfId="13134"/>
    <cellStyle name="Header2 4 4 3 3" xfId="24302"/>
    <cellStyle name="Header2 4 4 3 4" xfId="35467"/>
    <cellStyle name="Header2 4 4 3 5" xfId="46660"/>
    <cellStyle name="Header2 4 4 4" xfId="2630"/>
    <cellStyle name="Header2 4 4 4 2" xfId="13827"/>
    <cellStyle name="Header2 4 4 4 3" xfId="24995"/>
    <cellStyle name="Header2 4 4 4 4" xfId="36160"/>
    <cellStyle name="Header2 4 4 4 5" xfId="47353"/>
    <cellStyle name="Header2 4 4 5" xfId="3264"/>
    <cellStyle name="Header2 4 4 5 2" xfId="14461"/>
    <cellStyle name="Header2 4 4 5 3" xfId="25629"/>
    <cellStyle name="Header2 4 4 5 4" xfId="36794"/>
    <cellStyle name="Header2 4 4 5 5" xfId="47987"/>
    <cellStyle name="Header2 4 4 6" xfId="3898"/>
    <cellStyle name="Header2 4 4 6 2" xfId="15095"/>
    <cellStyle name="Header2 4 4 6 3" xfId="26263"/>
    <cellStyle name="Header2 4 4 6 4" xfId="37428"/>
    <cellStyle name="Header2 4 4 6 5" xfId="48621"/>
    <cellStyle name="Header2 4 4 7" xfId="4531"/>
    <cellStyle name="Header2 4 4 7 2" xfId="15728"/>
    <cellStyle name="Header2 4 4 7 3" xfId="26896"/>
    <cellStyle name="Header2 4 4 7 4" xfId="38061"/>
    <cellStyle name="Header2 4 4 7 5" xfId="49254"/>
    <cellStyle name="Header2 4 4 8" xfId="5162"/>
    <cellStyle name="Header2 4 4 8 2" xfId="16359"/>
    <cellStyle name="Header2 4 4 8 3" xfId="27527"/>
    <cellStyle name="Header2 4 4 8 4" xfId="38692"/>
    <cellStyle name="Header2 4 4 8 5" xfId="49885"/>
    <cellStyle name="Header2 4 4 9" xfId="6216"/>
    <cellStyle name="Header2 4 4 9 2" xfId="17413"/>
    <cellStyle name="Header2 4 4 9 3" xfId="28581"/>
    <cellStyle name="Header2 4 4 9 4" xfId="39746"/>
    <cellStyle name="Header2 4 4 9 5" xfId="50939"/>
    <cellStyle name="Header2 4 5" xfId="319"/>
    <cellStyle name="Header2 4 5 10" xfId="6888"/>
    <cellStyle name="Header2 4 5 10 2" xfId="18085"/>
    <cellStyle name="Header2 4 5 10 3" xfId="29253"/>
    <cellStyle name="Header2 4 5 10 4" xfId="40418"/>
    <cellStyle name="Header2 4 5 10 5" xfId="51611"/>
    <cellStyle name="Header2 4 5 11" xfId="7522"/>
    <cellStyle name="Header2 4 5 11 2" xfId="18719"/>
    <cellStyle name="Header2 4 5 11 3" xfId="29887"/>
    <cellStyle name="Header2 4 5 11 4" xfId="41052"/>
    <cellStyle name="Header2 4 5 11 5" xfId="52245"/>
    <cellStyle name="Header2 4 5 12" xfId="8156"/>
    <cellStyle name="Header2 4 5 12 2" xfId="19353"/>
    <cellStyle name="Header2 4 5 12 3" xfId="30521"/>
    <cellStyle name="Header2 4 5 12 4" xfId="41686"/>
    <cellStyle name="Header2 4 5 12 5" xfId="52879"/>
    <cellStyle name="Header2 4 5 13" xfId="9207"/>
    <cellStyle name="Header2 4 5 13 2" xfId="20404"/>
    <cellStyle name="Header2 4 5 13 3" xfId="31572"/>
    <cellStyle name="Header2 4 5 13 4" xfId="42737"/>
    <cellStyle name="Header2 4 5 13 5" xfId="53930"/>
    <cellStyle name="Header2 4 5 14" xfId="10552"/>
    <cellStyle name="Header2 4 5 14 2" xfId="21749"/>
    <cellStyle name="Header2 4 5 14 3" xfId="32917"/>
    <cellStyle name="Header2 4 5 14 4" xfId="44082"/>
    <cellStyle name="Header2 4 5 14 5" xfId="55275"/>
    <cellStyle name="Header2 4 5 15" xfId="10872"/>
    <cellStyle name="Header2 4 5 15 2" xfId="22069"/>
    <cellStyle name="Header2 4 5 15 3" xfId="33237"/>
    <cellStyle name="Header2 4 5 15 4" xfId="44402"/>
    <cellStyle name="Header2 4 5 15 5" xfId="55595"/>
    <cellStyle name="Header2 4 5 16" xfId="11519"/>
    <cellStyle name="Header2 4 5 17" xfId="22689"/>
    <cellStyle name="Header2 4 5 18" xfId="33856"/>
    <cellStyle name="Header2 4 5 19" xfId="45042"/>
    <cellStyle name="Header2 4 5 2" xfId="968"/>
    <cellStyle name="Header2 4 5 2 2" xfId="12165"/>
    <cellStyle name="Header2 4 5 2 3" xfId="23333"/>
    <cellStyle name="Header2 4 5 2 4" xfId="34498"/>
    <cellStyle name="Header2 4 5 2 5" xfId="45691"/>
    <cellStyle name="Header2 4 5 3" xfId="1824"/>
    <cellStyle name="Header2 4 5 3 2" xfId="13021"/>
    <cellStyle name="Header2 4 5 3 3" xfId="24189"/>
    <cellStyle name="Header2 4 5 3 4" xfId="35354"/>
    <cellStyle name="Header2 4 5 3 5" xfId="46547"/>
    <cellStyle name="Header2 4 5 4" xfId="2669"/>
    <cellStyle name="Header2 4 5 4 2" xfId="13866"/>
    <cellStyle name="Header2 4 5 4 3" xfId="25034"/>
    <cellStyle name="Header2 4 5 4 4" xfId="36199"/>
    <cellStyle name="Header2 4 5 4 5" xfId="47392"/>
    <cellStyle name="Header2 4 5 5" xfId="3303"/>
    <cellStyle name="Header2 4 5 5 2" xfId="14500"/>
    <cellStyle name="Header2 4 5 5 3" xfId="25668"/>
    <cellStyle name="Header2 4 5 5 4" xfId="36833"/>
    <cellStyle name="Header2 4 5 5 5" xfId="48026"/>
    <cellStyle name="Header2 4 5 6" xfId="3937"/>
    <cellStyle name="Header2 4 5 6 2" xfId="15134"/>
    <cellStyle name="Header2 4 5 6 3" xfId="26302"/>
    <cellStyle name="Header2 4 5 6 4" xfId="37467"/>
    <cellStyle name="Header2 4 5 6 5" xfId="48660"/>
    <cellStyle name="Header2 4 5 7" xfId="4570"/>
    <cellStyle name="Header2 4 5 7 2" xfId="15767"/>
    <cellStyle name="Header2 4 5 7 3" xfId="26935"/>
    <cellStyle name="Header2 4 5 7 4" xfId="38100"/>
    <cellStyle name="Header2 4 5 7 5" xfId="49293"/>
    <cellStyle name="Header2 4 5 8" xfId="5201"/>
    <cellStyle name="Header2 4 5 8 2" xfId="16398"/>
    <cellStyle name="Header2 4 5 8 3" xfId="27566"/>
    <cellStyle name="Header2 4 5 8 4" xfId="38731"/>
    <cellStyle name="Header2 4 5 8 5" xfId="49924"/>
    <cellStyle name="Header2 4 5 9" xfId="6255"/>
    <cellStyle name="Header2 4 5 9 2" xfId="17452"/>
    <cellStyle name="Header2 4 5 9 3" xfId="28620"/>
    <cellStyle name="Header2 4 5 9 4" xfId="39785"/>
    <cellStyle name="Header2 4 5 9 5" xfId="50978"/>
    <cellStyle name="Header2 4 6" xfId="402"/>
    <cellStyle name="Header2 4 6 10" xfId="6971"/>
    <cellStyle name="Header2 4 6 10 2" xfId="18168"/>
    <cellStyle name="Header2 4 6 10 3" xfId="29336"/>
    <cellStyle name="Header2 4 6 10 4" xfId="40501"/>
    <cellStyle name="Header2 4 6 10 5" xfId="51694"/>
    <cellStyle name="Header2 4 6 11" xfId="7605"/>
    <cellStyle name="Header2 4 6 11 2" xfId="18802"/>
    <cellStyle name="Header2 4 6 11 3" xfId="29970"/>
    <cellStyle name="Header2 4 6 11 4" xfId="41135"/>
    <cellStyle name="Header2 4 6 11 5" xfId="52328"/>
    <cellStyle name="Header2 4 6 12" xfId="8239"/>
    <cellStyle name="Header2 4 6 12 2" xfId="19436"/>
    <cellStyle name="Header2 4 6 12 3" xfId="30604"/>
    <cellStyle name="Header2 4 6 12 4" xfId="41769"/>
    <cellStyle name="Header2 4 6 12 5" xfId="52962"/>
    <cellStyle name="Header2 4 6 13" xfId="9290"/>
    <cellStyle name="Header2 4 6 13 2" xfId="20487"/>
    <cellStyle name="Header2 4 6 13 3" xfId="31655"/>
    <cellStyle name="Header2 4 6 13 4" xfId="42820"/>
    <cellStyle name="Header2 4 6 13 5" xfId="54013"/>
    <cellStyle name="Header2 4 6 14" xfId="9831"/>
    <cellStyle name="Header2 4 6 14 2" xfId="21028"/>
    <cellStyle name="Header2 4 6 14 3" xfId="32196"/>
    <cellStyle name="Header2 4 6 14 4" xfId="43361"/>
    <cellStyle name="Header2 4 6 14 5" xfId="54554"/>
    <cellStyle name="Header2 4 6 15" xfId="10955"/>
    <cellStyle name="Header2 4 6 15 2" xfId="22152"/>
    <cellStyle name="Header2 4 6 15 3" xfId="33320"/>
    <cellStyle name="Header2 4 6 15 4" xfId="44485"/>
    <cellStyle name="Header2 4 6 15 5" xfId="55678"/>
    <cellStyle name="Header2 4 6 16" xfId="11602"/>
    <cellStyle name="Header2 4 6 17" xfId="22772"/>
    <cellStyle name="Header2 4 6 18" xfId="33939"/>
    <cellStyle name="Header2 4 6 19" xfId="45125"/>
    <cellStyle name="Header2 4 6 2" xfId="1051"/>
    <cellStyle name="Header2 4 6 2 2" xfId="12248"/>
    <cellStyle name="Header2 4 6 2 3" xfId="23416"/>
    <cellStyle name="Header2 4 6 2 4" xfId="34581"/>
    <cellStyle name="Header2 4 6 2 5" xfId="45774"/>
    <cellStyle name="Header2 4 6 3" xfId="1966"/>
    <cellStyle name="Header2 4 6 3 2" xfId="13163"/>
    <cellStyle name="Header2 4 6 3 3" xfId="24331"/>
    <cellStyle name="Header2 4 6 3 4" xfId="35496"/>
    <cellStyle name="Header2 4 6 3 5" xfId="46689"/>
    <cellStyle name="Header2 4 6 4" xfId="2752"/>
    <cellStyle name="Header2 4 6 4 2" xfId="13949"/>
    <cellStyle name="Header2 4 6 4 3" xfId="25117"/>
    <cellStyle name="Header2 4 6 4 4" xfId="36282"/>
    <cellStyle name="Header2 4 6 4 5" xfId="47475"/>
    <cellStyle name="Header2 4 6 5" xfId="3386"/>
    <cellStyle name="Header2 4 6 5 2" xfId="14583"/>
    <cellStyle name="Header2 4 6 5 3" xfId="25751"/>
    <cellStyle name="Header2 4 6 5 4" xfId="36916"/>
    <cellStyle name="Header2 4 6 5 5" xfId="48109"/>
    <cellStyle name="Header2 4 6 6" xfId="4020"/>
    <cellStyle name="Header2 4 6 6 2" xfId="15217"/>
    <cellStyle name="Header2 4 6 6 3" xfId="26385"/>
    <cellStyle name="Header2 4 6 6 4" xfId="37550"/>
    <cellStyle name="Header2 4 6 6 5" xfId="48743"/>
    <cellStyle name="Header2 4 6 7" xfId="4653"/>
    <cellStyle name="Header2 4 6 7 2" xfId="15850"/>
    <cellStyle name="Header2 4 6 7 3" xfId="27018"/>
    <cellStyle name="Header2 4 6 7 4" xfId="38183"/>
    <cellStyle name="Header2 4 6 7 5" xfId="49376"/>
    <cellStyle name="Header2 4 6 8" xfId="5284"/>
    <cellStyle name="Header2 4 6 8 2" xfId="16481"/>
    <cellStyle name="Header2 4 6 8 3" xfId="27649"/>
    <cellStyle name="Header2 4 6 8 4" xfId="38814"/>
    <cellStyle name="Header2 4 6 8 5" xfId="50007"/>
    <cellStyle name="Header2 4 6 9" xfId="6338"/>
    <cellStyle name="Header2 4 6 9 2" xfId="17535"/>
    <cellStyle name="Header2 4 6 9 3" xfId="28703"/>
    <cellStyle name="Header2 4 6 9 4" xfId="39868"/>
    <cellStyle name="Header2 4 6 9 5" xfId="51061"/>
    <cellStyle name="Header2 4 7" xfId="443"/>
    <cellStyle name="Header2 4 7 10" xfId="7012"/>
    <cellStyle name="Header2 4 7 10 2" xfId="18209"/>
    <cellStyle name="Header2 4 7 10 3" xfId="29377"/>
    <cellStyle name="Header2 4 7 10 4" xfId="40542"/>
    <cellStyle name="Header2 4 7 10 5" xfId="51735"/>
    <cellStyle name="Header2 4 7 11" xfId="7646"/>
    <cellStyle name="Header2 4 7 11 2" xfId="18843"/>
    <cellStyle name="Header2 4 7 11 3" xfId="30011"/>
    <cellStyle name="Header2 4 7 11 4" xfId="41176"/>
    <cellStyle name="Header2 4 7 11 5" xfId="52369"/>
    <cellStyle name="Header2 4 7 12" xfId="8280"/>
    <cellStyle name="Header2 4 7 12 2" xfId="19477"/>
    <cellStyle name="Header2 4 7 12 3" xfId="30645"/>
    <cellStyle name="Header2 4 7 12 4" xfId="41810"/>
    <cellStyle name="Header2 4 7 12 5" xfId="53003"/>
    <cellStyle name="Header2 4 7 13" xfId="9331"/>
    <cellStyle name="Header2 4 7 13 2" xfId="20528"/>
    <cellStyle name="Header2 4 7 13 3" xfId="31696"/>
    <cellStyle name="Header2 4 7 13 4" xfId="42861"/>
    <cellStyle name="Header2 4 7 13 5" xfId="54054"/>
    <cellStyle name="Header2 4 7 14" xfId="10244"/>
    <cellStyle name="Header2 4 7 14 2" xfId="21441"/>
    <cellStyle name="Header2 4 7 14 3" xfId="32609"/>
    <cellStyle name="Header2 4 7 14 4" xfId="43774"/>
    <cellStyle name="Header2 4 7 14 5" xfId="54967"/>
    <cellStyle name="Header2 4 7 15" xfId="10996"/>
    <cellStyle name="Header2 4 7 15 2" xfId="22193"/>
    <cellStyle name="Header2 4 7 15 3" xfId="33361"/>
    <cellStyle name="Header2 4 7 15 4" xfId="44526"/>
    <cellStyle name="Header2 4 7 15 5" xfId="55719"/>
    <cellStyle name="Header2 4 7 16" xfId="11643"/>
    <cellStyle name="Header2 4 7 17" xfId="22813"/>
    <cellStyle name="Header2 4 7 18" xfId="33980"/>
    <cellStyle name="Header2 4 7 19" xfId="45166"/>
    <cellStyle name="Header2 4 7 2" xfId="1092"/>
    <cellStyle name="Header2 4 7 2 2" xfId="12289"/>
    <cellStyle name="Header2 4 7 2 3" xfId="23457"/>
    <cellStyle name="Header2 4 7 2 4" xfId="34622"/>
    <cellStyle name="Header2 4 7 2 5" xfId="45815"/>
    <cellStyle name="Header2 4 7 3" xfId="1563"/>
    <cellStyle name="Header2 4 7 3 2" xfId="12760"/>
    <cellStyle name="Header2 4 7 3 3" xfId="23928"/>
    <cellStyle name="Header2 4 7 3 4" xfId="35093"/>
    <cellStyle name="Header2 4 7 3 5" xfId="46286"/>
    <cellStyle name="Header2 4 7 4" xfId="2793"/>
    <cellStyle name="Header2 4 7 4 2" xfId="13990"/>
    <cellStyle name="Header2 4 7 4 3" xfId="25158"/>
    <cellStyle name="Header2 4 7 4 4" xfId="36323"/>
    <cellStyle name="Header2 4 7 4 5" xfId="47516"/>
    <cellStyle name="Header2 4 7 5" xfId="3427"/>
    <cellStyle name="Header2 4 7 5 2" xfId="14624"/>
    <cellStyle name="Header2 4 7 5 3" xfId="25792"/>
    <cellStyle name="Header2 4 7 5 4" xfId="36957"/>
    <cellStyle name="Header2 4 7 5 5" xfId="48150"/>
    <cellStyle name="Header2 4 7 6" xfId="4061"/>
    <cellStyle name="Header2 4 7 6 2" xfId="15258"/>
    <cellStyle name="Header2 4 7 6 3" xfId="26426"/>
    <cellStyle name="Header2 4 7 6 4" xfId="37591"/>
    <cellStyle name="Header2 4 7 6 5" xfId="48784"/>
    <cellStyle name="Header2 4 7 7" xfId="4694"/>
    <cellStyle name="Header2 4 7 7 2" xfId="15891"/>
    <cellStyle name="Header2 4 7 7 3" xfId="27059"/>
    <cellStyle name="Header2 4 7 7 4" xfId="38224"/>
    <cellStyle name="Header2 4 7 7 5" xfId="49417"/>
    <cellStyle name="Header2 4 7 8" xfId="5325"/>
    <cellStyle name="Header2 4 7 8 2" xfId="16522"/>
    <cellStyle name="Header2 4 7 8 3" xfId="27690"/>
    <cellStyle name="Header2 4 7 8 4" xfId="38855"/>
    <cellStyle name="Header2 4 7 8 5" xfId="50048"/>
    <cellStyle name="Header2 4 7 9" xfId="6379"/>
    <cellStyle name="Header2 4 7 9 2" xfId="17576"/>
    <cellStyle name="Header2 4 7 9 3" xfId="28744"/>
    <cellStyle name="Header2 4 7 9 4" xfId="39909"/>
    <cellStyle name="Header2 4 7 9 5" xfId="51102"/>
    <cellStyle name="Header2 4 8" xfId="519"/>
    <cellStyle name="Header2 4 8 10" xfId="7088"/>
    <cellStyle name="Header2 4 8 10 2" xfId="18285"/>
    <cellStyle name="Header2 4 8 10 3" xfId="29453"/>
    <cellStyle name="Header2 4 8 10 4" xfId="40618"/>
    <cellStyle name="Header2 4 8 10 5" xfId="51811"/>
    <cellStyle name="Header2 4 8 11" xfId="7722"/>
    <cellStyle name="Header2 4 8 11 2" xfId="18919"/>
    <cellStyle name="Header2 4 8 11 3" xfId="30087"/>
    <cellStyle name="Header2 4 8 11 4" xfId="41252"/>
    <cellStyle name="Header2 4 8 11 5" xfId="52445"/>
    <cellStyle name="Header2 4 8 12" xfId="8356"/>
    <cellStyle name="Header2 4 8 12 2" xfId="19553"/>
    <cellStyle name="Header2 4 8 12 3" xfId="30721"/>
    <cellStyle name="Header2 4 8 12 4" xfId="41886"/>
    <cellStyle name="Header2 4 8 12 5" xfId="53079"/>
    <cellStyle name="Header2 4 8 13" xfId="9407"/>
    <cellStyle name="Header2 4 8 13 2" xfId="20604"/>
    <cellStyle name="Header2 4 8 13 3" xfId="31772"/>
    <cellStyle name="Header2 4 8 13 4" xfId="42937"/>
    <cellStyle name="Header2 4 8 13 5" xfId="54130"/>
    <cellStyle name="Header2 4 8 14" xfId="10563"/>
    <cellStyle name="Header2 4 8 14 2" xfId="21760"/>
    <cellStyle name="Header2 4 8 14 3" xfId="32928"/>
    <cellStyle name="Header2 4 8 14 4" xfId="44093"/>
    <cellStyle name="Header2 4 8 14 5" xfId="55286"/>
    <cellStyle name="Header2 4 8 15" xfId="11072"/>
    <cellStyle name="Header2 4 8 15 2" xfId="22269"/>
    <cellStyle name="Header2 4 8 15 3" xfId="33437"/>
    <cellStyle name="Header2 4 8 15 4" xfId="44602"/>
    <cellStyle name="Header2 4 8 15 5" xfId="55795"/>
    <cellStyle name="Header2 4 8 16" xfId="11719"/>
    <cellStyle name="Header2 4 8 17" xfId="22889"/>
    <cellStyle name="Header2 4 8 18" xfId="34056"/>
    <cellStyle name="Header2 4 8 19" xfId="45242"/>
    <cellStyle name="Header2 4 8 2" xfId="1168"/>
    <cellStyle name="Header2 4 8 2 2" xfId="12365"/>
    <cellStyle name="Header2 4 8 2 3" xfId="23533"/>
    <cellStyle name="Header2 4 8 2 4" xfId="34698"/>
    <cellStyle name="Header2 4 8 2 5" xfId="45891"/>
    <cellStyle name="Header2 4 8 3" xfId="1385"/>
    <cellStyle name="Header2 4 8 3 2" xfId="12582"/>
    <cellStyle name="Header2 4 8 3 3" xfId="23750"/>
    <cellStyle name="Header2 4 8 3 4" xfId="34915"/>
    <cellStyle name="Header2 4 8 3 5" xfId="46108"/>
    <cellStyle name="Header2 4 8 4" xfId="2869"/>
    <cellStyle name="Header2 4 8 4 2" xfId="14066"/>
    <cellStyle name="Header2 4 8 4 3" xfId="25234"/>
    <cellStyle name="Header2 4 8 4 4" xfId="36399"/>
    <cellStyle name="Header2 4 8 4 5" xfId="47592"/>
    <cellStyle name="Header2 4 8 5" xfId="3503"/>
    <cellStyle name="Header2 4 8 5 2" xfId="14700"/>
    <cellStyle name="Header2 4 8 5 3" xfId="25868"/>
    <cellStyle name="Header2 4 8 5 4" xfId="37033"/>
    <cellStyle name="Header2 4 8 5 5" xfId="48226"/>
    <cellStyle name="Header2 4 8 6" xfId="4137"/>
    <cellStyle name="Header2 4 8 6 2" xfId="15334"/>
    <cellStyle name="Header2 4 8 6 3" xfId="26502"/>
    <cellStyle name="Header2 4 8 6 4" xfId="37667"/>
    <cellStyle name="Header2 4 8 6 5" xfId="48860"/>
    <cellStyle name="Header2 4 8 7" xfId="4770"/>
    <cellStyle name="Header2 4 8 7 2" xfId="15967"/>
    <cellStyle name="Header2 4 8 7 3" xfId="27135"/>
    <cellStyle name="Header2 4 8 7 4" xfId="38300"/>
    <cellStyle name="Header2 4 8 7 5" xfId="49493"/>
    <cellStyle name="Header2 4 8 8" xfId="5401"/>
    <cellStyle name="Header2 4 8 8 2" xfId="16598"/>
    <cellStyle name="Header2 4 8 8 3" xfId="27766"/>
    <cellStyle name="Header2 4 8 8 4" xfId="38931"/>
    <cellStyle name="Header2 4 8 8 5" xfId="50124"/>
    <cellStyle name="Header2 4 8 9" xfId="6455"/>
    <cellStyle name="Header2 4 8 9 2" xfId="17652"/>
    <cellStyle name="Header2 4 8 9 3" xfId="28820"/>
    <cellStyle name="Header2 4 8 9 4" xfId="39985"/>
    <cellStyle name="Header2 4 8 9 5" xfId="51178"/>
    <cellStyle name="Header2 4 9" xfId="577"/>
    <cellStyle name="Header2 4 9 10" xfId="7146"/>
    <cellStyle name="Header2 4 9 10 2" xfId="18343"/>
    <cellStyle name="Header2 4 9 10 3" xfId="29511"/>
    <cellStyle name="Header2 4 9 10 4" xfId="40676"/>
    <cellStyle name="Header2 4 9 10 5" xfId="51869"/>
    <cellStyle name="Header2 4 9 11" xfId="7780"/>
    <cellStyle name="Header2 4 9 11 2" xfId="18977"/>
    <cellStyle name="Header2 4 9 11 3" xfId="30145"/>
    <cellStyle name="Header2 4 9 11 4" xfId="41310"/>
    <cellStyle name="Header2 4 9 11 5" xfId="52503"/>
    <cellStyle name="Header2 4 9 12" xfId="8414"/>
    <cellStyle name="Header2 4 9 12 2" xfId="19611"/>
    <cellStyle name="Header2 4 9 12 3" xfId="30779"/>
    <cellStyle name="Header2 4 9 12 4" xfId="41944"/>
    <cellStyle name="Header2 4 9 12 5" xfId="53137"/>
    <cellStyle name="Header2 4 9 13" xfId="9465"/>
    <cellStyle name="Header2 4 9 13 2" xfId="20662"/>
    <cellStyle name="Header2 4 9 13 3" xfId="31830"/>
    <cellStyle name="Header2 4 9 13 4" xfId="42995"/>
    <cellStyle name="Header2 4 9 13 5" xfId="54188"/>
    <cellStyle name="Header2 4 9 14" xfId="10381"/>
    <cellStyle name="Header2 4 9 14 2" xfId="21578"/>
    <cellStyle name="Header2 4 9 14 3" xfId="32746"/>
    <cellStyle name="Header2 4 9 14 4" xfId="43911"/>
    <cellStyle name="Header2 4 9 14 5" xfId="55104"/>
    <cellStyle name="Header2 4 9 15" xfId="11130"/>
    <cellStyle name="Header2 4 9 15 2" xfId="22327"/>
    <cellStyle name="Header2 4 9 15 3" xfId="33495"/>
    <cellStyle name="Header2 4 9 15 4" xfId="44660"/>
    <cellStyle name="Header2 4 9 15 5" xfId="55853"/>
    <cellStyle name="Header2 4 9 16" xfId="11777"/>
    <cellStyle name="Header2 4 9 17" xfId="22947"/>
    <cellStyle name="Header2 4 9 18" xfId="34114"/>
    <cellStyle name="Header2 4 9 19" xfId="45300"/>
    <cellStyle name="Header2 4 9 2" xfId="1226"/>
    <cellStyle name="Header2 4 9 2 2" xfId="12423"/>
    <cellStyle name="Header2 4 9 2 3" xfId="23591"/>
    <cellStyle name="Header2 4 9 2 4" xfId="34756"/>
    <cellStyle name="Header2 4 9 2 5" xfId="45949"/>
    <cellStyle name="Header2 4 9 3" xfId="1894"/>
    <cellStyle name="Header2 4 9 3 2" xfId="13091"/>
    <cellStyle name="Header2 4 9 3 3" xfId="24259"/>
    <cellStyle name="Header2 4 9 3 4" xfId="35424"/>
    <cellStyle name="Header2 4 9 3 5" xfId="46617"/>
    <cellStyle name="Header2 4 9 4" xfId="2927"/>
    <cellStyle name="Header2 4 9 4 2" xfId="14124"/>
    <cellStyle name="Header2 4 9 4 3" xfId="25292"/>
    <cellStyle name="Header2 4 9 4 4" xfId="36457"/>
    <cellStyle name="Header2 4 9 4 5" xfId="47650"/>
    <cellStyle name="Header2 4 9 5" xfId="3561"/>
    <cellStyle name="Header2 4 9 5 2" xfId="14758"/>
    <cellStyle name="Header2 4 9 5 3" xfId="25926"/>
    <cellStyle name="Header2 4 9 5 4" xfId="37091"/>
    <cellStyle name="Header2 4 9 5 5" xfId="48284"/>
    <cellStyle name="Header2 4 9 6" xfId="4195"/>
    <cellStyle name="Header2 4 9 6 2" xfId="15392"/>
    <cellStyle name="Header2 4 9 6 3" xfId="26560"/>
    <cellStyle name="Header2 4 9 6 4" xfId="37725"/>
    <cellStyle name="Header2 4 9 6 5" xfId="48918"/>
    <cellStyle name="Header2 4 9 7" xfId="4828"/>
    <cellStyle name="Header2 4 9 7 2" xfId="16025"/>
    <cellStyle name="Header2 4 9 7 3" xfId="27193"/>
    <cellStyle name="Header2 4 9 7 4" xfId="38358"/>
    <cellStyle name="Header2 4 9 7 5" xfId="49551"/>
    <cellStyle name="Header2 4 9 8" xfId="5459"/>
    <cellStyle name="Header2 4 9 8 2" xfId="16656"/>
    <cellStyle name="Header2 4 9 8 3" xfId="27824"/>
    <cellStyle name="Header2 4 9 8 4" xfId="38989"/>
    <cellStyle name="Header2 4 9 8 5" xfId="50182"/>
    <cellStyle name="Header2 4 9 9" xfId="6513"/>
    <cellStyle name="Header2 4 9 9 2" xfId="17710"/>
    <cellStyle name="Header2 4 9 9 3" xfId="28878"/>
    <cellStyle name="Header2 4 9 9 4" xfId="40043"/>
    <cellStyle name="Header2 4 9 9 5" xfId="51236"/>
    <cellStyle name="Header2 5" xfId="52"/>
    <cellStyle name="Header2 5 10" xfId="5961"/>
    <cellStyle name="Header2 5 10 2" xfId="17158"/>
    <cellStyle name="Header2 5 10 3" xfId="28326"/>
    <cellStyle name="Header2 5 10 4" xfId="39491"/>
    <cellStyle name="Header2 5 10 5" xfId="50684"/>
    <cellStyle name="Header2 5 11" xfId="5860"/>
    <cellStyle name="Header2 5 11 2" xfId="17057"/>
    <cellStyle name="Header2 5 11 3" xfId="28225"/>
    <cellStyle name="Header2 5 11 4" xfId="39390"/>
    <cellStyle name="Header2 5 11 5" xfId="50583"/>
    <cellStyle name="Header2 5 12" xfId="6637"/>
    <cellStyle name="Header2 5 12 2" xfId="17834"/>
    <cellStyle name="Header2 5 12 3" xfId="29002"/>
    <cellStyle name="Header2 5 12 4" xfId="40167"/>
    <cellStyle name="Header2 5 12 5" xfId="51360"/>
    <cellStyle name="Header2 5 13" xfId="7911"/>
    <cellStyle name="Header2 5 13 2" xfId="19108"/>
    <cellStyle name="Header2 5 13 3" xfId="30276"/>
    <cellStyle name="Header2 5 13 4" xfId="41441"/>
    <cellStyle name="Header2 5 13 5" xfId="52634"/>
    <cellStyle name="Header2 5 14" xfId="10090"/>
    <cellStyle name="Header2 5 14 2" xfId="21287"/>
    <cellStyle name="Header2 5 14 3" xfId="32455"/>
    <cellStyle name="Header2 5 14 4" xfId="43620"/>
    <cellStyle name="Header2 5 14 5" xfId="54813"/>
    <cellStyle name="Header2 5 15" xfId="10148"/>
    <cellStyle name="Header2 5 15 2" xfId="21345"/>
    <cellStyle name="Header2 5 15 3" xfId="32513"/>
    <cellStyle name="Header2 5 15 4" xfId="43678"/>
    <cellStyle name="Header2 5 15 5" xfId="54871"/>
    <cellStyle name="Header2 5 16" xfId="11254"/>
    <cellStyle name="Header2 5 17" xfId="11917"/>
    <cellStyle name="Header2 5 18" xfId="44"/>
    <cellStyle name="Header2 5 19" xfId="44781"/>
    <cellStyle name="Header2 5 2" xfId="707"/>
    <cellStyle name="Header2 5 2 2" xfId="11906"/>
    <cellStyle name="Header2 5 2 3" xfId="23075"/>
    <cellStyle name="Header2 5 2 4" xfId="34242"/>
    <cellStyle name="Header2 5 2 5" xfId="45430"/>
    <cellStyle name="Header2 5 3" xfId="1846"/>
    <cellStyle name="Header2 5 3 2" xfId="13043"/>
    <cellStyle name="Header2 5 3 3" xfId="24211"/>
    <cellStyle name="Header2 5 3 4" xfId="35376"/>
    <cellStyle name="Header2 5 3 5" xfId="46569"/>
    <cellStyle name="Header2 5 4" xfId="2444"/>
    <cellStyle name="Header2 5 4 2" xfId="13641"/>
    <cellStyle name="Header2 5 4 3" xfId="24809"/>
    <cellStyle name="Header2 5 4 4" xfId="35974"/>
    <cellStyle name="Header2 5 4 5" xfId="47167"/>
    <cellStyle name="Header2 5 5" xfId="1988"/>
    <cellStyle name="Header2 5 5 2" xfId="13185"/>
    <cellStyle name="Header2 5 5 3" xfId="24353"/>
    <cellStyle name="Header2 5 5 4" xfId="35518"/>
    <cellStyle name="Header2 5 5 5" xfId="46711"/>
    <cellStyle name="Header2 5 6" xfId="2199"/>
    <cellStyle name="Header2 5 6 2" xfId="13396"/>
    <cellStyle name="Header2 5 6 3" xfId="24564"/>
    <cellStyle name="Header2 5 6 4" xfId="35729"/>
    <cellStyle name="Header2 5 6 5" xfId="46922"/>
    <cellStyle name="Header2 5 7" xfId="1344"/>
    <cellStyle name="Header2 5 7 2" xfId="12541"/>
    <cellStyle name="Header2 5 7 3" xfId="23709"/>
    <cellStyle name="Header2 5 7 4" xfId="34874"/>
    <cellStyle name="Header2 5 7 5" xfId="46067"/>
    <cellStyle name="Header2 5 8" xfId="3689"/>
    <cellStyle name="Header2 5 8 2" xfId="14886"/>
    <cellStyle name="Header2 5 8 3" xfId="26054"/>
    <cellStyle name="Header2 5 8 4" xfId="37219"/>
    <cellStyle name="Header2 5 8 5" xfId="48412"/>
    <cellStyle name="Header2 5 9" xfId="6199"/>
    <cellStyle name="Header2 5 9 2" xfId="17396"/>
    <cellStyle name="Header2 5 9 3" xfId="28564"/>
    <cellStyle name="Header2 5 9 4" xfId="39729"/>
    <cellStyle name="Header2 5 9 5" xfId="50922"/>
    <cellStyle name="Header2 6" xfId="41"/>
    <cellStyle name="Header2 7" xfId="34"/>
    <cellStyle name="Header2 8" xfId="31"/>
    <cellStyle name="Header2 9" xfId="28"/>
    <cellStyle name="HIDE" xfId="20"/>
    <cellStyle name="Hyperlink" xfId="6" builtinId="8"/>
    <cellStyle name="Hyperlink 2" xfId="48"/>
    <cellStyle name="Input [yellow]" xfId="7"/>
    <cellStyle name="Input [yellow] 2" xfId="63"/>
    <cellStyle name="Input [yellow] 2 10" xfId="98"/>
    <cellStyle name="Input [yellow] 2 10 10" xfId="618"/>
    <cellStyle name="Input [yellow] 2 10 10 10" xfId="5923"/>
    <cellStyle name="Input [yellow] 2 10 10 10 2" xfId="17120"/>
    <cellStyle name="Input [yellow] 2 10 10 10 3" xfId="28288"/>
    <cellStyle name="Input [yellow] 2 10 10 10 4" xfId="39453"/>
    <cellStyle name="Input [yellow] 2 10 10 10 5" xfId="50646"/>
    <cellStyle name="Input [yellow] 2 10 10 11" xfId="6554"/>
    <cellStyle name="Input [yellow] 2 10 10 11 2" xfId="17751"/>
    <cellStyle name="Input [yellow] 2 10 10 11 3" xfId="28919"/>
    <cellStyle name="Input [yellow] 2 10 10 11 4" xfId="40084"/>
    <cellStyle name="Input [yellow] 2 10 10 11 5" xfId="51277"/>
    <cellStyle name="Input [yellow] 2 10 10 12" xfId="7187"/>
    <cellStyle name="Input [yellow] 2 10 10 12 2" xfId="18384"/>
    <cellStyle name="Input [yellow] 2 10 10 12 3" xfId="29552"/>
    <cellStyle name="Input [yellow] 2 10 10 12 4" xfId="40717"/>
    <cellStyle name="Input [yellow] 2 10 10 12 5" xfId="51910"/>
    <cellStyle name="Input [yellow] 2 10 10 13" xfId="7821"/>
    <cellStyle name="Input [yellow] 2 10 10 13 2" xfId="19018"/>
    <cellStyle name="Input [yellow] 2 10 10 13 3" xfId="30186"/>
    <cellStyle name="Input [yellow] 2 10 10 13 4" xfId="41351"/>
    <cellStyle name="Input [yellow] 2 10 10 13 5" xfId="52544"/>
    <cellStyle name="Input [yellow] 2 10 10 14" xfId="8455"/>
    <cellStyle name="Input [yellow] 2 10 10 14 2" xfId="19652"/>
    <cellStyle name="Input [yellow] 2 10 10 14 3" xfId="30820"/>
    <cellStyle name="Input [yellow] 2 10 10 14 4" xfId="41985"/>
    <cellStyle name="Input [yellow] 2 10 10 14 5" xfId="53178"/>
    <cellStyle name="Input [yellow] 2 10 10 15" xfId="9083"/>
    <cellStyle name="Input [yellow] 2 10 10 15 2" xfId="20280"/>
    <cellStyle name="Input [yellow] 2 10 10 15 3" xfId="31448"/>
    <cellStyle name="Input [yellow] 2 10 10 15 4" xfId="42613"/>
    <cellStyle name="Input [yellow] 2 10 10 15 5" xfId="53806"/>
    <cellStyle name="Input [yellow] 2 10 10 16" xfId="9506"/>
    <cellStyle name="Input [yellow] 2 10 10 16 2" xfId="20703"/>
    <cellStyle name="Input [yellow] 2 10 10 16 3" xfId="31871"/>
    <cellStyle name="Input [yellow] 2 10 10 16 4" xfId="43036"/>
    <cellStyle name="Input [yellow] 2 10 10 16 5" xfId="54229"/>
    <cellStyle name="Input [yellow] 2 10 10 17" xfId="10131"/>
    <cellStyle name="Input [yellow] 2 10 10 17 2" xfId="21328"/>
    <cellStyle name="Input [yellow] 2 10 10 17 3" xfId="32496"/>
    <cellStyle name="Input [yellow] 2 10 10 17 4" xfId="43661"/>
    <cellStyle name="Input [yellow] 2 10 10 17 5" xfId="54854"/>
    <cellStyle name="Input [yellow] 2 10 10 18" xfId="10539"/>
    <cellStyle name="Input [yellow] 2 10 10 18 2" xfId="21736"/>
    <cellStyle name="Input [yellow] 2 10 10 18 3" xfId="32904"/>
    <cellStyle name="Input [yellow] 2 10 10 18 4" xfId="44069"/>
    <cellStyle name="Input [yellow] 2 10 10 18 5" xfId="55262"/>
    <cellStyle name="Input [yellow] 2 10 10 19" xfId="11171"/>
    <cellStyle name="Input [yellow] 2 10 10 19 2" xfId="22368"/>
    <cellStyle name="Input [yellow] 2 10 10 19 3" xfId="33536"/>
    <cellStyle name="Input [yellow] 2 10 10 19 4" xfId="44701"/>
    <cellStyle name="Input [yellow] 2 10 10 19 5" xfId="55894"/>
    <cellStyle name="Input [yellow] 2 10 10 2" xfId="1267"/>
    <cellStyle name="Input [yellow] 2 10 10 2 2" xfId="12464"/>
    <cellStyle name="Input [yellow] 2 10 10 2 3" xfId="23632"/>
    <cellStyle name="Input [yellow] 2 10 10 2 4" xfId="34797"/>
    <cellStyle name="Input [yellow] 2 10 10 2 5" xfId="45990"/>
    <cellStyle name="Input [yellow] 2 10 10 20" xfId="11818"/>
    <cellStyle name="Input [yellow] 2 10 10 21" xfId="22988"/>
    <cellStyle name="Input [yellow] 2 10 10 22" xfId="34155"/>
    <cellStyle name="Input [yellow] 2 10 10 23" xfId="45341"/>
    <cellStyle name="Input [yellow] 2 10 10 3" xfId="1900"/>
    <cellStyle name="Input [yellow] 2 10 10 3 2" xfId="13097"/>
    <cellStyle name="Input [yellow] 2 10 10 3 3" xfId="24265"/>
    <cellStyle name="Input [yellow] 2 10 10 3 4" xfId="35430"/>
    <cellStyle name="Input [yellow] 2 10 10 3 5" xfId="46623"/>
    <cellStyle name="Input [yellow] 2 10 10 4" xfId="2543"/>
    <cellStyle name="Input [yellow] 2 10 10 4 2" xfId="13740"/>
    <cellStyle name="Input [yellow] 2 10 10 4 3" xfId="24908"/>
    <cellStyle name="Input [yellow] 2 10 10 4 4" xfId="36073"/>
    <cellStyle name="Input [yellow] 2 10 10 4 5" xfId="47266"/>
    <cellStyle name="Input [yellow] 2 10 10 5" xfId="2968"/>
    <cellStyle name="Input [yellow] 2 10 10 5 2" xfId="14165"/>
    <cellStyle name="Input [yellow] 2 10 10 5 3" xfId="25333"/>
    <cellStyle name="Input [yellow] 2 10 10 5 4" xfId="36498"/>
    <cellStyle name="Input [yellow] 2 10 10 5 5" xfId="47691"/>
    <cellStyle name="Input [yellow] 2 10 10 6" xfId="3602"/>
    <cellStyle name="Input [yellow] 2 10 10 6 2" xfId="14799"/>
    <cellStyle name="Input [yellow] 2 10 10 6 3" xfId="25967"/>
    <cellStyle name="Input [yellow] 2 10 10 6 4" xfId="37132"/>
    <cellStyle name="Input [yellow] 2 10 10 6 5" xfId="48325"/>
    <cellStyle name="Input [yellow] 2 10 10 7" xfId="4236"/>
    <cellStyle name="Input [yellow] 2 10 10 7 2" xfId="15433"/>
    <cellStyle name="Input [yellow] 2 10 10 7 3" xfId="26601"/>
    <cellStyle name="Input [yellow] 2 10 10 7 4" xfId="37766"/>
    <cellStyle name="Input [yellow] 2 10 10 7 5" xfId="48959"/>
    <cellStyle name="Input [yellow] 2 10 10 8" xfId="4869"/>
    <cellStyle name="Input [yellow] 2 10 10 8 2" xfId="16066"/>
    <cellStyle name="Input [yellow] 2 10 10 8 3" xfId="27234"/>
    <cellStyle name="Input [yellow] 2 10 10 8 4" xfId="38399"/>
    <cellStyle name="Input [yellow] 2 10 10 8 5" xfId="49592"/>
    <cellStyle name="Input [yellow] 2 10 10 9" xfId="5500"/>
    <cellStyle name="Input [yellow] 2 10 10 9 2" xfId="16697"/>
    <cellStyle name="Input [yellow] 2 10 10 9 3" xfId="27865"/>
    <cellStyle name="Input [yellow] 2 10 10 9 4" xfId="39030"/>
    <cellStyle name="Input [yellow] 2 10 10 9 5" xfId="50223"/>
    <cellStyle name="Input [yellow] 2 10 11" xfId="673"/>
    <cellStyle name="Input [yellow] 2 10 11 10" xfId="5835"/>
    <cellStyle name="Input [yellow] 2 10 11 10 2" xfId="17032"/>
    <cellStyle name="Input [yellow] 2 10 11 10 3" xfId="28200"/>
    <cellStyle name="Input [yellow] 2 10 11 10 4" xfId="39365"/>
    <cellStyle name="Input [yellow] 2 10 11 10 5" xfId="50558"/>
    <cellStyle name="Input [yellow] 2 10 11 11" xfId="6609"/>
    <cellStyle name="Input [yellow] 2 10 11 11 2" xfId="17806"/>
    <cellStyle name="Input [yellow] 2 10 11 11 3" xfId="28974"/>
    <cellStyle name="Input [yellow] 2 10 11 11 4" xfId="40139"/>
    <cellStyle name="Input [yellow] 2 10 11 11 5" xfId="51332"/>
    <cellStyle name="Input [yellow] 2 10 11 12" xfId="7242"/>
    <cellStyle name="Input [yellow] 2 10 11 12 2" xfId="18439"/>
    <cellStyle name="Input [yellow] 2 10 11 12 3" xfId="29607"/>
    <cellStyle name="Input [yellow] 2 10 11 12 4" xfId="40772"/>
    <cellStyle name="Input [yellow] 2 10 11 12 5" xfId="51965"/>
    <cellStyle name="Input [yellow] 2 10 11 13" xfId="7876"/>
    <cellStyle name="Input [yellow] 2 10 11 13 2" xfId="19073"/>
    <cellStyle name="Input [yellow] 2 10 11 13 3" xfId="30241"/>
    <cellStyle name="Input [yellow] 2 10 11 13 4" xfId="41406"/>
    <cellStyle name="Input [yellow] 2 10 11 13 5" xfId="52599"/>
    <cellStyle name="Input [yellow] 2 10 11 14" xfId="8510"/>
    <cellStyle name="Input [yellow] 2 10 11 14 2" xfId="19707"/>
    <cellStyle name="Input [yellow] 2 10 11 14 3" xfId="30875"/>
    <cellStyle name="Input [yellow] 2 10 11 14 4" xfId="42040"/>
    <cellStyle name="Input [yellow] 2 10 11 14 5" xfId="53233"/>
    <cellStyle name="Input [yellow] 2 10 11 15" xfId="9138"/>
    <cellStyle name="Input [yellow] 2 10 11 15 2" xfId="20335"/>
    <cellStyle name="Input [yellow] 2 10 11 15 3" xfId="31503"/>
    <cellStyle name="Input [yellow] 2 10 11 15 4" xfId="42668"/>
    <cellStyle name="Input [yellow] 2 10 11 15 5" xfId="53861"/>
    <cellStyle name="Input [yellow] 2 10 11 16" xfId="9561"/>
    <cellStyle name="Input [yellow] 2 10 11 16 2" xfId="20758"/>
    <cellStyle name="Input [yellow] 2 10 11 16 3" xfId="31926"/>
    <cellStyle name="Input [yellow] 2 10 11 16 4" xfId="43091"/>
    <cellStyle name="Input [yellow] 2 10 11 16 5" xfId="54284"/>
    <cellStyle name="Input [yellow] 2 10 11 17" xfId="10186"/>
    <cellStyle name="Input [yellow] 2 10 11 17 2" xfId="21383"/>
    <cellStyle name="Input [yellow] 2 10 11 17 3" xfId="32551"/>
    <cellStyle name="Input [yellow] 2 10 11 17 4" xfId="43716"/>
    <cellStyle name="Input [yellow] 2 10 11 17 5" xfId="54909"/>
    <cellStyle name="Input [yellow] 2 10 11 18" xfId="10409"/>
    <cellStyle name="Input [yellow] 2 10 11 18 2" xfId="21606"/>
    <cellStyle name="Input [yellow] 2 10 11 18 3" xfId="32774"/>
    <cellStyle name="Input [yellow] 2 10 11 18 4" xfId="43939"/>
    <cellStyle name="Input [yellow] 2 10 11 18 5" xfId="55132"/>
    <cellStyle name="Input [yellow] 2 10 11 19" xfId="11226"/>
    <cellStyle name="Input [yellow] 2 10 11 19 2" xfId="22423"/>
    <cellStyle name="Input [yellow] 2 10 11 19 3" xfId="33591"/>
    <cellStyle name="Input [yellow] 2 10 11 19 4" xfId="44756"/>
    <cellStyle name="Input [yellow] 2 10 11 19 5" xfId="55949"/>
    <cellStyle name="Input [yellow] 2 10 11 2" xfId="1322"/>
    <cellStyle name="Input [yellow] 2 10 11 2 2" xfId="12519"/>
    <cellStyle name="Input [yellow] 2 10 11 2 3" xfId="23687"/>
    <cellStyle name="Input [yellow] 2 10 11 2 4" xfId="34852"/>
    <cellStyle name="Input [yellow] 2 10 11 2 5" xfId="46045"/>
    <cellStyle name="Input [yellow] 2 10 11 20" xfId="11873"/>
    <cellStyle name="Input [yellow] 2 10 11 21" xfId="23043"/>
    <cellStyle name="Input [yellow] 2 10 11 22" xfId="34210"/>
    <cellStyle name="Input [yellow] 2 10 11 23" xfId="45396"/>
    <cellStyle name="Input [yellow] 2 10 11 3" xfId="1925"/>
    <cellStyle name="Input [yellow] 2 10 11 3 2" xfId="13122"/>
    <cellStyle name="Input [yellow] 2 10 11 3 3" xfId="24290"/>
    <cellStyle name="Input [yellow] 2 10 11 3 4" xfId="35455"/>
    <cellStyle name="Input [yellow] 2 10 11 3 5" xfId="46648"/>
    <cellStyle name="Input [yellow] 2 10 11 4" xfId="2598"/>
    <cellStyle name="Input [yellow] 2 10 11 4 2" xfId="13795"/>
    <cellStyle name="Input [yellow] 2 10 11 4 3" xfId="24963"/>
    <cellStyle name="Input [yellow] 2 10 11 4 4" xfId="36128"/>
    <cellStyle name="Input [yellow] 2 10 11 4 5" xfId="47321"/>
    <cellStyle name="Input [yellow] 2 10 11 5" xfId="3023"/>
    <cellStyle name="Input [yellow] 2 10 11 5 2" xfId="14220"/>
    <cellStyle name="Input [yellow] 2 10 11 5 3" xfId="25388"/>
    <cellStyle name="Input [yellow] 2 10 11 5 4" xfId="36553"/>
    <cellStyle name="Input [yellow] 2 10 11 5 5" xfId="47746"/>
    <cellStyle name="Input [yellow] 2 10 11 6" xfId="3657"/>
    <cellStyle name="Input [yellow] 2 10 11 6 2" xfId="14854"/>
    <cellStyle name="Input [yellow] 2 10 11 6 3" xfId="26022"/>
    <cellStyle name="Input [yellow] 2 10 11 6 4" xfId="37187"/>
    <cellStyle name="Input [yellow] 2 10 11 6 5" xfId="48380"/>
    <cellStyle name="Input [yellow] 2 10 11 7" xfId="4291"/>
    <cellStyle name="Input [yellow] 2 10 11 7 2" xfId="15488"/>
    <cellStyle name="Input [yellow] 2 10 11 7 3" xfId="26656"/>
    <cellStyle name="Input [yellow] 2 10 11 7 4" xfId="37821"/>
    <cellStyle name="Input [yellow] 2 10 11 7 5" xfId="49014"/>
    <cellStyle name="Input [yellow] 2 10 11 8" xfId="4924"/>
    <cellStyle name="Input [yellow] 2 10 11 8 2" xfId="16121"/>
    <cellStyle name="Input [yellow] 2 10 11 8 3" xfId="27289"/>
    <cellStyle name="Input [yellow] 2 10 11 8 4" xfId="38454"/>
    <cellStyle name="Input [yellow] 2 10 11 8 5" xfId="49647"/>
    <cellStyle name="Input [yellow] 2 10 11 9" xfId="5555"/>
    <cellStyle name="Input [yellow] 2 10 11 9 2" xfId="16752"/>
    <cellStyle name="Input [yellow] 2 10 11 9 3" xfId="27920"/>
    <cellStyle name="Input [yellow] 2 10 11 9 4" xfId="39085"/>
    <cellStyle name="Input [yellow] 2 10 11 9 5" xfId="50278"/>
    <cellStyle name="Input [yellow] 2 10 12" xfId="747"/>
    <cellStyle name="Input [yellow] 2 10 12 2" xfId="11945"/>
    <cellStyle name="Input [yellow] 2 10 12 3" xfId="23113"/>
    <cellStyle name="Input [yellow] 2 10 12 4" xfId="34278"/>
    <cellStyle name="Input [yellow] 2 10 12 5" xfId="45470"/>
    <cellStyle name="Input [yellow] 2 10 13" xfId="1750"/>
    <cellStyle name="Input [yellow] 2 10 13 2" xfId="12947"/>
    <cellStyle name="Input [yellow] 2 10 13 3" xfId="24115"/>
    <cellStyle name="Input [yellow] 2 10 13 4" xfId="35280"/>
    <cellStyle name="Input [yellow] 2 10 13 5" xfId="46473"/>
    <cellStyle name="Input [yellow] 2 10 14" xfId="2024"/>
    <cellStyle name="Input [yellow] 2 10 14 2" xfId="13221"/>
    <cellStyle name="Input [yellow] 2 10 14 3" xfId="24389"/>
    <cellStyle name="Input [yellow] 2 10 14 4" xfId="35554"/>
    <cellStyle name="Input [yellow] 2 10 14 5" xfId="46747"/>
    <cellStyle name="Input [yellow] 2 10 15" xfId="2225"/>
    <cellStyle name="Input [yellow] 2 10 15 2" xfId="13422"/>
    <cellStyle name="Input [yellow] 2 10 15 3" xfId="24590"/>
    <cellStyle name="Input [yellow] 2 10 15 4" xfId="35755"/>
    <cellStyle name="Input [yellow] 2 10 15 5" xfId="46948"/>
    <cellStyle name="Input [yellow] 2 10 16" xfId="3082"/>
    <cellStyle name="Input [yellow] 2 10 16 2" xfId="14279"/>
    <cellStyle name="Input [yellow] 2 10 16 3" xfId="25447"/>
    <cellStyle name="Input [yellow] 2 10 16 4" xfId="36612"/>
    <cellStyle name="Input [yellow] 2 10 16 5" xfId="47805"/>
    <cellStyle name="Input [yellow] 2 10 17" xfId="3716"/>
    <cellStyle name="Input [yellow] 2 10 17 2" xfId="14913"/>
    <cellStyle name="Input [yellow] 2 10 17 3" xfId="26081"/>
    <cellStyle name="Input [yellow] 2 10 17 4" xfId="37246"/>
    <cellStyle name="Input [yellow] 2 10 17 5" xfId="48439"/>
    <cellStyle name="Input [yellow] 2 10 18" xfId="4349"/>
    <cellStyle name="Input [yellow] 2 10 18 2" xfId="15546"/>
    <cellStyle name="Input [yellow] 2 10 18 3" xfId="26714"/>
    <cellStyle name="Input [yellow] 2 10 18 4" xfId="37879"/>
    <cellStyle name="Input [yellow] 2 10 18 5" xfId="49072"/>
    <cellStyle name="Input [yellow] 2 10 19" xfId="4981"/>
    <cellStyle name="Input [yellow] 2 10 19 2" xfId="16178"/>
    <cellStyle name="Input [yellow] 2 10 19 3" xfId="27346"/>
    <cellStyle name="Input [yellow] 2 10 19 4" xfId="38511"/>
    <cellStyle name="Input [yellow] 2 10 19 5" xfId="49704"/>
    <cellStyle name="Input [yellow] 2 10 2" xfId="162"/>
    <cellStyle name="Input [yellow] 2 10 2 10" xfId="5880"/>
    <cellStyle name="Input [yellow] 2 10 2 10 2" xfId="17077"/>
    <cellStyle name="Input [yellow] 2 10 2 10 3" xfId="28245"/>
    <cellStyle name="Input [yellow] 2 10 2 10 4" xfId="39410"/>
    <cellStyle name="Input [yellow] 2 10 2 10 5" xfId="50603"/>
    <cellStyle name="Input [yellow] 2 10 2 11" xfId="5907"/>
    <cellStyle name="Input [yellow] 2 10 2 11 2" xfId="17104"/>
    <cellStyle name="Input [yellow] 2 10 2 11 3" xfId="28272"/>
    <cellStyle name="Input [yellow] 2 10 2 11 4" xfId="39437"/>
    <cellStyle name="Input [yellow] 2 10 2 11 5" xfId="50630"/>
    <cellStyle name="Input [yellow] 2 10 2 12" xfId="6731"/>
    <cellStyle name="Input [yellow] 2 10 2 12 2" xfId="17928"/>
    <cellStyle name="Input [yellow] 2 10 2 12 3" xfId="29096"/>
    <cellStyle name="Input [yellow] 2 10 2 12 4" xfId="40261"/>
    <cellStyle name="Input [yellow] 2 10 2 12 5" xfId="51454"/>
    <cellStyle name="Input [yellow] 2 10 2 13" xfId="7365"/>
    <cellStyle name="Input [yellow] 2 10 2 13 2" xfId="18562"/>
    <cellStyle name="Input [yellow] 2 10 2 13 3" xfId="29730"/>
    <cellStyle name="Input [yellow] 2 10 2 13 4" xfId="40895"/>
    <cellStyle name="Input [yellow] 2 10 2 13 5" xfId="52088"/>
    <cellStyle name="Input [yellow] 2 10 2 14" xfId="7999"/>
    <cellStyle name="Input [yellow] 2 10 2 14 2" xfId="19196"/>
    <cellStyle name="Input [yellow] 2 10 2 14 3" xfId="30364"/>
    <cellStyle name="Input [yellow] 2 10 2 14 4" xfId="41529"/>
    <cellStyle name="Input [yellow] 2 10 2 14 5" xfId="52722"/>
    <cellStyle name="Input [yellow] 2 10 2 15" xfId="8630"/>
    <cellStyle name="Input [yellow] 2 10 2 15 2" xfId="19827"/>
    <cellStyle name="Input [yellow] 2 10 2 15 3" xfId="30995"/>
    <cellStyle name="Input [yellow] 2 10 2 15 4" xfId="42160"/>
    <cellStyle name="Input [yellow] 2 10 2 15 5" xfId="53353"/>
    <cellStyle name="Input [yellow] 2 10 2 16" xfId="8745"/>
    <cellStyle name="Input [yellow] 2 10 2 16 2" xfId="19942"/>
    <cellStyle name="Input [yellow] 2 10 2 16 3" xfId="31110"/>
    <cellStyle name="Input [yellow] 2 10 2 16 4" xfId="42275"/>
    <cellStyle name="Input [yellow] 2 10 2 16 5" xfId="53468"/>
    <cellStyle name="Input [yellow] 2 10 2 17" xfId="9683"/>
    <cellStyle name="Input [yellow] 2 10 2 17 2" xfId="20880"/>
    <cellStyle name="Input [yellow] 2 10 2 17 3" xfId="32048"/>
    <cellStyle name="Input [yellow] 2 10 2 17 4" xfId="43213"/>
    <cellStyle name="Input [yellow] 2 10 2 17 5" xfId="54406"/>
    <cellStyle name="Input [yellow] 2 10 2 18" xfId="10517"/>
    <cellStyle name="Input [yellow] 2 10 2 18 2" xfId="21714"/>
    <cellStyle name="Input [yellow] 2 10 2 18 3" xfId="32882"/>
    <cellStyle name="Input [yellow] 2 10 2 18 4" xfId="44047"/>
    <cellStyle name="Input [yellow] 2 10 2 18 5" xfId="55240"/>
    <cellStyle name="Input [yellow] 2 10 2 19" xfId="10715"/>
    <cellStyle name="Input [yellow] 2 10 2 19 2" xfId="21912"/>
    <cellStyle name="Input [yellow] 2 10 2 19 3" xfId="33080"/>
    <cellStyle name="Input [yellow] 2 10 2 19 4" xfId="44245"/>
    <cellStyle name="Input [yellow] 2 10 2 19 5" xfId="55438"/>
    <cellStyle name="Input [yellow] 2 10 2 2" xfId="811"/>
    <cellStyle name="Input [yellow] 2 10 2 2 2" xfId="12008"/>
    <cellStyle name="Input [yellow] 2 10 2 2 3" xfId="23176"/>
    <cellStyle name="Input [yellow] 2 10 2 2 4" xfId="34341"/>
    <cellStyle name="Input [yellow] 2 10 2 2 5" xfId="45534"/>
    <cellStyle name="Input [yellow] 2 10 2 20" xfId="11362"/>
    <cellStyle name="Input [yellow] 2 10 2 21" xfId="22532"/>
    <cellStyle name="Input [yellow] 2 10 2 22" xfId="33699"/>
    <cellStyle name="Input [yellow] 2 10 2 23" xfId="44885"/>
    <cellStyle name="Input [yellow] 2 10 2 3" xfId="1814"/>
    <cellStyle name="Input [yellow] 2 10 2 3 2" xfId="13011"/>
    <cellStyle name="Input [yellow] 2 10 2 3 3" xfId="24179"/>
    <cellStyle name="Input [yellow] 2 10 2 3 4" xfId="35344"/>
    <cellStyle name="Input [yellow] 2 10 2 3 5" xfId="46537"/>
    <cellStyle name="Input [yellow] 2 10 2 4" xfId="2088"/>
    <cellStyle name="Input [yellow] 2 10 2 4 2" xfId="13285"/>
    <cellStyle name="Input [yellow] 2 10 2 4 3" xfId="24453"/>
    <cellStyle name="Input [yellow] 2 10 2 4 4" xfId="35618"/>
    <cellStyle name="Input [yellow] 2 10 2 4 5" xfId="46811"/>
    <cellStyle name="Input [yellow] 2 10 2 5" xfId="2326"/>
    <cellStyle name="Input [yellow] 2 10 2 5 2" xfId="13523"/>
    <cellStyle name="Input [yellow] 2 10 2 5 3" xfId="24691"/>
    <cellStyle name="Input [yellow] 2 10 2 5 4" xfId="35856"/>
    <cellStyle name="Input [yellow] 2 10 2 5 5" xfId="47049"/>
    <cellStyle name="Input [yellow] 2 10 2 6" xfId="3146"/>
    <cellStyle name="Input [yellow] 2 10 2 6 2" xfId="14343"/>
    <cellStyle name="Input [yellow] 2 10 2 6 3" xfId="25511"/>
    <cellStyle name="Input [yellow] 2 10 2 6 4" xfId="36676"/>
    <cellStyle name="Input [yellow] 2 10 2 6 5" xfId="47869"/>
    <cellStyle name="Input [yellow] 2 10 2 7" xfId="3780"/>
    <cellStyle name="Input [yellow] 2 10 2 7 2" xfId="14977"/>
    <cellStyle name="Input [yellow] 2 10 2 7 3" xfId="26145"/>
    <cellStyle name="Input [yellow] 2 10 2 7 4" xfId="37310"/>
    <cellStyle name="Input [yellow] 2 10 2 7 5" xfId="48503"/>
    <cellStyle name="Input [yellow] 2 10 2 8" xfId="4413"/>
    <cellStyle name="Input [yellow] 2 10 2 8 2" xfId="15610"/>
    <cellStyle name="Input [yellow] 2 10 2 8 3" xfId="26778"/>
    <cellStyle name="Input [yellow] 2 10 2 8 4" xfId="37943"/>
    <cellStyle name="Input [yellow] 2 10 2 8 5" xfId="49136"/>
    <cellStyle name="Input [yellow] 2 10 2 9" xfId="5044"/>
    <cellStyle name="Input [yellow] 2 10 2 9 2" xfId="16241"/>
    <cellStyle name="Input [yellow] 2 10 2 9 3" xfId="27409"/>
    <cellStyle name="Input [yellow] 2 10 2 9 4" xfId="38574"/>
    <cellStyle name="Input [yellow] 2 10 2 9 5" xfId="49767"/>
    <cellStyle name="Input [yellow] 2 10 20" xfId="5577"/>
    <cellStyle name="Input [yellow] 2 10 20 2" xfId="16774"/>
    <cellStyle name="Input [yellow] 2 10 20 3" xfId="27942"/>
    <cellStyle name="Input [yellow] 2 10 20 4" xfId="39107"/>
    <cellStyle name="Input [yellow] 2 10 20 5" xfId="50300"/>
    <cellStyle name="Input [yellow] 2 10 21" xfId="6023"/>
    <cellStyle name="Input [yellow] 2 10 21 2" xfId="17220"/>
    <cellStyle name="Input [yellow] 2 10 21 3" xfId="28388"/>
    <cellStyle name="Input [yellow] 2 10 21 4" xfId="39553"/>
    <cellStyle name="Input [yellow] 2 10 21 5" xfId="50746"/>
    <cellStyle name="Input [yellow] 2 10 22" xfId="6668"/>
    <cellStyle name="Input [yellow] 2 10 22 2" xfId="17865"/>
    <cellStyle name="Input [yellow] 2 10 22 3" xfId="29033"/>
    <cellStyle name="Input [yellow] 2 10 22 4" xfId="40198"/>
    <cellStyle name="Input [yellow] 2 10 22 5" xfId="51391"/>
    <cellStyle name="Input [yellow] 2 10 23" xfId="7301"/>
    <cellStyle name="Input [yellow] 2 10 23 2" xfId="18498"/>
    <cellStyle name="Input [yellow] 2 10 23 3" xfId="29666"/>
    <cellStyle name="Input [yellow] 2 10 23 4" xfId="40831"/>
    <cellStyle name="Input [yellow] 2 10 23 5" xfId="52024"/>
    <cellStyle name="Input [yellow] 2 10 24" xfId="7935"/>
    <cellStyle name="Input [yellow] 2 10 24 2" xfId="19132"/>
    <cellStyle name="Input [yellow] 2 10 24 3" xfId="30300"/>
    <cellStyle name="Input [yellow] 2 10 24 4" xfId="41465"/>
    <cellStyle name="Input [yellow] 2 10 24 5" xfId="52658"/>
    <cellStyle name="Input [yellow] 2 10 25" xfId="8567"/>
    <cellStyle name="Input [yellow] 2 10 25 2" xfId="19764"/>
    <cellStyle name="Input [yellow] 2 10 25 3" xfId="30932"/>
    <cellStyle name="Input [yellow] 2 10 25 4" xfId="42097"/>
    <cellStyle name="Input [yellow] 2 10 25 5" xfId="53290"/>
    <cellStyle name="Input [yellow] 2 10 26" xfId="9021"/>
    <cellStyle name="Input [yellow] 2 10 26 2" xfId="20218"/>
    <cellStyle name="Input [yellow] 2 10 26 3" xfId="31386"/>
    <cellStyle name="Input [yellow] 2 10 26 4" xfId="42551"/>
    <cellStyle name="Input [yellow] 2 10 26 5" xfId="53744"/>
    <cellStyle name="Input [yellow] 2 10 27" xfId="9620"/>
    <cellStyle name="Input [yellow] 2 10 27 2" xfId="20817"/>
    <cellStyle name="Input [yellow] 2 10 27 3" xfId="31985"/>
    <cellStyle name="Input [yellow] 2 10 27 4" xfId="43150"/>
    <cellStyle name="Input [yellow] 2 10 27 5" xfId="54343"/>
    <cellStyle name="Input [yellow] 2 10 28" xfId="10421"/>
    <cellStyle name="Input [yellow] 2 10 28 2" xfId="21618"/>
    <cellStyle name="Input [yellow] 2 10 28 3" xfId="32786"/>
    <cellStyle name="Input [yellow] 2 10 28 4" xfId="43951"/>
    <cellStyle name="Input [yellow] 2 10 28 5" xfId="55144"/>
    <cellStyle name="Input [yellow] 2 10 29" xfId="10652"/>
    <cellStyle name="Input [yellow] 2 10 29 2" xfId="21849"/>
    <cellStyle name="Input [yellow] 2 10 29 3" xfId="33017"/>
    <cellStyle name="Input [yellow] 2 10 29 4" xfId="44182"/>
    <cellStyle name="Input [yellow] 2 10 29 5" xfId="55375"/>
    <cellStyle name="Input [yellow] 2 10 3" xfId="218"/>
    <cellStyle name="Input [yellow] 2 10 3 10" xfId="5674"/>
    <cellStyle name="Input [yellow] 2 10 3 10 2" xfId="16871"/>
    <cellStyle name="Input [yellow] 2 10 3 10 3" xfId="28039"/>
    <cellStyle name="Input [yellow] 2 10 3 10 4" xfId="39204"/>
    <cellStyle name="Input [yellow] 2 10 3 10 5" xfId="50397"/>
    <cellStyle name="Input [yellow] 2 10 3 11" xfId="6081"/>
    <cellStyle name="Input [yellow] 2 10 3 11 2" xfId="17278"/>
    <cellStyle name="Input [yellow] 2 10 3 11 3" xfId="28446"/>
    <cellStyle name="Input [yellow] 2 10 3 11 4" xfId="39611"/>
    <cellStyle name="Input [yellow] 2 10 3 11 5" xfId="50804"/>
    <cellStyle name="Input [yellow] 2 10 3 12" xfId="6787"/>
    <cellStyle name="Input [yellow] 2 10 3 12 2" xfId="17984"/>
    <cellStyle name="Input [yellow] 2 10 3 12 3" xfId="29152"/>
    <cellStyle name="Input [yellow] 2 10 3 12 4" xfId="40317"/>
    <cellStyle name="Input [yellow] 2 10 3 12 5" xfId="51510"/>
    <cellStyle name="Input [yellow] 2 10 3 13" xfId="7421"/>
    <cellStyle name="Input [yellow] 2 10 3 13 2" xfId="18618"/>
    <cellStyle name="Input [yellow] 2 10 3 13 3" xfId="29786"/>
    <cellStyle name="Input [yellow] 2 10 3 13 4" xfId="40951"/>
    <cellStyle name="Input [yellow] 2 10 3 13 5" xfId="52144"/>
    <cellStyle name="Input [yellow] 2 10 3 14" xfId="8055"/>
    <cellStyle name="Input [yellow] 2 10 3 14 2" xfId="19252"/>
    <cellStyle name="Input [yellow] 2 10 3 14 3" xfId="30420"/>
    <cellStyle name="Input [yellow] 2 10 3 14 4" xfId="41585"/>
    <cellStyle name="Input [yellow] 2 10 3 14 5" xfId="52778"/>
    <cellStyle name="Input [yellow] 2 10 3 15" xfId="8686"/>
    <cellStyle name="Input [yellow] 2 10 3 15 2" xfId="19883"/>
    <cellStyle name="Input [yellow] 2 10 3 15 3" xfId="31051"/>
    <cellStyle name="Input [yellow] 2 10 3 15 4" xfId="42216"/>
    <cellStyle name="Input [yellow] 2 10 3 15 5" xfId="53409"/>
    <cellStyle name="Input [yellow] 2 10 3 16" xfId="9006"/>
    <cellStyle name="Input [yellow] 2 10 3 16 2" xfId="20203"/>
    <cellStyle name="Input [yellow] 2 10 3 16 3" xfId="31371"/>
    <cellStyle name="Input [yellow] 2 10 3 16 4" xfId="42536"/>
    <cellStyle name="Input [yellow] 2 10 3 16 5" xfId="53729"/>
    <cellStyle name="Input [yellow] 2 10 3 17" xfId="9737"/>
    <cellStyle name="Input [yellow] 2 10 3 17 2" xfId="20934"/>
    <cellStyle name="Input [yellow] 2 10 3 17 3" xfId="32102"/>
    <cellStyle name="Input [yellow] 2 10 3 17 4" xfId="43267"/>
    <cellStyle name="Input [yellow] 2 10 3 17 5" xfId="54460"/>
    <cellStyle name="Input [yellow] 2 10 3 18" xfId="10445"/>
    <cellStyle name="Input [yellow] 2 10 3 18 2" xfId="21642"/>
    <cellStyle name="Input [yellow] 2 10 3 18 3" xfId="32810"/>
    <cellStyle name="Input [yellow] 2 10 3 18 4" xfId="43975"/>
    <cellStyle name="Input [yellow] 2 10 3 18 5" xfId="55168"/>
    <cellStyle name="Input [yellow] 2 10 3 19" xfId="10771"/>
    <cellStyle name="Input [yellow] 2 10 3 19 2" xfId="21968"/>
    <cellStyle name="Input [yellow] 2 10 3 19 3" xfId="33136"/>
    <cellStyle name="Input [yellow] 2 10 3 19 4" xfId="44301"/>
    <cellStyle name="Input [yellow] 2 10 3 19 5" xfId="55494"/>
    <cellStyle name="Input [yellow] 2 10 3 2" xfId="867"/>
    <cellStyle name="Input [yellow] 2 10 3 2 2" xfId="12064"/>
    <cellStyle name="Input [yellow] 2 10 3 2 3" xfId="23232"/>
    <cellStyle name="Input [yellow] 2 10 3 2 4" xfId="34397"/>
    <cellStyle name="Input [yellow] 2 10 3 2 5" xfId="45590"/>
    <cellStyle name="Input [yellow] 2 10 3 20" xfId="11418"/>
    <cellStyle name="Input [yellow] 2 10 3 21" xfId="22588"/>
    <cellStyle name="Input [yellow] 2 10 3 22" xfId="33755"/>
    <cellStyle name="Input [yellow] 2 10 3 23" xfId="44941"/>
    <cellStyle name="Input [yellow] 2 10 3 3" xfId="1742"/>
    <cellStyle name="Input [yellow] 2 10 3 3 2" xfId="12939"/>
    <cellStyle name="Input [yellow] 2 10 3 3 3" xfId="24107"/>
    <cellStyle name="Input [yellow] 2 10 3 3 4" xfId="35272"/>
    <cellStyle name="Input [yellow] 2 10 3 3 5" xfId="46465"/>
    <cellStyle name="Input [yellow] 2 10 3 4" xfId="2144"/>
    <cellStyle name="Input [yellow] 2 10 3 4 2" xfId="13341"/>
    <cellStyle name="Input [yellow] 2 10 3 4 3" xfId="24509"/>
    <cellStyle name="Input [yellow] 2 10 3 4 4" xfId="35674"/>
    <cellStyle name="Input [yellow] 2 10 3 4 5" xfId="46867"/>
    <cellStyle name="Input [yellow] 2 10 3 5" xfId="2447"/>
    <cellStyle name="Input [yellow] 2 10 3 5 2" xfId="13644"/>
    <cellStyle name="Input [yellow] 2 10 3 5 3" xfId="24812"/>
    <cellStyle name="Input [yellow] 2 10 3 5 4" xfId="35977"/>
    <cellStyle name="Input [yellow] 2 10 3 5 5" xfId="47170"/>
    <cellStyle name="Input [yellow] 2 10 3 6" xfId="3202"/>
    <cellStyle name="Input [yellow] 2 10 3 6 2" xfId="14399"/>
    <cellStyle name="Input [yellow] 2 10 3 6 3" xfId="25567"/>
    <cellStyle name="Input [yellow] 2 10 3 6 4" xfId="36732"/>
    <cellStyle name="Input [yellow] 2 10 3 6 5" xfId="47925"/>
    <cellStyle name="Input [yellow] 2 10 3 7" xfId="3836"/>
    <cellStyle name="Input [yellow] 2 10 3 7 2" xfId="15033"/>
    <cellStyle name="Input [yellow] 2 10 3 7 3" xfId="26201"/>
    <cellStyle name="Input [yellow] 2 10 3 7 4" xfId="37366"/>
    <cellStyle name="Input [yellow] 2 10 3 7 5" xfId="48559"/>
    <cellStyle name="Input [yellow] 2 10 3 8" xfId="4469"/>
    <cellStyle name="Input [yellow] 2 10 3 8 2" xfId="15666"/>
    <cellStyle name="Input [yellow] 2 10 3 8 3" xfId="26834"/>
    <cellStyle name="Input [yellow] 2 10 3 8 4" xfId="37999"/>
    <cellStyle name="Input [yellow] 2 10 3 8 5" xfId="49192"/>
    <cellStyle name="Input [yellow] 2 10 3 9" xfId="5100"/>
    <cellStyle name="Input [yellow] 2 10 3 9 2" xfId="16297"/>
    <cellStyle name="Input [yellow] 2 10 3 9 3" xfId="27465"/>
    <cellStyle name="Input [yellow] 2 10 3 9 4" xfId="38630"/>
    <cellStyle name="Input [yellow] 2 10 3 9 5" xfId="49823"/>
    <cellStyle name="Input [yellow] 2 10 30" xfId="11299"/>
    <cellStyle name="Input [yellow] 2 10 31" xfId="22469"/>
    <cellStyle name="Input [yellow] 2 10 32" xfId="33636"/>
    <cellStyle name="Input [yellow] 2 10 33" xfId="44821"/>
    <cellStyle name="Input [yellow] 2 10 4" xfId="136"/>
    <cellStyle name="Input [yellow] 2 10 4 10" xfId="5604"/>
    <cellStyle name="Input [yellow] 2 10 4 10 2" xfId="16801"/>
    <cellStyle name="Input [yellow] 2 10 4 10 3" xfId="27969"/>
    <cellStyle name="Input [yellow] 2 10 4 10 4" xfId="39134"/>
    <cellStyle name="Input [yellow] 2 10 4 10 5" xfId="50327"/>
    <cellStyle name="Input [yellow] 2 10 4 11" xfId="5711"/>
    <cellStyle name="Input [yellow] 2 10 4 11 2" xfId="16908"/>
    <cellStyle name="Input [yellow] 2 10 4 11 3" xfId="28076"/>
    <cellStyle name="Input [yellow] 2 10 4 11 4" xfId="39241"/>
    <cellStyle name="Input [yellow] 2 10 4 11 5" xfId="50434"/>
    <cellStyle name="Input [yellow] 2 10 4 12" xfId="6705"/>
    <cellStyle name="Input [yellow] 2 10 4 12 2" xfId="17902"/>
    <cellStyle name="Input [yellow] 2 10 4 12 3" xfId="29070"/>
    <cellStyle name="Input [yellow] 2 10 4 12 4" xfId="40235"/>
    <cellStyle name="Input [yellow] 2 10 4 12 5" xfId="51428"/>
    <cellStyle name="Input [yellow] 2 10 4 13" xfId="7339"/>
    <cellStyle name="Input [yellow] 2 10 4 13 2" xfId="18536"/>
    <cellStyle name="Input [yellow] 2 10 4 13 3" xfId="29704"/>
    <cellStyle name="Input [yellow] 2 10 4 13 4" xfId="40869"/>
    <cellStyle name="Input [yellow] 2 10 4 13 5" xfId="52062"/>
    <cellStyle name="Input [yellow] 2 10 4 14" xfId="7973"/>
    <cellStyle name="Input [yellow] 2 10 4 14 2" xfId="19170"/>
    <cellStyle name="Input [yellow] 2 10 4 14 3" xfId="30338"/>
    <cellStyle name="Input [yellow] 2 10 4 14 4" xfId="41503"/>
    <cellStyle name="Input [yellow] 2 10 4 14 5" xfId="52696"/>
    <cellStyle name="Input [yellow] 2 10 4 15" xfId="8604"/>
    <cellStyle name="Input [yellow] 2 10 4 15 2" xfId="19801"/>
    <cellStyle name="Input [yellow] 2 10 4 15 3" xfId="30969"/>
    <cellStyle name="Input [yellow] 2 10 4 15 4" xfId="42134"/>
    <cellStyle name="Input [yellow] 2 10 4 15 5" xfId="53327"/>
    <cellStyle name="Input [yellow] 2 10 4 16" xfId="8748"/>
    <cellStyle name="Input [yellow] 2 10 4 16 2" xfId="19945"/>
    <cellStyle name="Input [yellow] 2 10 4 16 3" xfId="31113"/>
    <cellStyle name="Input [yellow] 2 10 4 16 4" xfId="42278"/>
    <cellStyle name="Input [yellow] 2 10 4 16 5" xfId="53471"/>
    <cellStyle name="Input [yellow] 2 10 4 17" xfId="9657"/>
    <cellStyle name="Input [yellow] 2 10 4 17 2" xfId="20854"/>
    <cellStyle name="Input [yellow] 2 10 4 17 3" xfId="32022"/>
    <cellStyle name="Input [yellow] 2 10 4 17 4" xfId="43187"/>
    <cellStyle name="Input [yellow] 2 10 4 17 5" xfId="54380"/>
    <cellStyle name="Input [yellow] 2 10 4 18" xfId="10216"/>
    <cellStyle name="Input [yellow] 2 10 4 18 2" xfId="21413"/>
    <cellStyle name="Input [yellow] 2 10 4 18 3" xfId="32581"/>
    <cellStyle name="Input [yellow] 2 10 4 18 4" xfId="43746"/>
    <cellStyle name="Input [yellow] 2 10 4 18 5" xfId="54939"/>
    <cellStyle name="Input [yellow] 2 10 4 19" xfId="10689"/>
    <cellStyle name="Input [yellow] 2 10 4 19 2" xfId="21886"/>
    <cellStyle name="Input [yellow] 2 10 4 19 3" xfId="33054"/>
    <cellStyle name="Input [yellow] 2 10 4 19 4" xfId="44219"/>
    <cellStyle name="Input [yellow] 2 10 4 19 5" xfId="55412"/>
    <cellStyle name="Input [yellow] 2 10 4 2" xfId="785"/>
    <cellStyle name="Input [yellow] 2 10 4 2 2" xfId="11982"/>
    <cellStyle name="Input [yellow] 2 10 4 2 3" xfId="23150"/>
    <cellStyle name="Input [yellow] 2 10 4 2 4" xfId="34315"/>
    <cellStyle name="Input [yellow] 2 10 4 2 5" xfId="45508"/>
    <cellStyle name="Input [yellow] 2 10 4 20" xfId="11336"/>
    <cellStyle name="Input [yellow] 2 10 4 21" xfId="22506"/>
    <cellStyle name="Input [yellow] 2 10 4 22" xfId="33673"/>
    <cellStyle name="Input [yellow] 2 10 4 23" xfId="44859"/>
    <cellStyle name="Input [yellow] 2 10 4 3" xfId="1535"/>
    <cellStyle name="Input [yellow] 2 10 4 3 2" xfId="12732"/>
    <cellStyle name="Input [yellow] 2 10 4 3 3" xfId="23900"/>
    <cellStyle name="Input [yellow] 2 10 4 3 4" xfId="35065"/>
    <cellStyle name="Input [yellow] 2 10 4 3 5" xfId="46258"/>
    <cellStyle name="Input [yellow] 2 10 4 4" xfId="2062"/>
    <cellStyle name="Input [yellow] 2 10 4 4 2" xfId="13259"/>
    <cellStyle name="Input [yellow] 2 10 4 4 3" xfId="24427"/>
    <cellStyle name="Input [yellow] 2 10 4 4 4" xfId="35592"/>
    <cellStyle name="Input [yellow] 2 10 4 4 5" xfId="46785"/>
    <cellStyle name="Input [yellow] 2 10 4 5" xfId="2593"/>
    <cellStyle name="Input [yellow] 2 10 4 5 2" xfId="13790"/>
    <cellStyle name="Input [yellow] 2 10 4 5 3" xfId="24958"/>
    <cellStyle name="Input [yellow] 2 10 4 5 4" xfId="36123"/>
    <cellStyle name="Input [yellow] 2 10 4 5 5" xfId="47316"/>
    <cellStyle name="Input [yellow] 2 10 4 6" xfId="3120"/>
    <cellStyle name="Input [yellow] 2 10 4 6 2" xfId="14317"/>
    <cellStyle name="Input [yellow] 2 10 4 6 3" xfId="25485"/>
    <cellStyle name="Input [yellow] 2 10 4 6 4" xfId="36650"/>
    <cellStyle name="Input [yellow] 2 10 4 6 5" xfId="47843"/>
    <cellStyle name="Input [yellow] 2 10 4 7" xfId="3754"/>
    <cellStyle name="Input [yellow] 2 10 4 7 2" xfId="14951"/>
    <cellStyle name="Input [yellow] 2 10 4 7 3" xfId="26119"/>
    <cellStyle name="Input [yellow] 2 10 4 7 4" xfId="37284"/>
    <cellStyle name="Input [yellow] 2 10 4 7 5" xfId="48477"/>
    <cellStyle name="Input [yellow] 2 10 4 8" xfId="4387"/>
    <cellStyle name="Input [yellow] 2 10 4 8 2" xfId="15584"/>
    <cellStyle name="Input [yellow] 2 10 4 8 3" xfId="26752"/>
    <cellStyle name="Input [yellow] 2 10 4 8 4" xfId="37917"/>
    <cellStyle name="Input [yellow] 2 10 4 8 5" xfId="49110"/>
    <cellStyle name="Input [yellow] 2 10 4 9" xfId="5018"/>
    <cellStyle name="Input [yellow] 2 10 4 9 2" xfId="16215"/>
    <cellStyle name="Input [yellow] 2 10 4 9 3" xfId="27383"/>
    <cellStyle name="Input [yellow] 2 10 4 9 4" xfId="38548"/>
    <cellStyle name="Input [yellow] 2 10 4 9 5" xfId="49741"/>
    <cellStyle name="Input [yellow] 2 10 5" xfId="331"/>
    <cellStyle name="Input [yellow] 2 10 5 10" xfId="6026"/>
    <cellStyle name="Input [yellow] 2 10 5 10 2" xfId="17223"/>
    <cellStyle name="Input [yellow] 2 10 5 10 3" xfId="28391"/>
    <cellStyle name="Input [yellow] 2 10 5 10 4" xfId="39556"/>
    <cellStyle name="Input [yellow] 2 10 5 10 5" xfId="50749"/>
    <cellStyle name="Input [yellow] 2 10 5 11" xfId="6267"/>
    <cellStyle name="Input [yellow] 2 10 5 11 2" xfId="17464"/>
    <cellStyle name="Input [yellow] 2 10 5 11 3" xfId="28632"/>
    <cellStyle name="Input [yellow] 2 10 5 11 4" xfId="39797"/>
    <cellStyle name="Input [yellow] 2 10 5 11 5" xfId="50990"/>
    <cellStyle name="Input [yellow] 2 10 5 12" xfId="6900"/>
    <cellStyle name="Input [yellow] 2 10 5 12 2" xfId="18097"/>
    <cellStyle name="Input [yellow] 2 10 5 12 3" xfId="29265"/>
    <cellStyle name="Input [yellow] 2 10 5 12 4" xfId="40430"/>
    <cellStyle name="Input [yellow] 2 10 5 12 5" xfId="51623"/>
    <cellStyle name="Input [yellow] 2 10 5 13" xfId="7534"/>
    <cellStyle name="Input [yellow] 2 10 5 13 2" xfId="18731"/>
    <cellStyle name="Input [yellow] 2 10 5 13 3" xfId="29899"/>
    <cellStyle name="Input [yellow] 2 10 5 13 4" xfId="41064"/>
    <cellStyle name="Input [yellow] 2 10 5 13 5" xfId="52257"/>
    <cellStyle name="Input [yellow] 2 10 5 14" xfId="8168"/>
    <cellStyle name="Input [yellow] 2 10 5 14 2" xfId="19365"/>
    <cellStyle name="Input [yellow] 2 10 5 14 3" xfId="30533"/>
    <cellStyle name="Input [yellow] 2 10 5 14 4" xfId="41698"/>
    <cellStyle name="Input [yellow] 2 10 5 14 5" xfId="52891"/>
    <cellStyle name="Input [yellow] 2 10 5 15" xfId="8797"/>
    <cellStyle name="Input [yellow] 2 10 5 15 2" xfId="19994"/>
    <cellStyle name="Input [yellow] 2 10 5 15 3" xfId="31162"/>
    <cellStyle name="Input [yellow] 2 10 5 15 4" xfId="42327"/>
    <cellStyle name="Input [yellow] 2 10 5 15 5" xfId="53520"/>
    <cellStyle name="Input [yellow] 2 10 5 16" xfId="9219"/>
    <cellStyle name="Input [yellow] 2 10 5 16 2" xfId="20416"/>
    <cellStyle name="Input [yellow] 2 10 5 16 3" xfId="31584"/>
    <cellStyle name="Input [yellow] 2 10 5 16 4" xfId="42749"/>
    <cellStyle name="Input [yellow] 2 10 5 16 5" xfId="53942"/>
    <cellStyle name="Input [yellow] 2 10 5 17" xfId="9846"/>
    <cellStyle name="Input [yellow] 2 10 5 17 2" xfId="21043"/>
    <cellStyle name="Input [yellow] 2 10 5 17 3" xfId="32211"/>
    <cellStyle name="Input [yellow] 2 10 5 17 4" xfId="43376"/>
    <cellStyle name="Input [yellow] 2 10 5 17 5" xfId="54569"/>
    <cellStyle name="Input [yellow] 2 10 5 18" xfId="10380"/>
    <cellStyle name="Input [yellow] 2 10 5 18 2" xfId="21577"/>
    <cellStyle name="Input [yellow] 2 10 5 18 3" xfId="32745"/>
    <cellStyle name="Input [yellow] 2 10 5 18 4" xfId="43910"/>
    <cellStyle name="Input [yellow] 2 10 5 18 5" xfId="55103"/>
    <cellStyle name="Input [yellow] 2 10 5 19" xfId="10884"/>
    <cellStyle name="Input [yellow] 2 10 5 19 2" xfId="22081"/>
    <cellStyle name="Input [yellow] 2 10 5 19 3" xfId="33249"/>
    <cellStyle name="Input [yellow] 2 10 5 19 4" xfId="44414"/>
    <cellStyle name="Input [yellow] 2 10 5 19 5" xfId="55607"/>
    <cellStyle name="Input [yellow] 2 10 5 2" xfId="980"/>
    <cellStyle name="Input [yellow] 2 10 5 2 2" xfId="12177"/>
    <cellStyle name="Input [yellow] 2 10 5 2 3" xfId="23345"/>
    <cellStyle name="Input [yellow] 2 10 5 2 4" xfId="34510"/>
    <cellStyle name="Input [yellow] 2 10 5 2 5" xfId="45703"/>
    <cellStyle name="Input [yellow] 2 10 5 20" xfId="11531"/>
    <cellStyle name="Input [yellow] 2 10 5 21" xfId="22701"/>
    <cellStyle name="Input [yellow] 2 10 5 22" xfId="33868"/>
    <cellStyle name="Input [yellow] 2 10 5 23" xfId="45054"/>
    <cellStyle name="Input [yellow] 2 10 5 3" xfId="1743"/>
    <cellStyle name="Input [yellow] 2 10 5 3 2" xfId="12940"/>
    <cellStyle name="Input [yellow] 2 10 5 3 3" xfId="24108"/>
    <cellStyle name="Input [yellow] 2 10 5 3 4" xfId="35273"/>
    <cellStyle name="Input [yellow] 2 10 5 3 5" xfId="46466"/>
    <cellStyle name="Input [yellow] 2 10 5 4" xfId="2256"/>
    <cellStyle name="Input [yellow] 2 10 5 4 2" xfId="13453"/>
    <cellStyle name="Input [yellow] 2 10 5 4 3" xfId="24621"/>
    <cellStyle name="Input [yellow] 2 10 5 4 4" xfId="35786"/>
    <cellStyle name="Input [yellow] 2 10 5 4 5" xfId="46979"/>
    <cellStyle name="Input [yellow] 2 10 5 5" xfId="2681"/>
    <cellStyle name="Input [yellow] 2 10 5 5 2" xfId="13878"/>
    <cellStyle name="Input [yellow] 2 10 5 5 3" xfId="25046"/>
    <cellStyle name="Input [yellow] 2 10 5 5 4" xfId="36211"/>
    <cellStyle name="Input [yellow] 2 10 5 5 5" xfId="47404"/>
    <cellStyle name="Input [yellow] 2 10 5 6" xfId="3315"/>
    <cellStyle name="Input [yellow] 2 10 5 6 2" xfId="14512"/>
    <cellStyle name="Input [yellow] 2 10 5 6 3" xfId="25680"/>
    <cellStyle name="Input [yellow] 2 10 5 6 4" xfId="36845"/>
    <cellStyle name="Input [yellow] 2 10 5 6 5" xfId="48038"/>
    <cellStyle name="Input [yellow] 2 10 5 7" xfId="3949"/>
    <cellStyle name="Input [yellow] 2 10 5 7 2" xfId="15146"/>
    <cellStyle name="Input [yellow] 2 10 5 7 3" xfId="26314"/>
    <cellStyle name="Input [yellow] 2 10 5 7 4" xfId="37479"/>
    <cellStyle name="Input [yellow] 2 10 5 7 5" xfId="48672"/>
    <cellStyle name="Input [yellow] 2 10 5 8" xfId="4582"/>
    <cellStyle name="Input [yellow] 2 10 5 8 2" xfId="15779"/>
    <cellStyle name="Input [yellow] 2 10 5 8 3" xfId="26947"/>
    <cellStyle name="Input [yellow] 2 10 5 8 4" xfId="38112"/>
    <cellStyle name="Input [yellow] 2 10 5 8 5" xfId="49305"/>
    <cellStyle name="Input [yellow] 2 10 5 9" xfId="5213"/>
    <cellStyle name="Input [yellow] 2 10 5 9 2" xfId="16410"/>
    <cellStyle name="Input [yellow] 2 10 5 9 3" xfId="27578"/>
    <cellStyle name="Input [yellow] 2 10 5 9 4" xfId="38743"/>
    <cellStyle name="Input [yellow] 2 10 5 9 5" xfId="49936"/>
    <cellStyle name="Input [yellow] 2 10 6" xfId="398"/>
    <cellStyle name="Input [yellow] 2 10 6 10" xfId="6102"/>
    <cellStyle name="Input [yellow] 2 10 6 10 2" xfId="17299"/>
    <cellStyle name="Input [yellow] 2 10 6 10 3" xfId="28467"/>
    <cellStyle name="Input [yellow] 2 10 6 10 4" xfId="39632"/>
    <cellStyle name="Input [yellow] 2 10 6 10 5" xfId="50825"/>
    <cellStyle name="Input [yellow] 2 10 6 11" xfId="6334"/>
    <cellStyle name="Input [yellow] 2 10 6 11 2" xfId="17531"/>
    <cellStyle name="Input [yellow] 2 10 6 11 3" xfId="28699"/>
    <cellStyle name="Input [yellow] 2 10 6 11 4" xfId="39864"/>
    <cellStyle name="Input [yellow] 2 10 6 11 5" xfId="51057"/>
    <cellStyle name="Input [yellow] 2 10 6 12" xfId="6967"/>
    <cellStyle name="Input [yellow] 2 10 6 12 2" xfId="18164"/>
    <cellStyle name="Input [yellow] 2 10 6 12 3" xfId="29332"/>
    <cellStyle name="Input [yellow] 2 10 6 12 4" xfId="40497"/>
    <cellStyle name="Input [yellow] 2 10 6 12 5" xfId="51690"/>
    <cellStyle name="Input [yellow] 2 10 6 13" xfId="7601"/>
    <cellStyle name="Input [yellow] 2 10 6 13 2" xfId="18798"/>
    <cellStyle name="Input [yellow] 2 10 6 13 3" xfId="29966"/>
    <cellStyle name="Input [yellow] 2 10 6 13 4" xfId="41131"/>
    <cellStyle name="Input [yellow] 2 10 6 13 5" xfId="52324"/>
    <cellStyle name="Input [yellow] 2 10 6 14" xfId="8235"/>
    <cellStyle name="Input [yellow] 2 10 6 14 2" xfId="19432"/>
    <cellStyle name="Input [yellow] 2 10 6 14 3" xfId="30600"/>
    <cellStyle name="Input [yellow] 2 10 6 14 4" xfId="41765"/>
    <cellStyle name="Input [yellow] 2 10 6 14 5" xfId="52958"/>
    <cellStyle name="Input [yellow] 2 10 6 15" xfId="8863"/>
    <cellStyle name="Input [yellow] 2 10 6 15 2" xfId="20060"/>
    <cellStyle name="Input [yellow] 2 10 6 15 3" xfId="31228"/>
    <cellStyle name="Input [yellow] 2 10 6 15 4" xfId="42393"/>
    <cellStyle name="Input [yellow] 2 10 6 15 5" xfId="53586"/>
    <cellStyle name="Input [yellow] 2 10 6 16" xfId="9286"/>
    <cellStyle name="Input [yellow] 2 10 6 16 2" xfId="20483"/>
    <cellStyle name="Input [yellow] 2 10 6 16 3" xfId="31651"/>
    <cellStyle name="Input [yellow] 2 10 6 16 4" xfId="42816"/>
    <cellStyle name="Input [yellow] 2 10 6 16 5" xfId="54009"/>
    <cellStyle name="Input [yellow] 2 10 6 17" xfId="9912"/>
    <cellStyle name="Input [yellow] 2 10 6 17 2" xfId="21109"/>
    <cellStyle name="Input [yellow] 2 10 6 17 3" xfId="32277"/>
    <cellStyle name="Input [yellow] 2 10 6 17 4" xfId="43442"/>
    <cellStyle name="Input [yellow] 2 10 6 17 5" xfId="54635"/>
    <cellStyle name="Input [yellow] 2 10 6 18" xfId="10314"/>
    <cellStyle name="Input [yellow] 2 10 6 18 2" xfId="21511"/>
    <cellStyle name="Input [yellow] 2 10 6 18 3" xfId="32679"/>
    <cellStyle name="Input [yellow] 2 10 6 18 4" xfId="43844"/>
    <cellStyle name="Input [yellow] 2 10 6 18 5" xfId="55037"/>
    <cellStyle name="Input [yellow] 2 10 6 19" xfId="10951"/>
    <cellStyle name="Input [yellow] 2 10 6 19 2" xfId="22148"/>
    <cellStyle name="Input [yellow] 2 10 6 19 3" xfId="33316"/>
    <cellStyle name="Input [yellow] 2 10 6 19 4" xfId="44481"/>
    <cellStyle name="Input [yellow] 2 10 6 19 5" xfId="55674"/>
    <cellStyle name="Input [yellow] 2 10 6 2" xfId="1047"/>
    <cellStyle name="Input [yellow] 2 10 6 2 2" xfId="12244"/>
    <cellStyle name="Input [yellow] 2 10 6 2 3" xfId="23412"/>
    <cellStyle name="Input [yellow] 2 10 6 2 4" xfId="34577"/>
    <cellStyle name="Input [yellow] 2 10 6 2 5" xfId="45770"/>
    <cellStyle name="Input [yellow] 2 10 6 20" xfId="11598"/>
    <cellStyle name="Input [yellow] 2 10 6 21" xfId="22768"/>
    <cellStyle name="Input [yellow] 2 10 6 22" xfId="33935"/>
    <cellStyle name="Input [yellow] 2 10 6 23" xfId="45121"/>
    <cellStyle name="Input [yellow] 2 10 6 3" xfId="1630"/>
    <cellStyle name="Input [yellow] 2 10 6 3 2" xfId="12827"/>
    <cellStyle name="Input [yellow] 2 10 6 3 3" xfId="23995"/>
    <cellStyle name="Input [yellow] 2 10 6 3 4" xfId="35160"/>
    <cellStyle name="Input [yellow] 2 10 6 3 5" xfId="46353"/>
    <cellStyle name="Input [yellow] 2 10 6 4" xfId="2323"/>
    <cellStyle name="Input [yellow] 2 10 6 4 2" xfId="13520"/>
    <cellStyle name="Input [yellow] 2 10 6 4 3" xfId="24688"/>
    <cellStyle name="Input [yellow] 2 10 6 4 4" xfId="35853"/>
    <cellStyle name="Input [yellow] 2 10 6 4 5" xfId="47046"/>
    <cellStyle name="Input [yellow] 2 10 6 5" xfId="2748"/>
    <cellStyle name="Input [yellow] 2 10 6 5 2" xfId="13945"/>
    <cellStyle name="Input [yellow] 2 10 6 5 3" xfId="25113"/>
    <cellStyle name="Input [yellow] 2 10 6 5 4" xfId="36278"/>
    <cellStyle name="Input [yellow] 2 10 6 5 5" xfId="47471"/>
    <cellStyle name="Input [yellow] 2 10 6 6" xfId="3382"/>
    <cellStyle name="Input [yellow] 2 10 6 6 2" xfId="14579"/>
    <cellStyle name="Input [yellow] 2 10 6 6 3" xfId="25747"/>
    <cellStyle name="Input [yellow] 2 10 6 6 4" xfId="36912"/>
    <cellStyle name="Input [yellow] 2 10 6 6 5" xfId="48105"/>
    <cellStyle name="Input [yellow] 2 10 6 7" xfId="4016"/>
    <cellStyle name="Input [yellow] 2 10 6 7 2" xfId="15213"/>
    <cellStyle name="Input [yellow] 2 10 6 7 3" xfId="26381"/>
    <cellStyle name="Input [yellow] 2 10 6 7 4" xfId="37546"/>
    <cellStyle name="Input [yellow] 2 10 6 7 5" xfId="48739"/>
    <cellStyle name="Input [yellow] 2 10 6 8" xfId="4649"/>
    <cellStyle name="Input [yellow] 2 10 6 8 2" xfId="15846"/>
    <cellStyle name="Input [yellow] 2 10 6 8 3" xfId="27014"/>
    <cellStyle name="Input [yellow] 2 10 6 8 4" xfId="38179"/>
    <cellStyle name="Input [yellow] 2 10 6 8 5" xfId="49372"/>
    <cellStyle name="Input [yellow] 2 10 6 9" xfId="5280"/>
    <cellStyle name="Input [yellow] 2 10 6 9 2" xfId="16477"/>
    <cellStyle name="Input [yellow] 2 10 6 9 3" xfId="27645"/>
    <cellStyle name="Input [yellow] 2 10 6 9 4" xfId="38810"/>
    <cellStyle name="Input [yellow] 2 10 6 9 5" xfId="50003"/>
    <cellStyle name="Input [yellow] 2 10 7" xfId="462"/>
    <cellStyle name="Input [yellow] 2 10 7 10" xfId="5613"/>
    <cellStyle name="Input [yellow] 2 10 7 10 2" xfId="16810"/>
    <cellStyle name="Input [yellow] 2 10 7 10 3" xfId="27978"/>
    <cellStyle name="Input [yellow] 2 10 7 10 4" xfId="39143"/>
    <cellStyle name="Input [yellow] 2 10 7 10 5" xfId="50336"/>
    <cellStyle name="Input [yellow] 2 10 7 11" xfId="6398"/>
    <cellStyle name="Input [yellow] 2 10 7 11 2" xfId="17595"/>
    <cellStyle name="Input [yellow] 2 10 7 11 3" xfId="28763"/>
    <cellStyle name="Input [yellow] 2 10 7 11 4" xfId="39928"/>
    <cellStyle name="Input [yellow] 2 10 7 11 5" xfId="51121"/>
    <cellStyle name="Input [yellow] 2 10 7 12" xfId="7031"/>
    <cellStyle name="Input [yellow] 2 10 7 12 2" xfId="18228"/>
    <cellStyle name="Input [yellow] 2 10 7 12 3" xfId="29396"/>
    <cellStyle name="Input [yellow] 2 10 7 12 4" xfId="40561"/>
    <cellStyle name="Input [yellow] 2 10 7 12 5" xfId="51754"/>
    <cellStyle name="Input [yellow] 2 10 7 13" xfId="7665"/>
    <cellStyle name="Input [yellow] 2 10 7 13 2" xfId="18862"/>
    <cellStyle name="Input [yellow] 2 10 7 13 3" xfId="30030"/>
    <cellStyle name="Input [yellow] 2 10 7 13 4" xfId="41195"/>
    <cellStyle name="Input [yellow] 2 10 7 13 5" xfId="52388"/>
    <cellStyle name="Input [yellow] 2 10 7 14" xfId="8299"/>
    <cellStyle name="Input [yellow] 2 10 7 14 2" xfId="19496"/>
    <cellStyle name="Input [yellow] 2 10 7 14 3" xfId="30664"/>
    <cellStyle name="Input [yellow] 2 10 7 14 4" xfId="41829"/>
    <cellStyle name="Input [yellow] 2 10 7 14 5" xfId="53022"/>
    <cellStyle name="Input [yellow] 2 10 7 15" xfId="8927"/>
    <cellStyle name="Input [yellow] 2 10 7 15 2" xfId="20124"/>
    <cellStyle name="Input [yellow] 2 10 7 15 3" xfId="31292"/>
    <cellStyle name="Input [yellow] 2 10 7 15 4" xfId="42457"/>
    <cellStyle name="Input [yellow] 2 10 7 15 5" xfId="53650"/>
    <cellStyle name="Input [yellow] 2 10 7 16" xfId="9350"/>
    <cellStyle name="Input [yellow] 2 10 7 16 2" xfId="20547"/>
    <cellStyle name="Input [yellow] 2 10 7 16 3" xfId="31715"/>
    <cellStyle name="Input [yellow] 2 10 7 16 4" xfId="42880"/>
    <cellStyle name="Input [yellow] 2 10 7 16 5" xfId="54073"/>
    <cellStyle name="Input [yellow] 2 10 7 17" xfId="9976"/>
    <cellStyle name="Input [yellow] 2 10 7 17 2" xfId="21173"/>
    <cellStyle name="Input [yellow] 2 10 7 17 3" xfId="32341"/>
    <cellStyle name="Input [yellow] 2 10 7 17 4" xfId="43506"/>
    <cellStyle name="Input [yellow] 2 10 7 17 5" xfId="54699"/>
    <cellStyle name="Input [yellow] 2 10 7 18" xfId="10437"/>
    <cellStyle name="Input [yellow] 2 10 7 18 2" xfId="21634"/>
    <cellStyle name="Input [yellow] 2 10 7 18 3" xfId="32802"/>
    <cellStyle name="Input [yellow] 2 10 7 18 4" xfId="43967"/>
    <cellStyle name="Input [yellow] 2 10 7 18 5" xfId="55160"/>
    <cellStyle name="Input [yellow] 2 10 7 19" xfId="11015"/>
    <cellStyle name="Input [yellow] 2 10 7 19 2" xfId="22212"/>
    <cellStyle name="Input [yellow] 2 10 7 19 3" xfId="33380"/>
    <cellStyle name="Input [yellow] 2 10 7 19 4" xfId="44545"/>
    <cellStyle name="Input [yellow] 2 10 7 19 5" xfId="55738"/>
    <cellStyle name="Input [yellow] 2 10 7 2" xfId="1111"/>
    <cellStyle name="Input [yellow] 2 10 7 2 2" xfId="12308"/>
    <cellStyle name="Input [yellow] 2 10 7 2 3" xfId="23476"/>
    <cellStyle name="Input [yellow] 2 10 7 2 4" xfId="34641"/>
    <cellStyle name="Input [yellow] 2 10 7 2 5" xfId="45834"/>
    <cellStyle name="Input [yellow] 2 10 7 20" xfId="11662"/>
    <cellStyle name="Input [yellow] 2 10 7 21" xfId="22832"/>
    <cellStyle name="Input [yellow] 2 10 7 22" xfId="33999"/>
    <cellStyle name="Input [yellow] 2 10 7 23" xfId="45185"/>
    <cellStyle name="Input [yellow] 2 10 7 3" xfId="1746"/>
    <cellStyle name="Input [yellow] 2 10 7 3 2" xfId="12943"/>
    <cellStyle name="Input [yellow] 2 10 7 3 3" xfId="24111"/>
    <cellStyle name="Input [yellow] 2 10 7 3 4" xfId="35276"/>
    <cellStyle name="Input [yellow] 2 10 7 3 5" xfId="46469"/>
    <cellStyle name="Input [yellow] 2 10 7 4" xfId="2387"/>
    <cellStyle name="Input [yellow] 2 10 7 4 2" xfId="13584"/>
    <cellStyle name="Input [yellow] 2 10 7 4 3" xfId="24752"/>
    <cellStyle name="Input [yellow] 2 10 7 4 4" xfId="35917"/>
    <cellStyle name="Input [yellow] 2 10 7 4 5" xfId="47110"/>
    <cellStyle name="Input [yellow] 2 10 7 5" xfId="2812"/>
    <cellStyle name="Input [yellow] 2 10 7 5 2" xfId="14009"/>
    <cellStyle name="Input [yellow] 2 10 7 5 3" xfId="25177"/>
    <cellStyle name="Input [yellow] 2 10 7 5 4" xfId="36342"/>
    <cellStyle name="Input [yellow] 2 10 7 5 5" xfId="47535"/>
    <cellStyle name="Input [yellow] 2 10 7 6" xfId="3446"/>
    <cellStyle name="Input [yellow] 2 10 7 6 2" xfId="14643"/>
    <cellStyle name="Input [yellow] 2 10 7 6 3" xfId="25811"/>
    <cellStyle name="Input [yellow] 2 10 7 6 4" xfId="36976"/>
    <cellStyle name="Input [yellow] 2 10 7 6 5" xfId="48169"/>
    <cellStyle name="Input [yellow] 2 10 7 7" xfId="4080"/>
    <cellStyle name="Input [yellow] 2 10 7 7 2" xfId="15277"/>
    <cellStyle name="Input [yellow] 2 10 7 7 3" xfId="26445"/>
    <cellStyle name="Input [yellow] 2 10 7 7 4" xfId="37610"/>
    <cellStyle name="Input [yellow] 2 10 7 7 5" xfId="48803"/>
    <cellStyle name="Input [yellow] 2 10 7 8" xfId="4713"/>
    <cellStyle name="Input [yellow] 2 10 7 8 2" xfId="15910"/>
    <cellStyle name="Input [yellow] 2 10 7 8 3" xfId="27078"/>
    <cellStyle name="Input [yellow] 2 10 7 8 4" xfId="38243"/>
    <cellStyle name="Input [yellow] 2 10 7 8 5" xfId="49436"/>
    <cellStyle name="Input [yellow] 2 10 7 9" xfId="5344"/>
    <cellStyle name="Input [yellow] 2 10 7 9 2" xfId="16541"/>
    <cellStyle name="Input [yellow] 2 10 7 9 3" xfId="27709"/>
    <cellStyle name="Input [yellow] 2 10 7 9 4" xfId="38874"/>
    <cellStyle name="Input [yellow] 2 10 7 9 5" xfId="50067"/>
    <cellStyle name="Input [yellow] 2 10 8" xfId="507"/>
    <cellStyle name="Input [yellow] 2 10 8 10" xfId="6082"/>
    <cellStyle name="Input [yellow] 2 10 8 10 2" xfId="17279"/>
    <cellStyle name="Input [yellow] 2 10 8 10 3" xfId="28447"/>
    <cellStyle name="Input [yellow] 2 10 8 10 4" xfId="39612"/>
    <cellStyle name="Input [yellow] 2 10 8 10 5" xfId="50805"/>
    <cellStyle name="Input [yellow] 2 10 8 11" xfId="6443"/>
    <cellStyle name="Input [yellow] 2 10 8 11 2" xfId="17640"/>
    <cellStyle name="Input [yellow] 2 10 8 11 3" xfId="28808"/>
    <cellStyle name="Input [yellow] 2 10 8 11 4" xfId="39973"/>
    <cellStyle name="Input [yellow] 2 10 8 11 5" xfId="51166"/>
    <cellStyle name="Input [yellow] 2 10 8 12" xfId="7076"/>
    <cellStyle name="Input [yellow] 2 10 8 12 2" xfId="18273"/>
    <cellStyle name="Input [yellow] 2 10 8 12 3" xfId="29441"/>
    <cellStyle name="Input [yellow] 2 10 8 12 4" xfId="40606"/>
    <cellStyle name="Input [yellow] 2 10 8 12 5" xfId="51799"/>
    <cellStyle name="Input [yellow] 2 10 8 13" xfId="7710"/>
    <cellStyle name="Input [yellow] 2 10 8 13 2" xfId="18907"/>
    <cellStyle name="Input [yellow] 2 10 8 13 3" xfId="30075"/>
    <cellStyle name="Input [yellow] 2 10 8 13 4" xfId="41240"/>
    <cellStyle name="Input [yellow] 2 10 8 13 5" xfId="52433"/>
    <cellStyle name="Input [yellow] 2 10 8 14" xfId="8344"/>
    <cellStyle name="Input [yellow] 2 10 8 14 2" xfId="19541"/>
    <cellStyle name="Input [yellow] 2 10 8 14 3" xfId="30709"/>
    <cellStyle name="Input [yellow] 2 10 8 14 4" xfId="41874"/>
    <cellStyle name="Input [yellow] 2 10 8 14 5" xfId="53067"/>
    <cellStyle name="Input [yellow] 2 10 8 15" xfId="8972"/>
    <cellStyle name="Input [yellow] 2 10 8 15 2" xfId="20169"/>
    <cellStyle name="Input [yellow] 2 10 8 15 3" xfId="31337"/>
    <cellStyle name="Input [yellow] 2 10 8 15 4" xfId="42502"/>
    <cellStyle name="Input [yellow] 2 10 8 15 5" xfId="53695"/>
    <cellStyle name="Input [yellow] 2 10 8 16" xfId="9395"/>
    <cellStyle name="Input [yellow] 2 10 8 16 2" xfId="20592"/>
    <cellStyle name="Input [yellow] 2 10 8 16 3" xfId="31760"/>
    <cellStyle name="Input [yellow] 2 10 8 16 4" xfId="42925"/>
    <cellStyle name="Input [yellow] 2 10 8 16 5" xfId="54118"/>
    <cellStyle name="Input [yellow] 2 10 8 17" xfId="10020"/>
    <cellStyle name="Input [yellow] 2 10 8 17 2" xfId="21217"/>
    <cellStyle name="Input [yellow] 2 10 8 17 3" xfId="32385"/>
    <cellStyle name="Input [yellow] 2 10 8 17 4" xfId="43550"/>
    <cellStyle name="Input [yellow] 2 10 8 17 5" xfId="54743"/>
    <cellStyle name="Input [yellow] 2 10 8 18" xfId="10603"/>
    <cellStyle name="Input [yellow] 2 10 8 18 2" xfId="21800"/>
    <cellStyle name="Input [yellow] 2 10 8 18 3" xfId="32968"/>
    <cellStyle name="Input [yellow] 2 10 8 18 4" xfId="44133"/>
    <cellStyle name="Input [yellow] 2 10 8 18 5" xfId="55326"/>
    <cellStyle name="Input [yellow] 2 10 8 19" xfId="11060"/>
    <cellStyle name="Input [yellow] 2 10 8 19 2" xfId="22257"/>
    <cellStyle name="Input [yellow] 2 10 8 19 3" xfId="33425"/>
    <cellStyle name="Input [yellow] 2 10 8 19 4" xfId="44590"/>
    <cellStyle name="Input [yellow] 2 10 8 19 5" xfId="55783"/>
    <cellStyle name="Input [yellow] 2 10 8 2" xfId="1156"/>
    <cellStyle name="Input [yellow] 2 10 8 2 2" xfId="12353"/>
    <cellStyle name="Input [yellow] 2 10 8 2 3" xfId="23521"/>
    <cellStyle name="Input [yellow] 2 10 8 2 4" xfId="34686"/>
    <cellStyle name="Input [yellow] 2 10 8 2 5" xfId="45879"/>
    <cellStyle name="Input [yellow] 2 10 8 20" xfId="11707"/>
    <cellStyle name="Input [yellow] 2 10 8 21" xfId="22877"/>
    <cellStyle name="Input [yellow] 2 10 8 22" xfId="34044"/>
    <cellStyle name="Input [yellow] 2 10 8 23" xfId="45230"/>
    <cellStyle name="Input [yellow] 2 10 8 3" xfId="1912"/>
    <cellStyle name="Input [yellow] 2 10 8 3 2" xfId="13109"/>
    <cellStyle name="Input [yellow] 2 10 8 3 3" xfId="24277"/>
    <cellStyle name="Input [yellow] 2 10 8 3 4" xfId="35442"/>
    <cellStyle name="Input [yellow] 2 10 8 3 5" xfId="46635"/>
    <cellStyle name="Input [yellow] 2 10 8 4" xfId="2432"/>
    <cellStyle name="Input [yellow] 2 10 8 4 2" xfId="13629"/>
    <cellStyle name="Input [yellow] 2 10 8 4 3" xfId="24797"/>
    <cellStyle name="Input [yellow] 2 10 8 4 4" xfId="35962"/>
    <cellStyle name="Input [yellow] 2 10 8 4 5" xfId="47155"/>
    <cellStyle name="Input [yellow] 2 10 8 5" xfId="2857"/>
    <cellStyle name="Input [yellow] 2 10 8 5 2" xfId="14054"/>
    <cellStyle name="Input [yellow] 2 10 8 5 3" xfId="25222"/>
    <cellStyle name="Input [yellow] 2 10 8 5 4" xfId="36387"/>
    <cellStyle name="Input [yellow] 2 10 8 5 5" xfId="47580"/>
    <cellStyle name="Input [yellow] 2 10 8 6" xfId="3491"/>
    <cellStyle name="Input [yellow] 2 10 8 6 2" xfId="14688"/>
    <cellStyle name="Input [yellow] 2 10 8 6 3" xfId="25856"/>
    <cellStyle name="Input [yellow] 2 10 8 6 4" xfId="37021"/>
    <cellStyle name="Input [yellow] 2 10 8 6 5" xfId="48214"/>
    <cellStyle name="Input [yellow] 2 10 8 7" xfId="4125"/>
    <cellStyle name="Input [yellow] 2 10 8 7 2" xfId="15322"/>
    <cellStyle name="Input [yellow] 2 10 8 7 3" xfId="26490"/>
    <cellStyle name="Input [yellow] 2 10 8 7 4" xfId="37655"/>
    <cellStyle name="Input [yellow] 2 10 8 7 5" xfId="48848"/>
    <cellStyle name="Input [yellow] 2 10 8 8" xfId="4758"/>
    <cellStyle name="Input [yellow] 2 10 8 8 2" xfId="15955"/>
    <cellStyle name="Input [yellow] 2 10 8 8 3" xfId="27123"/>
    <cellStyle name="Input [yellow] 2 10 8 8 4" xfId="38288"/>
    <cellStyle name="Input [yellow] 2 10 8 8 5" xfId="49481"/>
    <cellStyle name="Input [yellow] 2 10 8 9" xfId="5389"/>
    <cellStyle name="Input [yellow] 2 10 8 9 2" xfId="16586"/>
    <cellStyle name="Input [yellow] 2 10 8 9 3" xfId="27754"/>
    <cellStyle name="Input [yellow] 2 10 8 9 4" xfId="38919"/>
    <cellStyle name="Input [yellow] 2 10 8 9 5" xfId="50112"/>
    <cellStyle name="Input [yellow] 2 10 9" xfId="565"/>
    <cellStyle name="Input [yellow] 2 10 9 10" xfId="5825"/>
    <cellStyle name="Input [yellow] 2 10 9 10 2" xfId="17022"/>
    <cellStyle name="Input [yellow] 2 10 9 10 3" xfId="28190"/>
    <cellStyle name="Input [yellow] 2 10 9 10 4" xfId="39355"/>
    <cellStyle name="Input [yellow] 2 10 9 10 5" xfId="50548"/>
    <cellStyle name="Input [yellow] 2 10 9 11" xfId="6501"/>
    <cellStyle name="Input [yellow] 2 10 9 11 2" xfId="17698"/>
    <cellStyle name="Input [yellow] 2 10 9 11 3" xfId="28866"/>
    <cellStyle name="Input [yellow] 2 10 9 11 4" xfId="40031"/>
    <cellStyle name="Input [yellow] 2 10 9 11 5" xfId="51224"/>
    <cellStyle name="Input [yellow] 2 10 9 12" xfId="7134"/>
    <cellStyle name="Input [yellow] 2 10 9 12 2" xfId="18331"/>
    <cellStyle name="Input [yellow] 2 10 9 12 3" xfId="29499"/>
    <cellStyle name="Input [yellow] 2 10 9 12 4" xfId="40664"/>
    <cellStyle name="Input [yellow] 2 10 9 12 5" xfId="51857"/>
    <cellStyle name="Input [yellow] 2 10 9 13" xfId="7768"/>
    <cellStyle name="Input [yellow] 2 10 9 13 2" xfId="18965"/>
    <cellStyle name="Input [yellow] 2 10 9 13 3" xfId="30133"/>
    <cellStyle name="Input [yellow] 2 10 9 13 4" xfId="41298"/>
    <cellStyle name="Input [yellow] 2 10 9 13 5" xfId="52491"/>
    <cellStyle name="Input [yellow] 2 10 9 14" xfId="8402"/>
    <cellStyle name="Input [yellow] 2 10 9 14 2" xfId="19599"/>
    <cellStyle name="Input [yellow] 2 10 9 14 3" xfId="30767"/>
    <cellStyle name="Input [yellow] 2 10 9 14 4" xfId="41932"/>
    <cellStyle name="Input [yellow] 2 10 9 14 5" xfId="53125"/>
    <cellStyle name="Input [yellow] 2 10 9 15" xfId="9030"/>
    <cellStyle name="Input [yellow] 2 10 9 15 2" xfId="20227"/>
    <cellStyle name="Input [yellow] 2 10 9 15 3" xfId="31395"/>
    <cellStyle name="Input [yellow] 2 10 9 15 4" xfId="42560"/>
    <cellStyle name="Input [yellow] 2 10 9 15 5" xfId="53753"/>
    <cellStyle name="Input [yellow] 2 10 9 16" xfId="9453"/>
    <cellStyle name="Input [yellow] 2 10 9 16 2" xfId="20650"/>
    <cellStyle name="Input [yellow] 2 10 9 16 3" xfId="31818"/>
    <cellStyle name="Input [yellow] 2 10 9 16 4" xfId="42983"/>
    <cellStyle name="Input [yellow] 2 10 9 16 5" xfId="54176"/>
    <cellStyle name="Input [yellow] 2 10 9 17" xfId="10078"/>
    <cellStyle name="Input [yellow] 2 10 9 17 2" xfId="21275"/>
    <cellStyle name="Input [yellow] 2 10 9 17 3" xfId="32443"/>
    <cellStyle name="Input [yellow] 2 10 9 17 4" xfId="43608"/>
    <cellStyle name="Input [yellow] 2 10 9 17 5" xfId="54801"/>
    <cellStyle name="Input [yellow] 2 10 9 18" xfId="10473"/>
    <cellStyle name="Input [yellow] 2 10 9 18 2" xfId="21670"/>
    <cellStyle name="Input [yellow] 2 10 9 18 3" xfId="32838"/>
    <cellStyle name="Input [yellow] 2 10 9 18 4" xfId="44003"/>
    <cellStyle name="Input [yellow] 2 10 9 18 5" xfId="55196"/>
    <cellStyle name="Input [yellow] 2 10 9 19" xfId="11118"/>
    <cellStyle name="Input [yellow] 2 10 9 19 2" xfId="22315"/>
    <cellStyle name="Input [yellow] 2 10 9 19 3" xfId="33483"/>
    <cellStyle name="Input [yellow] 2 10 9 19 4" xfId="44648"/>
    <cellStyle name="Input [yellow] 2 10 9 19 5" xfId="55841"/>
    <cellStyle name="Input [yellow] 2 10 9 2" xfId="1214"/>
    <cellStyle name="Input [yellow] 2 10 9 2 2" xfId="12411"/>
    <cellStyle name="Input [yellow] 2 10 9 2 3" xfId="23579"/>
    <cellStyle name="Input [yellow] 2 10 9 2 4" xfId="34744"/>
    <cellStyle name="Input [yellow] 2 10 9 2 5" xfId="45937"/>
    <cellStyle name="Input [yellow] 2 10 9 20" xfId="11765"/>
    <cellStyle name="Input [yellow] 2 10 9 21" xfId="22935"/>
    <cellStyle name="Input [yellow] 2 10 9 22" xfId="34102"/>
    <cellStyle name="Input [yellow] 2 10 9 23" xfId="45288"/>
    <cellStyle name="Input [yellow] 2 10 9 3" xfId="1769"/>
    <cellStyle name="Input [yellow] 2 10 9 3 2" xfId="12966"/>
    <cellStyle name="Input [yellow] 2 10 9 3 3" xfId="24134"/>
    <cellStyle name="Input [yellow] 2 10 9 3 4" xfId="35299"/>
    <cellStyle name="Input [yellow] 2 10 9 3 5" xfId="46492"/>
    <cellStyle name="Input [yellow] 2 10 9 4" xfId="2490"/>
    <cellStyle name="Input [yellow] 2 10 9 4 2" xfId="13687"/>
    <cellStyle name="Input [yellow] 2 10 9 4 3" xfId="24855"/>
    <cellStyle name="Input [yellow] 2 10 9 4 4" xfId="36020"/>
    <cellStyle name="Input [yellow] 2 10 9 4 5" xfId="47213"/>
    <cellStyle name="Input [yellow] 2 10 9 5" xfId="2915"/>
    <cellStyle name="Input [yellow] 2 10 9 5 2" xfId="14112"/>
    <cellStyle name="Input [yellow] 2 10 9 5 3" xfId="25280"/>
    <cellStyle name="Input [yellow] 2 10 9 5 4" xfId="36445"/>
    <cellStyle name="Input [yellow] 2 10 9 5 5" xfId="47638"/>
    <cellStyle name="Input [yellow] 2 10 9 6" xfId="3549"/>
    <cellStyle name="Input [yellow] 2 10 9 6 2" xfId="14746"/>
    <cellStyle name="Input [yellow] 2 10 9 6 3" xfId="25914"/>
    <cellStyle name="Input [yellow] 2 10 9 6 4" xfId="37079"/>
    <cellStyle name="Input [yellow] 2 10 9 6 5" xfId="48272"/>
    <cellStyle name="Input [yellow] 2 10 9 7" xfId="4183"/>
    <cellStyle name="Input [yellow] 2 10 9 7 2" xfId="15380"/>
    <cellStyle name="Input [yellow] 2 10 9 7 3" xfId="26548"/>
    <cellStyle name="Input [yellow] 2 10 9 7 4" xfId="37713"/>
    <cellStyle name="Input [yellow] 2 10 9 7 5" xfId="48906"/>
    <cellStyle name="Input [yellow] 2 10 9 8" xfId="4816"/>
    <cellStyle name="Input [yellow] 2 10 9 8 2" xfId="16013"/>
    <cellStyle name="Input [yellow] 2 10 9 8 3" xfId="27181"/>
    <cellStyle name="Input [yellow] 2 10 9 8 4" xfId="38346"/>
    <cellStyle name="Input [yellow] 2 10 9 8 5" xfId="49539"/>
    <cellStyle name="Input [yellow] 2 10 9 9" xfId="5447"/>
    <cellStyle name="Input [yellow] 2 10 9 9 2" xfId="16644"/>
    <cellStyle name="Input [yellow] 2 10 9 9 3" xfId="27812"/>
    <cellStyle name="Input [yellow] 2 10 9 9 4" xfId="38977"/>
    <cellStyle name="Input [yellow] 2 10 9 9 5" xfId="50170"/>
    <cellStyle name="Input [yellow] 2 11" xfId="101"/>
    <cellStyle name="Input [yellow] 2 11 10" xfId="465"/>
    <cellStyle name="Input [yellow] 2 11 10 10" xfId="5902"/>
    <cellStyle name="Input [yellow] 2 11 10 10 2" xfId="17099"/>
    <cellStyle name="Input [yellow] 2 11 10 10 3" xfId="28267"/>
    <cellStyle name="Input [yellow] 2 11 10 10 4" xfId="39432"/>
    <cellStyle name="Input [yellow] 2 11 10 10 5" xfId="50625"/>
    <cellStyle name="Input [yellow] 2 11 10 11" xfId="6401"/>
    <cellStyle name="Input [yellow] 2 11 10 11 2" xfId="17598"/>
    <cellStyle name="Input [yellow] 2 11 10 11 3" xfId="28766"/>
    <cellStyle name="Input [yellow] 2 11 10 11 4" xfId="39931"/>
    <cellStyle name="Input [yellow] 2 11 10 11 5" xfId="51124"/>
    <cellStyle name="Input [yellow] 2 11 10 12" xfId="7034"/>
    <cellStyle name="Input [yellow] 2 11 10 12 2" xfId="18231"/>
    <cellStyle name="Input [yellow] 2 11 10 12 3" xfId="29399"/>
    <cellStyle name="Input [yellow] 2 11 10 12 4" xfId="40564"/>
    <cellStyle name="Input [yellow] 2 11 10 12 5" xfId="51757"/>
    <cellStyle name="Input [yellow] 2 11 10 13" xfId="7668"/>
    <cellStyle name="Input [yellow] 2 11 10 13 2" xfId="18865"/>
    <cellStyle name="Input [yellow] 2 11 10 13 3" xfId="30033"/>
    <cellStyle name="Input [yellow] 2 11 10 13 4" xfId="41198"/>
    <cellStyle name="Input [yellow] 2 11 10 13 5" xfId="52391"/>
    <cellStyle name="Input [yellow] 2 11 10 14" xfId="8302"/>
    <cellStyle name="Input [yellow] 2 11 10 14 2" xfId="19499"/>
    <cellStyle name="Input [yellow] 2 11 10 14 3" xfId="30667"/>
    <cellStyle name="Input [yellow] 2 11 10 14 4" xfId="41832"/>
    <cellStyle name="Input [yellow] 2 11 10 14 5" xfId="53025"/>
    <cellStyle name="Input [yellow] 2 11 10 15" xfId="8930"/>
    <cellStyle name="Input [yellow] 2 11 10 15 2" xfId="20127"/>
    <cellStyle name="Input [yellow] 2 11 10 15 3" xfId="31295"/>
    <cellStyle name="Input [yellow] 2 11 10 15 4" xfId="42460"/>
    <cellStyle name="Input [yellow] 2 11 10 15 5" xfId="53653"/>
    <cellStyle name="Input [yellow] 2 11 10 16" xfId="9353"/>
    <cellStyle name="Input [yellow] 2 11 10 16 2" xfId="20550"/>
    <cellStyle name="Input [yellow] 2 11 10 16 3" xfId="31718"/>
    <cellStyle name="Input [yellow] 2 11 10 16 4" xfId="42883"/>
    <cellStyle name="Input [yellow] 2 11 10 16 5" xfId="54076"/>
    <cellStyle name="Input [yellow] 2 11 10 17" xfId="9979"/>
    <cellStyle name="Input [yellow] 2 11 10 17 2" xfId="21176"/>
    <cellStyle name="Input [yellow] 2 11 10 17 3" xfId="32344"/>
    <cellStyle name="Input [yellow] 2 11 10 17 4" xfId="43509"/>
    <cellStyle name="Input [yellow] 2 11 10 17 5" xfId="54702"/>
    <cellStyle name="Input [yellow] 2 11 10 18" xfId="10265"/>
    <cellStyle name="Input [yellow] 2 11 10 18 2" xfId="21462"/>
    <cellStyle name="Input [yellow] 2 11 10 18 3" xfId="32630"/>
    <cellStyle name="Input [yellow] 2 11 10 18 4" xfId="43795"/>
    <cellStyle name="Input [yellow] 2 11 10 18 5" xfId="54988"/>
    <cellStyle name="Input [yellow] 2 11 10 19" xfId="11018"/>
    <cellStyle name="Input [yellow] 2 11 10 19 2" xfId="22215"/>
    <cellStyle name="Input [yellow] 2 11 10 19 3" xfId="33383"/>
    <cellStyle name="Input [yellow] 2 11 10 19 4" xfId="44548"/>
    <cellStyle name="Input [yellow] 2 11 10 19 5" xfId="55741"/>
    <cellStyle name="Input [yellow] 2 11 10 2" xfId="1114"/>
    <cellStyle name="Input [yellow] 2 11 10 2 2" xfId="12311"/>
    <cellStyle name="Input [yellow] 2 11 10 2 3" xfId="23479"/>
    <cellStyle name="Input [yellow] 2 11 10 2 4" xfId="34644"/>
    <cellStyle name="Input [yellow] 2 11 10 2 5" xfId="45837"/>
    <cellStyle name="Input [yellow] 2 11 10 20" xfId="11665"/>
    <cellStyle name="Input [yellow] 2 11 10 21" xfId="22835"/>
    <cellStyle name="Input [yellow] 2 11 10 22" xfId="34002"/>
    <cellStyle name="Input [yellow] 2 11 10 23" xfId="45188"/>
    <cellStyle name="Input [yellow] 2 11 10 3" xfId="1426"/>
    <cellStyle name="Input [yellow] 2 11 10 3 2" xfId="12623"/>
    <cellStyle name="Input [yellow] 2 11 10 3 3" xfId="23791"/>
    <cellStyle name="Input [yellow] 2 11 10 3 4" xfId="34956"/>
    <cellStyle name="Input [yellow] 2 11 10 3 5" xfId="46149"/>
    <cellStyle name="Input [yellow] 2 11 10 4" xfId="2390"/>
    <cellStyle name="Input [yellow] 2 11 10 4 2" xfId="13587"/>
    <cellStyle name="Input [yellow] 2 11 10 4 3" xfId="24755"/>
    <cellStyle name="Input [yellow] 2 11 10 4 4" xfId="35920"/>
    <cellStyle name="Input [yellow] 2 11 10 4 5" xfId="47113"/>
    <cellStyle name="Input [yellow] 2 11 10 5" xfId="2815"/>
    <cellStyle name="Input [yellow] 2 11 10 5 2" xfId="14012"/>
    <cellStyle name="Input [yellow] 2 11 10 5 3" xfId="25180"/>
    <cellStyle name="Input [yellow] 2 11 10 5 4" xfId="36345"/>
    <cellStyle name="Input [yellow] 2 11 10 5 5" xfId="47538"/>
    <cellStyle name="Input [yellow] 2 11 10 6" xfId="3449"/>
    <cellStyle name="Input [yellow] 2 11 10 6 2" xfId="14646"/>
    <cellStyle name="Input [yellow] 2 11 10 6 3" xfId="25814"/>
    <cellStyle name="Input [yellow] 2 11 10 6 4" xfId="36979"/>
    <cellStyle name="Input [yellow] 2 11 10 6 5" xfId="48172"/>
    <cellStyle name="Input [yellow] 2 11 10 7" xfId="4083"/>
    <cellStyle name="Input [yellow] 2 11 10 7 2" xfId="15280"/>
    <cellStyle name="Input [yellow] 2 11 10 7 3" xfId="26448"/>
    <cellStyle name="Input [yellow] 2 11 10 7 4" xfId="37613"/>
    <cellStyle name="Input [yellow] 2 11 10 7 5" xfId="48806"/>
    <cellStyle name="Input [yellow] 2 11 10 8" xfId="4716"/>
    <cellStyle name="Input [yellow] 2 11 10 8 2" xfId="15913"/>
    <cellStyle name="Input [yellow] 2 11 10 8 3" xfId="27081"/>
    <cellStyle name="Input [yellow] 2 11 10 8 4" xfId="38246"/>
    <cellStyle name="Input [yellow] 2 11 10 8 5" xfId="49439"/>
    <cellStyle name="Input [yellow] 2 11 10 9" xfId="5347"/>
    <cellStyle name="Input [yellow] 2 11 10 9 2" xfId="16544"/>
    <cellStyle name="Input [yellow] 2 11 10 9 3" xfId="27712"/>
    <cellStyle name="Input [yellow] 2 11 10 9 4" xfId="38877"/>
    <cellStyle name="Input [yellow] 2 11 10 9 5" xfId="50070"/>
    <cellStyle name="Input [yellow] 2 11 11" xfId="632"/>
    <cellStyle name="Input [yellow] 2 11 11 10" xfId="5795"/>
    <cellStyle name="Input [yellow] 2 11 11 10 2" xfId="16992"/>
    <cellStyle name="Input [yellow] 2 11 11 10 3" xfId="28160"/>
    <cellStyle name="Input [yellow] 2 11 11 10 4" xfId="39325"/>
    <cellStyle name="Input [yellow] 2 11 11 10 5" xfId="50518"/>
    <cellStyle name="Input [yellow] 2 11 11 11" xfId="6568"/>
    <cellStyle name="Input [yellow] 2 11 11 11 2" xfId="17765"/>
    <cellStyle name="Input [yellow] 2 11 11 11 3" xfId="28933"/>
    <cellStyle name="Input [yellow] 2 11 11 11 4" xfId="40098"/>
    <cellStyle name="Input [yellow] 2 11 11 11 5" xfId="51291"/>
    <cellStyle name="Input [yellow] 2 11 11 12" xfId="7201"/>
    <cellStyle name="Input [yellow] 2 11 11 12 2" xfId="18398"/>
    <cellStyle name="Input [yellow] 2 11 11 12 3" xfId="29566"/>
    <cellStyle name="Input [yellow] 2 11 11 12 4" xfId="40731"/>
    <cellStyle name="Input [yellow] 2 11 11 12 5" xfId="51924"/>
    <cellStyle name="Input [yellow] 2 11 11 13" xfId="7835"/>
    <cellStyle name="Input [yellow] 2 11 11 13 2" xfId="19032"/>
    <cellStyle name="Input [yellow] 2 11 11 13 3" xfId="30200"/>
    <cellStyle name="Input [yellow] 2 11 11 13 4" xfId="41365"/>
    <cellStyle name="Input [yellow] 2 11 11 13 5" xfId="52558"/>
    <cellStyle name="Input [yellow] 2 11 11 14" xfId="8469"/>
    <cellStyle name="Input [yellow] 2 11 11 14 2" xfId="19666"/>
    <cellStyle name="Input [yellow] 2 11 11 14 3" xfId="30834"/>
    <cellStyle name="Input [yellow] 2 11 11 14 4" xfId="41999"/>
    <cellStyle name="Input [yellow] 2 11 11 14 5" xfId="53192"/>
    <cellStyle name="Input [yellow] 2 11 11 15" xfId="9097"/>
    <cellStyle name="Input [yellow] 2 11 11 15 2" xfId="20294"/>
    <cellStyle name="Input [yellow] 2 11 11 15 3" xfId="31462"/>
    <cellStyle name="Input [yellow] 2 11 11 15 4" xfId="42627"/>
    <cellStyle name="Input [yellow] 2 11 11 15 5" xfId="53820"/>
    <cellStyle name="Input [yellow] 2 11 11 16" xfId="9520"/>
    <cellStyle name="Input [yellow] 2 11 11 16 2" xfId="20717"/>
    <cellStyle name="Input [yellow] 2 11 11 16 3" xfId="31885"/>
    <cellStyle name="Input [yellow] 2 11 11 16 4" xfId="43050"/>
    <cellStyle name="Input [yellow] 2 11 11 16 5" xfId="54243"/>
    <cellStyle name="Input [yellow] 2 11 11 17" xfId="10145"/>
    <cellStyle name="Input [yellow] 2 11 11 17 2" xfId="21342"/>
    <cellStyle name="Input [yellow] 2 11 11 17 3" xfId="32510"/>
    <cellStyle name="Input [yellow] 2 11 11 17 4" xfId="43675"/>
    <cellStyle name="Input [yellow] 2 11 11 17 5" xfId="54868"/>
    <cellStyle name="Input [yellow] 2 11 11 18" xfId="10512"/>
    <cellStyle name="Input [yellow] 2 11 11 18 2" xfId="21709"/>
    <cellStyle name="Input [yellow] 2 11 11 18 3" xfId="32877"/>
    <cellStyle name="Input [yellow] 2 11 11 18 4" xfId="44042"/>
    <cellStyle name="Input [yellow] 2 11 11 18 5" xfId="55235"/>
    <cellStyle name="Input [yellow] 2 11 11 19" xfId="11185"/>
    <cellStyle name="Input [yellow] 2 11 11 19 2" xfId="22382"/>
    <cellStyle name="Input [yellow] 2 11 11 19 3" xfId="33550"/>
    <cellStyle name="Input [yellow] 2 11 11 19 4" xfId="44715"/>
    <cellStyle name="Input [yellow] 2 11 11 19 5" xfId="55908"/>
    <cellStyle name="Input [yellow] 2 11 11 2" xfId="1281"/>
    <cellStyle name="Input [yellow] 2 11 11 2 2" xfId="12478"/>
    <cellStyle name="Input [yellow] 2 11 11 2 3" xfId="23646"/>
    <cellStyle name="Input [yellow] 2 11 11 2 4" xfId="34811"/>
    <cellStyle name="Input [yellow] 2 11 11 2 5" xfId="46004"/>
    <cellStyle name="Input [yellow] 2 11 11 20" xfId="11832"/>
    <cellStyle name="Input [yellow] 2 11 11 21" xfId="23002"/>
    <cellStyle name="Input [yellow] 2 11 11 22" xfId="34169"/>
    <cellStyle name="Input [yellow] 2 11 11 23" xfId="45355"/>
    <cellStyle name="Input [yellow] 2 11 11 3" xfId="1809"/>
    <cellStyle name="Input [yellow] 2 11 11 3 2" xfId="13006"/>
    <cellStyle name="Input [yellow] 2 11 11 3 3" xfId="24174"/>
    <cellStyle name="Input [yellow] 2 11 11 3 4" xfId="35339"/>
    <cellStyle name="Input [yellow] 2 11 11 3 5" xfId="46532"/>
    <cellStyle name="Input [yellow] 2 11 11 4" xfId="2557"/>
    <cellStyle name="Input [yellow] 2 11 11 4 2" xfId="13754"/>
    <cellStyle name="Input [yellow] 2 11 11 4 3" xfId="24922"/>
    <cellStyle name="Input [yellow] 2 11 11 4 4" xfId="36087"/>
    <cellStyle name="Input [yellow] 2 11 11 4 5" xfId="47280"/>
    <cellStyle name="Input [yellow] 2 11 11 5" xfId="2982"/>
    <cellStyle name="Input [yellow] 2 11 11 5 2" xfId="14179"/>
    <cellStyle name="Input [yellow] 2 11 11 5 3" xfId="25347"/>
    <cellStyle name="Input [yellow] 2 11 11 5 4" xfId="36512"/>
    <cellStyle name="Input [yellow] 2 11 11 5 5" xfId="47705"/>
    <cellStyle name="Input [yellow] 2 11 11 6" xfId="3616"/>
    <cellStyle name="Input [yellow] 2 11 11 6 2" xfId="14813"/>
    <cellStyle name="Input [yellow] 2 11 11 6 3" xfId="25981"/>
    <cellStyle name="Input [yellow] 2 11 11 6 4" xfId="37146"/>
    <cellStyle name="Input [yellow] 2 11 11 6 5" xfId="48339"/>
    <cellStyle name="Input [yellow] 2 11 11 7" xfId="4250"/>
    <cellStyle name="Input [yellow] 2 11 11 7 2" xfId="15447"/>
    <cellStyle name="Input [yellow] 2 11 11 7 3" xfId="26615"/>
    <cellStyle name="Input [yellow] 2 11 11 7 4" xfId="37780"/>
    <cellStyle name="Input [yellow] 2 11 11 7 5" xfId="48973"/>
    <cellStyle name="Input [yellow] 2 11 11 8" xfId="4883"/>
    <cellStyle name="Input [yellow] 2 11 11 8 2" xfId="16080"/>
    <cellStyle name="Input [yellow] 2 11 11 8 3" xfId="27248"/>
    <cellStyle name="Input [yellow] 2 11 11 8 4" xfId="38413"/>
    <cellStyle name="Input [yellow] 2 11 11 8 5" xfId="49606"/>
    <cellStyle name="Input [yellow] 2 11 11 9" xfId="5514"/>
    <cellStyle name="Input [yellow] 2 11 11 9 2" xfId="16711"/>
    <cellStyle name="Input [yellow] 2 11 11 9 3" xfId="27879"/>
    <cellStyle name="Input [yellow] 2 11 11 9 4" xfId="39044"/>
    <cellStyle name="Input [yellow] 2 11 11 9 5" xfId="50237"/>
    <cellStyle name="Input [yellow] 2 11 12" xfId="750"/>
    <cellStyle name="Input [yellow] 2 11 12 2" xfId="11948"/>
    <cellStyle name="Input [yellow] 2 11 12 3" xfId="23116"/>
    <cellStyle name="Input [yellow] 2 11 12 4" xfId="34281"/>
    <cellStyle name="Input [yellow] 2 11 12 5" xfId="45473"/>
    <cellStyle name="Input [yellow] 2 11 13" xfId="1433"/>
    <cellStyle name="Input [yellow] 2 11 13 2" xfId="12630"/>
    <cellStyle name="Input [yellow] 2 11 13 3" xfId="23798"/>
    <cellStyle name="Input [yellow] 2 11 13 4" xfId="34963"/>
    <cellStyle name="Input [yellow] 2 11 13 5" xfId="46156"/>
    <cellStyle name="Input [yellow] 2 11 14" xfId="2027"/>
    <cellStyle name="Input [yellow] 2 11 14 2" xfId="13224"/>
    <cellStyle name="Input [yellow] 2 11 14 3" xfId="24392"/>
    <cellStyle name="Input [yellow] 2 11 14 4" xfId="35557"/>
    <cellStyle name="Input [yellow] 2 11 14 5" xfId="46750"/>
    <cellStyle name="Input [yellow] 2 11 15" xfId="2136"/>
    <cellStyle name="Input [yellow] 2 11 15 2" xfId="13333"/>
    <cellStyle name="Input [yellow] 2 11 15 3" xfId="24501"/>
    <cellStyle name="Input [yellow] 2 11 15 4" xfId="35666"/>
    <cellStyle name="Input [yellow] 2 11 15 5" xfId="46859"/>
    <cellStyle name="Input [yellow] 2 11 16" xfId="3085"/>
    <cellStyle name="Input [yellow] 2 11 16 2" xfId="14282"/>
    <cellStyle name="Input [yellow] 2 11 16 3" xfId="25450"/>
    <cellStyle name="Input [yellow] 2 11 16 4" xfId="36615"/>
    <cellStyle name="Input [yellow] 2 11 16 5" xfId="47808"/>
    <cellStyle name="Input [yellow] 2 11 17" xfId="3719"/>
    <cellStyle name="Input [yellow] 2 11 17 2" xfId="14916"/>
    <cellStyle name="Input [yellow] 2 11 17 3" xfId="26084"/>
    <cellStyle name="Input [yellow] 2 11 17 4" xfId="37249"/>
    <cellStyle name="Input [yellow] 2 11 17 5" xfId="48442"/>
    <cellStyle name="Input [yellow] 2 11 18" xfId="4352"/>
    <cellStyle name="Input [yellow] 2 11 18 2" xfId="15549"/>
    <cellStyle name="Input [yellow] 2 11 18 3" xfId="26717"/>
    <cellStyle name="Input [yellow] 2 11 18 4" xfId="37882"/>
    <cellStyle name="Input [yellow] 2 11 18 5" xfId="49075"/>
    <cellStyle name="Input [yellow] 2 11 19" xfId="4984"/>
    <cellStyle name="Input [yellow] 2 11 19 2" xfId="16181"/>
    <cellStyle name="Input [yellow] 2 11 19 3" xfId="27349"/>
    <cellStyle name="Input [yellow] 2 11 19 4" xfId="38514"/>
    <cellStyle name="Input [yellow] 2 11 19 5" xfId="49707"/>
    <cellStyle name="Input [yellow] 2 11 2" xfId="165"/>
    <cellStyle name="Input [yellow] 2 11 2 10" xfId="6047"/>
    <cellStyle name="Input [yellow] 2 11 2 10 2" xfId="17244"/>
    <cellStyle name="Input [yellow] 2 11 2 10 3" xfId="28412"/>
    <cellStyle name="Input [yellow] 2 11 2 10 4" xfId="39577"/>
    <cellStyle name="Input [yellow] 2 11 2 10 5" xfId="50770"/>
    <cellStyle name="Input [yellow] 2 11 2 11" xfId="5838"/>
    <cellStyle name="Input [yellow] 2 11 2 11 2" xfId="17035"/>
    <cellStyle name="Input [yellow] 2 11 2 11 3" xfId="28203"/>
    <cellStyle name="Input [yellow] 2 11 2 11 4" xfId="39368"/>
    <cellStyle name="Input [yellow] 2 11 2 11 5" xfId="50561"/>
    <cellStyle name="Input [yellow] 2 11 2 12" xfId="6734"/>
    <cellStyle name="Input [yellow] 2 11 2 12 2" xfId="17931"/>
    <cellStyle name="Input [yellow] 2 11 2 12 3" xfId="29099"/>
    <cellStyle name="Input [yellow] 2 11 2 12 4" xfId="40264"/>
    <cellStyle name="Input [yellow] 2 11 2 12 5" xfId="51457"/>
    <cellStyle name="Input [yellow] 2 11 2 13" xfId="7368"/>
    <cellStyle name="Input [yellow] 2 11 2 13 2" xfId="18565"/>
    <cellStyle name="Input [yellow] 2 11 2 13 3" xfId="29733"/>
    <cellStyle name="Input [yellow] 2 11 2 13 4" xfId="40898"/>
    <cellStyle name="Input [yellow] 2 11 2 13 5" xfId="52091"/>
    <cellStyle name="Input [yellow] 2 11 2 14" xfId="8002"/>
    <cellStyle name="Input [yellow] 2 11 2 14 2" xfId="19199"/>
    <cellStyle name="Input [yellow] 2 11 2 14 3" xfId="30367"/>
    <cellStyle name="Input [yellow] 2 11 2 14 4" xfId="41532"/>
    <cellStyle name="Input [yellow] 2 11 2 14 5" xfId="52725"/>
    <cellStyle name="Input [yellow] 2 11 2 15" xfId="8633"/>
    <cellStyle name="Input [yellow] 2 11 2 15 2" xfId="19830"/>
    <cellStyle name="Input [yellow] 2 11 2 15 3" xfId="30998"/>
    <cellStyle name="Input [yellow] 2 11 2 15 4" xfId="42163"/>
    <cellStyle name="Input [yellow] 2 11 2 15 5" xfId="53356"/>
    <cellStyle name="Input [yellow] 2 11 2 16" xfId="8866"/>
    <cellStyle name="Input [yellow] 2 11 2 16 2" xfId="20063"/>
    <cellStyle name="Input [yellow] 2 11 2 16 3" xfId="31231"/>
    <cellStyle name="Input [yellow] 2 11 2 16 4" xfId="42396"/>
    <cellStyle name="Input [yellow] 2 11 2 16 5" xfId="53589"/>
    <cellStyle name="Input [yellow] 2 11 2 17" xfId="9686"/>
    <cellStyle name="Input [yellow] 2 11 2 17 2" xfId="20883"/>
    <cellStyle name="Input [yellow] 2 11 2 17 3" xfId="32051"/>
    <cellStyle name="Input [yellow] 2 11 2 17 4" xfId="43216"/>
    <cellStyle name="Input [yellow] 2 11 2 17 5" xfId="54409"/>
    <cellStyle name="Input [yellow] 2 11 2 18" xfId="10305"/>
    <cellStyle name="Input [yellow] 2 11 2 18 2" xfId="21502"/>
    <cellStyle name="Input [yellow] 2 11 2 18 3" xfId="32670"/>
    <cellStyle name="Input [yellow] 2 11 2 18 4" xfId="43835"/>
    <cellStyle name="Input [yellow] 2 11 2 18 5" xfId="55028"/>
    <cellStyle name="Input [yellow] 2 11 2 19" xfId="10718"/>
    <cellStyle name="Input [yellow] 2 11 2 19 2" xfId="21915"/>
    <cellStyle name="Input [yellow] 2 11 2 19 3" xfId="33083"/>
    <cellStyle name="Input [yellow] 2 11 2 19 4" xfId="44248"/>
    <cellStyle name="Input [yellow] 2 11 2 19 5" xfId="55441"/>
    <cellStyle name="Input [yellow] 2 11 2 2" xfId="814"/>
    <cellStyle name="Input [yellow] 2 11 2 2 2" xfId="12011"/>
    <cellStyle name="Input [yellow] 2 11 2 2 3" xfId="23179"/>
    <cellStyle name="Input [yellow] 2 11 2 2 4" xfId="34344"/>
    <cellStyle name="Input [yellow] 2 11 2 2 5" xfId="45537"/>
    <cellStyle name="Input [yellow] 2 11 2 20" xfId="11365"/>
    <cellStyle name="Input [yellow] 2 11 2 21" xfId="22535"/>
    <cellStyle name="Input [yellow] 2 11 2 22" xfId="33702"/>
    <cellStyle name="Input [yellow] 2 11 2 23" xfId="44888"/>
    <cellStyle name="Input [yellow] 2 11 2 3" xfId="1557"/>
    <cellStyle name="Input [yellow] 2 11 2 3 2" xfId="12754"/>
    <cellStyle name="Input [yellow] 2 11 2 3 3" xfId="23922"/>
    <cellStyle name="Input [yellow] 2 11 2 3 4" xfId="35087"/>
    <cellStyle name="Input [yellow] 2 11 2 3 5" xfId="46280"/>
    <cellStyle name="Input [yellow] 2 11 2 4" xfId="2091"/>
    <cellStyle name="Input [yellow] 2 11 2 4 2" xfId="13288"/>
    <cellStyle name="Input [yellow] 2 11 2 4 3" xfId="24456"/>
    <cellStyle name="Input [yellow] 2 11 2 4 4" xfId="35621"/>
    <cellStyle name="Input [yellow] 2 11 2 4 5" xfId="46814"/>
    <cellStyle name="Input [yellow] 2 11 2 5" xfId="2204"/>
    <cellStyle name="Input [yellow] 2 11 2 5 2" xfId="13401"/>
    <cellStyle name="Input [yellow] 2 11 2 5 3" xfId="24569"/>
    <cellStyle name="Input [yellow] 2 11 2 5 4" xfId="35734"/>
    <cellStyle name="Input [yellow] 2 11 2 5 5" xfId="46927"/>
    <cellStyle name="Input [yellow] 2 11 2 6" xfId="3149"/>
    <cellStyle name="Input [yellow] 2 11 2 6 2" xfId="14346"/>
    <cellStyle name="Input [yellow] 2 11 2 6 3" xfId="25514"/>
    <cellStyle name="Input [yellow] 2 11 2 6 4" xfId="36679"/>
    <cellStyle name="Input [yellow] 2 11 2 6 5" xfId="47872"/>
    <cellStyle name="Input [yellow] 2 11 2 7" xfId="3783"/>
    <cellStyle name="Input [yellow] 2 11 2 7 2" xfId="14980"/>
    <cellStyle name="Input [yellow] 2 11 2 7 3" xfId="26148"/>
    <cellStyle name="Input [yellow] 2 11 2 7 4" xfId="37313"/>
    <cellStyle name="Input [yellow] 2 11 2 7 5" xfId="48506"/>
    <cellStyle name="Input [yellow] 2 11 2 8" xfId="4416"/>
    <cellStyle name="Input [yellow] 2 11 2 8 2" xfId="15613"/>
    <cellStyle name="Input [yellow] 2 11 2 8 3" xfId="26781"/>
    <cellStyle name="Input [yellow] 2 11 2 8 4" xfId="37946"/>
    <cellStyle name="Input [yellow] 2 11 2 8 5" xfId="49139"/>
    <cellStyle name="Input [yellow] 2 11 2 9" xfId="5047"/>
    <cellStyle name="Input [yellow] 2 11 2 9 2" xfId="16244"/>
    <cellStyle name="Input [yellow] 2 11 2 9 3" xfId="27412"/>
    <cellStyle name="Input [yellow] 2 11 2 9 4" xfId="38577"/>
    <cellStyle name="Input [yellow] 2 11 2 9 5" xfId="49770"/>
    <cellStyle name="Input [yellow] 2 11 20" xfId="5940"/>
    <cellStyle name="Input [yellow] 2 11 20 2" xfId="17137"/>
    <cellStyle name="Input [yellow] 2 11 20 3" xfId="28305"/>
    <cellStyle name="Input [yellow] 2 11 20 4" xfId="39470"/>
    <cellStyle name="Input [yellow] 2 11 20 5" xfId="50663"/>
    <cellStyle name="Input [yellow] 2 11 21" xfId="5666"/>
    <cellStyle name="Input [yellow] 2 11 21 2" xfId="16863"/>
    <cellStyle name="Input [yellow] 2 11 21 3" xfId="28031"/>
    <cellStyle name="Input [yellow] 2 11 21 4" xfId="39196"/>
    <cellStyle name="Input [yellow] 2 11 21 5" xfId="50389"/>
    <cellStyle name="Input [yellow] 2 11 22" xfId="6671"/>
    <cellStyle name="Input [yellow] 2 11 22 2" xfId="17868"/>
    <cellStyle name="Input [yellow] 2 11 22 3" xfId="29036"/>
    <cellStyle name="Input [yellow] 2 11 22 4" xfId="40201"/>
    <cellStyle name="Input [yellow] 2 11 22 5" xfId="51394"/>
    <cellStyle name="Input [yellow] 2 11 23" xfId="7304"/>
    <cellStyle name="Input [yellow] 2 11 23 2" xfId="18501"/>
    <cellStyle name="Input [yellow] 2 11 23 3" xfId="29669"/>
    <cellStyle name="Input [yellow] 2 11 23 4" xfId="40834"/>
    <cellStyle name="Input [yellow] 2 11 23 5" xfId="52027"/>
    <cellStyle name="Input [yellow] 2 11 24" xfId="7938"/>
    <cellStyle name="Input [yellow] 2 11 24 2" xfId="19135"/>
    <cellStyle name="Input [yellow] 2 11 24 3" xfId="30303"/>
    <cellStyle name="Input [yellow] 2 11 24 4" xfId="41468"/>
    <cellStyle name="Input [yellow] 2 11 24 5" xfId="52661"/>
    <cellStyle name="Input [yellow] 2 11 25" xfId="8570"/>
    <cellStyle name="Input [yellow] 2 11 25 2" xfId="19767"/>
    <cellStyle name="Input [yellow] 2 11 25 3" xfId="30935"/>
    <cellStyle name="Input [yellow] 2 11 25 4" xfId="42100"/>
    <cellStyle name="Input [yellow] 2 11 25 5" xfId="53293"/>
    <cellStyle name="Input [yellow] 2 11 26" xfId="8766"/>
    <cellStyle name="Input [yellow] 2 11 26 2" xfId="19963"/>
    <cellStyle name="Input [yellow] 2 11 26 3" xfId="31131"/>
    <cellStyle name="Input [yellow] 2 11 26 4" xfId="42296"/>
    <cellStyle name="Input [yellow] 2 11 26 5" xfId="53489"/>
    <cellStyle name="Input [yellow] 2 11 27" xfId="9622"/>
    <cellStyle name="Input [yellow] 2 11 27 2" xfId="20819"/>
    <cellStyle name="Input [yellow] 2 11 27 3" xfId="31987"/>
    <cellStyle name="Input [yellow] 2 11 27 4" xfId="43152"/>
    <cellStyle name="Input [yellow] 2 11 27 5" xfId="54345"/>
    <cellStyle name="Input [yellow] 2 11 28" xfId="10275"/>
    <cellStyle name="Input [yellow] 2 11 28 2" xfId="21472"/>
    <cellStyle name="Input [yellow] 2 11 28 3" xfId="32640"/>
    <cellStyle name="Input [yellow] 2 11 28 4" xfId="43805"/>
    <cellStyle name="Input [yellow] 2 11 28 5" xfId="54998"/>
    <cellStyle name="Input [yellow] 2 11 29" xfId="10655"/>
    <cellStyle name="Input [yellow] 2 11 29 2" xfId="21852"/>
    <cellStyle name="Input [yellow] 2 11 29 3" xfId="33020"/>
    <cellStyle name="Input [yellow] 2 11 29 4" xfId="44185"/>
    <cellStyle name="Input [yellow] 2 11 29 5" xfId="55378"/>
    <cellStyle name="Input [yellow] 2 11 3" xfId="221"/>
    <cellStyle name="Input [yellow] 2 11 3 10" xfId="5802"/>
    <cellStyle name="Input [yellow] 2 11 3 10 2" xfId="16999"/>
    <cellStyle name="Input [yellow] 2 11 3 10 3" xfId="28167"/>
    <cellStyle name="Input [yellow] 2 11 3 10 4" xfId="39332"/>
    <cellStyle name="Input [yellow] 2 11 3 10 5" xfId="50525"/>
    <cellStyle name="Input [yellow] 2 11 3 11" xfId="5995"/>
    <cellStyle name="Input [yellow] 2 11 3 11 2" xfId="17192"/>
    <cellStyle name="Input [yellow] 2 11 3 11 3" xfId="28360"/>
    <cellStyle name="Input [yellow] 2 11 3 11 4" xfId="39525"/>
    <cellStyle name="Input [yellow] 2 11 3 11 5" xfId="50718"/>
    <cellStyle name="Input [yellow] 2 11 3 12" xfId="6790"/>
    <cellStyle name="Input [yellow] 2 11 3 12 2" xfId="17987"/>
    <cellStyle name="Input [yellow] 2 11 3 12 3" xfId="29155"/>
    <cellStyle name="Input [yellow] 2 11 3 12 4" xfId="40320"/>
    <cellStyle name="Input [yellow] 2 11 3 12 5" xfId="51513"/>
    <cellStyle name="Input [yellow] 2 11 3 13" xfId="7424"/>
    <cellStyle name="Input [yellow] 2 11 3 13 2" xfId="18621"/>
    <cellStyle name="Input [yellow] 2 11 3 13 3" xfId="29789"/>
    <cellStyle name="Input [yellow] 2 11 3 13 4" xfId="40954"/>
    <cellStyle name="Input [yellow] 2 11 3 13 5" xfId="52147"/>
    <cellStyle name="Input [yellow] 2 11 3 14" xfId="8058"/>
    <cellStyle name="Input [yellow] 2 11 3 14 2" xfId="19255"/>
    <cellStyle name="Input [yellow] 2 11 3 14 3" xfId="30423"/>
    <cellStyle name="Input [yellow] 2 11 3 14 4" xfId="41588"/>
    <cellStyle name="Input [yellow] 2 11 3 14 5" xfId="52781"/>
    <cellStyle name="Input [yellow] 2 11 3 15" xfId="8689"/>
    <cellStyle name="Input [yellow] 2 11 3 15 2" xfId="19886"/>
    <cellStyle name="Input [yellow] 2 11 3 15 3" xfId="31054"/>
    <cellStyle name="Input [yellow] 2 11 3 15 4" xfId="42219"/>
    <cellStyle name="Input [yellow] 2 11 3 15 5" xfId="53412"/>
    <cellStyle name="Input [yellow] 2 11 3 16" xfId="8987"/>
    <cellStyle name="Input [yellow] 2 11 3 16 2" xfId="20184"/>
    <cellStyle name="Input [yellow] 2 11 3 16 3" xfId="31352"/>
    <cellStyle name="Input [yellow] 2 11 3 16 4" xfId="42517"/>
    <cellStyle name="Input [yellow] 2 11 3 16 5" xfId="53710"/>
    <cellStyle name="Input [yellow] 2 11 3 17" xfId="9740"/>
    <cellStyle name="Input [yellow] 2 11 3 17 2" xfId="20937"/>
    <cellStyle name="Input [yellow] 2 11 3 17 3" xfId="32105"/>
    <cellStyle name="Input [yellow] 2 11 3 17 4" xfId="43270"/>
    <cellStyle name="Input [yellow] 2 11 3 17 5" xfId="54463"/>
    <cellStyle name="Input [yellow] 2 11 3 18" xfId="10269"/>
    <cellStyle name="Input [yellow] 2 11 3 18 2" xfId="21466"/>
    <cellStyle name="Input [yellow] 2 11 3 18 3" xfId="32634"/>
    <cellStyle name="Input [yellow] 2 11 3 18 4" xfId="43799"/>
    <cellStyle name="Input [yellow] 2 11 3 18 5" xfId="54992"/>
    <cellStyle name="Input [yellow] 2 11 3 19" xfId="10774"/>
    <cellStyle name="Input [yellow] 2 11 3 19 2" xfId="21971"/>
    <cellStyle name="Input [yellow] 2 11 3 19 3" xfId="33139"/>
    <cellStyle name="Input [yellow] 2 11 3 19 4" xfId="44304"/>
    <cellStyle name="Input [yellow] 2 11 3 19 5" xfId="55497"/>
    <cellStyle name="Input [yellow] 2 11 3 2" xfId="870"/>
    <cellStyle name="Input [yellow] 2 11 3 2 2" xfId="12067"/>
    <cellStyle name="Input [yellow] 2 11 3 2 3" xfId="23235"/>
    <cellStyle name="Input [yellow] 2 11 3 2 4" xfId="34400"/>
    <cellStyle name="Input [yellow] 2 11 3 2 5" xfId="45593"/>
    <cellStyle name="Input [yellow] 2 11 3 20" xfId="11421"/>
    <cellStyle name="Input [yellow] 2 11 3 21" xfId="22591"/>
    <cellStyle name="Input [yellow] 2 11 3 22" xfId="33758"/>
    <cellStyle name="Input [yellow] 2 11 3 23" xfId="44944"/>
    <cellStyle name="Input [yellow] 2 11 3 3" xfId="1585"/>
    <cellStyle name="Input [yellow] 2 11 3 3 2" xfId="12782"/>
    <cellStyle name="Input [yellow] 2 11 3 3 3" xfId="23950"/>
    <cellStyle name="Input [yellow] 2 11 3 3 4" xfId="35115"/>
    <cellStyle name="Input [yellow] 2 11 3 3 5" xfId="46308"/>
    <cellStyle name="Input [yellow] 2 11 3 4" xfId="2147"/>
    <cellStyle name="Input [yellow] 2 11 3 4 2" xfId="13344"/>
    <cellStyle name="Input [yellow] 2 11 3 4 3" xfId="24512"/>
    <cellStyle name="Input [yellow] 2 11 3 4 4" xfId="35677"/>
    <cellStyle name="Input [yellow] 2 11 3 4 5" xfId="46870"/>
    <cellStyle name="Input [yellow] 2 11 3 5" xfId="2277"/>
    <cellStyle name="Input [yellow] 2 11 3 5 2" xfId="13474"/>
    <cellStyle name="Input [yellow] 2 11 3 5 3" xfId="24642"/>
    <cellStyle name="Input [yellow] 2 11 3 5 4" xfId="35807"/>
    <cellStyle name="Input [yellow] 2 11 3 5 5" xfId="47000"/>
    <cellStyle name="Input [yellow] 2 11 3 6" xfId="3205"/>
    <cellStyle name="Input [yellow] 2 11 3 6 2" xfId="14402"/>
    <cellStyle name="Input [yellow] 2 11 3 6 3" xfId="25570"/>
    <cellStyle name="Input [yellow] 2 11 3 6 4" xfId="36735"/>
    <cellStyle name="Input [yellow] 2 11 3 6 5" xfId="47928"/>
    <cellStyle name="Input [yellow] 2 11 3 7" xfId="3839"/>
    <cellStyle name="Input [yellow] 2 11 3 7 2" xfId="15036"/>
    <cellStyle name="Input [yellow] 2 11 3 7 3" xfId="26204"/>
    <cellStyle name="Input [yellow] 2 11 3 7 4" xfId="37369"/>
    <cellStyle name="Input [yellow] 2 11 3 7 5" xfId="48562"/>
    <cellStyle name="Input [yellow] 2 11 3 8" xfId="4472"/>
    <cellStyle name="Input [yellow] 2 11 3 8 2" xfId="15669"/>
    <cellStyle name="Input [yellow] 2 11 3 8 3" xfId="26837"/>
    <cellStyle name="Input [yellow] 2 11 3 8 4" xfId="38002"/>
    <cellStyle name="Input [yellow] 2 11 3 8 5" xfId="49195"/>
    <cellStyle name="Input [yellow] 2 11 3 9" xfId="5103"/>
    <cellStyle name="Input [yellow] 2 11 3 9 2" xfId="16300"/>
    <cellStyle name="Input [yellow] 2 11 3 9 3" xfId="27468"/>
    <cellStyle name="Input [yellow] 2 11 3 9 4" xfId="38633"/>
    <cellStyle name="Input [yellow] 2 11 3 9 5" xfId="49826"/>
    <cellStyle name="Input [yellow] 2 11 30" xfId="11302"/>
    <cellStyle name="Input [yellow] 2 11 31" xfId="22472"/>
    <cellStyle name="Input [yellow] 2 11 32" xfId="33639"/>
    <cellStyle name="Input [yellow] 2 11 33" xfId="44824"/>
    <cellStyle name="Input [yellow] 2 11 4" xfId="49"/>
    <cellStyle name="Input [yellow] 2 11 4 10" xfId="5586"/>
    <cellStyle name="Input [yellow] 2 11 4 10 2" xfId="16783"/>
    <cellStyle name="Input [yellow] 2 11 4 10 3" xfId="27951"/>
    <cellStyle name="Input [yellow] 2 11 4 10 4" xfId="39116"/>
    <cellStyle name="Input [yellow] 2 11 4 10 5" xfId="50309"/>
    <cellStyle name="Input [yellow] 2 11 4 11" xfId="5790"/>
    <cellStyle name="Input [yellow] 2 11 4 11 2" xfId="16987"/>
    <cellStyle name="Input [yellow] 2 11 4 11 3" xfId="28155"/>
    <cellStyle name="Input [yellow] 2 11 4 11 4" xfId="39320"/>
    <cellStyle name="Input [yellow] 2 11 4 11 5" xfId="50513"/>
    <cellStyle name="Input [yellow] 2 11 4 12" xfId="6189"/>
    <cellStyle name="Input [yellow] 2 11 4 12 2" xfId="17386"/>
    <cellStyle name="Input [yellow] 2 11 4 12 3" xfId="28554"/>
    <cellStyle name="Input [yellow] 2 11 4 12 4" xfId="39719"/>
    <cellStyle name="Input [yellow] 2 11 4 12 5" xfId="50912"/>
    <cellStyle name="Input [yellow] 2 11 4 13" xfId="5673"/>
    <cellStyle name="Input [yellow] 2 11 4 13 2" xfId="16870"/>
    <cellStyle name="Input [yellow] 2 11 4 13 3" xfId="28038"/>
    <cellStyle name="Input [yellow] 2 11 4 13 4" xfId="39203"/>
    <cellStyle name="Input [yellow] 2 11 4 13 5" xfId="50396"/>
    <cellStyle name="Input [yellow] 2 11 4 14" xfId="6148"/>
    <cellStyle name="Input [yellow] 2 11 4 14 2" xfId="17345"/>
    <cellStyle name="Input [yellow] 2 11 4 14 3" xfId="28513"/>
    <cellStyle name="Input [yellow] 2 11 4 14 4" xfId="39678"/>
    <cellStyle name="Input [yellow] 2 11 4 14 5" xfId="50871"/>
    <cellStyle name="Input [yellow] 2 11 4 15" xfId="7272"/>
    <cellStyle name="Input [yellow] 2 11 4 15 2" xfId="18469"/>
    <cellStyle name="Input [yellow] 2 11 4 15 3" xfId="29637"/>
    <cellStyle name="Input [yellow] 2 11 4 15 4" xfId="40802"/>
    <cellStyle name="Input [yellow] 2 11 4 15 5" xfId="51995"/>
    <cellStyle name="Input [yellow] 2 11 4 16" xfId="7295"/>
    <cellStyle name="Input [yellow] 2 11 4 16 2" xfId="18492"/>
    <cellStyle name="Input [yellow] 2 11 4 16 3" xfId="29660"/>
    <cellStyle name="Input [yellow] 2 11 4 16 4" xfId="40825"/>
    <cellStyle name="Input [yellow] 2 11 4 16 5" xfId="52018"/>
    <cellStyle name="Input [yellow] 2 11 4 17" xfId="6640"/>
    <cellStyle name="Input [yellow] 2 11 4 17 2" xfId="17837"/>
    <cellStyle name="Input [yellow] 2 11 4 17 3" xfId="29005"/>
    <cellStyle name="Input [yellow] 2 11 4 17 4" xfId="40170"/>
    <cellStyle name="Input [yellow] 2 11 4 17 5" xfId="51363"/>
    <cellStyle name="Input [yellow] 2 11 4 18" xfId="9591"/>
    <cellStyle name="Input [yellow] 2 11 4 18 2" xfId="20788"/>
    <cellStyle name="Input [yellow] 2 11 4 18 3" xfId="31956"/>
    <cellStyle name="Input [yellow] 2 11 4 18 4" xfId="43121"/>
    <cellStyle name="Input [yellow] 2 11 4 18 5" xfId="54314"/>
    <cellStyle name="Input [yellow] 2 11 4 19" xfId="9614"/>
    <cellStyle name="Input [yellow] 2 11 4 19 2" xfId="20811"/>
    <cellStyle name="Input [yellow] 2 11 4 19 3" xfId="31979"/>
    <cellStyle name="Input [yellow] 2 11 4 19 4" xfId="43144"/>
    <cellStyle name="Input [yellow] 2 11 4 19 5" xfId="54337"/>
    <cellStyle name="Input [yellow] 2 11 4 2" xfId="704"/>
    <cellStyle name="Input [yellow] 2 11 4 2 2" xfId="11903"/>
    <cellStyle name="Input [yellow] 2 11 4 2 3" xfId="23072"/>
    <cellStyle name="Input [yellow] 2 11 4 2 4" xfId="34239"/>
    <cellStyle name="Input [yellow] 2 11 4 2 5" xfId="45427"/>
    <cellStyle name="Input [yellow] 2 11 4 20" xfId="11251"/>
    <cellStyle name="Input [yellow] 2 11 4 21" xfId="11293"/>
    <cellStyle name="Input [yellow] 2 11 4 22" xfId="23088"/>
    <cellStyle name="Input [yellow] 2 11 4 23" xfId="44778"/>
    <cellStyle name="Input [yellow] 2 11 4 3" xfId="694"/>
    <cellStyle name="Input [yellow] 2 11 4 3 2" xfId="11894"/>
    <cellStyle name="Input [yellow] 2 11 4 3 3" xfId="23064"/>
    <cellStyle name="Input [yellow] 2 11 4 3 4" xfId="34231"/>
    <cellStyle name="Input [yellow] 2 11 4 3 5" xfId="45417"/>
    <cellStyle name="Input [yellow] 2 11 4 4" xfId="1978"/>
    <cellStyle name="Input [yellow] 2 11 4 4 2" xfId="13175"/>
    <cellStyle name="Input [yellow] 2 11 4 4 3" xfId="24343"/>
    <cellStyle name="Input [yellow] 2 11 4 4 4" xfId="35508"/>
    <cellStyle name="Input [yellow] 2 11 4 4 5" xfId="46701"/>
    <cellStyle name="Input [yellow] 2 11 4 5" xfId="1343"/>
    <cellStyle name="Input [yellow] 2 11 4 5 2" xfId="12540"/>
    <cellStyle name="Input [yellow] 2 11 4 5 3" xfId="23708"/>
    <cellStyle name="Input [yellow] 2 11 4 5 4" xfId="34873"/>
    <cellStyle name="Input [yellow] 2 11 4 5 5" xfId="46066"/>
    <cellStyle name="Input [yellow] 2 11 4 6" xfId="2004"/>
    <cellStyle name="Input [yellow] 2 11 4 6 2" xfId="13201"/>
    <cellStyle name="Input [yellow] 2 11 4 6 3" xfId="24369"/>
    <cellStyle name="Input [yellow] 2 11 4 6 4" xfId="35534"/>
    <cellStyle name="Input [yellow] 2 11 4 6 5" xfId="46727"/>
    <cellStyle name="Input [yellow] 2 11 4 7" xfId="1995"/>
    <cellStyle name="Input [yellow] 2 11 4 7 2" xfId="13192"/>
    <cellStyle name="Input [yellow] 2 11 4 7 3" xfId="24360"/>
    <cellStyle name="Input [yellow] 2 11 4 7 4" xfId="35525"/>
    <cellStyle name="Input [yellow] 2 11 4 7 5" xfId="46718"/>
    <cellStyle name="Input [yellow] 2 11 4 8" xfId="3053"/>
    <cellStyle name="Input [yellow] 2 11 4 8 2" xfId="14250"/>
    <cellStyle name="Input [yellow] 2 11 4 8 3" xfId="25418"/>
    <cellStyle name="Input [yellow] 2 11 4 8 4" xfId="36583"/>
    <cellStyle name="Input [yellow] 2 11 4 8 5" xfId="47776"/>
    <cellStyle name="Input [yellow] 2 11 4 9" xfId="3729"/>
    <cellStyle name="Input [yellow] 2 11 4 9 2" xfId="14926"/>
    <cellStyle name="Input [yellow] 2 11 4 9 3" xfId="26094"/>
    <cellStyle name="Input [yellow] 2 11 4 9 4" xfId="37259"/>
    <cellStyle name="Input [yellow] 2 11 4 9 5" xfId="48452"/>
    <cellStyle name="Input [yellow] 2 11 5" xfId="326"/>
    <cellStyle name="Input [yellow] 2 11 5 10" xfId="6036"/>
    <cellStyle name="Input [yellow] 2 11 5 10 2" xfId="17233"/>
    <cellStyle name="Input [yellow] 2 11 5 10 3" xfId="28401"/>
    <cellStyle name="Input [yellow] 2 11 5 10 4" xfId="39566"/>
    <cellStyle name="Input [yellow] 2 11 5 10 5" xfId="50759"/>
    <cellStyle name="Input [yellow] 2 11 5 11" xfId="6262"/>
    <cellStyle name="Input [yellow] 2 11 5 11 2" xfId="17459"/>
    <cellStyle name="Input [yellow] 2 11 5 11 3" xfId="28627"/>
    <cellStyle name="Input [yellow] 2 11 5 11 4" xfId="39792"/>
    <cellStyle name="Input [yellow] 2 11 5 11 5" xfId="50985"/>
    <cellStyle name="Input [yellow] 2 11 5 12" xfId="6895"/>
    <cellStyle name="Input [yellow] 2 11 5 12 2" xfId="18092"/>
    <cellStyle name="Input [yellow] 2 11 5 12 3" xfId="29260"/>
    <cellStyle name="Input [yellow] 2 11 5 12 4" xfId="40425"/>
    <cellStyle name="Input [yellow] 2 11 5 12 5" xfId="51618"/>
    <cellStyle name="Input [yellow] 2 11 5 13" xfId="7529"/>
    <cellStyle name="Input [yellow] 2 11 5 13 2" xfId="18726"/>
    <cellStyle name="Input [yellow] 2 11 5 13 3" xfId="29894"/>
    <cellStyle name="Input [yellow] 2 11 5 13 4" xfId="41059"/>
    <cellStyle name="Input [yellow] 2 11 5 13 5" xfId="52252"/>
    <cellStyle name="Input [yellow] 2 11 5 14" xfId="8163"/>
    <cellStyle name="Input [yellow] 2 11 5 14 2" xfId="19360"/>
    <cellStyle name="Input [yellow] 2 11 5 14 3" xfId="30528"/>
    <cellStyle name="Input [yellow] 2 11 5 14 4" xfId="41693"/>
    <cellStyle name="Input [yellow] 2 11 5 14 5" xfId="52886"/>
    <cellStyle name="Input [yellow] 2 11 5 15" xfId="8792"/>
    <cellStyle name="Input [yellow] 2 11 5 15 2" xfId="19989"/>
    <cellStyle name="Input [yellow] 2 11 5 15 3" xfId="31157"/>
    <cellStyle name="Input [yellow] 2 11 5 15 4" xfId="42322"/>
    <cellStyle name="Input [yellow] 2 11 5 15 5" xfId="53515"/>
    <cellStyle name="Input [yellow] 2 11 5 16" xfId="9214"/>
    <cellStyle name="Input [yellow] 2 11 5 16 2" xfId="20411"/>
    <cellStyle name="Input [yellow] 2 11 5 16 3" xfId="31579"/>
    <cellStyle name="Input [yellow] 2 11 5 16 4" xfId="42744"/>
    <cellStyle name="Input [yellow] 2 11 5 16 5" xfId="53937"/>
    <cellStyle name="Input [yellow] 2 11 5 17" xfId="9841"/>
    <cellStyle name="Input [yellow] 2 11 5 17 2" xfId="21038"/>
    <cellStyle name="Input [yellow] 2 11 5 17 3" xfId="32206"/>
    <cellStyle name="Input [yellow] 2 11 5 17 4" xfId="43371"/>
    <cellStyle name="Input [yellow] 2 11 5 17 5" xfId="54564"/>
    <cellStyle name="Input [yellow] 2 11 5 18" xfId="9705"/>
    <cellStyle name="Input [yellow] 2 11 5 18 2" xfId="20902"/>
    <cellStyle name="Input [yellow] 2 11 5 18 3" xfId="32070"/>
    <cellStyle name="Input [yellow] 2 11 5 18 4" xfId="43235"/>
    <cellStyle name="Input [yellow] 2 11 5 18 5" xfId="54428"/>
    <cellStyle name="Input [yellow] 2 11 5 19" xfId="10879"/>
    <cellStyle name="Input [yellow] 2 11 5 19 2" xfId="22076"/>
    <cellStyle name="Input [yellow] 2 11 5 19 3" xfId="33244"/>
    <cellStyle name="Input [yellow] 2 11 5 19 4" xfId="44409"/>
    <cellStyle name="Input [yellow] 2 11 5 19 5" xfId="55602"/>
    <cellStyle name="Input [yellow] 2 11 5 2" xfId="975"/>
    <cellStyle name="Input [yellow] 2 11 5 2 2" xfId="12172"/>
    <cellStyle name="Input [yellow] 2 11 5 2 3" xfId="23340"/>
    <cellStyle name="Input [yellow] 2 11 5 2 4" xfId="34505"/>
    <cellStyle name="Input [yellow] 2 11 5 2 5" xfId="45698"/>
    <cellStyle name="Input [yellow] 2 11 5 20" xfId="11526"/>
    <cellStyle name="Input [yellow] 2 11 5 21" xfId="22696"/>
    <cellStyle name="Input [yellow] 2 11 5 22" xfId="33863"/>
    <cellStyle name="Input [yellow] 2 11 5 23" xfId="45049"/>
    <cellStyle name="Input [yellow] 2 11 5 3" xfId="1429"/>
    <cellStyle name="Input [yellow] 2 11 5 3 2" xfId="12626"/>
    <cellStyle name="Input [yellow] 2 11 5 3 3" xfId="23794"/>
    <cellStyle name="Input [yellow] 2 11 5 3 4" xfId="34959"/>
    <cellStyle name="Input [yellow] 2 11 5 3 5" xfId="46152"/>
    <cellStyle name="Input [yellow] 2 11 5 4" xfId="2251"/>
    <cellStyle name="Input [yellow] 2 11 5 4 2" xfId="13448"/>
    <cellStyle name="Input [yellow] 2 11 5 4 3" xfId="24616"/>
    <cellStyle name="Input [yellow] 2 11 5 4 4" xfId="35781"/>
    <cellStyle name="Input [yellow] 2 11 5 4 5" xfId="46974"/>
    <cellStyle name="Input [yellow] 2 11 5 5" xfId="2676"/>
    <cellStyle name="Input [yellow] 2 11 5 5 2" xfId="13873"/>
    <cellStyle name="Input [yellow] 2 11 5 5 3" xfId="25041"/>
    <cellStyle name="Input [yellow] 2 11 5 5 4" xfId="36206"/>
    <cellStyle name="Input [yellow] 2 11 5 5 5" xfId="47399"/>
    <cellStyle name="Input [yellow] 2 11 5 6" xfId="3310"/>
    <cellStyle name="Input [yellow] 2 11 5 6 2" xfId="14507"/>
    <cellStyle name="Input [yellow] 2 11 5 6 3" xfId="25675"/>
    <cellStyle name="Input [yellow] 2 11 5 6 4" xfId="36840"/>
    <cellStyle name="Input [yellow] 2 11 5 6 5" xfId="48033"/>
    <cellStyle name="Input [yellow] 2 11 5 7" xfId="3944"/>
    <cellStyle name="Input [yellow] 2 11 5 7 2" xfId="15141"/>
    <cellStyle name="Input [yellow] 2 11 5 7 3" xfId="26309"/>
    <cellStyle name="Input [yellow] 2 11 5 7 4" xfId="37474"/>
    <cellStyle name="Input [yellow] 2 11 5 7 5" xfId="48667"/>
    <cellStyle name="Input [yellow] 2 11 5 8" xfId="4577"/>
    <cellStyle name="Input [yellow] 2 11 5 8 2" xfId="15774"/>
    <cellStyle name="Input [yellow] 2 11 5 8 3" xfId="26942"/>
    <cellStyle name="Input [yellow] 2 11 5 8 4" xfId="38107"/>
    <cellStyle name="Input [yellow] 2 11 5 8 5" xfId="49300"/>
    <cellStyle name="Input [yellow] 2 11 5 9" xfId="5208"/>
    <cellStyle name="Input [yellow] 2 11 5 9 2" xfId="16405"/>
    <cellStyle name="Input [yellow] 2 11 5 9 3" xfId="27573"/>
    <cellStyle name="Input [yellow] 2 11 5 9 4" xfId="38738"/>
    <cellStyle name="Input [yellow] 2 11 5 9 5" xfId="49931"/>
    <cellStyle name="Input [yellow] 2 11 6" xfId="323"/>
    <cellStyle name="Input [yellow] 2 11 6 10" xfId="5781"/>
    <cellStyle name="Input [yellow] 2 11 6 10 2" xfId="16978"/>
    <cellStyle name="Input [yellow] 2 11 6 10 3" xfId="28146"/>
    <cellStyle name="Input [yellow] 2 11 6 10 4" xfId="39311"/>
    <cellStyle name="Input [yellow] 2 11 6 10 5" xfId="50504"/>
    <cellStyle name="Input [yellow] 2 11 6 11" xfId="6259"/>
    <cellStyle name="Input [yellow] 2 11 6 11 2" xfId="17456"/>
    <cellStyle name="Input [yellow] 2 11 6 11 3" xfId="28624"/>
    <cellStyle name="Input [yellow] 2 11 6 11 4" xfId="39789"/>
    <cellStyle name="Input [yellow] 2 11 6 11 5" xfId="50982"/>
    <cellStyle name="Input [yellow] 2 11 6 12" xfId="6892"/>
    <cellStyle name="Input [yellow] 2 11 6 12 2" xfId="18089"/>
    <cellStyle name="Input [yellow] 2 11 6 12 3" xfId="29257"/>
    <cellStyle name="Input [yellow] 2 11 6 12 4" xfId="40422"/>
    <cellStyle name="Input [yellow] 2 11 6 12 5" xfId="51615"/>
    <cellStyle name="Input [yellow] 2 11 6 13" xfId="7526"/>
    <cellStyle name="Input [yellow] 2 11 6 13 2" xfId="18723"/>
    <cellStyle name="Input [yellow] 2 11 6 13 3" xfId="29891"/>
    <cellStyle name="Input [yellow] 2 11 6 13 4" xfId="41056"/>
    <cellStyle name="Input [yellow] 2 11 6 13 5" xfId="52249"/>
    <cellStyle name="Input [yellow] 2 11 6 14" xfId="8160"/>
    <cellStyle name="Input [yellow] 2 11 6 14 2" xfId="19357"/>
    <cellStyle name="Input [yellow] 2 11 6 14 3" xfId="30525"/>
    <cellStyle name="Input [yellow] 2 11 6 14 4" xfId="41690"/>
    <cellStyle name="Input [yellow] 2 11 6 14 5" xfId="52883"/>
    <cellStyle name="Input [yellow] 2 11 6 15" xfId="8789"/>
    <cellStyle name="Input [yellow] 2 11 6 15 2" xfId="19986"/>
    <cellStyle name="Input [yellow] 2 11 6 15 3" xfId="31154"/>
    <cellStyle name="Input [yellow] 2 11 6 15 4" xfId="42319"/>
    <cellStyle name="Input [yellow] 2 11 6 15 5" xfId="53512"/>
    <cellStyle name="Input [yellow] 2 11 6 16" xfId="9211"/>
    <cellStyle name="Input [yellow] 2 11 6 16 2" xfId="20408"/>
    <cellStyle name="Input [yellow] 2 11 6 16 3" xfId="31576"/>
    <cellStyle name="Input [yellow] 2 11 6 16 4" xfId="42741"/>
    <cellStyle name="Input [yellow] 2 11 6 16 5" xfId="53934"/>
    <cellStyle name="Input [yellow] 2 11 6 17" xfId="9838"/>
    <cellStyle name="Input [yellow] 2 11 6 17 2" xfId="21035"/>
    <cellStyle name="Input [yellow] 2 11 6 17 3" xfId="32203"/>
    <cellStyle name="Input [yellow] 2 11 6 17 4" xfId="43368"/>
    <cellStyle name="Input [yellow] 2 11 6 17 5" xfId="54561"/>
    <cellStyle name="Input [yellow] 2 11 6 18" xfId="10222"/>
    <cellStyle name="Input [yellow] 2 11 6 18 2" xfId="21419"/>
    <cellStyle name="Input [yellow] 2 11 6 18 3" xfId="32587"/>
    <cellStyle name="Input [yellow] 2 11 6 18 4" xfId="43752"/>
    <cellStyle name="Input [yellow] 2 11 6 18 5" xfId="54945"/>
    <cellStyle name="Input [yellow] 2 11 6 19" xfId="10876"/>
    <cellStyle name="Input [yellow] 2 11 6 19 2" xfId="22073"/>
    <cellStyle name="Input [yellow] 2 11 6 19 3" xfId="33241"/>
    <cellStyle name="Input [yellow] 2 11 6 19 4" xfId="44406"/>
    <cellStyle name="Input [yellow] 2 11 6 19 5" xfId="55599"/>
    <cellStyle name="Input [yellow] 2 11 6 2" xfId="972"/>
    <cellStyle name="Input [yellow] 2 11 6 2 2" xfId="12169"/>
    <cellStyle name="Input [yellow] 2 11 6 2 3" xfId="23337"/>
    <cellStyle name="Input [yellow] 2 11 6 2 4" xfId="34502"/>
    <cellStyle name="Input [yellow] 2 11 6 2 5" xfId="45695"/>
    <cellStyle name="Input [yellow] 2 11 6 20" xfId="11523"/>
    <cellStyle name="Input [yellow] 2 11 6 21" xfId="22693"/>
    <cellStyle name="Input [yellow] 2 11 6 22" xfId="33860"/>
    <cellStyle name="Input [yellow] 2 11 6 23" xfId="45046"/>
    <cellStyle name="Input [yellow] 2 11 6 3" xfId="1588"/>
    <cellStyle name="Input [yellow] 2 11 6 3 2" xfId="12785"/>
    <cellStyle name="Input [yellow] 2 11 6 3 3" xfId="23953"/>
    <cellStyle name="Input [yellow] 2 11 6 3 4" xfId="35118"/>
    <cellStyle name="Input [yellow] 2 11 6 3 5" xfId="46311"/>
    <cellStyle name="Input [yellow] 2 11 6 4" xfId="2248"/>
    <cellStyle name="Input [yellow] 2 11 6 4 2" xfId="13445"/>
    <cellStyle name="Input [yellow] 2 11 6 4 3" xfId="24613"/>
    <cellStyle name="Input [yellow] 2 11 6 4 4" xfId="35778"/>
    <cellStyle name="Input [yellow] 2 11 6 4 5" xfId="46971"/>
    <cellStyle name="Input [yellow] 2 11 6 5" xfId="2673"/>
    <cellStyle name="Input [yellow] 2 11 6 5 2" xfId="13870"/>
    <cellStyle name="Input [yellow] 2 11 6 5 3" xfId="25038"/>
    <cellStyle name="Input [yellow] 2 11 6 5 4" xfId="36203"/>
    <cellStyle name="Input [yellow] 2 11 6 5 5" xfId="47396"/>
    <cellStyle name="Input [yellow] 2 11 6 6" xfId="3307"/>
    <cellStyle name="Input [yellow] 2 11 6 6 2" xfId="14504"/>
    <cellStyle name="Input [yellow] 2 11 6 6 3" xfId="25672"/>
    <cellStyle name="Input [yellow] 2 11 6 6 4" xfId="36837"/>
    <cellStyle name="Input [yellow] 2 11 6 6 5" xfId="48030"/>
    <cellStyle name="Input [yellow] 2 11 6 7" xfId="3941"/>
    <cellStyle name="Input [yellow] 2 11 6 7 2" xfId="15138"/>
    <cellStyle name="Input [yellow] 2 11 6 7 3" xfId="26306"/>
    <cellStyle name="Input [yellow] 2 11 6 7 4" xfId="37471"/>
    <cellStyle name="Input [yellow] 2 11 6 7 5" xfId="48664"/>
    <cellStyle name="Input [yellow] 2 11 6 8" xfId="4574"/>
    <cellStyle name="Input [yellow] 2 11 6 8 2" xfId="15771"/>
    <cellStyle name="Input [yellow] 2 11 6 8 3" xfId="26939"/>
    <cellStyle name="Input [yellow] 2 11 6 8 4" xfId="38104"/>
    <cellStyle name="Input [yellow] 2 11 6 8 5" xfId="49297"/>
    <cellStyle name="Input [yellow] 2 11 6 9" xfId="5205"/>
    <cellStyle name="Input [yellow] 2 11 6 9 2" xfId="16402"/>
    <cellStyle name="Input [yellow] 2 11 6 9 3" xfId="27570"/>
    <cellStyle name="Input [yellow] 2 11 6 9 4" xfId="38735"/>
    <cellStyle name="Input [yellow] 2 11 6 9 5" xfId="49928"/>
    <cellStyle name="Input [yellow] 2 11 7" xfId="414"/>
    <cellStyle name="Input [yellow] 2 11 7 10" xfId="6206"/>
    <cellStyle name="Input [yellow] 2 11 7 10 2" xfId="17403"/>
    <cellStyle name="Input [yellow] 2 11 7 10 3" xfId="28571"/>
    <cellStyle name="Input [yellow] 2 11 7 10 4" xfId="39736"/>
    <cellStyle name="Input [yellow] 2 11 7 10 5" xfId="50929"/>
    <cellStyle name="Input [yellow] 2 11 7 11" xfId="6350"/>
    <cellStyle name="Input [yellow] 2 11 7 11 2" xfId="17547"/>
    <cellStyle name="Input [yellow] 2 11 7 11 3" xfId="28715"/>
    <cellStyle name="Input [yellow] 2 11 7 11 4" xfId="39880"/>
    <cellStyle name="Input [yellow] 2 11 7 11 5" xfId="51073"/>
    <cellStyle name="Input [yellow] 2 11 7 12" xfId="6983"/>
    <cellStyle name="Input [yellow] 2 11 7 12 2" xfId="18180"/>
    <cellStyle name="Input [yellow] 2 11 7 12 3" xfId="29348"/>
    <cellStyle name="Input [yellow] 2 11 7 12 4" xfId="40513"/>
    <cellStyle name="Input [yellow] 2 11 7 12 5" xfId="51706"/>
    <cellStyle name="Input [yellow] 2 11 7 13" xfId="7617"/>
    <cellStyle name="Input [yellow] 2 11 7 13 2" xfId="18814"/>
    <cellStyle name="Input [yellow] 2 11 7 13 3" xfId="29982"/>
    <cellStyle name="Input [yellow] 2 11 7 13 4" xfId="41147"/>
    <cellStyle name="Input [yellow] 2 11 7 13 5" xfId="52340"/>
    <cellStyle name="Input [yellow] 2 11 7 14" xfId="8251"/>
    <cellStyle name="Input [yellow] 2 11 7 14 2" xfId="19448"/>
    <cellStyle name="Input [yellow] 2 11 7 14 3" xfId="30616"/>
    <cellStyle name="Input [yellow] 2 11 7 14 4" xfId="41781"/>
    <cellStyle name="Input [yellow] 2 11 7 14 5" xfId="52974"/>
    <cellStyle name="Input [yellow] 2 11 7 15" xfId="8879"/>
    <cellStyle name="Input [yellow] 2 11 7 15 2" xfId="20076"/>
    <cellStyle name="Input [yellow] 2 11 7 15 3" xfId="31244"/>
    <cellStyle name="Input [yellow] 2 11 7 15 4" xfId="42409"/>
    <cellStyle name="Input [yellow] 2 11 7 15 5" xfId="53602"/>
    <cellStyle name="Input [yellow] 2 11 7 16" xfId="9302"/>
    <cellStyle name="Input [yellow] 2 11 7 16 2" xfId="20499"/>
    <cellStyle name="Input [yellow] 2 11 7 16 3" xfId="31667"/>
    <cellStyle name="Input [yellow] 2 11 7 16 4" xfId="42832"/>
    <cellStyle name="Input [yellow] 2 11 7 16 5" xfId="54025"/>
    <cellStyle name="Input [yellow] 2 11 7 17" xfId="9928"/>
    <cellStyle name="Input [yellow] 2 11 7 17 2" xfId="21125"/>
    <cellStyle name="Input [yellow] 2 11 7 17 3" xfId="32293"/>
    <cellStyle name="Input [yellow] 2 11 7 17 4" xfId="43458"/>
    <cellStyle name="Input [yellow] 2 11 7 17 5" xfId="54651"/>
    <cellStyle name="Input [yellow] 2 11 7 18" xfId="10620"/>
    <cellStyle name="Input [yellow] 2 11 7 18 2" xfId="21817"/>
    <cellStyle name="Input [yellow] 2 11 7 18 3" xfId="32985"/>
    <cellStyle name="Input [yellow] 2 11 7 18 4" xfId="44150"/>
    <cellStyle name="Input [yellow] 2 11 7 18 5" xfId="55343"/>
    <cellStyle name="Input [yellow] 2 11 7 19" xfId="10967"/>
    <cellStyle name="Input [yellow] 2 11 7 19 2" xfId="22164"/>
    <cellStyle name="Input [yellow] 2 11 7 19 3" xfId="33332"/>
    <cellStyle name="Input [yellow] 2 11 7 19 4" xfId="44497"/>
    <cellStyle name="Input [yellow] 2 11 7 19 5" xfId="55690"/>
    <cellStyle name="Input [yellow] 2 11 7 2" xfId="1063"/>
    <cellStyle name="Input [yellow] 2 11 7 2 2" xfId="12260"/>
    <cellStyle name="Input [yellow] 2 11 7 2 3" xfId="23428"/>
    <cellStyle name="Input [yellow] 2 11 7 2 4" xfId="34593"/>
    <cellStyle name="Input [yellow] 2 11 7 2 5" xfId="45786"/>
    <cellStyle name="Input [yellow] 2 11 7 20" xfId="11614"/>
    <cellStyle name="Input [yellow] 2 11 7 21" xfId="22784"/>
    <cellStyle name="Input [yellow] 2 11 7 22" xfId="33951"/>
    <cellStyle name="Input [yellow] 2 11 7 23" xfId="45137"/>
    <cellStyle name="Input [yellow] 2 11 7 3" xfId="1861"/>
    <cellStyle name="Input [yellow] 2 11 7 3 2" xfId="13058"/>
    <cellStyle name="Input [yellow] 2 11 7 3 3" xfId="24226"/>
    <cellStyle name="Input [yellow] 2 11 7 3 4" xfId="35391"/>
    <cellStyle name="Input [yellow] 2 11 7 3 5" xfId="46584"/>
    <cellStyle name="Input [yellow] 2 11 7 4" xfId="2339"/>
    <cellStyle name="Input [yellow] 2 11 7 4 2" xfId="13536"/>
    <cellStyle name="Input [yellow] 2 11 7 4 3" xfId="24704"/>
    <cellStyle name="Input [yellow] 2 11 7 4 4" xfId="35869"/>
    <cellStyle name="Input [yellow] 2 11 7 4 5" xfId="47062"/>
    <cellStyle name="Input [yellow] 2 11 7 5" xfId="2764"/>
    <cellStyle name="Input [yellow] 2 11 7 5 2" xfId="13961"/>
    <cellStyle name="Input [yellow] 2 11 7 5 3" xfId="25129"/>
    <cellStyle name="Input [yellow] 2 11 7 5 4" xfId="36294"/>
    <cellStyle name="Input [yellow] 2 11 7 5 5" xfId="47487"/>
    <cellStyle name="Input [yellow] 2 11 7 6" xfId="3398"/>
    <cellStyle name="Input [yellow] 2 11 7 6 2" xfId="14595"/>
    <cellStyle name="Input [yellow] 2 11 7 6 3" xfId="25763"/>
    <cellStyle name="Input [yellow] 2 11 7 6 4" xfId="36928"/>
    <cellStyle name="Input [yellow] 2 11 7 6 5" xfId="48121"/>
    <cellStyle name="Input [yellow] 2 11 7 7" xfId="4032"/>
    <cellStyle name="Input [yellow] 2 11 7 7 2" xfId="15229"/>
    <cellStyle name="Input [yellow] 2 11 7 7 3" xfId="26397"/>
    <cellStyle name="Input [yellow] 2 11 7 7 4" xfId="37562"/>
    <cellStyle name="Input [yellow] 2 11 7 7 5" xfId="48755"/>
    <cellStyle name="Input [yellow] 2 11 7 8" xfId="4665"/>
    <cellStyle name="Input [yellow] 2 11 7 8 2" xfId="15862"/>
    <cellStyle name="Input [yellow] 2 11 7 8 3" xfId="27030"/>
    <cellStyle name="Input [yellow] 2 11 7 8 4" xfId="38195"/>
    <cellStyle name="Input [yellow] 2 11 7 8 5" xfId="49388"/>
    <cellStyle name="Input [yellow] 2 11 7 9" xfId="5296"/>
    <cellStyle name="Input [yellow] 2 11 7 9 2" xfId="16493"/>
    <cellStyle name="Input [yellow] 2 11 7 9 3" xfId="27661"/>
    <cellStyle name="Input [yellow] 2 11 7 9 4" xfId="38826"/>
    <cellStyle name="Input [yellow] 2 11 7 9 5" xfId="50019"/>
    <cellStyle name="Input [yellow] 2 11 8" xfId="510"/>
    <cellStyle name="Input [yellow] 2 11 8 10" xfId="6118"/>
    <cellStyle name="Input [yellow] 2 11 8 10 2" xfId="17315"/>
    <cellStyle name="Input [yellow] 2 11 8 10 3" xfId="28483"/>
    <cellStyle name="Input [yellow] 2 11 8 10 4" xfId="39648"/>
    <cellStyle name="Input [yellow] 2 11 8 10 5" xfId="50841"/>
    <cellStyle name="Input [yellow] 2 11 8 11" xfId="6446"/>
    <cellStyle name="Input [yellow] 2 11 8 11 2" xfId="17643"/>
    <cellStyle name="Input [yellow] 2 11 8 11 3" xfId="28811"/>
    <cellStyle name="Input [yellow] 2 11 8 11 4" xfId="39976"/>
    <cellStyle name="Input [yellow] 2 11 8 11 5" xfId="51169"/>
    <cellStyle name="Input [yellow] 2 11 8 12" xfId="7079"/>
    <cellStyle name="Input [yellow] 2 11 8 12 2" xfId="18276"/>
    <cellStyle name="Input [yellow] 2 11 8 12 3" xfId="29444"/>
    <cellStyle name="Input [yellow] 2 11 8 12 4" xfId="40609"/>
    <cellStyle name="Input [yellow] 2 11 8 12 5" xfId="51802"/>
    <cellStyle name="Input [yellow] 2 11 8 13" xfId="7713"/>
    <cellStyle name="Input [yellow] 2 11 8 13 2" xfId="18910"/>
    <cellStyle name="Input [yellow] 2 11 8 13 3" xfId="30078"/>
    <cellStyle name="Input [yellow] 2 11 8 13 4" xfId="41243"/>
    <cellStyle name="Input [yellow] 2 11 8 13 5" xfId="52436"/>
    <cellStyle name="Input [yellow] 2 11 8 14" xfId="8347"/>
    <cellStyle name="Input [yellow] 2 11 8 14 2" xfId="19544"/>
    <cellStyle name="Input [yellow] 2 11 8 14 3" xfId="30712"/>
    <cellStyle name="Input [yellow] 2 11 8 14 4" xfId="41877"/>
    <cellStyle name="Input [yellow] 2 11 8 14 5" xfId="53070"/>
    <cellStyle name="Input [yellow] 2 11 8 15" xfId="8975"/>
    <cellStyle name="Input [yellow] 2 11 8 15 2" xfId="20172"/>
    <cellStyle name="Input [yellow] 2 11 8 15 3" xfId="31340"/>
    <cellStyle name="Input [yellow] 2 11 8 15 4" xfId="42505"/>
    <cellStyle name="Input [yellow] 2 11 8 15 5" xfId="53698"/>
    <cellStyle name="Input [yellow] 2 11 8 16" xfId="9398"/>
    <cellStyle name="Input [yellow] 2 11 8 16 2" xfId="20595"/>
    <cellStyle name="Input [yellow] 2 11 8 16 3" xfId="31763"/>
    <cellStyle name="Input [yellow] 2 11 8 16 4" xfId="42928"/>
    <cellStyle name="Input [yellow] 2 11 8 16 5" xfId="54121"/>
    <cellStyle name="Input [yellow] 2 11 8 17" xfId="10023"/>
    <cellStyle name="Input [yellow] 2 11 8 17 2" xfId="21220"/>
    <cellStyle name="Input [yellow] 2 11 8 17 3" xfId="32388"/>
    <cellStyle name="Input [yellow] 2 11 8 17 4" xfId="43553"/>
    <cellStyle name="Input [yellow] 2 11 8 17 5" xfId="54746"/>
    <cellStyle name="Input [yellow] 2 11 8 18" xfId="10490"/>
    <cellStyle name="Input [yellow] 2 11 8 18 2" xfId="21687"/>
    <cellStyle name="Input [yellow] 2 11 8 18 3" xfId="32855"/>
    <cellStyle name="Input [yellow] 2 11 8 18 4" xfId="44020"/>
    <cellStyle name="Input [yellow] 2 11 8 18 5" xfId="55213"/>
    <cellStyle name="Input [yellow] 2 11 8 19" xfId="11063"/>
    <cellStyle name="Input [yellow] 2 11 8 19 2" xfId="22260"/>
    <cellStyle name="Input [yellow] 2 11 8 19 3" xfId="33428"/>
    <cellStyle name="Input [yellow] 2 11 8 19 4" xfId="44593"/>
    <cellStyle name="Input [yellow] 2 11 8 19 5" xfId="55786"/>
    <cellStyle name="Input [yellow] 2 11 8 2" xfId="1159"/>
    <cellStyle name="Input [yellow] 2 11 8 2 2" xfId="12356"/>
    <cellStyle name="Input [yellow] 2 11 8 2 3" xfId="23524"/>
    <cellStyle name="Input [yellow] 2 11 8 2 4" xfId="34689"/>
    <cellStyle name="Input [yellow] 2 11 8 2 5" xfId="45882"/>
    <cellStyle name="Input [yellow] 2 11 8 20" xfId="11710"/>
    <cellStyle name="Input [yellow] 2 11 8 21" xfId="22880"/>
    <cellStyle name="Input [yellow] 2 11 8 22" xfId="34047"/>
    <cellStyle name="Input [yellow] 2 11 8 23" xfId="45233"/>
    <cellStyle name="Input [yellow] 2 11 8 3" xfId="1787"/>
    <cellStyle name="Input [yellow] 2 11 8 3 2" xfId="12984"/>
    <cellStyle name="Input [yellow] 2 11 8 3 3" xfId="24152"/>
    <cellStyle name="Input [yellow] 2 11 8 3 4" xfId="35317"/>
    <cellStyle name="Input [yellow] 2 11 8 3 5" xfId="46510"/>
    <cellStyle name="Input [yellow] 2 11 8 4" xfId="2435"/>
    <cellStyle name="Input [yellow] 2 11 8 4 2" xfId="13632"/>
    <cellStyle name="Input [yellow] 2 11 8 4 3" xfId="24800"/>
    <cellStyle name="Input [yellow] 2 11 8 4 4" xfId="35965"/>
    <cellStyle name="Input [yellow] 2 11 8 4 5" xfId="47158"/>
    <cellStyle name="Input [yellow] 2 11 8 5" xfId="2860"/>
    <cellStyle name="Input [yellow] 2 11 8 5 2" xfId="14057"/>
    <cellStyle name="Input [yellow] 2 11 8 5 3" xfId="25225"/>
    <cellStyle name="Input [yellow] 2 11 8 5 4" xfId="36390"/>
    <cellStyle name="Input [yellow] 2 11 8 5 5" xfId="47583"/>
    <cellStyle name="Input [yellow] 2 11 8 6" xfId="3494"/>
    <cellStyle name="Input [yellow] 2 11 8 6 2" xfId="14691"/>
    <cellStyle name="Input [yellow] 2 11 8 6 3" xfId="25859"/>
    <cellStyle name="Input [yellow] 2 11 8 6 4" xfId="37024"/>
    <cellStyle name="Input [yellow] 2 11 8 6 5" xfId="48217"/>
    <cellStyle name="Input [yellow] 2 11 8 7" xfId="4128"/>
    <cellStyle name="Input [yellow] 2 11 8 7 2" xfId="15325"/>
    <cellStyle name="Input [yellow] 2 11 8 7 3" xfId="26493"/>
    <cellStyle name="Input [yellow] 2 11 8 7 4" xfId="37658"/>
    <cellStyle name="Input [yellow] 2 11 8 7 5" xfId="48851"/>
    <cellStyle name="Input [yellow] 2 11 8 8" xfId="4761"/>
    <cellStyle name="Input [yellow] 2 11 8 8 2" xfId="15958"/>
    <cellStyle name="Input [yellow] 2 11 8 8 3" xfId="27126"/>
    <cellStyle name="Input [yellow] 2 11 8 8 4" xfId="38291"/>
    <cellStyle name="Input [yellow] 2 11 8 8 5" xfId="49484"/>
    <cellStyle name="Input [yellow] 2 11 8 9" xfId="5392"/>
    <cellStyle name="Input [yellow] 2 11 8 9 2" xfId="16589"/>
    <cellStyle name="Input [yellow] 2 11 8 9 3" xfId="27757"/>
    <cellStyle name="Input [yellow] 2 11 8 9 4" xfId="38922"/>
    <cellStyle name="Input [yellow] 2 11 8 9 5" xfId="50115"/>
    <cellStyle name="Input [yellow] 2 11 9" xfId="568"/>
    <cellStyle name="Input [yellow] 2 11 9 10" xfId="5912"/>
    <cellStyle name="Input [yellow] 2 11 9 10 2" xfId="17109"/>
    <cellStyle name="Input [yellow] 2 11 9 10 3" xfId="28277"/>
    <cellStyle name="Input [yellow] 2 11 9 10 4" xfId="39442"/>
    <cellStyle name="Input [yellow] 2 11 9 10 5" xfId="50635"/>
    <cellStyle name="Input [yellow] 2 11 9 11" xfId="6504"/>
    <cellStyle name="Input [yellow] 2 11 9 11 2" xfId="17701"/>
    <cellStyle name="Input [yellow] 2 11 9 11 3" xfId="28869"/>
    <cellStyle name="Input [yellow] 2 11 9 11 4" xfId="40034"/>
    <cellStyle name="Input [yellow] 2 11 9 11 5" xfId="51227"/>
    <cellStyle name="Input [yellow] 2 11 9 12" xfId="7137"/>
    <cellStyle name="Input [yellow] 2 11 9 12 2" xfId="18334"/>
    <cellStyle name="Input [yellow] 2 11 9 12 3" xfId="29502"/>
    <cellStyle name="Input [yellow] 2 11 9 12 4" xfId="40667"/>
    <cellStyle name="Input [yellow] 2 11 9 12 5" xfId="51860"/>
    <cellStyle name="Input [yellow] 2 11 9 13" xfId="7771"/>
    <cellStyle name="Input [yellow] 2 11 9 13 2" xfId="18968"/>
    <cellStyle name="Input [yellow] 2 11 9 13 3" xfId="30136"/>
    <cellStyle name="Input [yellow] 2 11 9 13 4" xfId="41301"/>
    <cellStyle name="Input [yellow] 2 11 9 13 5" xfId="52494"/>
    <cellStyle name="Input [yellow] 2 11 9 14" xfId="8405"/>
    <cellStyle name="Input [yellow] 2 11 9 14 2" xfId="19602"/>
    <cellStyle name="Input [yellow] 2 11 9 14 3" xfId="30770"/>
    <cellStyle name="Input [yellow] 2 11 9 14 4" xfId="41935"/>
    <cellStyle name="Input [yellow] 2 11 9 14 5" xfId="53128"/>
    <cellStyle name="Input [yellow] 2 11 9 15" xfId="9033"/>
    <cellStyle name="Input [yellow] 2 11 9 15 2" xfId="20230"/>
    <cellStyle name="Input [yellow] 2 11 9 15 3" xfId="31398"/>
    <cellStyle name="Input [yellow] 2 11 9 15 4" xfId="42563"/>
    <cellStyle name="Input [yellow] 2 11 9 15 5" xfId="53756"/>
    <cellStyle name="Input [yellow] 2 11 9 16" xfId="9456"/>
    <cellStyle name="Input [yellow] 2 11 9 16 2" xfId="20653"/>
    <cellStyle name="Input [yellow] 2 11 9 16 3" xfId="31821"/>
    <cellStyle name="Input [yellow] 2 11 9 16 4" xfId="42986"/>
    <cellStyle name="Input [yellow] 2 11 9 16 5" xfId="54179"/>
    <cellStyle name="Input [yellow] 2 11 9 17" xfId="10081"/>
    <cellStyle name="Input [yellow] 2 11 9 17 2" xfId="21278"/>
    <cellStyle name="Input [yellow] 2 11 9 17 3" xfId="32446"/>
    <cellStyle name="Input [yellow] 2 11 9 17 4" xfId="43611"/>
    <cellStyle name="Input [yellow] 2 11 9 17 5" xfId="54804"/>
    <cellStyle name="Input [yellow] 2 11 9 18" xfId="10295"/>
    <cellStyle name="Input [yellow] 2 11 9 18 2" xfId="21492"/>
    <cellStyle name="Input [yellow] 2 11 9 18 3" xfId="32660"/>
    <cellStyle name="Input [yellow] 2 11 9 18 4" xfId="43825"/>
    <cellStyle name="Input [yellow] 2 11 9 18 5" xfId="55018"/>
    <cellStyle name="Input [yellow] 2 11 9 19" xfId="11121"/>
    <cellStyle name="Input [yellow] 2 11 9 19 2" xfId="22318"/>
    <cellStyle name="Input [yellow] 2 11 9 19 3" xfId="33486"/>
    <cellStyle name="Input [yellow] 2 11 9 19 4" xfId="44651"/>
    <cellStyle name="Input [yellow] 2 11 9 19 5" xfId="55844"/>
    <cellStyle name="Input [yellow] 2 11 9 2" xfId="1217"/>
    <cellStyle name="Input [yellow] 2 11 9 2 2" xfId="12414"/>
    <cellStyle name="Input [yellow] 2 11 9 2 3" xfId="23582"/>
    <cellStyle name="Input [yellow] 2 11 9 2 4" xfId="34747"/>
    <cellStyle name="Input [yellow] 2 11 9 2 5" xfId="45940"/>
    <cellStyle name="Input [yellow] 2 11 9 20" xfId="11768"/>
    <cellStyle name="Input [yellow] 2 11 9 21" xfId="22938"/>
    <cellStyle name="Input [yellow] 2 11 9 22" xfId="34105"/>
    <cellStyle name="Input [yellow] 2 11 9 23" xfId="45291"/>
    <cellStyle name="Input [yellow] 2 11 9 3" xfId="1643"/>
    <cellStyle name="Input [yellow] 2 11 9 3 2" xfId="12840"/>
    <cellStyle name="Input [yellow] 2 11 9 3 3" xfId="24008"/>
    <cellStyle name="Input [yellow] 2 11 9 3 4" xfId="35173"/>
    <cellStyle name="Input [yellow] 2 11 9 3 5" xfId="46366"/>
    <cellStyle name="Input [yellow] 2 11 9 4" xfId="2493"/>
    <cellStyle name="Input [yellow] 2 11 9 4 2" xfId="13690"/>
    <cellStyle name="Input [yellow] 2 11 9 4 3" xfId="24858"/>
    <cellStyle name="Input [yellow] 2 11 9 4 4" xfId="36023"/>
    <cellStyle name="Input [yellow] 2 11 9 4 5" xfId="47216"/>
    <cellStyle name="Input [yellow] 2 11 9 5" xfId="2918"/>
    <cellStyle name="Input [yellow] 2 11 9 5 2" xfId="14115"/>
    <cellStyle name="Input [yellow] 2 11 9 5 3" xfId="25283"/>
    <cellStyle name="Input [yellow] 2 11 9 5 4" xfId="36448"/>
    <cellStyle name="Input [yellow] 2 11 9 5 5" xfId="47641"/>
    <cellStyle name="Input [yellow] 2 11 9 6" xfId="3552"/>
    <cellStyle name="Input [yellow] 2 11 9 6 2" xfId="14749"/>
    <cellStyle name="Input [yellow] 2 11 9 6 3" xfId="25917"/>
    <cellStyle name="Input [yellow] 2 11 9 6 4" xfId="37082"/>
    <cellStyle name="Input [yellow] 2 11 9 6 5" xfId="48275"/>
    <cellStyle name="Input [yellow] 2 11 9 7" xfId="4186"/>
    <cellStyle name="Input [yellow] 2 11 9 7 2" xfId="15383"/>
    <cellStyle name="Input [yellow] 2 11 9 7 3" xfId="26551"/>
    <cellStyle name="Input [yellow] 2 11 9 7 4" xfId="37716"/>
    <cellStyle name="Input [yellow] 2 11 9 7 5" xfId="48909"/>
    <cellStyle name="Input [yellow] 2 11 9 8" xfId="4819"/>
    <cellStyle name="Input [yellow] 2 11 9 8 2" xfId="16016"/>
    <cellStyle name="Input [yellow] 2 11 9 8 3" xfId="27184"/>
    <cellStyle name="Input [yellow] 2 11 9 8 4" xfId="38349"/>
    <cellStyle name="Input [yellow] 2 11 9 8 5" xfId="49542"/>
    <cellStyle name="Input [yellow] 2 11 9 9" xfId="5450"/>
    <cellStyle name="Input [yellow] 2 11 9 9 2" xfId="16647"/>
    <cellStyle name="Input [yellow] 2 11 9 9 3" xfId="27815"/>
    <cellStyle name="Input [yellow] 2 11 9 9 4" xfId="38980"/>
    <cellStyle name="Input [yellow] 2 11 9 9 5" xfId="50173"/>
    <cellStyle name="Input [yellow] 2 12" xfId="104"/>
    <cellStyle name="Input [yellow] 2 12 10" xfId="463"/>
    <cellStyle name="Input [yellow] 2 12 10 10" xfId="5914"/>
    <cellStyle name="Input [yellow] 2 12 10 10 2" xfId="17111"/>
    <cellStyle name="Input [yellow] 2 12 10 10 3" xfId="28279"/>
    <cellStyle name="Input [yellow] 2 12 10 10 4" xfId="39444"/>
    <cellStyle name="Input [yellow] 2 12 10 10 5" xfId="50637"/>
    <cellStyle name="Input [yellow] 2 12 10 11" xfId="6399"/>
    <cellStyle name="Input [yellow] 2 12 10 11 2" xfId="17596"/>
    <cellStyle name="Input [yellow] 2 12 10 11 3" xfId="28764"/>
    <cellStyle name="Input [yellow] 2 12 10 11 4" xfId="39929"/>
    <cellStyle name="Input [yellow] 2 12 10 11 5" xfId="51122"/>
    <cellStyle name="Input [yellow] 2 12 10 12" xfId="7032"/>
    <cellStyle name="Input [yellow] 2 12 10 12 2" xfId="18229"/>
    <cellStyle name="Input [yellow] 2 12 10 12 3" xfId="29397"/>
    <cellStyle name="Input [yellow] 2 12 10 12 4" xfId="40562"/>
    <cellStyle name="Input [yellow] 2 12 10 12 5" xfId="51755"/>
    <cellStyle name="Input [yellow] 2 12 10 13" xfId="7666"/>
    <cellStyle name="Input [yellow] 2 12 10 13 2" xfId="18863"/>
    <cellStyle name="Input [yellow] 2 12 10 13 3" xfId="30031"/>
    <cellStyle name="Input [yellow] 2 12 10 13 4" xfId="41196"/>
    <cellStyle name="Input [yellow] 2 12 10 13 5" xfId="52389"/>
    <cellStyle name="Input [yellow] 2 12 10 14" xfId="8300"/>
    <cellStyle name="Input [yellow] 2 12 10 14 2" xfId="19497"/>
    <cellStyle name="Input [yellow] 2 12 10 14 3" xfId="30665"/>
    <cellStyle name="Input [yellow] 2 12 10 14 4" xfId="41830"/>
    <cellStyle name="Input [yellow] 2 12 10 14 5" xfId="53023"/>
    <cellStyle name="Input [yellow] 2 12 10 15" xfId="8928"/>
    <cellStyle name="Input [yellow] 2 12 10 15 2" xfId="20125"/>
    <cellStyle name="Input [yellow] 2 12 10 15 3" xfId="31293"/>
    <cellStyle name="Input [yellow] 2 12 10 15 4" xfId="42458"/>
    <cellStyle name="Input [yellow] 2 12 10 15 5" xfId="53651"/>
    <cellStyle name="Input [yellow] 2 12 10 16" xfId="9351"/>
    <cellStyle name="Input [yellow] 2 12 10 16 2" xfId="20548"/>
    <cellStyle name="Input [yellow] 2 12 10 16 3" xfId="31716"/>
    <cellStyle name="Input [yellow] 2 12 10 16 4" xfId="42881"/>
    <cellStyle name="Input [yellow] 2 12 10 16 5" xfId="54074"/>
    <cellStyle name="Input [yellow] 2 12 10 17" xfId="9977"/>
    <cellStyle name="Input [yellow] 2 12 10 17 2" xfId="21174"/>
    <cellStyle name="Input [yellow] 2 12 10 17 3" xfId="32342"/>
    <cellStyle name="Input [yellow] 2 12 10 17 4" xfId="43507"/>
    <cellStyle name="Input [yellow] 2 12 10 17 5" xfId="54700"/>
    <cellStyle name="Input [yellow] 2 12 10 18" xfId="10392"/>
    <cellStyle name="Input [yellow] 2 12 10 18 2" xfId="21589"/>
    <cellStyle name="Input [yellow] 2 12 10 18 3" xfId="32757"/>
    <cellStyle name="Input [yellow] 2 12 10 18 4" xfId="43922"/>
    <cellStyle name="Input [yellow] 2 12 10 18 5" xfId="55115"/>
    <cellStyle name="Input [yellow] 2 12 10 19" xfId="11016"/>
    <cellStyle name="Input [yellow] 2 12 10 19 2" xfId="22213"/>
    <cellStyle name="Input [yellow] 2 12 10 19 3" xfId="33381"/>
    <cellStyle name="Input [yellow] 2 12 10 19 4" xfId="44546"/>
    <cellStyle name="Input [yellow] 2 12 10 19 5" xfId="55739"/>
    <cellStyle name="Input [yellow] 2 12 10 2" xfId="1112"/>
    <cellStyle name="Input [yellow] 2 12 10 2 2" xfId="12309"/>
    <cellStyle name="Input [yellow] 2 12 10 2 3" xfId="23477"/>
    <cellStyle name="Input [yellow] 2 12 10 2 4" xfId="34642"/>
    <cellStyle name="Input [yellow] 2 12 10 2 5" xfId="45835"/>
    <cellStyle name="Input [yellow] 2 12 10 20" xfId="11663"/>
    <cellStyle name="Input [yellow] 2 12 10 21" xfId="22833"/>
    <cellStyle name="Input [yellow] 2 12 10 22" xfId="34000"/>
    <cellStyle name="Input [yellow] 2 12 10 23" xfId="45186"/>
    <cellStyle name="Input [yellow] 2 12 10 3" xfId="1683"/>
    <cellStyle name="Input [yellow] 2 12 10 3 2" xfId="12880"/>
    <cellStyle name="Input [yellow] 2 12 10 3 3" xfId="24048"/>
    <cellStyle name="Input [yellow] 2 12 10 3 4" xfId="35213"/>
    <cellStyle name="Input [yellow] 2 12 10 3 5" xfId="46406"/>
    <cellStyle name="Input [yellow] 2 12 10 4" xfId="2388"/>
    <cellStyle name="Input [yellow] 2 12 10 4 2" xfId="13585"/>
    <cellStyle name="Input [yellow] 2 12 10 4 3" xfId="24753"/>
    <cellStyle name="Input [yellow] 2 12 10 4 4" xfId="35918"/>
    <cellStyle name="Input [yellow] 2 12 10 4 5" xfId="47111"/>
    <cellStyle name="Input [yellow] 2 12 10 5" xfId="2813"/>
    <cellStyle name="Input [yellow] 2 12 10 5 2" xfId="14010"/>
    <cellStyle name="Input [yellow] 2 12 10 5 3" xfId="25178"/>
    <cellStyle name="Input [yellow] 2 12 10 5 4" xfId="36343"/>
    <cellStyle name="Input [yellow] 2 12 10 5 5" xfId="47536"/>
    <cellStyle name="Input [yellow] 2 12 10 6" xfId="3447"/>
    <cellStyle name="Input [yellow] 2 12 10 6 2" xfId="14644"/>
    <cellStyle name="Input [yellow] 2 12 10 6 3" xfId="25812"/>
    <cellStyle name="Input [yellow] 2 12 10 6 4" xfId="36977"/>
    <cellStyle name="Input [yellow] 2 12 10 6 5" xfId="48170"/>
    <cellStyle name="Input [yellow] 2 12 10 7" xfId="4081"/>
    <cellStyle name="Input [yellow] 2 12 10 7 2" xfId="15278"/>
    <cellStyle name="Input [yellow] 2 12 10 7 3" xfId="26446"/>
    <cellStyle name="Input [yellow] 2 12 10 7 4" xfId="37611"/>
    <cellStyle name="Input [yellow] 2 12 10 7 5" xfId="48804"/>
    <cellStyle name="Input [yellow] 2 12 10 8" xfId="4714"/>
    <cellStyle name="Input [yellow] 2 12 10 8 2" xfId="15911"/>
    <cellStyle name="Input [yellow] 2 12 10 8 3" xfId="27079"/>
    <cellStyle name="Input [yellow] 2 12 10 8 4" xfId="38244"/>
    <cellStyle name="Input [yellow] 2 12 10 8 5" xfId="49437"/>
    <cellStyle name="Input [yellow] 2 12 10 9" xfId="5345"/>
    <cellStyle name="Input [yellow] 2 12 10 9 2" xfId="16542"/>
    <cellStyle name="Input [yellow] 2 12 10 9 3" xfId="27710"/>
    <cellStyle name="Input [yellow] 2 12 10 9 4" xfId="38875"/>
    <cellStyle name="Input [yellow] 2 12 10 9 5" xfId="50068"/>
    <cellStyle name="Input [yellow] 2 12 11" xfId="678"/>
    <cellStyle name="Input [yellow] 2 12 11 10" xfId="5981"/>
    <cellStyle name="Input [yellow] 2 12 11 10 2" xfId="17178"/>
    <cellStyle name="Input [yellow] 2 12 11 10 3" xfId="28346"/>
    <cellStyle name="Input [yellow] 2 12 11 10 4" xfId="39511"/>
    <cellStyle name="Input [yellow] 2 12 11 10 5" xfId="50704"/>
    <cellStyle name="Input [yellow] 2 12 11 11" xfId="6614"/>
    <cellStyle name="Input [yellow] 2 12 11 11 2" xfId="17811"/>
    <cellStyle name="Input [yellow] 2 12 11 11 3" xfId="28979"/>
    <cellStyle name="Input [yellow] 2 12 11 11 4" xfId="40144"/>
    <cellStyle name="Input [yellow] 2 12 11 11 5" xfId="51337"/>
    <cellStyle name="Input [yellow] 2 12 11 12" xfId="7247"/>
    <cellStyle name="Input [yellow] 2 12 11 12 2" xfId="18444"/>
    <cellStyle name="Input [yellow] 2 12 11 12 3" xfId="29612"/>
    <cellStyle name="Input [yellow] 2 12 11 12 4" xfId="40777"/>
    <cellStyle name="Input [yellow] 2 12 11 12 5" xfId="51970"/>
    <cellStyle name="Input [yellow] 2 12 11 13" xfId="7881"/>
    <cellStyle name="Input [yellow] 2 12 11 13 2" xfId="19078"/>
    <cellStyle name="Input [yellow] 2 12 11 13 3" xfId="30246"/>
    <cellStyle name="Input [yellow] 2 12 11 13 4" xfId="41411"/>
    <cellStyle name="Input [yellow] 2 12 11 13 5" xfId="52604"/>
    <cellStyle name="Input [yellow] 2 12 11 14" xfId="8515"/>
    <cellStyle name="Input [yellow] 2 12 11 14 2" xfId="19712"/>
    <cellStyle name="Input [yellow] 2 12 11 14 3" xfId="30880"/>
    <cellStyle name="Input [yellow] 2 12 11 14 4" xfId="42045"/>
    <cellStyle name="Input [yellow] 2 12 11 14 5" xfId="53238"/>
    <cellStyle name="Input [yellow] 2 12 11 15" xfId="9143"/>
    <cellStyle name="Input [yellow] 2 12 11 15 2" xfId="20340"/>
    <cellStyle name="Input [yellow] 2 12 11 15 3" xfId="31508"/>
    <cellStyle name="Input [yellow] 2 12 11 15 4" xfId="42673"/>
    <cellStyle name="Input [yellow] 2 12 11 15 5" xfId="53866"/>
    <cellStyle name="Input [yellow] 2 12 11 16" xfId="9566"/>
    <cellStyle name="Input [yellow] 2 12 11 16 2" xfId="20763"/>
    <cellStyle name="Input [yellow] 2 12 11 16 3" xfId="31931"/>
    <cellStyle name="Input [yellow] 2 12 11 16 4" xfId="43096"/>
    <cellStyle name="Input [yellow] 2 12 11 16 5" xfId="54289"/>
    <cellStyle name="Input [yellow] 2 12 11 17" xfId="10190"/>
    <cellStyle name="Input [yellow] 2 12 11 17 2" xfId="21387"/>
    <cellStyle name="Input [yellow] 2 12 11 17 3" xfId="32555"/>
    <cellStyle name="Input [yellow] 2 12 11 17 4" xfId="43720"/>
    <cellStyle name="Input [yellow] 2 12 11 17 5" xfId="54913"/>
    <cellStyle name="Input [yellow] 2 12 11 18" xfId="10387"/>
    <cellStyle name="Input [yellow] 2 12 11 18 2" xfId="21584"/>
    <cellStyle name="Input [yellow] 2 12 11 18 3" xfId="32752"/>
    <cellStyle name="Input [yellow] 2 12 11 18 4" xfId="43917"/>
    <cellStyle name="Input [yellow] 2 12 11 18 5" xfId="55110"/>
    <cellStyle name="Input [yellow] 2 12 11 19" xfId="11231"/>
    <cellStyle name="Input [yellow] 2 12 11 19 2" xfId="22428"/>
    <cellStyle name="Input [yellow] 2 12 11 19 3" xfId="33596"/>
    <cellStyle name="Input [yellow] 2 12 11 19 4" xfId="44761"/>
    <cellStyle name="Input [yellow] 2 12 11 19 5" xfId="55954"/>
    <cellStyle name="Input [yellow] 2 12 11 2" xfId="1327"/>
    <cellStyle name="Input [yellow] 2 12 11 2 2" xfId="12524"/>
    <cellStyle name="Input [yellow] 2 12 11 2 3" xfId="23692"/>
    <cellStyle name="Input [yellow] 2 12 11 2 4" xfId="34857"/>
    <cellStyle name="Input [yellow] 2 12 11 2 5" xfId="46050"/>
    <cellStyle name="Input [yellow] 2 12 11 20" xfId="11878"/>
    <cellStyle name="Input [yellow] 2 12 11 21" xfId="23048"/>
    <cellStyle name="Input [yellow] 2 12 11 22" xfId="34215"/>
    <cellStyle name="Input [yellow] 2 12 11 23" xfId="45401"/>
    <cellStyle name="Input [yellow] 2 12 11 3" xfId="1610"/>
    <cellStyle name="Input [yellow] 2 12 11 3 2" xfId="12807"/>
    <cellStyle name="Input [yellow] 2 12 11 3 3" xfId="23975"/>
    <cellStyle name="Input [yellow] 2 12 11 3 4" xfId="35140"/>
    <cellStyle name="Input [yellow] 2 12 11 3 5" xfId="46333"/>
    <cellStyle name="Input [yellow] 2 12 11 4" xfId="2603"/>
    <cellStyle name="Input [yellow] 2 12 11 4 2" xfId="13800"/>
    <cellStyle name="Input [yellow] 2 12 11 4 3" xfId="24968"/>
    <cellStyle name="Input [yellow] 2 12 11 4 4" xfId="36133"/>
    <cellStyle name="Input [yellow] 2 12 11 4 5" xfId="47326"/>
    <cellStyle name="Input [yellow] 2 12 11 5" xfId="3028"/>
    <cellStyle name="Input [yellow] 2 12 11 5 2" xfId="14225"/>
    <cellStyle name="Input [yellow] 2 12 11 5 3" xfId="25393"/>
    <cellStyle name="Input [yellow] 2 12 11 5 4" xfId="36558"/>
    <cellStyle name="Input [yellow] 2 12 11 5 5" xfId="47751"/>
    <cellStyle name="Input [yellow] 2 12 11 6" xfId="3662"/>
    <cellStyle name="Input [yellow] 2 12 11 6 2" xfId="14859"/>
    <cellStyle name="Input [yellow] 2 12 11 6 3" xfId="26027"/>
    <cellStyle name="Input [yellow] 2 12 11 6 4" xfId="37192"/>
    <cellStyle name="Input [yellow] 2 12 11 6 5" xfId="48385"/>
    <cellStyle name="Input [yellow] 2 12 11 7" xfId="4296"/>
    <cellStyle name="Input [yellow] 2 12 11 7 2" xfId="15493"/>
    <cellStyle name="Input [yellow] 2 12 11 7 3" xfId="26661"/>
    <cellStyle name="Input [yellow] 2 12 11 7 4" xfId="37826"/>
    <cellStyle name="Input [yellow] 2 12 11 7 5" xfId="49019"/>
    <cellStyle name="Input [yellow] 2 12 11 8" xfId="4929"/>
    <cellStyle name="Input [yellow] 2 12 11 8 2" xfId="16126"/>
    <cellStyle name="Input [yellow] 2 12 11 8 3" xfId="27294"/>
    <cellStyle name="Input [yellow] 2 12 11 8 4" xfId="38459"/>
    <cellStyle name="Input [yellow] 2 12 11 8 5" xfId="49652"/>
    <cellStyle name="Input [yellow] 2 12 11 9" xfId="5560"/>
    <cellStyle name="Input [yellow] 2 12 11 9 2" xfId="16757"/>
    <cellStyle name="Input [yellow] 2 12 11 9 3" xfId="27925"/>
    <cellStyle name="Input [yellow] 2 12 11 9 4" xfId="39090"/>
    <cellStyle name="Input [yellow] 2 12 11 9 5" xfId="50283"/>
    <cellStyle name="Input [yellow] 2 12 12" xfId="753"/>
    <cellStyle name="Input [yellow] 2 12 12 2" xfId="11951"/>
    <cellStyle name="Input [yellow] 2 12 12 3" xfId="23119"/>
    <cellStyle name="Input [yellow] 2 12 12 4" xfId="34284"/>
    <cellStyle name="Input [yellow] 2 12 12 5" xfId="45476"/>
    <cellStyle name="Input [yellow] 2 12 13" xfId="1948"/>
    <cellStyle name="Input [yellow] 2 12 13 2" xfId="13145"/>
    <cellStyle name="Input [yellow] 2 12 13 3" xfId="24313"/>
    <cellStyle name="Input [yellow] 2 12 13 4" xfId="35478"/>
    <cellStyle name="Input [yellow] 2 12 13 5" xfId="46671"/>
    <cellStyle name="Input [yellow] 2 12 14" xfId="2030"/>
    <cellStyle name="Input [yellow] 2 12 14 2" xfId="13227"/>
    <cellStyle name="Input [yellow] 2 12 14 3" xfId="24395"/>
    <cellStyle name="Input [yellow] 2 12 14 4" xfId="35560"/>
    <cellStyle name="Input [yellow] 2 12 14 5" xfId="46753"/>
    <cellStyle name="Input [yellow] 2 12 15" xfId="2530"/>
    <cellStyle name="Input [yellow] 2 12 15 2" xfId="13727"/>
    <cellStyle name="Input [yellow] 2 12 15 3" xfId="24895"/>
    <cellStyle name="Input [yellow] 2 12 15 4" xfId="36060"/>
    <cellStyle name="Input [yellow] 2 12 15 5" xfId="47253"/>
    <cellStyle name="Input [yellow] 2 12 16" xfId="3088"/>
    <cellStyle name="Input [yellow] 2 12 16 2" xfId="14285"/>
    <cellStyle name="Input [yellow] 2 12 16 3" xfId="25453"/>
    <cellStyle name="Input [yellow] 2 12 16 4" xfId="36618"/>
    <cellStyle name="Input [yellow] 2 12 16 5" xfId="47811"/>
    <cellStyle name="Input [yellow] 2 12 17" xfId="3722"/>
    <cellStyle name="Input [yellow] 2 12 17 2" xfId="14919"/>
    <cellStyle name="Input [yellow] 2 12 17 3" xfId="26087"/>
    <cellStyle name="Input [yellow] 2 12 17 4" xfId="37252"/>
    <cellStyle name="Input [yellow] 2 12 17 5" xfId="48445"/>
    <cellStyle name="Input [yellow] 2 12 18" xfId="4355"/>
    <cellStyle name="Input [yellow] 2 12 18 2" xfId="15552"/>
    <cellStyle name="Input [yellow] 2 12 18 3" xfId="26720"/>
    <cellStyle name="Input [yellow] 2 12 18 4" xfId="37885"/>
    <cellStyle name="Input [yellow] 2 12 18 5" xfId="49078"/>
    <cellStyle name="Input [yellow] 2 12 19" xfId="4987"/>
    <cellStyle name="Input [yellow] 2 12 19 2" xfId="16184"/>
    <cellStyle name="Input [yellow] 2 12 19 3" xfId="27352"/>
    <cellStyle name="Input [yellow] 2 12 19 4" xfId="38517"/>
    <cellStyle name="Input [yellow] 2 12 19 5" xfId="49710"/>
    <cellStyle name="Input [yellow] 2 12 2" xfId="168"/>
    <cellStyle name="Input [yellow] 2 12 2 10" xfId="5909"/>
    <cellStyle name="Input [yellow] 2 12 2 10 2" xfId="17106"/>
    <cellStyle name="Input [yellow] 2 12 2 10 3" xfId="28274"/>
    <cellStyle name="Input [yellow] 2 12 2 10 4" xfId="39439"/>
    <cellStyle name="Input [yellow] 2 12 2 10 5" xfId="50632"/>
    <cellStyle name="Input [yellow] 2 12 2 11" xfId="5958"/>
    <cellStyle name="Input [yellow] 2 12 2 11 2" xfId="17155"/>
    <cellStyle name="Input [yellow] 2 12 2 11 3" xfId="28323"/>
    <cellStyle name="Input [yellow] 2 12 2 11 4" xfId="39488"/>
    <cellStyle name="Input [yellow] 2 12 2 11 5" xfId="50681"/>
    <cellStyle name="Input [yellow] 2 12 2 12" xfId="6737"/>
    <cellStyle name="Input [yellow] 2 12 2 12 2" xfId="17934"/>
    <cellStyle name="Input [yellow] 2 12 2 12 3" xfId="29102"/>
    <cellStyle name="Input [yellow] 2 12 2 12 4" xfId="40267"/>
    <cellStyle name="Input [yellow] 2 12 2 12 5" xfId="51460"/>
    <cellStyle name="Input [yellow] 2 12 2 13" xfId="7371"/>
    <cellStyle name="Input [yellow] 2 12 2 13 2" xfId="18568"/>
    <cellStyle name="Input [yellow] 2 12 2 13 3" xfId="29736"/>
    <cellStyle name="Input [yellow] 2 12 2 13 4" xfId="40901"/>
    <cellStyle name="Input [yellow] 2 12 2 13 5" xfId="52094"/>
    <cellStyle name="Input [yellow] 2 12 2 14" xfId="8005"/>
    <cellStyle name="Input [yellow] 2 12 2 14 2" xfId="19202"/>
    <cellStyle name="Input [yellow] 2 12 2 14 3" xfId="30370"/>
    <cellStyle name="Input [yellow] 2 12 2 14 4" xfId="41535"/>
    <cellStyle name="Input [yellow] 2 12 2 14 5" xfId="52728"/>
    <cellStyle name="Input [yellow] 2 12 2 15" xfId="8636"/>
    <cellStyle name="Input [yellow] 2 12 2 15 2" xfId="19833"/>
    <cellStyle name="Input [yellow] 2 12 2 15 3" xfId="31001"/>
    <cellStyle name="Input [yellow] 2 12 2 15 4" xfId="42166"/>
    <cellStyle name="Input [yellow] 2 12 2 15 5" xfId="53359"/>
    <cellStyle name="Input [yellow] 2 12 2 16" xfId="8744"/>
    <cellStyle name="Input [yellow] 2 12 2 16 2" xfId="19941"/>
    <cellStyle name="Input [yellow] 2 12 2 16 3" xfId="31109"/>
    <cellStyle name="Input [yellow] 2 12 2 16 4" xfId="42274"/>
    <cellStyle name="Input [yellow] 2 12 2 16 5" xfId="53467"/>
    <cellStyle name="Input [yellow] 2 12 2 17" xfId="9689"/>
    <cellStyle name="Input [yellow] 2 12 2 17 2" xfId="20886"/>
    <cellStyle name="Input [yellow] 2 12 2 17 3" xfId="32054"/>
    <cellStyle name="Input [yellow] 2 12 2 17 4" xfId="43219"/>
    <cellStyle name="Input [yellow] 2 12 2 17 5" xfId="54412"/>
    <cellStyle name="Input [yellow] 2 12 2 18" xfId="10154"/>
    <cellStyle name="Input [yellow] 2 12 2 18 2" xfId="21351"/>
    <cellStyle name="Input [yellow] 2 12 2 18 3" xfId="32519"/>
    <cellStyle name="Input [yellow] 2 12 2 18 4" xfId="43684"/>
    <cellStyle name="Input [yellow] 2 12 2 18 5" xfId="54877"/>
    <cellStyle name="Input [yellow] 2 12 2 19" xfId="10721"/>
    <cellStyle name="Input [yellow] 2 12 2 19 2" xfId="21918"/>
    <cellStyle name="Input [yellow] 2 12 2 19 3" xfId="33086"/>
    <cellStyle name="Input [yellow] 2 12 2 19 4" xfId="44251"/>
    <cellStyle name="Input [yellow] 2 12 2 19 5" xfId="55444"/>
    <cellStyle name="Input [yellow] 2 12 2 2" xfId="817"/>
    <cellStyle name="Input [yellow] 2 12 2 2 2" xfId="12014"/>
    <cellStyle name="Input [yellow] 2 12 2 2 3" xfId="23182"/>
    <cellStyle name="Input [yellow] 2 12 2 2 4" xfId="34347"/>
    <cellStyle name="Input [yellow] 2 12 2 2 5" xfId="45540"/>
    <cellStyle name="Input [yellow] 2 12 2 20" xfId="11368"/>
    <cellStyle name="Input [yellow] 2 12 2 21" xfId="22538"/>
    <cellStyle name="Input [yellow] 2 12 2 22" xfId="33705"/>
    <cellStyle name="Input [yellow] 2 12 2 23" xfId="44891"/>
    <cellStyle name="Input [yellow] 2 12 2 3" xfId="1472"/>
    <cellStyle name="Input [yellow] 2 12 2 3 2" xfId="12669"/>
    <cellStyle name="Input [yellow] 2 12 2 3 3" xfId="23837"/>
    <cellStyle name="Input [yellow] 2 12 2 3 4" xfId="35002"/>
    <cellStyle name="Input [yellow] 2 12 2 3 5" xfId="46195"/>
    <cellStyle name="Input [yellow] 2 12 2 4" xfId="2094"/>
    <cellStyle name="Input [yellow] 2 12 2 4 2" xfId="13291"/>
    <cellStyle name="Input [yellow] 2 12 2 4 3" xfId="24459"/>
    <cellStyle name="Input [yellow] 2 12 2 4 4" xfId="35624"/>
    <cellStyle name="Input [yellow] 2 12 2 4 5" xfId="46817"/>
    <cellStyle name="Input [yellow] 2 12 2 5" xfId="2614"/>
    <cellStyle name="Input [yellow] 2 12 2 5 2" xfId="13811"/>
    <cellStyle name="Input [yellow] 2 12 2 5 3" xfId="24979"/>
    <cellStyle name="Input [yellow] 2 12 2 5 4" xfId="36144"/>
    <cellStyle name="Input [yellow] 2 12 2 5 5" xfId="47337"/>
    <cellStyle name="Input [yellow] 2 12 2 6" xfId="3152"/>
    <cellStyle name="Input [yellow] 2 12 2 6 2" xfId="14349"/>
    <cellStyle name="Input [yellow] 2 12 2 6 3" xfId="25517"/>
    <cellStyle name="Input [yellow] 2 12 2 6 4" xfId="36682"/>
    <cellStyle name="Input [yellow] 2 12 2 6 5" xfId="47875"/>
    <cellStyle name="Input [yellow] 2 12 2 7" xfId="3786"/>
    <cellStyle name="Input [yellow] 2 12 2 7 2" xfId="14983"/>
    <cellStyle name="Input [yellow] 2 12 2 7 3" xfId="26151"/>
    <cellStyle name="Input [yellow] 2 12 2 7 4" xfId="37316"/>
    <cellStyle name="Input [yellow] 2 12 2 7 5" xfId="48509"/>
    <cellStyle name="Input [yellow] 2 12 2 8" xfId="4419"/>
    <cellStyle name="Input [yellow] 2 12 2 8 2" xfId="15616"/>
    <cellStyle name="Input [yellow] 2 12 2 8 3" xfId="26784"/>
    <cellStyle name="Input [yellow] 2 12 2 8 4" xfId="37949"/>
    <cellStyle name="Input [yellow] 2 12 2 8 5" xfId="49142"/>
    <cellStyle name="Input [yellow] 2 12 2 9" xfId="5050"/>
    <cellStyle name="Input [yellow] 2 12 2 9 2" xfId="16247"/>
    <cellStyle name="Input [yellow] 2 12 2 9 3" xfId="27415"/>
    <cellStyle name="Input [yellow] 2 12 2 9 4" xfId="38580"/>
    <cellStyle name="Input [yellow] 2 12 2 9 5" xfId="49773"/>
    <cellStyle name="Input [yellow] 2 12 20" xfId="5588"/>
    <cellStyle name="Input [yellow] 2 12 20 2" xfId="16785"/>
    <cellStyle name="Input [yellow] 2 12 20 3" xfId="27953"/>
    <cellStyle name="Input [yellow] 2 12 20 4" xfId="39118"/>
    <cellStyle name="Input [yellow] 2 12 20 5" xfId="50311"/>
    <cellStyle name="Input [yellow] 2 12 21" xfId="5830"/>
    <cellStyle name="Input [yellow] 2 12 21 2" xfId="17027"/>
    <cellStyle name="Input [yellow] 2 12 21 3" xfId="28195"/>
    <cellStyle name="Input [yellow] 2 12 21 4" xfId="39360"/>
    <cellStyle name="Input [yellow] 2 12 21 5" xfId="50553"/>
    <cellStyle name="Input [yellow] 2 12 22" xfId="6674"/>
    <cellStyle name="Input [yellow] 2 12 22 2" xfId="17871"/>
    <cellStyle name="Input [yellow] 2 12 22 3" xfId="29039"/>
    <cellStyle name="Input [yellow] 2 12 22 4" xfId="40204"/>
    <cellStyle name="Input [yellow] 2 12 22 5" xfId="51397"/>
    <cellStyle name="Input [yellow] 2 12 23" xfId="7307"/>
    <cellStyle name="Input [yellow] 2 12 23 2" xfId="18504"/>
    <cellStyle name="Input [yellow] 2 12 23 3" xfId="29672"/>
    <cellStyle name="Input [yellow] 2 12 23 4" xfId="40837"/>
    <cellStyle name="Input [yellow] 2 12 23 5" xfId="52030"/>
    <cellStyle name="Input [yellow] 2 12 24" xfId="7941"/>
    <cellStyle name="Input [yellow] 2 12 24 2" xfId="19138"/>
    <cellStyle name="Input [yellow] 2 12 24 3" xfId="30306"/>
    <cellStyle name="Input [yellow] 2 12 24 4" xfId="41471"/>
    <cellStyle name="Input [yellow] 2 12 24 5" xfId="52664"/>
    <cellStyle name="Input [yellow] 2 12 25" xfId="8573"/>
    <cellStyle name="Input [yellow] 2 12 25 2" xfId="19770"/>
    <cellStyle name="Input [yellow] 2 12 25 3" xfId="30938"/>
    <cellStyle name="Input [yellow] 2 12 25 4" xfId="42103"/>
    <cellStyle name="Input [yellow] 2 12 25 5" xfId="53296"/>
    <cellStyle name="Input [yellow] 2 12 26" xfId="8678"/>
    <cellStyle name="Input [yellow] 2 12 26 2" xfId="19875"/>
    <cellStyle name="Input [yellow] 2 12 26 3" xfId="31043"/>
    <cellStyle name="Input [yellow] 2 12 26 4" xfId="42208"/>
    <cellStyle name="Input [yellow] 2 12 26 5" xfId="53401"/>
    <cellStyle name="Input [yellow] 2 12 27" xfId="9625"/>
    <cellStyle name="Input [yellow] 2 12 27 2" xfId="20822"/>
    <cellStyle name="Input [yellow] 2 12 27 3" xfId="31990"/>
    <cellStyle name="Input [yellow] 2 12 27 4" xfId="43155"/>
    <cellStyle name="Input [yellow] 2 12 27 5" xfId="54348"/>
    <cellStyle name="Input [yellow] 2 12 28" xfId="9781"/>
    <cellStyle name="Input [yellow] 2 12 28 2" xfId="20978"/>
    <cellStyle name="Input [yellow] 2 12 28 3" xfId="32146"/>
    <cellStyle name="Input [yellow] 2 12 28 4" xfId="43311"/>
    <cellStyle name="Input [yellow] 2 12 28 5" xfId="54504"/>
    <cellStyle name="Input [yellow] 2 12 29" xfId="10658"/>
    <cellStyle name="Input [yellow] 2 12 29 2" xfId="21855"/>
    <cellStyle name="Input [yellow] 2 12 29 3" xfId="33023"/>
    <cellStyle name="Input [yellow] 2 12 29 4" xfId="44188"/>
    <cellStyle name="Input [yellow] 2 12 29 5" xfId="55381"/>
    <cellStyle name="Input [yellow] 2 12 3" xfId="224"/>
    <cellStyle name="Input [yellow] 2 12 3 10" xfId="5637"/>
    <cellStyle name="Input [yellow] 2 12 3 10 2" xfId="16834"/>
    <cellStyle name="Input [yellow] 2 12 3 10 3" xfId="28002"/>
    <cellStyle name="Input [yellow] 2 12 3 10 4" xfId="39167"/>
    <cellStyle name="Input [yellow] 2 12 3 10 5" xfId="50360"/>
    <cellStyle name="Input [yellow] 2 12 3 11" xfId="6021"/>
    <cellStyle name="Input [yellow] 2 12 3 11 2" xfId="17218"/>
    <cellStyle name="Input [yellow] 2 12 3 11 3" xfId="28386"/>
    <cellStyle name="Input [yellow] 2 12 3 11 4" xfId="39551"/>
    <cellStyle name="Input [yellow] 2 12 3 11 5" xfId="50744"/>
    <cellStyle name="Input [yellow] 2 12 3 12" xfId="6793"/>
    <cellStyle name="Input [yellow] 2 12 3 12 2" xfId="17990"/>
    <cellStyle name="Input [yellow] 2 12 3 12 3" xfId="29158"/>
    <cellStyle name="Input [yellow] 2 12 3 12 4" xfId="40323"/>
    <cellStyle name="Input [yellow] 2 12 3 12 5" xfId="51516"/>
    <cellStyle name="Input [yellow] 2 12 3 13" xfId="7427"/>
    <cellStyle name="Input [yellow] 2 12 3 13 2" xfId="18624"/>
    <cellStyle name="Input [yellow] 2 12 3 13 3" xfId="29792"/>
    <cellStyle name="Input [yellow] 2 12 3 13 4" xfId="40957"/>
    <cellStyle name="Input [yellow] 2 12 3 13 5" xfId="52150"/>
    <cellStyle name="Input [yellow] 2 12 3 14" xfId="8061"/>
    <cellStyle name="Input [yellow] 2 12 3 14 2" xfId="19258"/>
    <cellStyle name="Input [yellow] 2 12 3 14 3" xfId="30426"/>
    <cellStyle name="Input [yellow] 2 12 3 14 4" xfId="41591"/>
    <cellStyle name="Input [yellow] 2 12 3 14 5" xfId="52784"/>
    <cellStyle name="Input [yellow] 2 12 3 15" xfId="8692"/>
    <cellStyle name="Input [yellow] 2 12 3 15 2" xfId="19889"/>
    <cellStyle name="Input [yellow] 2 12 3 15 3" xfId="31057"/>
    <cellStyle name="Input [yellow] 2 12 3 15 4" xfId="42222"/>
    <cellStyle name="Input [yellow] 2 12 3 15 5" xfId="53415"/>
    <cellStyle name="Input [yellow] 2 12 3 16" xfId="8818"/>
    <cellStyle name="Input [yellow] 2 12 3 16 2" xfId="20015"/>
    <cellStyle name="Input [yellow] 2 12 3 16 3" xfId="31183"/>
    <cellStyle name="Input [yellow] 2 12 3 16 4" xfId="42348"/>
    <cellStyle name="Input [yellow] 2 12 3 16 5" xfId="53541"/>
    <cellStyle name="Input [yellow] 2 12 3 17" xfId="9743"/>
    <cellStyle name="Input [yellow] 2 12 3 17 2" xfId="20940"/>
    <cellStyle name="Input [yellow] 2 12 3 17 3" xfId="32108"/>
    <cellStyle name="Input [yellow] 2 12 3 17 4" xfId="43273"/>
    <cellStyle name="Input [yellow] 2 12 3 17 5" xfId="54466"/>
    <cellStyle name="Input [yellow] 2 12 3 18" xfId="9659"/>
    <cellStyle name="Input [yellow] 2 12 3 18 2" xfId="20856"/>
    <cellStyle name="Input [yellow] 2 12 3 18 3" xfId="32024"/>
    <cellStyle name="Input [yellow] 2 12 3 18 4" xfId="43189"/>
    <cellStyle name="Input [yellow] 2 12 3 18 5" xfId="54382"/>
    <cellStyle name="Input [yellow] 2 12 3 19" xfId="10777"/>
    <cellStyle name="Input [yellow] 2 12 3 19 2" xfId="21974"/>
    <cellStyle name="Input [yellow] 2 12 3 19 3" xfId="33142"/>
    <cellStyle name="Input [yellow] 2 12 3 19 4" xfId="44307"/>
    <cellStyle name="Input [yellow] 2 12 3 19 5" xfId="55500"/>
    <cellStyle name="Input [yellow] 2 12 3 2" xfId="873"/>
    <cellStyle name="Input [yellow] 2 12 3 2 2" xfId="12070"/>
    <cellStyle name="Input [yellow] 2 12 3 2 3" xfId="23238"/>
    <cellStyle name="Input [yellow] 2 12 3 2 4" xfId="34403"/>
    <cellStyle name="Input [yellow] 2 12 3 2 5" xfId="45596"/>
    <cellStyle name="Input [yellow] 2 12 3 20" xfId="11424"/>
    <cellStyle name="Input [yellow] 2 12 3 21" xfId="22594"/>
    <cellStyle name="Input [yellow] 2 12 3 22" xfId="33761"/>
    <cellStyle name="Input [yellow] 2 12 3 23" xfId="44947"/>
    <cellStyle name="Input [yellow] 2 12 3 3" xfId="1949"/>
    <cellStyle name="Input [yellow] 2 12 3 3 2" xfId="13146"/>
    <cellStyle name="Input [yellow] 2 12 3 3 3" xfId="24314"/>
    <cellStyle name="Input [yellow] 2 12 3 3 4" xfId="35479"/>
    <cellStyle name="Input [yellow] 2 12 3 3 5" xfId="46672"/>
    <cellStyle name="Input [yellow] 2 12 3 4" xfId="2150"/>
    <cellStyle name="Input [yellow] 2 12 3 4 2" xfId="13347"/>
    <cellStyle name="Input [yellow] 2 12 3 4 3" xfId="24515"/>
    <cellStyle name="Input [yellow] 2 12 3 4 4" xfId="35680"/>
    <cellStyle name="Input [yellow] 2 12 3 4 5" xfId="46873"/>
    <cellStyle name="Input [yellow] 2 12 3 5" xfId="2102"/>
    <cellStyle name="Input [yellow] 2 12 3 5 2" xfId="13299"/>
    <cellStyle name="Input [yellow] 2 12 3 5 3" xfId="24467"/>
    <cellStyle name="Input [yellow] 2 12 3 5 4" xfId="35632"/>
    <cellStyle name="Input [yellow] 2 12 3 5 5" xfId="46825"/>
    <cellStyle name="Input [yellow] 2 12 3 6" xfId="3208"/>
    <cellStyle name="Input [yellow] 2 12 3 6 2" xfId="14405"/>
    <cellStyle name="Input [yellow] 2 12 3 6 3" xfId="25573"/>
    <cellStyle name="Input [yellow] 2 12 3 6 4" xfId="36738"/>
    <cellStyle name="Input [yellow] 2 12 3 6 5" xfId="47931"/>
    <cellStyle name="Input [yellow] 2 12 3 7" xfId="3842"/>
    <cellStyle name="Input [yellow] 2 12 3 7 2" xfId="15039"/>
    <cellStyle name="Input [yellow] 2 12 3 7 3" xfId="26207"/>
    <cellStyle name="Input [yellow] 2 12 3 7 4" xfId="37372"/>
    <cellStyle name="Input [yellow] 2 12 3 7 5" xfId="48565"/>
    <cellStyle name="Input [yellow] 2 12 3 8" xfId="4475"/>
    <cellStyle name="Input [yellow] 2 12 3 8 2" xfId="15672"/>
    <cellStyle name="Input [yellow] 2 12 3 8 3" xfId="26840"/>
    <cellStyle name="Input [yellow] 2 12 3 8 4" xfId="38005"/>
    <cellStyle name="Input [yellow] 2 12 3 8 5" xfId="49198"/>
    <cellStyle name="Input [yellow] 2 12 3 9" xfId="5106"/>
    <cellStyle name="Input [yellow] 2 12 3 9 2" xfId="16303"/>
    <cellStyle name="Input [yellow] 2 12 3 9 3" xfId="27471"/>
    <cellStyle name="Input [yellow] 2 12 3 9 4" xfId="38636"/>
    <cellStyle name="Input [yellow] 2 12 3 9 5" xfId="49829"/>
    <cellStyle name="Input [yellow] 2 12 30" xfId="11305"/>
    <cellStyle name="Input [yellow] 2 12 31" xfId="22475"/>
    <cellStyle name="Input [yellow] 2 12 32" xfId="33642"/>
    <cellStyle name="Input [yellow] 2 12 33" xfId="44827"/>
    <cellStyle name="Input [yellow] 2 12 4" xfId="276"/>
    <cellStyle name="Input [yellow] 2 12 4 10" xfId="5994"/>
    <cellStyle name="Input [yellow] 2 12 4 10 2" xfId="17191"/>
    <cellStyle name="Input [yellow] 2 12 4 10 3" xfId="28359"/>
    <cellStyle name="Input [yellow] 2 12 4 10 4" xfId="39524"/>
    <cellStyle name="Input [yellow] 2 12 4 10 5" xfId="50717"/>
    <cellStyle name="Input [yellow] 2 12 4 11" xfId="6212"/>
    <cellStyle name="Input [yellow] 2 12 4 11 2" xfId="17409"/>
    <cellStyle name="Input [yellow] 2 12 4 11 3" xfId="28577"/>
    <cellStyle name="Input [yellow] 2 12 4 11 4" xfId="39742"/>
    <cellStyle name="Input [yellow] 2 12 4 11 5" xfId="50935"/>
    <cellStyle name="Input [yellow] 2 12 4 12" xfId="6845"/>
    <cellStyle name="Input [yellow] 2 12 4 12 2" xfId="18042"/>
    <cellStyle name="Input [yellow] 2 12 4 12 3" xfId="29210"/>
    <cellStyle name="Input [yellow] 2 12 4 12 4" xfId="40375"/>
    <cellStyle name="Input [yellow] 2 12 4 12 5" xfId="51568"/>
    <cellStyle name="Input [yellow] 2 12 4 13" xfId="7479"/>
    <cellStyle name="Input [yellow] 2 12 4 13 2" xfId="18676"/>
    <cellStyle name="Input [yellow] 2 12 4 13 3" xfId="29844"/>
    <cellStyle name="Input [yellow] 2 12 4 13 4" xfId="41009"/>
    <cellStyle name="Input [yellow] 2 12 4 13 5" xfId="52202"/>
    <cellStyle name="Input [yellow] 2 12 4 14" xfId="8113"/>
    <cellStyle name="Input [yellow] 2 12 4 14 2" xfId="19310"/>
    <cellStyle name="Input [yellow] 2 12 4 14 3" xfId="30478"/>
    <cellStyle name="Input [yellow] 2 12 4 14 4" xfId="41643"/>
    <cellStyle name="Input [yellow] 2 12 4 14 5" xfId="52836"/>
    <cellStyle name="Input [yellow] 2 12 4 15" xfId="8742"/>
    <cellStyle name="Input [yellow] 2 12 4 15 2" xfId="19939"/>
    <cellStyle name="Input [yellow] 2 12 4 15 3" xfId="31107"/>
    <cellStyle name="Input [yellow] 2 12 4 15 4" xfId="42272"/>
    <cellStyle name="Input [yellow] 2 12 4 15 5" xfId="53465"/>
    <cellStyle name="Input [yellow] 2 12 4 16" xfId="9164"/>
    <cellStyle name="Input [yellow] 2 12 4 16 2" xfId="20361"/>
    <cellStyle name="Input [yellow] 2 12 4 16 3" xfId="31529"/>
    <cellStyle name="Input [yellow] 2 12 4 16 4" xfId="42694"/>
    <cellStyle name="Input [yellow] 2 12 4 16 5" xfId="53887"/>
    <cellStyle name="Input [yellow] 2 12 4 17" xfId="9792"/>
    <cellStyle name="Input [yellow] 2 12 4 17 2" xfId="20989"/>
    <cellStyle name="Input [yellow] 2 12 4 17 3" xfId="32157"/>
    <cellStyle name="Input [yellow] 2 12 4 17 4" xfId="43322"/>
    <cellStyle name="Input [yellow] 2 12 4 17 5" xfId="54515"/>
    <cellStyle name="Input [yellow] 2 12 4 18" xfId="10348"/>
    <cellStyle name="Input [yellow] 2 12 4 18 2" xfId="21545"/>
    <cellStyle name="Input [yellow] 2 12 4 18 3" xfId="32713"/>
    <cellStyle name="Input [yellow] 2 12 4 18 4" xfId="43878"/>
    <cellStyle name="Input [yellow] 2 12 4 18 5" xfId="55071"/>
    <cellStyle name="Input [yellow] 2 12 4 19" xfId="10829"/>
    <cellStyle name="Input [yellow] 2 12 4 19 2" xfId="22026"/>
    <cellStyle name="Input [yellow] 2 12 4 19 3" xfId="33194"/>
    <cellStyle name="Input [yellow] 2 12 4 19 4" xfId="44359"/>
    <cellStyle name="Input [yellow] 2 12 4 19 5" xfId="55552"/>
    <cellStyle name="Input [yellow] 2 12 4 2" xfId="925"/>
    <cellStyle name="Input [yellow] 2 12 4 2 2" xfId="12122"/>
    <cellStyle name="Input [yellow] 2 12 4 2 3" xfId="23290"/>
    <cellStyle name="Input [yellow] 2 12 4 2 4" xfId="34455"/>
    <cellStyle name="Input [yellow] 2 12 4 2 5" xfId="45648"/>
    <cellStyle name="Input [yellow] 2 12 4 20" xfId="11476"/>
    <cellStyle name="Input [yellow] 2 12 4 21" xfId="22646"/>
    <cellStyle name="Input [yellow] 2 12 4 22" xfId="33813"/>
    <cellStyle name="Input [yellow] 2 12 4 23" xfId="44999"/>
    <cellStyle name="Input [yellow] 2 12 4 3" xfId="1622"/>
    <cellStyle name="Input [yellow] 2 12 4 3 2" xfId="12819"/>
    <cellStyle name="Input [yellow] 2 12 4 3 3" xfId="23987"/>
    <cellStyle name="Input [yellow] 2 12 4 3 4" xfId="35152"/>
    <cellStyle name="Input [yellow] 2 12 4 3 5" xfId="46345"/>
    <cellStyle name="Input [yellow] 2 12 4 4" xfId="2202"/>
    <cellStyle name="Input [yellow] 2 12 4 4 2" xfId="13399"/>
    <cellStyle name="Input [yellow] 2 12 4 4 3" xfId="24567"/>
    <cellStyle name="Input [yellow] 2 12 4 4 4" xfId="35732"/>
    <cellStyle name="Input [yellow] 2 12 4 4 5" xfId="46925"/>
    <cellStyle name="Input [yellow] 2 12 4 5" xfId="2626"/>
    <cellStyle name="Input [yellow] 2 12 4 5 2" xfId="13823"/>
    <cellStyle name="Input [yellow] 2 12 4 5 3" xfId="24991"/>
    <cellStyle name="Input [yellow] 2 12 4 5 4" xfId="36156"/>
    <cellStyle name="Input [yellow] 2 12 4 5 5" xfId="47349"/>
    <cellStyle name="Input [yellow] 2 12 4 6" xfId="3260"/>
    <cellStyle name="Input [yellow] 2 12 4 6 2" xfId="14457"/>
    <cellStyle name="Input [yellow] 2 12 4 6 3" xfId="25625"/>
    <cellStyle name="Input [yellow] 2 12 4 6 4" xfId="36790"/>
    <cellStyle name="Input [yellow] 2 12 4 6 5" xfId="47983"/>
    <cellStyle name="Input [yellow] 2 12 4 7" xfId="3894"/>
    <cellStyle name="Input [yellow] 2 12 4 7 2" xfId="15091"/>
    <cellStyle name="Input [yellow] 2 12 4 7 3" xfId="26259"/>
    <cellStyle name="Input [yellow] 2 12 4 7 4" xfId="37424"/>
    <cellStyle name="Input [yellow] 2 12 4 7 5" xfId="48617"/>
    <cellStyle name="Input [yellow] 2 12 4 8" xfId="4527"/>
    <cellStyle name="Input [yellow] 2 12 4 8 2" xfId="15724"/>
    <cellStyle name="Input [yellow] 2 12 4 8 3" xfId="26892"/>
    <cellStyle name="Input [yellow] 2 12 4 8 4" xfId="38057"/>
    <cellStyle name="Input [yellow] 2 12 4 8 5" xfId="49250"/>
    <cellStyle name="Input [yellow] 2 12 4 9" xfId="5158"/>
    <cellStyle name="Input [yellow] 2 12 4 9 2" xfId="16355"/>
    <cellStyle name="Input [yellow] 2 12 4 9 3" xfId="27523"/>
    <cellStyle name="Input [yellow] 2 12 4 9 4" xfId="38688"/>
    <cellStyle name="Input [yellow] 2 12 4 9 5" xfId="49881"/>
    <cellStyle name="Input [yellow] 2 12 5" xfId="310"/>
    <cellStyle name="Input [yellow] 2 12 5 10" xfId="5594"/>
    <cellStyle name="Input [yellow] 2 12 5 10 2" xfId="16791"/>
    <cellStyle name="Input [yellow] 2 12 5 10 3" xfId="27959"/>
    <cellStyle name="Input [yellow] 2 12 5 10 4" xfId="39124"/>
    <cellStyle name="Input [yellow] 2 12 5 10 5" xfId="50317"/>
    <cellStyle name="Input [yellow] 2 12 5 11" xfId="6246"/>
    <cellStyle name="Input [yellow] 2 12 5 11 2" xfId="17443"/>
    <cellStyle name="Input [yellow] 2 12 5 11 3" xfId="28611"/>
    <cellStyle name="Input [yellow] 2 12 5 11 4" xfId="39776"/>
    <cellStyle name="Input [yellow] 2 12 5 11 5" xfId="50969"/>
    <cellStyle name="Input [yellow] 2 12 5 12" xfId="6879"/>
    <cellStyle name="Input [yellow] 2 12 5 12 2" xfId="18076"/>
    <cellStyle name="Input [yellow] 2 12 5 12 3" xfId="29244"/>
    <cellStyle name="Input [yellow] 2 12 5 12 4" xfId="40409"/>
    <cellStyle name="Input [yellow] 2 12 5 12 5" xfId="51602"/>
    <cellStyle name="Input [yellow] 2 12 5 13" xfId="7513"/>
    <cellStyle name="Input [yellow] 2 12 5 13 2" xfId="18710"/>
    <cellStyle name="Input [yellow] 2 12 5 13 3" xfId="29878"/>
    <cellStyle name="Input [yellow] 2 12 5 13 4" xfId="41043"/>
    <cellStyle name="Input [yellow] 2 12 5 13 5" xfId="52236"/>
    <cellStyle name="Input [yellow] 2 12 5 14" xfId="8147"/>
    <cellStyle name="Input [yellow] 2 12 5 14 2" xfId="19344"/>
    <cellStyle name="Input [yellow] 2 12 5 14 3" xfId="30512"/>
    <cellStyle name="Input [yellow] 2 12 5 14 4" xfId="41677"/>
    <cellStyle name="Input [yellow] 2 12 5 14 5" xfId="52870"/>
    <cellStyle name="Input [yellow] 2 12 5 15" xfId="8776"/>
    <cellStyle name="Input [yellow] 2 12 5 15 2" xfId="19973"/>
    <cellStyle name="Input [yellow] 2 12 5 15 3" xfId="31141"/>
    <cellStyle name="Input [yellow] 2 12 5 15 4" xfId="42306"/>
    <cellStyle name="Input [yellow] 2 12 5 15 5" xfId="53499"/>
    <cellStyle name="Input [yellow] 2 12 5 16" xfId="9198"/>
    <cellStyle name="Input [yellow] 2 12 5 16 2" xfId="20395"/>
    <cellStyle name="Input [yellow] 2 12 5 16 3" xfId="31563"/>
    <cellStyle name="Input [yellow] 2 12 5 16 4" xfId="42728"/>
    <cellStyle name="Input [yellow] 2 12 5 16 5" xfId="53921"/>
    <cellStyle name="Input [yellow] 2 12 5 17" xfId="9825"/>
    <cellStyle name="Input [yellow] 2 12 5 17 2" xfId="21022"/>
    <cellStyle name="Input [yellow] 2 12 5 17 3" xfId="32190"/>
    <cellStyle name="Input [yellow] 2 12 5 17 4" xfId="43355"/>
    <cellStyle name="Input [yellow] 2 12 5 17 5" xfId="54548"/>
    <cellStyle name="Input [yellow] 2 12 5 18" xfId="10248"/>
    <cellStyle name="Input [yellow] 2 12 5 18 2" xfId="21445"/>
    <cellStyle name="Input [yellow] 2 12 5 18 3" xfId="32613"/>
    <cellStyle name="Input [yellow] 2 12 5 18 4" xfId="43778"/>
    <cellStyle name="Input [yellow] 2 12 5 18 5" xfId="54971"/>
    <cellStyle name="Input [yellow] 2 12 5 19" xfId="10863"/>
    <cellStyle name="Input [yellow] 2 12 5 19 2" xfId="22060"/>
    <cellStyle name="Input [yellow] 2 12 5 19 3" xfId="33228"/>
    <cellStyle name="Input [yellow] 2 12 5 19 4" xfId="44393"/>
    <cellStyle name="Input [yellow] 2 12 5 19 5" xfId="55586"/>
    <cellStyle name="Input [yellow] 2 12 5 2" xfId="959"/>
    <cellStyle name="Input [yellow] 2 12 5 2 2" xfId="12156"/>
    <cellStyle name="Input [yellow] 2 12 5 2 3" xfId="23324"/>
    <cellStyle name="Input [yellow] 2 12 5 2 4" xfId="34489"/>
    <cellStyle name="Input [yellow] 2 12 5 2 5" xfId="45682"/>
    <cellStyle name="Input [yellow] 2 12 5 20" xfId="11510"/>
    <cellStyle name="Input [yellow] 2 12 5 21" xfId="22680"/>
    <cellStyle name="Input [yellow] 2 12 5 22" xfId="33847"/>
    <cellStyle name="Input [yellow] 2 12 5 23" xfId="45033"/>
    <cellStyle name="Input [yellow] 2 12 5 3" xfId="1556"/>
    <cellStyle name="Input [yellow] 2 12 5 3 2" xfId="12753"/>
    <cellStyle name="Input [yellow] 2 12 5 3 3" xfId="23921"/>
    <cellStyle name="Input [yellow] 2 12 5 3 4" xfId="35086"/>
    <cellStyle name="Input [yellow] 2 12 5 3 5" xfId="46279"/>
    <cellStyle name="Input [yellow] 2 12 5 4" xfId="2235"/>
    <cellStyle name="Input [yellow] 2 12 5 4 2" xfId="13432"/>
    <cellStyle name="Input [yellow] 2 12 5 4 3" xfId="24600"/>
    <cellStyle name="Input [yellow] 2 12 5 4 4" xfId="35765"/>
    <cellStyle name="Input [yellow] 2 12 5 4 5" xfId="46958"/>
    <cellStyle name="Input [yellow] 2 12 5 5" xfId="2660"/>
    <cellStyle name="Input [yellow] 2 12 5 5 2" xfId="13857"/>
    <cellStyle name="Input [yellow] 2 12 5 5 3" xfId="25025"/>
    <cellStyle name="Input [yellow] 2 12 5 5 4" xfId="36190"/>
    <cellStyle name="Input [yellow] 2 12 5 5 5" xfId="47383"/>
    <cellStyle name="Input [yellow] 2 12 5 6" xfId="3294"/>
    <cellStyle name="Input [yellow] 2 12 5 6 2" xfId="14491"/>
    <cellStyle name="Input [yellow] 2 12 5 6 3" xfId="25659"/>
    <cellStyle name="Input [yellow] 2 12 5 6 4" xfId="36824"/>
    <cellStyle name="Input [yellow] 2 12 5 6 5" xfId="48017"/>
    <cellStyle name="Input [yellow] 2 12 5 7" xfId="3928"/>
    <cellStyle name="Input [yellow] 2 12 5 7 2" xfId="15125"/>
    <cellStyle name="Input [yellow] 2 12 5 7 3" xfId="26293"/>
    <cellStyle name="Input [yellow] 2 12 5 7 4" xfId="37458"/>
    <cellStyle name="Input [yellow] 2 12 5 7 5" xfId="48651"/>
    <cellStyle name="Input [yellow] 2 12 5 8" xfId="4561"/>
    <cellStyle name="Input [yellow] 2 12 5 8 2" xfId="15758"/>
    <cellStyle name="Input [yellow] 2 12 5 8 3" xfId="26926"/>
    <cellStyle name="Input [yellow] 2 12 5 8 4" xfId="38091"/>
    <cellStyle name="Input [yellow] 2 12 5 8 5" xfId="49284"/>
    <cellStyle name="Input [yellow] 2 12 5 9" xfId="5192"/>
    <cellStyle name="Input [yellow] 2 12 5 9 2" xfId="16389"/>
    <cellStyle name="Input [yellow] 2 12 5 9 3" xfId="27557"/>
    <cellStyle name="Input [yellow] 2 12 5 9 4" xfId="38722"/>
    <cellStyle name="Input [yellow] 2 12 5 9 5" xfId="49915"/>
    <cellStyle name="Input [yellow] 2 12 6" xfId="343"/>
    <cellStyle name="Input [yellow] 2 12 6 10" xfId="6140"/>
    <cellStyle name="Input [yellow] 2 12 6 10 2" xfId="17337"/>
    <cellStyle name="Input [yellow] 2 12 6 10 3" xfId="28505"/>
    <cellStyle name="Input [yellow] 2 12 6 10 4" xfId="39670"/>
    <cellStyle name="Input [yellow] 2 12 6 10 5" xfId="50863"/>
    <cellStyle name="Input [yellow] 2 12 6 11" xfId="6279"/>
    <cellStyle name="Input [yellow] 2 12 6 11 2" xfId="17476"/>
    <cellStyle name="Input [yellow] 2 12 6 11 3" xfId="28644"/>
    <cellStyle name="Input [yellow] 2 12 6 11 4" xfId="39809"/>
    <cellStyle name="Input [yellow] 2 12 6 11 5" xfId="51002"/>
    <cellStyle name="Input [yellow] 2 12 6 12" xfId="6912"/>
    <cellStyle name="Input [yellow] 2 12 6 12 2" xfId="18109"/>
    <cellStyle name="Input [yellow] 2 12 6 12 3" xfId="29277"/>
    <cellStyle name="Input [yellow] 2 12 6 12 4" xfId="40442"/>
    <cellStyle name="Input [yellow] 2 12 6 12 5" xfId="51635"/>
    <cellStyle name="Input [yellow] 2 12 6 13" xfId="7546"/>
    <cellStyle name="Input [yellow] 2 12 6 13 2" xfId="18743"/>
    <cellStyle name="Input [yellow] 2 12 6 13 3" xfId="29911"/>
    <cellStyle name="Input [yellow] 2 12 6 13 4" xfId="41076"/>
    <cellStyle name="Input [yellow] 2 12 6 13 5" xfId="52269"/>
    <cellStyle name="Input [yellow] 2 12 6 14" xfId="8180"/>
    <cellStyle name="Input [yellow] 2 12 6 14 2" xfId="19377"/>
    <cellStyle name="Input [yellow] 2 12 6 14 3" xfId="30545"/>
    <cellStyle name="Input [yellow] 2 12 6 14 4" xfId="41710"/>
    <cellStyle name="Input [yellow] 2 12 6 14 5" xfId="52903"/>
    <cellStyle name="Input [yellow] 2 12 6 15" xfId="8809"/>
    <cellStyle name="Input [yellow] 2 12 6 15 2" xfId="20006"/>
    <cellStyle name="Input [yellow] 2 12 6 15 3" xfId="31174"/>
    <cellStyle name="Input [yellow] 2 12 6 15 4" xfId="42339"/>
    <cellStyle name="Input [yellow] 2 12 6 15 5" xfId="53532"/>
    <cellStyle name="Input [yellow] 2 12 6 16" xfId="9231"/>
    <cellStyle name="Input [yellow] 2 12 6 16 2" xfId="20428"/>
    <cellStyle name="Input [yellow] 2 12 6 16 3" xfId="31596"/>
    <cellStyle name="Input [yellow] 2 12 6 16 4" xfId="42761"/>
    <cellStyle name="Input [yellow] 2 12 6 16 5" xfId="53954"/>
    <cellStyle name="Input [yellow] 2 12 6 17" xfId="9858"/>
    <cellStyle name="Input [yellow] 2 12 6 17 2" xfId="21055"/>
    <cellStyle name="Input [yellow] 2 12 6 17 3" xfId="32223"/>
    <cellStyle name="Input [yellow] 2 12 6 17 4" xfId="43388"/>
    <cellStyle name="Input [yellow] 2 12 6 17 5" xfId="54581"/>
    <cellStyle name="Input [yellow] 2 12 6 18" xfId="10355"/>
    <cellStyle name="Input [yellow] 2 12 6 18 2" xfId="21552"/>
    <cellStyle name="Input [yellow] 2 12 6 18 3" xfId="32720"/>
    <cellStyle name="Input [yellow] 2 12 6 18 4" xfId="43885"/>
    <cellStyle name="Input [yellow] 2 12 6 18 5" xfId="55078"/>
    <cellStyle name="Input [yellow] 2 12 6 19" xfId="10896"/>
    <cellStyle name="Input [yellow] 2 12 6 19 2" xfId="22093"/>
    <cellStyle name="Input [yellow] 2 12 6 19 3" xfId="33261"/>
    <cellStyle name="Input [yellow] 2 12 6 19 4" xfId="44426"/>
    <cellStyle name="Input [yellow] 2 12 6 19 5" xfId="55619"/>
    <cellStyle name="Input [yellow] 2 12 6 2" xfId="992"/>
    <cellStyle name="Input [yellow] 2 12 6 2 2" xfId="12189"/>
    <cellStyle name="Input [yellow] 2 12 6 2 3" xfId="23357"/>
    <cellStyle name="Input [yellow] 2 12 6 2 4" xfId="34522"/>
    <cellStyle name="Input [yellow] 2 12 6 2 5" xfId="45715"/>
    <cellStyle name="Input [yellow] 2 12 6 20" xfId="11543"/>
    <cellStyle name="Input [yellow] 2 12 6 21" xfId="22713"/>
    <cellStyle name="Input [yellow] 2 12 6 22" xfId="33880"/>
    <cellStyle name="Input [yellow] 2 12 6 23" xfId="45066"/>
    <cellStyle name="Input [yellow] 2 12 6 3" xfId="1538"/>
    <cellStyle name="Input [yellow] 2 12 6 3 2" xfId="12735"/>
    <cellStyle name="Input [yellow] 2 12 6 3 3" xfId="23903"/>
    <cellStyle name="Input [yellow] 2 12 6 3 4" xfId="35068"/>
    <cellStyle name="Input [yellow] 2 12 6 3 5" xfId="46261"/>
    <cellStyle name="Input [yellow] 2 12 6 4" xfId="2268"/>
    <cellStyle name="Input [yellow] 2 12 6 4 2" xfId="13465"/>
    <cellStyle name="Input [yellow] 2 12 6 4 3" xfId="24633"/>
    <cellStyle name="Input [yellow] 2 12 6 4 4" xfId="35798"/>
    <cellStyle name="Input [yellow] 2 12 6 4 5" xfId="46991"/>
    <cellStyle name="Input [yellow] 2 12 6 5" xfId="2693"/>
    <cellStyle name="Input [yellow] 2 12 6 5 2" xfId="13890"/>
    <cellStyle name="Input [yellow] 2 12 6 5 3" xfId="25058"/>
    <cellStyle name="Input [yellow] 2 12 6 5 4" xfId="36223"/>
    <cellStyle name="Input [yellow] 2 12 6 5 5" xfId="47416"/>
    <cellStyle name="Input [yellow] 2 12 6 6" xfId="3327"/>
    <cellStyle name="Input [yellow] 2 12 6 6 2" xfId="14524"/>
    <cellStyle name="Input [yellow] 2 12 6 6 3" xfId="25692"/>
    <cellStyle name="Input [yellow] 2 12 6 6 4" xfId="36857"/>
    <cellStyle name="Input [yellow] 2 12 6 6 5" xfId="48050"/>
    <cellStyle name="Input [yellow] 2 12 6 7" xfId="3961"/>
    <cellStyle name="Input [yellow] 2 12 6 7 2" xfId="15158"/>
    <cellStyle name="Input [yellow] 2 12 6 7 3" xfId="26326"/>
    <cellStyle name="Input [yellow] 2 12 6 7 4" xfId="37491"/>
    <cellStyle name="Input [yellow] 2 12 6 7 5" xfId="48684"/>
    <cellStyle name="Input [yellow] 2 12 6 8" xfId="4594"/>
    <cellStyle name="Input [yellow] 2 12 6 8 2" xfId="15791"/>
    <cellStyle name="Input [yellow] 2 12 6 8 3" xfId="26959"/>
    <cellStyle name="Input [yellow] 2 12 6 8 4" xfId="38124"/>
    <cellStyle name="Input [yellow] 2 12 6 8 5" xfId="49317"/>
    <cellStyle name="Input [yellow] 2 12 6 9" xfId="5225"/>
    <cellStyle name="Input [yellow] 2 12 6 9 2" xfId="16422"/>
    <cellStyle name="Input [yellow] 2 12 6 9 3" xfId="27590"/>
    <cellStyle name="Input [yellow] 2 12 6 9 4" xfId="38755"/>
    <cellStyle name="Input [yellow] 2 12 6 9 5" xfId="49948"/>
    <cellStyle name="Input [yellow] 2 12 7" xfId="437"/>
    <cellStyle name="Input [yellow] 2 12 7 10" xfId="5963"/>
    <cellStyle name="Input [yellow] 2 12 7 10 2" xfId="17160"/>
    <cellStyle name="Input [yellow] 2 12 7 10 3" xfId="28328"/>
    <cellStyle name="Input [yellow] 2 12 7 10 4" xfId="39493"/>
    <cellStyle name="Input [yellow] 2 12 7 10 5" xfId="50686"/>
    <cellStyle name="Input [yellow] 2 12 7 11" xfId="6373"/>
    <cellStyle name="Input [yellow] 2 12 7 11 2" xfId="17570"/>
    <cellStyle name="Input [yellow] 2 12 7 11 3" xfId="28738"/>
    <cellStyle name="Input [yellow] 2 12 7 11 4" xfId="39903"/>
    <cellStyle name="Input [yellow] 2 12 7 11 5" xfId="51096"/>
    <cellStyle name="Input [yellow] 2 12 7 12" xfId="7006"/>
    <cellStyle name="Input [yellow] 2 12 7 12 2" xfId="18203"/>
    <cellStyle name="Input [yellow] 2 12 7 12 3" xfId="29371"/>
    <cellStyle name="Input [yellow] 2 12 7 12 4" xfId="40536"/>
    <cellStyle name="Input [yellow] 2 12 7 12 5" xfId="51729"/>
    <cellStyle name="Input [yellow] 2 12 7 13" xfId="7640"/>
    <cellStyle name="Input [yellow] 2 12 7 13 2" xfId="18837"/>
    <cellStyle name="Input [yellow] 2 12 7 13 3" xfId="30005"/>
    <cellStyle name="Input [yellow] 2 12 7 13 4" xfId="41170"/>
    <cellStyle name="Input [yellow] 2 12 7 13 5" xfId="52363"/>
    <cellStyle name="Input [yellow] 2 12 7 14" xfId="8274"/>
    <cellStyle name="Input [yellow] 2 12 7 14 2" xfId="19471"/>
    <cellStyle name="Input [yellow] 2 12 7 14 3" xfId="30639"/>
    <cellStyle name="Input [yellow] 2 12 7 14 4" xfId="41804"/>
    <cellStyle name="Input [yellow] 2 12 7 14 5" xfId="52997"/>
    <cellStyle name="Input [yellow] 2 12 7 15" xfId="8902"/>
    <cellStyle name="Input [yellow] 2 12 7 15 2" xfId="20099"/>
    <cellStyle name="Input [yellow] 2 12 7 15 3" xfId="31267"/>
    <cellStyle name="Input [yellow] 2 12 7 15 4" xfId="42432"/>
    <cellStyle name="Input [yellow] 2 12 7 15 5" xfId="53625"/>
    <cellStyle name="Input [yellow] 2 12 7 16" xfId="9325"/>
    <cellStyle name="Input [yellow] 2 12 7 16 2" xfId="20522"/>
    <cellStyle name="Input [yellow] 2 12 7 16 3" xfId="31690"/>
    <cellStyle name="Input [yellow] 2 12 7 16 4" xfId="42855"/>
    <cellStyle name="Input [yellow] 2 12 7 16 5" xfId="54048"/>
    <cellStyle name="Input [yellow] 2 12 7 17" xfId="9951"/>
    <cellStyle name="Input [yellow] 2 12 7 17 2" xfId="21148"/>
    <cellStyle name="Input [yellow] 2 12 7 17 3" xfId="32316"/>
    <cellStyle name="Input [yellow] 2 12 7 17 4" xfId="43481"/>
    <cellStyle name="Input [yellow] 2 12 7 17 5" xfId="54674"/>
    <cellStyle name="Input [yellow] 2 12 7 18" xfId="10550"/>
    <cellStyle name="Input [yellow] 2 12 7 18 2" xfId="21747"/>
    <cellStyle name="Input [yellow] 2 12 7 18 3" xfId="32915"/>
    <cellStyle name="Input [yellow] 2 12 7 18 4" xfId="44080"/>
    <cellStyle name="Input [yellow] 2 12 7 18 5" xfId="55273"/>
    <cellStyle name="Input [yellow] 2 12 7 19" xfId="10990"/>
    <cellStyle name="Input [yellow] 2 12 7 19 2" xfId="22187"/>
    <cellStyle name="Input [yellow] 2 12 7 19 3" xfId="33355"/>
    <cellStyle name="Input [yellow] 2 12 7 19 4" xfId="44520"/>
    <cellStyle name="Input [yellow] 2 12 7 19 5" xfId="55713"/>
    <cellStyle name="Input [yellow] 2 12 7 2" xfId="1086"/>
    <cellStyle name="Input [yellow] 2 12 7 2 2" xfId="12283"/>
    <cellStyle name="Input [yellow] 2 12 7 2 3" xfId="23451"/>
    <cellStyle name="Input [yellow] 2 12 7 2 4" xfId="34616"/>
    <cellStyle name="Input [yellow] 2 12 7 2 5" xfId="45809"/>
    <cellStyle name="Input [yellow] 2 12 7 20" xfId="11637"/>
    <cellStyle name="Input [yellow] 2 12 7 21" xfId="22807"/>
    <cellStyle name="Input [yellow] 2 12 7 22" xfId="33974"/>
    <cellStyle name="Input [yellow] 2 12 7 23" xfId="45160"/>
    <cellStyle name="Input [yellow] 2 12 7 3" xfId="1396"/>
    <cellStyle name="Input [yellow] 2 12 7 3 2" xfId="12593"/>
    <cellStyle name="Input [yellow] 2 12 7 3 3" xfId="23761"/>
    <cellStyle name="Input [yellow] 2 12 7 3 4" xfId="34926"/>
    <cellStyle name="Input [yellow] 2 12 7 3 5" xfId="46119"/>
    <cellStyle name="Input [yellow] 2 12 7 4" xfId="2362"/>
    <cellStyle name="Input [yellow] 2 12 7 4 2" xfId="13559"/>
    <cellStyle name="Input [yellow] 2 12 7 4 3" xfId="24727"/>
    <cellStyle name="Input [yellow] 2 12 7 4 4" xfId="35892"/>
    <cellStyle name="Input [yellow] 2 12 7 4 5" xfId="47085"/>
    <cellStyle name="Input [yellow] 2 12 7 5" xfId="2787"/>
    <cellStyle name="Input [yellow] 2 12 7 5 2" xfId="13984"/>
    <cellStyle name="Input [yellow] 2 12 7 5 3" xfId="25152"/>
    <cellStyle name="Input [yellow] 2 12 7 5 4" xfId="36317"/>
    <cellStyle name="Input [yellow] 2 12 7 5 5" xfId="47510"/>
    <cellStyle name="Input [yellow] 2 12 7 6" xfId="3421"/>
    <cellStyle name="Input [yellow] 2 12 7 6 2" xfId="14618"/>
    <cellStyle name="Input [yellow] 2 12 7 6 3" xfId="25786"/>
    <cellStyle name="Input [yellow] 2 12 7 6 4" xfId="36951"/>
    <cellStyle name="Input [yellow] 2 12 7 6 5" xfId="48144"/>
    <cellStyle name="Input [yellow] 2 12 7 7" xfId="4055"/>
    <cellStyle name="Input [yellow] 2 12 7 7 2" xfId="15252"/>
    <cellStyle name="Input [yellow] 2 12 7 7 3" xfId="26420"/>
    <cellStyle name="Input [yellow] 2 12 7 7 4" xfId="37585"/>
    <cellStyle name="Input [yellow] 2 12 7 7 5" xfId="48778"/>
    <cellStyle name="Input [yellow] 2 12 7 8" xfId="4688"/>
    <cellStyle name="Input [yellow] 2 12 7 8 2" xfId="15885"/>
    <cellStyle name="Input [yellow] 2 12 7 8 3" xfId="27053"/>
    <cellStyle name="Input [yellow] 2 12 7 8 4" xfId="38218"/>
    <cellStyle name="Input [yellow] 2 12 7 8 5" xfId="49411"/>
    <cellStyle name="Input [yellow] 2 12 7 9" xfId="5319"/>
    <cellStyle name="Input [yellow] 2 12 7 9 2" xfId="16516"/>
    <cellStyle name="Input [yellow] 2 12 7 9 3" xfId="27684"/>
    <cellStyle name="Input [yellow] 2 12 7 9 4" xfId="38849"/>
    <cellStyle name="Input [yellow] 2 12 7 9 5" xfId="50042"/>
    <cellStyle name="Input [yellow] 2 12 8" xfId="513"/>
    <cellStyle name="Input [yellow] 2 12 8 10" xfId="5636"/>
    <cellStyle name="Input [yellow] 2 12 8 10 2" xfId="16833"/>
    <cellStyle name="Input [yellow] 2 12 8 10 3" xfId="28001"/>
    <cellStyle name="Input [yellow] 2 12 8 10 4" xfId="39166"/>
    <cellStyle name="Input [yellow] 2 12 8 10 5" xfId="50359"/>
    <cellStyle name="Input [yellow] 2 12 8 11" xfId="6449"/>
    <cellStyle name="Input [yellow] 2 12 8 11 2" xfId="17646"/>
    <cellStyle name="Input [yellow] 2 12 8 11 3" xfId="28814"/>
    <cellStyle name="Input [yellow] 2 12 8 11 4" xfId="39979"/>
    <cellStyle name="Input [yellow] 2 12 8 11 5" xfId="51172"/>
    <cellStyle name="Input [yellow] 2 12 8 12" xfId="7082"/>
    <cellStyle name="Input [yellow] 2 12 8 12 2" xfId="18279"/>
    <cellStyle name="Input [yellow] 2 12 8 12 3" xfId="29447"/>
    <cellStyle name="Input [yellow] 2 12 8 12 4" xfId="40612"/>
    <cellStyle name="Input [yellow] 2 12 8 12 5" xfId="51805"/>
    <cellStyle name="Input [yellow] 2 12 8 13" xfId="7716"/>
    <cellStyle name="Input [yellow] 2 12 8 13 2" xfId="18913"/>
    <cellStyle name="Input [yellow] 2 12 8 13 3" xfId="30081"/>
    <cellStyle name="Input [yellow] 2 12 8 13 4" xfId="41246"/>
    <cellStyle name="Input [yellow] 2 12 8 13 5" xfId="52439"/>
    <cellStyle name="Input [yellow] 2 12 8 14" xfId="8350"/>
    <cellStyle name="Input [yellow] 2 12 8 14 2" xfId="19547"/>
    <cellStyle name="Input [yellow] 2 12 8 14 3" xfId="30715"/>
    <cellStyle name="Input [yellow] 2 12 8 14 4" xfId="41880"/>
    <cellStyle name="Input [yellow] 2 12 8 14 5" xfId="53073"/>
    <cellStyle name="Input [yellow] 2 12 8 15" xfId="8978"/>
    <cellStyle name="Input [yellow] 2 12 8 15 2" xfId="20175"/>
    <cellStyle name="Input [yellow] 2 12 8 15 3" xfId="31343"/>
    <cellStyle name="Input [yellow] 2 12 8 15 4" xfId="42508"/>
    <cellStyle name="Input [yellow] 2 12 8 15 5" xfId="53701"/>
    <cellStyle name="Input [yellow] 2 12 8 16" xfId="9401"/>
    <cellStyle name="Input [yellow] 2 12 8 16 2" xfId="20598"/>
    <cellStyle name="Input [yellow] 2 12 8 16 3" xfId="31766"/>
    <cellStyle name="Input [yellow] 2 12 8 16 4" xfId="42931"/>
    <cellStyle name="Input [yellow] 2 12 8 16 5" xfId="54124"/>
    <cellStyle name="Input [yellow] 2 12 8 17" xfId="10026"/>
    <cellStyle name="Input [yellow] 2 12 8 17 2" xfId="21223"/>
    <cellStyle name="Input [yellow] 2 12 8 17 3" xfId="32391"/>
    <cellStyle name="Input [yellow] 2 12 8 17 4" xfId="43556"/>
    <cellStyle name="Input [yellow] 2 12 8 17 5" xfId="54749"/>
    <cellStyle name="Input [yellow] 2 12 8 18" xfId="10324"/>
    <cellStyle name="Input [yellow] 2 12 8 18 2" xfId="21521"/>
    <cellStyle name="Input [yellow] 2 12 8 18 3" xfId="32689"/>
    <cellStyle name="Input [yellow] 2 12 8 18 4" xfId="43854"/>
    <cellStyle name="Input [yellow] 2 12 8 18 5" xfId="55047"/>
    <cellStyle name="Input [yellow] 2 12 8 19" xfId="11066"/>
    <cellStyle name="Input [yellow] 2 12 8 19 2" xfId="22263"/>
    <cellStyle name="Input [yellow] 2 12 8 19 3" xfId="33431"/>
    <cellStyle name="Input [yellow] 2 12 8 19 4" xfId="44596"/>
    <cellStyle name="Input [yellow] 2 12 8 19 5" xfId="55789"/>
    <cellStyle name="Input [yellow] 2 12 8 2" xfId="1162"/>
    <cellStyle name="Input [yellow] 2 12 8 2 2" xfId="12359"/>
    <cellStyle name="Input [yellow] 2 12 8 2 3" xfId="23527"/>
    <cellStyle name="Input [yellow] 2 12 8 2 4" xfId="34692"/>
    <cellStyle name="Input [yellow] 2 12 8 2 5" xfId="45885"/>
    <cellStyle name="Input [yellow] 2 12 8 20" xfId="11713"/>
    <cellStyle name="Input [yellow] 2 12 8 21" xfId="22883"/>
    <cellStyle name="Input [yellow] 2 12 8 22" xfId="34050"/>
    <cellStyle name="Input [yellow] 2 12 8 23" xfId="45236"/>
    <cellStyle name="Input [yellow] 2 12 8 3" xfId="1626"/>
    <cellStyle name="Input [yellow] 2 12 8 3 2" xfId="12823"/>
    <cellStyle name="Input [yellow] 2 12 8 3 3" xfId="23991"/>
    <cellStyle name="Input [yellow] 2 12 8 3 4" xfId="35156"/>
    <cellStyle name="Input [yellow] 2 12 8 3 5" xfId="46349"/>
    <cellStyle name="Input [yellow] 2 12 8 4" xfId="2438"/>
    <cellStyle name="Input [yellow] 2 12 8 4 2" xfId="13635"/>
    <cellStyle name="Input [yellow] 2 12 8 4 3" xfId="24803"/>
    <cellStyle name="Input [yellow] 2 12 8 4 4" xfId="35968"/>
    <cellStyle name="Input [yellow] 2 12 8 4 5" xfId="47161"/>
    <cellStyle name="Input [yellow] 2 12 8 5" xfId="2863"/>
    <cellStyle name="Input [yellow] 2 12 8 5 2" xfId="14060"/>
    <cellStyle name="Input [yellow] 2 12 8 5 3" xfId="25228"/>
    <cellStyle name="Input [yellow] 2 12 8 5 4" xfId="36393"/>
    <cellStyle name="Input [yellow] 2 12 8 5 5" xfId="47586"/>
    <cellStyle name="Input [yellow] 2 12 8 6" xfId="3497"/>
    <cellStyle name="Input [yellow] 2 12 8 6 2" xfId="14694"/>
    <cellStyle name="Input [yellow] 2 12 8 6 3" xfId="25862"/>
    <cellStyle name="Input [yellow] 2 12 8 6 4" xfId="37027"/>
    <cellStyle name="Input [yellow] 2 12 8 6 5" xfId="48220"/>
    <cellStyle name="Input [yellow] 2 12 8 7" xfId="4131"/>
    <cellStyle name="Input [yellow] 2 12 8 7 2" xfId="15328"/>
    <cellStyle name="Input [yellow] 2 12 8 7 3" xfId="26496"/>
    <cellStyle name="Input [yellow] 2 12 8 7 4" xfId="37661"/>
    <cellStyle name="Input [yellow] 2 12 8 7 5" xfId="48854"/>
    <cellStyle name="Input [yellow] 2 12 8 8" xfId="4764"/>
    <cellStyle name="Input [yellow] 2 12 8 8 2" xfId="15961"/>
    <cellStyle name="Input [yellow] 2 12 8 8 3" xfId="27129"/>
    <cellStyle name="Input [yellow] 2 12 8 8 4" xfId="38294"/>
    <cellStyle name="Input [yellow] 2 12 8 8 5" xfId="49487"/>
    <cellStyle name="Input [yellow] 2 12 8 9" xfId="5395"/>
    <cellStyle name="Input [yellow] 2 12 8 9 2" xfId="16592"/>
    <cellStyle name="Input [yellow] 2 12 8 9 3" xfId="27760"/>
    <cellStyle name="Input [yellow] 2 12 8 9 4" xfId="38925"/>
    <cellStyle name="Input [yellow] 2 12 8 9 5" xfId="50118"/>
    <cellStyle name="Input [yellow] 2 12 9" xfId="571"/>
    <cellStyle name="Input [yellow] 2 12 9 10" xfId="5855"/>
    <cellStyle name="Input [yellow] 2 12 9 10 2" xfId="17052"/>
    <cellStyle name="Input [yellow] 2 12 9 10 3" xfId="28220"/>
    <cellStyle name="Input [yellow] 2 12 9 10 4" xfId="39385"/>
    <cellStyle name="Input [yellow] 2 12 9 10 5" xfId="50578"/>
    <cellStyle name="Input [yellow] 2 12 9 11" xfId="6507"/>
    <cellStyle name="Input [yellow] 2 12 9 11 2" xfId="17704"/>
    <cellStyle name="Input [yellow] 2 12 9 11 3" xfId="28872"/>
    <cellStyle name="Input [yellow] 2 12 9 11 4" xfId="40037"/>
    <cellStyle name="Input [yellow] 2 12 9 11 5" xfId="51230"/>
    <cellStyle name="Input [yellow] 2 12 9 12" xfId="7140"/>
    <cellStyle name="Input [yellow] 2 12 9 12 2" xfId="18337"/>
    <cellStyle name="Input [yellow] 2 12 9 12 3" xfId="29505"/>
    <cellStyle name="Input [yellow] 2 12 9 12 4" xfId="40670"/>
    <cellStyle name="Input [yellow] 2 12 9 12 5" xfId="51863"/>
    <cellStyle name="Input [yellow] 2 12 9 13" xfId="7774"/>
    <cellStyle name="Input [yellow] 2 12 9 13 2" xfId="18971"/>
    <cellStyle name="Input [yellow] 2 12 9 13 3" xfId="30139"/>
    <cellStyle name="Input [yellow] 2 12 9 13 4" xfId="41304"/>
    <cellStyle name="Input [yellow] 2 12 9 13 5" xfId="52497"/>
    <cellStyle name="Input [yellow] 2 12 9 14" xfId="8408"/>
    <cellStyle name="Input [yellow] 2 12 9 14 2" xfId="19605"/>
    <cellStyle name="Input [yellow] 2 12 9 14 3" xfId="30773"/>
    <cellStyle name="Input [yellow] 2 12 9 14 4" xfId="41938"/>
    <cellStyle name="Input [yellow] 2 12 9 14 5" xfId="53131"/>
    <cellStyle name="Input [yellow] 2 12 9 15" xfId="9036"/>
    <cellStyle name="Input [yellow] 2 12 9 15 2" xfId="20233"/>
    <cellStyle name="Input [yellow] 2 12 9 15 3" xfId="31401"/>
    <cellStyle name="Input [yellow] 2 12 9 15 4" xfId="42566"/>
    <cellStyle name="Input [yellow] 2 12 9 15 5" xfId="53759"/>
    <cellStyle name="Input [yellow] 2 12 9 16" xfId="9459"/>
    <cellStyle name="Input [yellow] 2 12 9 16 2" xfId="20656"/>
    <cellStyle name="Input [yellow] 2 12 9 16 3" xfId="31824"/>
    <cellStyle name="Input [yellow] 2 12 9 16 4" xfId="42989"/>
    <cellStyle name="Input [yellow] 2 12 9 16 5" xfId="54182"/>
    <cellStyle name="Input [yellow] 2 12 9 17" xfId="10084"/>
    <cellStyle name="Input [yellow] 2 12 9 17 2" xfId="21281"/>
    <cellStyle name="Input [yellow] 2 12 9 17 3" xfId="32449"/>
    <cellStyle name="Input [yellow] 2 12 9 17 4" xfId="43614"/>
    <cellStyle name="Input [yellow] 2 12 9 17 5" xfId="54807"/>
    <cellStyle name="Input [yellow] 2 12 9 18" xfId="9643"/>
    <cellStyle name="Input [yellow] 2 12 9 18 2" xfId="20840"/>
    <cellStyle name="Input [yellow] 2 12 9 18 3" xfId="32008"/>
    <cellStyle name="Input [yellow] 2 12 9 18 4" xfId="43173"/>
    <cellStyle name="Input [yellow] 2 12 9 18 5" xfId="54366"/>
    <cellStyle name="Input [yellow] 2 12 9 19" xfId="11124"/>
    <cellStyle name="Input [yellow] 2 12 9 19 2" xfId="22321"/>
    <cellStyle name="Input [yellow] 2 12 9 19 3" xfId="33489"/>
    <cellStyle name="Input [yellow] 2 12 9 19 4" xfId="44654"/>
    <cellStyle name="Input [yellow] 2 12 9 19 5" xfId="55847"/>
    <cellStyle name="Input [yellow] 2 12 9 2" xfId="1220"/>
    <cellStyle name="Input [yellow] 2 12 9 2 2" xfId="12417"/>
    <cellStyle name="Input [yellow] 2 12 9 2 3" xfId="23585"/>
    <cellStyle name="Input [yellow] 2 12 9 2 4" xfId="34750"/>
    <cellStyle name="Input [yellow] 2 12 9 2 5" xfId="45943"/>
    <cellStyle name="Input [yellow] 2 12 9 20" xfId="11771"/>
    <cellStyle name="Input [yellow] 2 12 9 21" xfId="22941"/>
    <cellStyle name="Input [yellow] 2 12 9 22" xfId="34108"/>
    <cellStyle name="Input [yellow] 2 12 9 23" xfId="45294"/>
    <cellStyle name="Input [yellow] 2 12 9 3" xfId="1431"/>
    <cellStyle name="Input [yellow] 2 12 9 3 2" xfId="12628"/>
    <cellStyle name="Input [yellow] 2 12 9 3 3" xfId="23796"/>
    <cellStyle name="Input [yellow] 2 12 9 3 4" xfId="34961"/>
    <cellStyle name="Input [yellow] 2 12 9 3 5" xfId="46154"/>
    <cellStyle name="Input [yellow] 2 12 9 4" xfId="2496"/>
    <cellStyle name="Input [yellow] 2 12 9 4 2" xfId="13693"/>
    <cellStyle name="Input [yellow] 2 12 9 4 3" xfId="24861"/>
    <cellStyle name="Input [yellow] 2 12 9 4 4" xfId="36026"/>
    <cellStyle name="Input [yellow] 2 12 9 4 5" xfId="47219"/>
    <cellStyle name="Input [yellow] 2 12 9 5" xfId="2921"/>
    <cellStyle name="Input [yellow] 2 12 9 5 2" xfId="14118"/>
    <cellStyle name="Input [yellow] 2 12 9 5 3" xfId="25286"/>
    <cellStyle name="Input [yellow] 2 12 9 5 4" xfId="36451"/>
    <cellStyle name="Input [yellow] 2 12 9 5 5" xfId="47644"/>
    <cellStyle name="Input [yellow] 2 12 9 6" xfId="3555"/>
    <cellStyle name="Input [yellow] 2 12 9 6 2" xfId="14752"/>
    <cellStyle name="Input [yellow] 2 12 9 6 3" xfId="25920"/>
    <cellStyle name="Input [yellow] 2 12 9 6 4" xfId="37085"/>
    <cellStyle name="Input [yellow] 2 12 9 6 5" xfId="48278"/>
    <cellStyle name="Input [yellow] 2 12 9 7" xfId="4189"/>
    <cellStyle name="Input [yellow] 2 12 9 7 2" xfId="15386"/>
    <cellStyle name="Input [yellow] 2 12 9 7 3" xfId="26554"/>
    <cellStyle name="Input [yellow] 2 12 9 7 4" xfId="37719"/>
    <cellStyle name="Input [yellow] 2 12 9 7 5" xfId="48912"/>
    <cellStyle name="Input [yellow] 2 12 9 8" xfId="4822"/>
    <cellStyle name="Input [yellow] 2 12 9 8 2" xfId="16019"/>
    <cellStyle name="Input [yellow] 2 12 9 8 3" xfId="27187"/>
    <cellStyle name="Input [yellow] 2 12 9 8 4" xfId="38352"/>
    <cellStyle name="Input [yellow] 2 12 9 8 5" xfId="49545"/>
    <cellStyle name="Input [yellow] 2 12 9 9" xfId="5453"/>
    <cellStyle name="Input [yellow] 2 12 9 9 2" xfId="16650"/>
    <cellStyle name="Input [yellow] 2 12 9 9 3" xfId="27818"/>
    <cellStyle name="Input [yellow] 2 12 9 9 4" xfId="38983"/>
    <cellStyle name="Input [yellow] 2 12 9 9 5" xfId="50176"/>
    <cellStyle name="Input [yellow] 2 13" xfId="105"/>
    <cellStyle name="Input [yellow] 2 13 10" xfId="621"/>
    <cellStyle name="Input [yellow] 2 13 10 10" xfId="5917"/>
    <cellStyle name="Input [yellow] 2 13 10 10 2" xfId="17114"/>
    <cellStyle name="Input [yellow] 2 13 10 10 3" xfId="28282"/>
    <cellStyle name="Input [yellow] 2 13 10 10 4" xfId="39447"/>
    <cellStyle name="Input [yellow] 2 13 10 10 5" xfId="50640"/>
    <cellStyle name="Input [yellow] 2 13 10 11" xfId="6557"/>
    <cellStyle name="Input [yellow] 2 13 10 11 2" xfId="17754"/>
    <cellStyle name="Input [yellow] 2 13 10 11 3" xfId="28922"/>
    <cellStyle name="Input [yellow] 2 13 10 11 4" xfId="40087"/>
    <cellStyle name="Input [yellow] 2 13 10 11 5" xfId="51280"/>
    <cellStyle name="Input [yellow] 2 13 10 12" xfId="7190"/>
    <cellStyle name="Input [yellow] 2 13 10 12 2" xfId="18387"/>
    <cellStyle name="Input [yellow] 2 13 10 12 3" xfId="29555"/>
    <cellStyle name="Input [yellow] 2 13 10 12 4" xfId="40720"/>
    <cellStyle name="Input [yellow] 2 13 10 12 5" xfId="51913"/>
    <cellStyle name="Input [yellow] 2 13 10 13" xfId="7824"/>
    <cellStyle name="Input [yellow] 2 13 10 13 2" xfId="19021"/>
    <cellStyle name="Input [yellow] 2 13 10 13 3" xfId="30189"/>
    <cellStyle name="Input [yellow] 2 13 10 13 4" xfId="41354"/>
    <cellStyle name="Input [yellow] 2 13 10 13 5" xfId="52547"/>
    <cellStyle name="Input [yellow] 2 13 10 14" xfId="8458"/>
    <cellStyle name="Input [yellow] 2 13 10 14 2" xfId="19655"/>
    <cellStyle name="Input [yellow] 2 13 10 14 3" xfId="30823"/>
    <cellStyle name="Input [yellow] 2 13 10 14 4" xfId="41988"/>
    <cellStyle name="Input [yellow] 2 13 10 14 5" xfId="53181"/>
    <cellStyle name="Input [yellow] 2 13 10 15" xfId="9086"/>
    <cellStyle name="Input [yellow] 2 13 10 15 2" xfId="20283"/>
    <cellStyle name="Input [yellow] 2 13 10 15 3" xfId="31451"/>
    <cellStyle name="Input [yellow] 2 13 10 15 4" xfId="42616"/>
    <cellStyle name="Input [yellow] 2 13 10 15 5" xfId="53809"/>
    <cellStyle name="Input [yellow] 2 13 10 16" xfId="9509"/>
    <cellStyle name="Input [yellow] 2 13 10 16 2" xfId="20706"/>
    <cellStyle name="Input [yellow] 2 13 10 16 3" xfId="31874"/>
    <cellStyle name="Input [yellow] 2 13 10 16 4" xfId="43039"/>
    <cellStyle name="Input [yellow] 2 13 10 16 5" xfId="54232"/>
    <cellStyle name="Input [yellow] 2 13 10 17" xfId="10134"/>
    <cellStyle name="Input [yellow] 2 13 10 17 2" xfId="21331"/>
    <cellStyle name="Input [yellow] 2 13 10 17 3" xfId="32499"/>
    <cellStyle name="Input [yellow] 2 13 10 17 4" xfId="43664"/>
    <cellStyle name="Input [yellow] 2 13 10 17 5" xfId="54857"/>
    <cellStyle name="Input [yellow] 2 13 10 18" xfId="10515"/>
    <cellStyle name="Input [yellow] 2 13 10 18 2" xfId="21712"/>
    <cellStyle name="Input [yellow] 2 13 10 18 3" xfId="32880"/>
    <cellStyle name="Input [yellow] 2 13 10 18 4" xfId="44045"/>
    <cellStyle name="Input [yellow] 2 13 10 18 5" xfId="55238"/>
    <cellStyle name="Input [yellow] 2 13 10 19" xfId="11174"/>
    <cellStyle name="Input [yellow] 2 13 10 19 2" xfId="22371"/>
    <cellStyle name="Input [yellow] 2 13 10 19 3" xfId="33539"/>
    <cellStyle name="Input [yellow] 2 13 10 19 4" xfId="44704"/>
    <cellStyle name="Input [yellow] 2 13 10 19 5" xfId="55897"/>
    <cellStyle name="Input [yellow] 2 13 10 2" xfId="1270"/>
    <cellStyle name="Input [yellow] 2 13 10 2 2" xfId="12467"/>
    <cellStyle name="Input [yellow] 2 13 10 2 3" xfId="23635"/>
    <cellStyle name="Input [yellow] 2 13 10 2 4" xfId="34800"/>
    <cellStyle name="Input [yellow] 2 13 10 2 5" xfId="45993"/>
    <cellStyle name="Input [yellow] 2 13 10 20" xfId="11821"/>
    <cellStyle name="Input [yellow] 2 13 10 21" xfId="22991"/>
    <cellStyle name="Input [yellow] 2 13 10 22" xfId="34158"/>
    <cellStyle name="Input [yellow] 2 13 10 23" xfId="45344"/>
    <cellStyle name="Input [yellow] 2 13 10 3" xfId="1812"/>
    <cellStyle name="Input [yellow] 2 13 10 3 2" xfId="13009"/>
    <cellStyle name="Input [yellow] 2 13 10 3 3" xfId="24177"/>
    <cellStyle name="Input [yellow] 2 13 10 3 4" xfId="35342"/>
    <cellStyle name="Input [yellow] 2 13 10 3 5" xfId="46535"/>
    <cellStyle name="Input [yellow] 2 13 10 4" xfId="2546"/>
    <cellStyle name="Input [yellow] 2 13 10 4 2" xfId="13743"/>
    <cellStyle name="Input [yellow] 2 13 10 4 3" xfId="24911"/>
    <cellStyle name="Input [yellow] 2 13 10 4 4" xfId="36076"/>
    <cellStyle name="Input [yellow] 2 13 10 4 5" xfId="47269"/>
    <cellStyle name="Input [yellow] 2 13 10 5" xfId="2971"/>
    <cellStyle name="Input [yellow] 2 13 10 5 2" xfId="14168"/>
    <cellStyle name="Input [yellow] 2 13 10 5 3" xfId="25336"/>
    <cellStyle name="Input [yellow] 2 13 10 5 4" xfId="36501"/>
    <cellStyle name="Input [yellow] 2 13 10 5 5" xfId="47694"/>
    <cellStyle name="Input [yellow] 2 13 10 6" xfId="3605"/>
    <cellStyle name="Input [yellow] 2 13 10 6 2" xfId="14802"/>
    <cellStyle name="Input [yellow] 2 13 10 6 3" xfId="25970"/>
    <cellStyle name="Input [yellow] 2 13 10 6 4" xfId="37135"/>
    <cellStyle name="Input [yellow] 2 13 10 6 5" xfId="48328"/>
    <cellStyle name="Input [yellow] 2 13 10 7" xfId="4239"/>
    <cellStyle name="Input [yellow] 2 13 10 7 2" xfId="15436"/>
    <cellStyle name="Input [yellow] 2 13 10 7 3" xfId="26604"/>
    <cellStyle name="Input [yellow] 2 13 10 7 4" xfId="37769"/>
    <cellStyle name="Input [yellow] 2 13 10 7 5" xfId="48962"/>
    <cellStyle name="Input [yellow] 2 13 10 8" xfId="4872"/>
    <cellStyle name="Input [yellow] 2 13 10 8 2" xfId="16069"/>
    <cellStyle name="Input [yellow] 2 13 10 8 3" xfId="27237"/>
    <cellStyle name="Input [yellow] 2 13 10 8 4" xfId="38402"/>
    <cellStyle name="Input [yellow] 2 13 10 8 5" xfId="49595"/>
    <cellStyle name="Input [yellow] 2 13 10 9" xfId="5503"/>
    <cellStyle name="Input [yellow] 2 13 10 9 2" xfId="16700"/>
    <cellStyle name="Input [yellow] 2 13 10 9 3" xfId="27868"/>
    <cellStyle name="Input [yellow] 2 13 10 9 4" xfId="39033"/>
    <cellStyle name="Input [yellow] 2 13 10 9 5" xfId="50226"/>
    <cellStyle name="Input [yellow] 2 13 11" xfId="662"/>
    <cellStyle name="Input [yellow] 2 13 11 10" xfId="6028"/>
    <cellStyle name="Input [yellow] 2 13 11 10 2" xfId="17225"/>
    <cellStyle name="Input [yellow] 2 13 11 10 3" xfId="28393"/>
    <cellStyle name="Input [yellow] 2 13 11 10 4" xfId="39558"/>
    <cellStyle name="Input [yellow] 2 13 11 10 5" xfId="50751"/>
    <cellStyle name="Input [yellow] 2 13 11 11" xfId="6598"/>
    <cellStyle name="Input [yellow] 2 13 11 11 2" xfId="17795"/>
    <cellStyle name="Input [yellow] 2 13 11 11 3" xfId="28963"/>
    <cellStyle name="Input [yellow] 2 13 11 11 4" xfId="40128"/>
    <cellStyle name="Input [yellow] 2 13 11 11 5" xfId="51321"/>
    <cellStyle name="Input [yellow] 2 13 11 12" xfId="7231"/>
    <cellStyle name="Input [yellow] 2 13 11 12 2" xfId="18428"/>
    <cellStyle name="Input [yellow] 2 13 11 12 3" xfId="29596"/>
    <cellStyle name="Input [yellow] 2 13 11 12 4" xfId="40761"/>
    <cellStyle name="Input [yellow] 2 13 11 12 5" xfId="51954"/>
    <cellStyle name="Input [yellow] 2 13 11 13" xfId="7865"/>
    <cellStyle name="Input [yellow] 2 13 11 13 2" xfId="19062"/>
    <cellStyle name="Input [yellow] 2 13 11 13 3" xfId="30230"/>
    <cellStyle name="Input [yellow] 2 13 11 13 4" xfId="41395"/>
    <cellStyle name="Input [yellow] 2 13 11 13 5" xfId="52588"/>
    <cellStyle name="Input [yellow] 2 13 11 14" xfId="8499"/>
    <cellStyle name="Input [yellow] 2 13 11 14 2" xfId="19696"/>
    <cellStyle name="Input [yellow] 2 13 11 14 3" xfId="30864"/>
    <cellStyle name="Input [yellow] 2 13 11 14 4" xfId="42029"/>
    <cellStyle name="Input [yellow] 2 13 11 14 5" xfId="53222"/>
    <cellStyle name="Input [yellow] 2 13 11 15" xfId="9127"/>
    <cellStyle name="Input [yellow] 2 13 11 15 2" xfId="20324"/>
    <cellStyle name="Input [yellow] 2 13 11 15 3" xfId="31492"/>
    <cellStyle name="Input [yellow] 2 13 11 15 4" xfId="42657"/>
    <cellStyle name="Input [yellow] 2 13 11 15 5" xfId="53850"/>
    <cellStyle name="Input [yellow] 2 13 11 16" xfId="9550"/>
    <cellStyle name="Input [yellow] 2 13 11 16 2" xfId="20747"/>
    <cellStyle name="Input [yellow] 2 13 11 16 3" xfId="31915"/>
    <cellStyle name="Input [yellow] 2 13 11 16 4" xfId="43080"/>
    <cellStyle name="Input [yellow] 2 13 11 16 5" xfId="54273"/>
    <cellStyle name="Input [yellow] 2 13 11 17" xfId="10175"/>
    <cellStyle name="Input [yellow] 2 13 11 17 2" xfId="21372"/>
    <cellStyle name="Input [yellow] 2 13 11 17 3" xfId="32540"/>
    <cellStyle name="Input [yellow] 2 13 11 17 4" xfId="43705"/>
    <cellStyle name="Input [yellow] 2 13 11 17 5" xfId="54898"/>
    <cellStyle name="Input [yellow] 2 13 11 18" xfId="10593"/>
    <cellStyle name="Input [yellow] 2 13 11 18 2" xfId="21790"/>
    <cellStyle name="Input [yellow] 2 13 11 18 3" xfId="32958"/>
    <cellStyle name="Input [yellow] 2 13 11 18 4" xfId="44123"/>
    <cellStyle name="Input [yellow] 2 13 11 18 5" xfId="55316"/>
    <cellStyle name="Input [yellow] 2 13 11 19" xfId="11215"/>
    <cellStyle name="Input [yellow] 2 13 11 19 2" xfId="22412"/>
    <cellStyle name="Input [yellow] 2 13 11 19 3" xfId="33580"/>
    <cellStyle name="Input [yellow] 2 13 11 19 4" xfId="44745"/>
    <cellStyle name="Input [yellow] 2 13 11 19 5" xfId="55938"/>
    <cellStyle name="Input [yellow] 2 13 11 2" xfId="1311"/>
    <cellStyle name="Input [yellow] 2 13 11 2 2" xfId="12508"/>
    <cellStyle name="Input [yellow] 2 13 11 2 3" xfId="23676"/>
    <cellStyle name="Input [yellow] 2 13 11 2 4" xfId="34841"/>
    <cellStyle name="Input [yellow] 2 13 11 2 5" xfId="46034"/>
    <cellStyle name="Input [yellow] 2 13 11 20" xfId="11862"/>
    <cellStyle name="Input [yellow] 2 13 11 21" xfId="23032"/>
    <cellStyle name="Input [yellow] 2 13 11 22" xfId="34199"/>
    <cellStyle name="Input [yellow] 2 13 11 23" xfId="45385"/>
    <cellStyle name="Input [yellow] 2 13 11 3" xfId="1924"/>
    <cellStyle name="Input [yellow] 2 13 11 3 2" xfId="13121"/>
    <cellStyle name="Input [yellow] 2 13 11 3 3" xfId="24289"/>
    <cellStyle name="Input [yellow] 2 13 11 3 4" xfId="35454"/>
    <cellStyle name="Input [yellow] 2 13 11 3 5" xfId="46647"/>
    <cellStyle name="Input [yellow] 2 13 11 4" xfId="2587"/>
    <cellStyle name="Input [yellow] 2 13 11 4 2" xfId="13784"/>
    <cellStyle name="Input [yellow] 2 13 11 4 3" xfId="24952"/>
    <cellStyle name="Input [yellow] 2 13 11 4 4" xfId="36117"/>
    <cellStyle name="Input [yellow] 2 13 11 4 5" xfId="47310"/>
    <cellStyle name="Input [yellow] 2 13 11 5" xfId="3012"/>
    <cellStyle name="Input [yellow] 2 13 11 5 2" xfId="14209"/>
    <cellStyle name="Input [yellow] 2 13 11 5 3" xfId="25377"/>
    <cellStyle name="Input [yellow] 2 13 11 5 4" xfId="36542"/>
    <cellStyle name="Input [yellow] 2 13 11 5 5" xfId="47735"/>
    <cellStyle name="Input [yellow] 2 13 11 6" xfId="3646"/>
    <cellStyle name="Input [yellow] 2 13 11 6 2" xfId="14843"/>
    <cellStyle name="Input [yellow] 2 13 11 6 3" xfId="26011"/>
    <cellStyle name="Input [yellow] 2 13 11 6 4" xfId="37176"/>
    <cellStyle name="Input [yellow] 2 13 11 6 5" xfId="48369"/>
    <cellStyle name="Input [yellow] 2 13 11 7" xfId="4280"/>
    <cellStyle name="Input [yellow] 2 13 11 7 2" xfId="15477"/>
    <cellStyle name="Input [yellow] 2 13 11 7 3" xfId="26645"/>
    <cellStyle name="Input [yellow] 2 13 11 7 4" xfId="37810"/>
    <cellStyle name="Input [yellow] 2 13 11 7 5" xfId="49003"/>
    <cellStyle name="Input [yellow] 2 13 11 8" xfId="4913"/>
    <cellStyle name="Input [yellow] 2 13 11 8 2" xfId="16110"/>
    <cellStyle name="Input [yellow] 2 13 11 8 3" xfId="27278"/>
    <cellStyle name="Input [yellow] 2 13 11 8 4" xfId="38443"/>
    <cellStyle name="Input [yellow] 2 13 11 8 5" xfId="49636"/>
    <cellStyle name="Input [yellow] 2 13 11 9" xfId="5544"/>
    <cellStyle name="Input [yellow] 2 13 11 9 2" xfId="16741"/>
    <cellStyle name="Input [yellow] 2 13 11 9 3" xfId="27909"/>
    <cellStyle name="Input [yellow] 2 13 11 9 4" xfId="39074"/>
    <cellStyle name="Input [yellow] 2 13 11 9 5" xfId="50267"/>
    <cellStyle name="Input [yellow] 2 13 12" xfId="754"/>
    <cellStyle name="Input [yellow] 2 13 12 2" xfId="11952"/>
    <cellStyle name="Input [yellow] 2 13 12 3" xfId="23120"/>
    <cellStyle name="Input [yellow] 2 13 12 4" xfId="34285"/>
    <cellStyle name="Input [yellow] 2 13 12 5" xfId="45477"/>
    <cellStyle name="Input [yellow] 2 13 13" xfId="1725"/>
    <cellStyle name="Input [yellow] 2 13 13 2" xfId="12922"/>
    <cellStyle name="Input [yellow] 2 13 13 3" xfId="24090"/>
    <cellStyle name="Input [yellow] 2 13 13 4" xfId="35255"/>
    <cellStyle name="Input [yellow] 2 13 13 5" xfId="46448"/>
    <cellStyle name="Input [yellow] 2 13 14" xfId="2031"/>
    <cellStyle name="Input [yellow] 2 13 14 2" xfId="13228"/>
    <cellStyle name="Input [yellow] 2 13 14 3" xfId="24396"/>
    <cellStyle name="Input [yellow] 2 13 14 4" xfId="35561"/>
    <cellStyle name="Input [yellow] 2 13 14 5" xfId="46754"/>
    <cellStyle name="Input [yellow] 2 13 15" xfId="2015"/>
    <cellStyle name="Input [yellow] 2 13 15 2" xfId="13212"/>
    <cellStyle name="Input [yellow] 2 13 15 3" xfId="24380"/>
    <cellStyle name="Input [yellow] 2 13 15 4" xfId="35545"/>
    <cellStyle name="Input [yellow] 2 13 15 5" xfId="46738"/>
    <cellStyle name="Input [yellow] 2 13 16" xfId="3089"/>
    <cellStyle name="Input [yellow] 2 13 16 2" xfId="14286"/>
    <cellStyle name="Input [yellow] 2 13 16 3" xfId="25454"/>
    <cellStyle name="Input [yellow] 2 13 16 4" xfId="36619"/>
    <cellStyle name="Input [yellow] 2 13 16 5" xfId="47812"/>
    <cellStyle name="Input [yellow] 2 13 17" xfId="3723"/>
    <cellStyle name="Input [yellow] 2 13 17 2" xfId="14920"/>
    <cellStyle name="Input [yellow] 2 13 17 3" xfId="26088"/>
    <cellStyle name="Input [yellow] 2 13 17 4" xfId="37253"/>
    <cellStyle name="Input [yellow] 2 13 17 5" xfId="48446"/>
    <cellStyle name="Input [yellow] 2 13 18" xfId="4356"/>
    <cellStyle name="Input [yellow] 2 13 18 2" xfId="15553"/>
    <cellStyle name="Input [yellow] 2 13 18 3" xfId="26721"/>
    <cellStyle name="Input [yellow] 2 13 18 4" xfId="37886"/>
    <cellStyle name="Input [yellow] 2 13 18 5" xfId="49079"/>
    <cellStyle name="Input [yellow] 2 13 19" xfId="4988"/>
    <cellStyle name="Input [yellow] 2 13 19 2" xfId="16185"/>
    <cellStyle name="Input [yellow] 2 13 19 3" xfId="27353"/>
    <cellStyle name="Input [yellow] 2 13 19 4" xfId="38518"/>
    <cellStyle name="Input [yellow] 2 13 19 5" xfId="49711"/>
    <cellStyle name="Input [yellow] 2 13 2" xfId="169"/>
    <cellStyle name="Input [yellow] 2 13 2 10" xfId="5903"/>
    <cellStyle name="Input [yellow] 2 13 2 10 2" xfId="17100"/>
    <cellStyle name="Input [yellow] 2 13 2 10 3" xfId="28268"/>
    <cellStyle name="Input [yellow] 2 13 2 10 4" xfId="39433"/>
    <cellStyle name="Input [yellow] 2 13 2 10 5" xfId="50626"/>
    <cellStyle name="Input [yellow] 2 13 2 11" xfId="5898"/>
    <cellStyle name="Input [yellow] 2 13 2 11 2" xfId="17095"/>
    <cellStyle name="Input [yellow] 2 13 2 11 3" xfId="28263"/>
    <cellStyle name="Input [yellow] 2 13 2 11 4" xfId="39428"/>
    <cellStyle name="Input [yellow] 2 13 2 11 5" xfId="50621"/>
    <cellStyle name="Input [yellow] 2 13 2 12" xfId="6738"/>
    <cellStyle name="Input [yellow] 2 13 2 12 2" xfId="17935"/>
    <cellStyle name="Input [yellow] 2 13 2 12 3" xfId="29103"/>
    <cellStyle name="Input [yellow] 2 13 2 12 4" xfId="40268"/>
    <cellStyle name="Input [yellow] 2 13 2 12 5" xfId="51461"/>
    <cellStyle name="Input [yellow] 2 13 2 13" xfId="7372"/>
    <cellStyle name="Input [yellow] 2 13 2 13 2" xfId="18569"/>
    <cellStyle name="Input [yellow] 2 13 2 13 3" xfId="29737"/>
    <cellStyle name="Input [yellow] 2 13 2 13 4" xfId="40902"/>
    <cellStyle name="Input [yellow] 2 13 2 13 5" xfId="52095"/>
    <cellStyle name="Input [yellow] 2 13 2 14" xfId="8006"/>
    <cellStyle name="Input [yellow] 2 13 2 14 2" xfId="19203"/>
    <cellStyle name="Input [yellow] 2 13 2 14 3" xfId="30371"/>
    <cellStyle name="Input [yellow] 2 13 2 14 4" xfId="41536"/>
    <cellStyle name="Input [yellow] 2 13 2 14 5" xfId="52729"/>
    <cellStyle name="Input [yellow] 2 13 2 15" xfId="8637"/>
    <cellStyle name="Input [yellow] 2 13 2 15 2" xfId="19834"/>
    <cellStyle name="Input [yellow] 2 13 2 15 3" xfId="31002"/>
    <cellStyle name="Input [yellow] 2 13 2 15 4" xfId="42167"/>
    <cellStyle name="Input [yellow] 2 13 2 15 5" xfId="53360"/>
    <cellStyle name="Input [yellow] 2 13 2 16" xfId="8661"/>
    <cellStyle name="Input [yellow] 2 13 2 16 2" xfId="19858"/>
    <cellStyle name="Input [yellow] 2 13 2 16 3" xfId="31026"/>
    <cellStyle name="Input [yellow] 2 13 2 16 4" xfId="42191"/>
    <cellStyle name="Input [yellow] 2 13 2 16 5" xfId="53384"/>
    <cellStyle name="Input [yellow] 2 13 2 17" xfId="9690"/>
    <cellStyle name="Input [yellow] 2 13 2 17 2" xfId="20887"/>
    <cellStyle name="Input [yellow] 2 13 2 17 3" xfId="32055"/>
    <cellStyle name="Input [yellow] 2 13 2 17 4" xfId="43220"/>
    <cellStyle name="Input [yellow] 2 13 2 17 5" xfId="54413"/>
    <cellStyle name="Input [yellow] 2 13 2 18" xfId="10127"/>
    <cellStyle name="Input [yellow] 2 13 2 18 2" xfId="21324"/>
    <cellStyle name="Input [yellow] 2 13 2 18 3" xfId="32492"/>
    <cellStyle name="Input [yellow] 2 13 2 18 4" xfId="43657"/>
    <cellStyle name="Input [yellow] 2 13 2 18 5" xfId="54850"/>
    <cellStyle name="Input [yellow] 2 13 2 19" xfId="10722"/>
    <cellStyle name="Input [yellow] 2 13 2 19 2" xfId="21919"/>
    <cellStyle name="Input [yellow] 2 13 2 19 3" xfId="33087"/>
    <cellStyle name="Input [yellow] 2 13 2 19 4" xfId="44252"/>
    <cellStyle name="Input [yellow] 2 13 2 19 5" xfId="55445"/>
    <cellStyle name="Input [yellow] 2 13 2 2" xfId="818"/>
    <cellStyle name="Input [yellow] 2 13 2 2 2" xfId="12015"/>
    <cellStyle name="Input [yellow] 2 13 2 2 3" xfId="23183"/>
    <cellStyle name="Input [yellow] 2 13 2 2 4" xfId="34348"/>
    <cellStyle name="Input [yellow] 2 13 2 2 5" xfId="45541"/>
    <cellStyle name="Input [yellow] 2 13 2 20" xfId="11369"/>
    <cellStyle name="Input [yellow] 2 13 2 21" xfId="22539"/>
    <cellStyle name="Input [yellow] 2 13 2 22" xfId="33706"/>
    <cellStyle name="Input [yellow] 2 13 2 23" xfId="44892"/>
    <cellStyle name="Input [yellow] 2 13 2 3" xfId="1952"/>
    <cellStyle name="Input [yellow] 2 13 2 3 2" xfId="13149"/>
    <cellStyle name="Input [yellow] 2 13 2 3 3" xfId="24317"/>
    <cellStyle name="Input [yellow] 2 13 2 3 4" xfId="35482"/>
    <cellStyle name="Input [yellow] 2 13 2 3 5" xfId="46675"/>
    <cellStyle name="Input [yellow] 2 13 2 4" xfId="2095"/>
    <cellStyle name="Input [yellow] 2 13 2 4 2" xfId="13292"/>
    <cellStyle name="Input [yellow] 2 13 2 4 3" xfId="24460"/>
    <cellStyle name="Input [yellow] 2 13 2 4 4" xfId="35625"/>
    <cellStyle name="Input [yellow] 2 13 2 4 5" xfId="46818"/>
    <cellStyle name="Input [yellow] 2 13 2 5" xfId="2552"/>
    <cellStyle name="Input [yellow] 2 13 2 5 2" xfId="13749"/>
    <cellStyle name="Input [yellow] 2 13 2 5 3" xfId="24917"/>
    <cellStyle name="Input [yellow] 2 13 2 5 4" xfId="36082"/>
    <cellStyle name="Input [yellow] 2 13 2 5 5" xfId="47275"/>
    <cellStyle name="Input [yellow] 2 13 2 6" xfId="3153"/>
    <cellStyle name="Input [yellow] 2 13 2 6 2" xfId="14350"/>
    <cellStyle name="Input [yellow] 2 13 2 6 3" xfId="25518"/>
    <cellStyle name="Input [yellow] 2 13 2 6 4" xfId="36683"/>
    <cellStyle name="Input [yellow] 2 13 2 6 5" xfId="47876"/>
    <cellStyle name="Input [yellow] 2 13 2 7" xfId="3787"/>
    <cellStyle name="Input [yellow] 2 13 2 7 2" xfId="14984"/>
    <cellStyle name="Input [yellow] 2 13 2 7 3" xfId="26152"/>
    <cellStyle name="Input [yellow] 2 13 2 7 4" xfId="37317"/>
    <cellStyle name="Input [yellow] 2 13 2 7 5" xfId="48510"/>
    <cellStyle name="Input [yellow] 2 13 2 8" xfId="4420"/>
    <cellStyle name="Input [yellow] 2 13 2 8 2" xfId="15617"/>
    <cellStyle name="Input [yellow] 2 13 2 8 3" xfId="26785"/>
    <cellStyle name="Input [yellow] 2 13 2 8 4" xfId="37950"/>
    <cellStyle name="Input [yellow] 2 13 2 8 5" xfId="49143"/>
    <cellStyle name="Input [yellow] 2 13 2 9" xfId="5051"/>
    <cellStyle name="Input [yellow] 2 13 2 9 2" xfId="16248"/>
    <cellStyle name="Input [yellow] 2 13 2 9 3" xfId="27416"/>
    <cellStyle name="Input [yellow] 2 13 2 9 4" xfId="38581"/>
    <cellStyle name="Input [yellow] 2 13 2 9 5" xfId="49774"/>
    <cellStyle name="Input [yellow] 2 13 20" xfId="5946"/>
    <cellStyle name="Input [yellow] 2 13 20 2" xfId="17143"/>
    <cellStyle name="Input [yellow] 2 13 20 3" xfId="28311"/>
    <cellStyle name="Input [yellow] 2 13 20 4" xfId="39476"/>
    <cellStyle name="Input [yellow] 2 13 20 5" xfId="50669"/>
    <cellStyle name="Input [yellow] 2 13 21" xfId="5639"/>
    <cellStyle name="Input [yellow] 2 13 21 2" xfId="16836"/>
    <cellStyle name="Input [yellow] 2 13 21 3" xfId="28004"/>
    <cellStyle name="Input [yellow] 2 13 21 4" xfId="39169"/>
    <cellStyle name="Input [yellow] 2 13 21 5" xfId="50362"/>
    <cellStyle name="Input [yellow] 2 13 22" xfId="6675"/>
    <cellStyle name="Input [yellow] 2 13 22 2" xfId="17872"/>
    <cellStyle name="Input [yellow] 2 13 22 3" xfId="29040"/>
    <cellStyle name="Input [yellow] 2 13 22 4" xfId="40205"/>
    <cellStyle name="Input [yellow] 2 13 22 5" xfId="51398"/>
    <cellStyle name="Input [yellow] 2 13 23" xfId="7308"/>
    <cellStyle name="Input [yellow] 2 13 23 2" xfId="18505"/>
    <cellStyle name="Input [yellow] 2 13 23 3" xfId="29673"/>
    <cellStyle name="Input [yellow] 2 13 23 4" xfId="40838"/>
    <cellStyle name="Input [yellow] 2 13 23 5" xfId="52031"/>
    <cellStyle name="Input [yellow] 2 13 24" xfId="7942"/>
    <cellStyle name="Input [yellow] 2 13 24 2" xfId="19139"/>
    <cellStyle name="Input [yellow] 2 13 24 3" xfId="30307"/>
    <cellStyle name="Input [yellow] 2 13 24 4" xfId="41472"/>
    <cellStyle name="Input [yellow] 2 13 24 5" xfId="52665"/>
    <cellStyle name="Input [yellow] 2 13 25" xfId="8574"/>
    <cellStyle name="Input [yellow] 2 13 25 2" xfId="19771"/>
    <cellStyle name="Input [yellow] 2 13 25 3" xfId="30939"/>
    <cellStyle name="Input [yellow] 2 13 25 4" xfId="42104"/>
    <cellStyle name="Input [yellow] 2 13 25 5" xfId="53297"/>
    <cellStyle name="Input [yellow] 2 13 26" xfId="8622"/>
    <cellStyle name="Input [yellow] 2 13 26 2" xfId="19819"/>
    <cellStyle name="Input [yellow] 2 13 26 3" xfId="30987"/>
    <cellStyle name="Input [yellow] 2 13 26 4" xfId="42152"/>
    <cellStyle name="Input [yellow] 2 13 26 5" xfId="53345"/>
    <cellStyle name="Input [yellow] 2 13 27" xfId="9626"/>
    <cellStyle name="Input [yellow] 2 13 27 2" xfId="20823"/>
    <cellStyle name="Input [yellow] 2 13 27 3" xfId="31991"/>
    <cellStyle name="Input [yellow] 2 13 27 4" xfId="43156"/>
    <cellStyle name="Input [yellow] 2 13 27 5" xfId="54349"/>
    <cellStyle name="Input [yellow] 2 13 28" xfId="10594"/>
    <cellStyle name="Input [yellow] 2 13 28 2" xfId="21791"/>
    <cellStyle name="Input [yellow] 2 13 28 3" xfId="32959"/>
    <cellStyle name="Input [yellow] 2 13 28 4" xfId="44124"/>
    <cellStyle name="Input [yellow] 2 13 28 5" xfId="55317"/>
    <cellStyle name="Input [yellow] 2 13 29" xfId="10659"/>
    <cellStyle name="Input [yellow] 2 13 29 2" xfId="21856"/>
    <cellStyle name="Input [yellow] 2 13 29 3" xfId="33024"/>
    <cellStyle name="Input [yellow] 2 13 29 4" xfId="44189"/>
    <cellStyle name="Input [yellow] 2 13 29 5" xfId="55382"/>
    <cellStyle name="Input [yellow] 2 13 3" xfId="225"/>
    <cellStyle name="Input [yellow] 2 13 3 10" xfId="5853"/>
    <cellStyle name="Input [yellow] 2 13 3 10 2" xfId="17050"/>
    <cellStyle name="Input [yellow] 2 13 3 10 3" xfId="28218"/>
    <cellStyle name="Input [yellow] 2 13 3 10 4" xfId="39383"/>
    <cellStyle name="Input [yellow] 2 13 3 10 5" xfId="50576"/>
    <cellStyle name="Input [yellow] 2 13 3 11" xfId="6043"/>
    <cellStyle name="Input [yellow] 2 13 3 11 2" xfId="17240"/>
    <cellStyle name="Input [yellow] 2 13 3 11 3" xfId="28408"/>
    <cellStyle name="Input [yellow] 2 13 3 11 4" xfId="39573"/>
    <cellStyle name="Input [yellow] 2 13 3 11 5" xfId="50766"/>
    <cellStyle name="Input [yellow] 2 13 3 12" xfId="6794"/>
    <cellStyle name="Input [yellow] 2 13 3 12 2" xfId="17991"/>
    <cellStyle name="Input [yellow] 2 13 3 12 3" xfId="29159"/>
    <cellStyle name="Input [yellow] 2 13 3 12 4" xfId="40324"/>
    <cellStyle name="Input [yellow] 2 13 3 12 5" xfId="51517"/>
    <cellStyle name="Input [yellow] 2 13 3 13" xfId="7428"/>
    <cellStyle name="Input [yellow] 2 13 3 13 2" xfId="18625"/>
    <cellStyle name="Input [yellow] 2 13 3 13 3" xfId="29793"/>
    <cellStyle name="Input [yellow] 2 13 3 13 4" xfId="40958"/>
    <cellStyle name="Input [yellow] 2 13 3 13 5" xfId="52151"/>
    <cellStyle name="Input [yellow] 2 13 3 14" xfId="8062"/>
    <cellStyle name="Input [yellow] 2 13 3 14 2" xfId="19259"/>
    <cellStyle name="Input [yellow] 2 13 3 14 3" xfId="30427"/>
    <cellStyle name="Input [yellow] 2 13 3 14 4" xfId="41592"/>
    <cellStyle name="Input [yellow] 2 13 3 14 5" xfId="52785"/>
    <cellStyle name="Input [yellow] 2 13 3 15" xfId="8693"/>
    <cellStyle name="Input [yellow] 2 13 3 15 2" xfId="19890"/>
    <cellStyle name="Input [yellow] 2 13 3 15 3" xfId="31058"/>
    <cellStyle name="Input [yellow] 2 13 3 15 4" xfId="42223"/>
    <cellStyle name="Input [yellow] 2 13 3 15 5" xfId="53416"/>
    <cellStyle name="Input [yellow] 2 13 3 16" xfId="8663"/>
    <cellStyle name="Input [yellow] 2 13 3 16 2" xfId="19860"/>
    <cellStyle name="Input [yellow] 2 13 3 16 3" xfId="31028"/>
    <cellStyle name="Input [yellow] 2 13 3 16 4" xfId="42193"/>
    <cellStyle name="Input [yellow] 2 13 3 16 5" xfId="53386"/>
    <cellStyle name="Input [yellow] 2 13 3 17" xfId="9744"/>
    <cellStyle name="Input [yellow] 2 13 3 17 2" xfId="20941"/>
    <cellStyle name="Input [yellow] 2 13 3 17 3" xfId="32109"/>
    <cellStyle name="Input [yellow] 2 13 3 17 4" xfId="43274"/>
    <cellStyle name="Input [yellow] 2 13 3 17 5" xfId="54467"/>
    <cellStyle name="Input [yellow] 2 13 3 18" xfId="10595"/>
    <cellStyle name="Input [yellow] 2 13 3 18 2" xfId="21792"/>
    <cellStyle name="Input [yellow] 2 13 3 18 3" xfId="32960"/>
    <cellStyle name="Input [yellow] 2 13 3 18 4" xfId="44125"/>
    <cellStyle name="Input [yellow] 2 13 3 18 5" xfId="55318"/>
    <cellStyle name="Input [yellow] 2 13 3 19" xfId="10778"/>
    <cellStyle name="Input [yellow] 2 13 3 19 2" xfId="21975"/>
    <cellStyle name="Input [yellow] 2 13 3 19 3" xfId="33143"/>
    <cellStyle name="Input [yellow] 2 13 3 19 4" xfId="44308"/>
    <cellStyle name="Input [yellow] 2 13 3 19 5" xfId="55501"/>
    <cellStyle name="Input [yellow] 2 13 3 2" xfId="874"/>
    <cellStyle name="Input [yellow] 2 13 3 2 2" xfId="12071"/>
    <cellStyle name="Input [yellow] 2 13 3 2 3" xfId="23239"/>
    <cellStyle name="Input [yellow] 2 13 3 2 4" xfId="34404"/>
    <cellStyle name="Input [yellow] 2 13 3 2 5" xfId="45597"/>
    <cellStyle name="Input [yellow] 2 13 3 20" xfId="11425"/>
    <cellStyle name="Input [yellow] 2 13 3 21" xfId="22595"/>
    <cellStyle name="Input [yellow] 2 13 3 22" xfId="33762"/>
    <cellStyle name="Input [yellow] 2 13 3 23" xfId="44948"/>
    <cellStyle name="Input [yellow] 2 13 3 3" xfId="1885"/>
    <cellStyle name="Input [yellow] 2 13 3 3 2" xfId="13082"/>
    <cellStyle name="Input [yellow] 2 13 3 3 3" xfId="24250"/>
    <cellStyle name="Input [yellow] 2 13 3 3 4" xfId="35415"/>
    <cellStyle name="Input [yellow] 2 13 3 3 5" xfId="46608"/>
    <cellStyle name="Input [yellow] 2 13 3 4" xfId="2151"/>
    <cellStyle name="Input [yellow] 2 13 3 4 2" xfId="13348"/>
    <cellStyle name="Input [yellow] 2 13 3 4 3" xfId="24516"/>
    <cellStyle name="Input [yellow] 2 13 3 4 4" xfId="35681"/>
    <cellStyle name="Input [yellow] 2 13 3 4 5" xfId="46874"/>
    <cellStyle name="Input [yellow] 2 13 3 5" xfId="2576"/>
    <cellStyle name="Input [yellow] 2 13 3 5 2" xfId="13773"/>
    <cellStyle name="Input [yellow] 2 13 3 5 3" xfId="24941"/>
    <cellStyle name="Input [yellow] 2 13 3 5 4" xfId="36106"/>
    <cellStyle name="Input [yellow] 2 13 3 5 5" xfId="47299"/>
    <cellStyle name="Input [yellow] 2 13 3 6" xfId="3209"/>
    <cellStyle name="Input [yellow] 2 13 3 6 2" xfId="14406"/>
    <cellStyle name="Input [yellow] 2 13 3 6 3" xfId="25574"/>
    <cellStyle name="Input [yellow] 2 13 3 6 4" xfId="36739"/>
    <cellStyle name="Input [yellow] 2 13 3 6 5" xfId="47932"/>
    <cellStyle name="Input [yellow] 2 13 3 7" xfId="3843"/>
    <cellStyle name="Input [yellow] 2 13 3 7 2" xfId="15040"/>
    <cellStyle name="Input [yellow] 2 13 3 7 3" xfId="26208"/>
    <cellStyle name="Input [yellow] 2 13 3 7 4" xfId="37373"/>
    <cellStyle name="Input [yellow] 2 13 3 7 5" xfId="48566"/>
    <cellStyle name="Input [yellow] 2 13 3 8" xfId="4476"/>
    <cellStyle name="Input [yellow] 2 13 3 8 2" xfId="15673"/>
    <cellStyle name="Input [yellow] 2 13 3 8 3" xfId="26841"/>
    <cellStyle name="Input [yellow] 2 13 3 8 4" xfId="38006"/>
    <cellStyle name="Input [yellow] 2 13 3 8 5" xfId="49199"/>
    <cellStyle name="Input [yellow] 2 13 3 9" xfId="5107"/>
    <cellStyle name="Input [yellow] 2 13 3 9 2" xfId="16304"/>
    <cellStyle name="Input [yellow] 2 13 3 9 3" xfId="27472"/>
    <cellStyle name="Input [yellow] 2 13 3 9 4" xfId="38637"/>
    <cellStyle name="Input [yellow] 2 13 3 9 5" xfId="49830"/>
    <cellStyle name="Input [yellow] 2 13 30" xfId="11306"/>
    <cellStyle name="Input [yellow] 2 13 31" xfId="22476"/>
    <cellStyle name="Input [yellow] 2 13 32" xfId="33643"/>
    <cellStyle name="Input [yellow] 2 13 33" xfId="44828"/>
    <cellStyle name="Input [yellow] 2 13 4" xfId="283"/>
    <cellStyle name="Input [yellow] 2 13 4 10" xfId="5925"/>
    <cellStyle name="Input [yellow] 2 13 4 10 2" xfId="17122"/>
    <cellStyle name="Input [yellow] 2 13 4 10 3" xfId="28290"/>
    <cellStyle name="Input [yellow] 2 13 4 10 4" xfId="39455"/>
    <cellStyle name="Input [yellow] 2 13 4 10 5" xfId="50648"/>
    <cellStyle name="Input [yellow] 2 13 4 11" xfId="6219"/>
    <cellStyle name="Input [yellow] 2 13 4 11 2" xfId="17416"/>
    <cellStyle name="Input [yellow] 2 13 4 11 3" xfId="28584"/>
    <cellStyle name="Input [yellow] 2 13 4 11 4" xfId="39749"/>
    <cellStyle name="Input [yellow] 2 13 4 11 5" xfId="50942"/>
    <cellStyle name="Input [yellow] 2 13 4 12" xfId="6852"/>
    <cellStyle name="Input [yellow] 2 13 4 12 2" xfId="18049"/>
    <cellStyle name="Input [yellow] 2 13 4 12 3" xfId="29217"/>
    <cellStyle name="Input [yellow] 2 13 4 12 4" xfId="40382"/>
    <cellStyle name="Input [yellow] 2 13 4 12 5" xfId="51575"/>
    <cellStyle name="Input [yellow] 2 13 4 13" xfId="7486"/>
    <cellStyle name="Input [yellow] 2 13 4 13 2" xfId="18683"/>
    <cellStyle name="Input [yellow] 2 13 4 13 3" xfId="29851"/>
    <cellStyle name="Input [yellow] 2 13 4 13 4" xfId="41016"/>
    <cellStyle name="Input [yellow] 2 13 4 13 5" xfId="52209"/>
    <cellStyle name="Input [yellow] 2 13 4 14" xfId="8120"/>
    <cellStyle name="Input [yellow] 2 13 4 14 2" xfId="19317"/>
    <cellStyle name="Input [yellow] 2 13 4 14 3" xfId="30485"/>
    <cellStyle name="Input [yellow] 2 13 4 14 4" xfId="41650"/>
    <cellStyle name="Input [yellow] 2 13 4 14 5" xfId="52843"/>
    <cellStyle name="Input [yellow] 2 13 4 15" xfId="8749"/>
    <cellStyle name="Input [yellow] 2 13 4 15 2" xfId="19946"/>
    <cellStyle name="Input [yellow] 2 13 4 15 3" xfId="31114"/>
    <cellStyle name="Input [yellow] 2 13 4 15 4" xfId="42279"/>
    <cellStyle name="Input [yellow] 2 13 4 15 5" xfId="53472"/>
    <cellStyle name="Input [yellow] 2 13 4 16" xfId="9171"/>
    <cellStyle name="Input [yellow] 2 13 4 16 2" xfId="20368"/>
    <cellStyle name="Input [yellow] 2 13 4 16 3" xfId="31536"/>
    <cellStyle name="Input [yellow] 2 13 4 16 4" xfId="42701"/>
    <cellStyle name="Input [yellow] 2 13 4 16 5" xfId="53894"/>
    <cellStyle name="Input [yellow] 2 13 4 17" xfId="9798"/>
    <cellStyle name="Input [yellow] 2 13 4 17 2" xfId="20995"/>
    <cellStyle name="Input [yellow] 2 13 4 17 3" xfId="32163"/>
    <cellStyle name="Input [yellow] 2 13 4 17 4" xfId="43328"/>
    <cellStyle name="Input [yellow] 2 13 4 17 5" xfId="54521"/>
    <cellStyle name="Input [yellow] 2 13 4 18" xfId="10074"/>
    <cellStyle name="Input [yellow] 2 13 4 18 2" xfId="21271"/>
    <cellStyle name="Input [yellow] 2 13 4 18 3" xfId="32439"/>
    <cellStyle name="Input [yellow] 2 13 4 18 4" xfId="43604"/>
    <cellStyle name="Input [yellow] 2 13 4 18 5" xfId="54797"/>
    <cellStyle name="Input [yellow] 2 13 4 19" xfId="10836"/>
    <cellStyle name="Input [yellow] 2 13 4 19 2" xfId="22033"/>
    <cellStyle name="Input [yellow] 2 13 4 19 3" xfId="33201"/>
    <cellStyle name="Input [yellow] 2 13 4 19 4" xfId="44366"/>
    <cellStyle name="Input [yellow] 2 13 4 19 5" xfId="55559"/>
    <cellStyle name="Input [yellow] 2 13 4 2" xfId="932"/>
    <cellStyle name="Input [yellow] 2 13 4 2 2" xfId="12129"/>
    <cellStyle name="Input [yellow] 2 13 4 2 3" xfId="23297"/>
    <cellStyle name="Input [yellow] 2 13 4 2 4" xfId="34462"/>
    <cellStyle name="Input [yellow] 2 13 4 2 5" xfId="45655"/>
    <cellStyle name="Input [yellow] 2 13 4 20" xfId="11483"/>
    <cellStyle name="Input [yellow] 2 13 4 21" xfId="22653"/>
    <cellStyle name="Input [yellow] 2 13 4 22" xfId="33820"/>
    <cellStyle name="Input [yellow] 2 13 4 23" xfId="45006"/>
    <cellStyle name="Input [yellow] 2 13 4 3" xfId="1835"/>
    <cellStyle name="Input [yellow] 2 13 4 3 2" xfId="13032"/>
    <cellStyle name="Input [yellow] 2 13 4 3 3" xfId="24200"/>
    <cellStyle name="Input [yellow] 2 13 4 3 4" xfId="35365"/>
    <cellStyle name="Input [yellow] 2 13 4 3 5" xfId="46558"/>
    <cellStyle name="Input [yellow] 2 13 4 4" xfId="2209"/>
    <cellStyle name="Input [yellow] 2 13 4 4 2" xfId="13406"/>
    <cellStyle name="Input [yellow] 2 13 4 4 3" xfId="24574"/>
    <cellStyle name="Input [yellow] 2 13 4 4 4" xfId="35739"/>
    <cellStyle name="Input [yellow] 2 13 4 4 5" xfId="46932"/>
    <cellStyle name="Input [yellow] 2 13 4 5" xfId="2633"/>
    <cellStyle name="Input [yellow] 2 13 4 5 2" xfId="13830"/>
    <cellStyle name="Input [yellow] 2 13 4 5 3" xfId="24998"/>
    <cellStyle name="Input [yellow] 2 13 4 5 4" xfId="36163"/>
    <cellStyle name="Input [yellow] 2 13 4 5 5" xfId="47356"/>
    <cellStyle name="Input [yellow] 2 13 4 6" xfId="3267"/>
    <cellStyle name="Input [yellow] 2 13 4 6 2" xfId="14464"/>
    <cellStyle name="Input [yellow] 2 13 4 6 3" xfId="25632"/>
    <cellStyle name="Input [yellow] 2 13 4 6 4" xfId="36797"/>
    <cellStyle name="Input [yellow] 2 13 4 6 5" xfId="47990"/>
    <cellStyle name="Input [yellow] 2 13 4 7" xfId="3901"/>
    <cellStyle name="Input [yellow] 2 13 4 7 2" xfId="15098"/>
    <cellStyle name="Input [yellow] 2 13 4 7 3" xfId="26266"/>
    <cellStyle name="Input [yellow] 2 13 4 7 4" xfId="37431"/>
    <cellStyle name="Input [yellow] 2 13 4 7 5" xfId="48624"/>
    <cellStyle name="Input [yellow] 2 13 4 8" xfId="4534"/>
    <cellStyle name="Input [yellow] 2 13 4 8 2" xfId="15731"/>
    <cellStyle name="Input [yellow] 2 13 4 8 3" xfId="26899"/>
    <cellStyle name="Input [yellow] 2 13 4 8 4" xfId="38064"/>
    <cellStyle name="Input [yellow] 2 13 4 8 5" xfId="49257"/>
    <cellStyle name="Input [yellow] 2 13 4 9" xfId="5165"/>
    <cellStyle name="Input [yellow] 2 13 4 9 2" xfId="16362"/>
    <cellStyle name="Input [yellow] 2 13 4 9 3" xfId="27530"/>
    <cellStyle name="Input [yellow] 2 13 4 9 4" xfId="38695"/>
    <cellStyle name="Input [yellow] 2 13 4 9 5" xfId="49888"/>
    <cellStyle name="Input [yellow] 2 13 5" xfId="354"/>
    <cellStyle name="Input [yellow] 2 13 5 10" xfId="5945"/>
    <cellStyle name="Input [yellow] 2 13 5 10 2" xfId="17142"/>
    <cellStyle name="Input [yellow] 2 13 5 10 3" xfId="28310"/>
    <cellStyle name="Input [yellow] 2 13 5 10 4" xfId="39475"/>
    <cellStyle name="Input [yellow] 2 13 5 10 5" xfId="50668"/>
    <cellStyle name="Input [yellow] 2 13 5 11" xfId="6290"/>
    <cellStyle name="Input [yellow] 2 13 5 11 2" xfId="17487"/>
    <cellStyle name="Input [yellow] 2 13 5 11 3" xfId="28655"/>
    <cellStyle name="Input [yellow] 2 13 5 11 4" xfId="39820"/>
    <cellStyle name="Input [yellow] 2 13 5 11 5" xfId="51013"/>
    <cellStyle name="Input [yellow] 2 13 5 12" xfId="6923"/>
    <cellStyle name="Input [yellow] 2 13 5 12 2" xfId="18120"/>
    <cellStyle name="Input [yellow] 2 13 5 12 3" xfId="29288"/>
    <cellStyle name="Input [yellow] 2 13 5 12 4" xfId="40453"/>
    <cellStyle name="Input [yellow] 2 13 5 12 5" xfId="51646"/>
    <cellStyle name="Input [yellow] 2 13 5 13" xfId="7557"/>
    <cellStyle name="Input [yellow] 2 13 5 13 2" xfId="18754"/>
    <cellStyle name="Input [yellow] 2 13 5 13 3" xfId="29922"/>
    <cellStyle name="Input [yellow] 2 13 5 13 4" xfId="41087"/>
    <cellStyle name="Input [yellow] 2 13 5 13 5" xfId="52280"/>
    <cellStyle name="Input [yellow] 2 13 5 14" xfId="8191"/>
    <cellStyle name="Input [yellow] 2 13 5 14 2" xfId="19388"/>
    <cellStyle name="Input [yellow] 2 13 5 14 3" xfId="30556"/>
    <cellStyle name="Input [yellow] 2 13 5 14 4" xfId="41721"/>
    <cellStyle name="Input [yellow] 2 13 5 14 5" xfId="52914"/>
    <cellStyle name="Input [yellow] 2 13 5 15" xfId="8820"/>
    <cellStyle name="Input [yellow] 2 13 5 15 2" xfId="20017"/>
    <cellStyle name="Input [yellow] 2 13 5 15 3" xfId="31185"/>
    <cellStyle name="Input [yellow] 2 13 5 15 4" xfId="42350"/>
    <cellStyle name="Input [yellow] 2 13 5 15 5" xfId="53543"/>
    <cellStyle name="Input [yellow] 2 13 5 16" xfId="9242"/>
    <cellStyle name="Input [yellow] 2 13 5 16 2" xfId="20439"/>
    <cellStyle name="Input [yellow] 2 13 5 16 3" xfId="31607"/>
    <cellStyle name="Input [yellow] 2 13 5 16 4" xfId="42772"/>
    <cellStyle name="Input [yellow] 2 13 5 16 5" xfId="53965"/>
    <cellStyle name="Input [yellow] 2 13 5 17" xfId="9869"/>
    <cellStyle name="Input [yellow] 2 13 5 17 2" xfId="21066"/>
    <cellStyle name="Input [yellow] 2 13 5 17 3" xfId="32234"/>
    <cellStyle name="Input [yellow] 2 13 5 17 4" xfId="43399"/>
    <cellStyle name="Input [yellow] 2 13 5 17 5" xfId="54592"/>
    <cellStyle name="Input [yellow] 2 13 5 18" xfId="10247"/>
    <cellStyle name="Input [yellow] 2 13 5 18 2" xfId="21444"/>
    <cellStyle name="Input [yellow] 2 13 5 18 3" xfId="32612"/>
    <cellStyle name="Input [yellow] 2 13 5 18 4" xfId="43777"/>
    <cellStyle name="Input [yellow] 2 13 5 18 5" xfId="54970"/>
    <cellStyle name="Input [yellow] 2 13 5 19" xfId="10907"/>
    <cellStyle name="Input [yellow] 2 13 5 19 2" xfId="22104"/>
    <cellStyle name="Input [yellow] 2 13 5 19 3" xfId="33272"/>
    <cellStyle name="Input [yellow] 2 13 5 19 4" xfId="44437"/>
    <cellStyle name="Input [yellow] 2 13 5 19 5" xfId="55630"/>
    <cellStyle name="Input [yellow] 2 13 5 2" xfId="1003"/>
    <cellStyle name="Input [yellow] 2 13 5 2 2" xfId="12200"/>
    <cellStyle name="Input [yellow] 2 13 5 2 3" xfId="23368"/>
    <cellStyle name="Input [yellow] 2 13 5 2 4" xfId="34533"/>
    <cellStyle name="Input [yellow] 2 13 5 2 5" xfId="45726"/>
    <cellStyle name="Input [yellow] 2 13 5 20" xfId="11554"/>
    <cellStyle name="Input [yellow] 2 13 5 21" xfId="22724"/>
    <cellStyle name="Input [yellow] 2 13 5 22" xfId="33891"/>
    <cellStyle name="Input [yellow] 2 13 5 23" xfId="45077"/>
    <cellStyle name="Input [yellow] 2 13 5 3" xfId="1631"/>
    <cellStyle name="Input [yellow] 2 13 5 3 2" xfId="12828"/>
    <cellStyle name="Input [yellow] 2 13 5 3 3" xfId="23996"/>
    <cellStyle name="Input [yellow] 2 13 5 3 4" xfId="35161"/>
    <cellStyle name="Input [yellow] 2 13 5 3 5" xfId="46354"/>
    <cellStyle name="Input [yellow] 2 13 5 4" xfId="2279"/>
    <cellStyle name="Input [yellow] 2 13 5 4 2" xfId="13476"/>
    <cellStyle name="Input [yellow] 2 13 5 4 3" xfId="24644"/>
    <cellStyle name="Input [yellow] 2 13 5 4 4" xfId="35809"/>
    <cellStyle name="Input [yellow] 2 13 5 4 5" xfId="47002"/>
    <cellStyle name="Input [yellow] 2 13 5 5" xfId="2704"/>
    <cellStyle name="Input [yellow] 2 13 5 5 2" xfId="13901"/>
    <cellStyle name="Input [yellow] 2 13 5 5 3" xfId="25069"/>
    <cellStyle name="Input [yellow] 2 13 5 5 4" xfId="36234"/>
    <cellStyle name="Input [yellow] 2 13 5 5 5" xfId="47427"/>
    <cellStyle name="Input [yellow] 2 13 5 6" xfId="3338"/>
    <cellStyle name="Input [yellow] 2 13 5 6 2" xfId="14535"/>
    <cellStyle name="Input [yellow] 2 13 5 6 3" xfId="25703"/>
    <cellStyle name="Input [yellow] 2 13 5 6 4" xfId="36868"/>
    <cellStyle name="Input [yellow] 2 13 5 6 5" xfId="48061"/>
    <cellStyle name="Input [yellow] 2 13 5 7" xfId="3972"/>
    <cellStyle name="Input [yellow] 2 13 5 7 2" xfId="15169"/>
    <cellStyle name="Input [yellow] 2 13 5 7 3" xfId="26337"/>
    <cellStyle name="Input [yellow] 2 13 5 7 4" xfId="37502"/>
    <cellStyle name="Input [yellow] 2 13 5 7 5" xfId="48695"/>
    <cellStyle name="Input [yellow] 2 13 5 8" xfId="4605"/>
    <cellStyle name="Input [yellow] 2 13 5 8 2" xfId="15802"/>
    <cellStyle name="Input [yellow] 2 13 5 8 3" xfId="26970"/>
    <cellStyle name="Input [yellow] 2 13 5 8 4" xfId="38135"/>
    <cellStyle name="Input [yellow] 2 13 5 8 5" xfId="49328"/>
    <cellStyle name="Input [yellow] 2 13 5 9" xfId="5236"/>
    <cellStyle name="Input [yellow] 2 13 5 9 2" xfId="16433"/>
    <cellStyle name="Input [yellow] 2 13 5 9 3" xfId="27601"/>
    <cellStyle name="Input [yellow] 2 13 5 9 4" xfId="38766"/>
    <cellStyle name="Input [yellow] 2 13 5 9 5" xfId="49959"/>
    <cellStyle name="Input [yellow] 2 13 6" xfId="380"/>
    <cellStyle name="Input [yellow] 2 13 6 10" xfId="5814"/>
    <cellStyle name="Input [yellow] 2 13 6 10 2" xfId="17011"/>
    <cellStyle name="Input [yellow] 2 13 6 10 3" xfId="28179"/>
    <cellStyle name="Input [yellow] 2 13 6 10 4" xfId="39344"/>
    <cellStyle name="Input [yellow] 2 13 6 10 5" xfId="50537"/>
    <cellStyle name="Input [yellow] 2 13 6 11" xfId="6316"/>
    <cellStyle name="Input [yellow] 2 13 6 11 2" xfId="17513"/>
    <cellStyle name="Input [yellow] 2 13 6 11 3" xfId="28681"/>
    <cellStyle name="Input [yellow] 2 13 6 11 4" xfId="39846"/>
    <cellStyle name="Input [yellow] 2 13 6 11 5" xfId="51039"/>
    <cellStyle name="Input [yellow] 2 13 6 12" xfId="6949"/>
    <cellStyle name="Input [yellow] 2 13 6 12 2" xfId="18146"/>
    <cellStyle name="Input [yellow] 2 13 6 12 3" xfId="29314"/>
    <cellStyle name="Input [yellow] 2 13 6 12 4" xfId="40479"/>
    <cellStyle name="Input [yellow] 2 13 6 12 5" xfId="51672"/>
    <cellStyle name="Input [yellow] 2 13 6 13" xfId="7583"/>
    <cellStyle name="Input [yellow] 2 13 6 13 2" xfId="18780"/>
    <cellStyle name="Input [yellow] 2 13 6 13 3" xfId="29948"/>
    <cellStyle name="Input [yellow] 2 13 6 13 4" xfId="41113"/>
    <cellStyle name="Input [yellow] 2 13 6 13 5" xfId="52306"/>
    <cellStyle name="Input [yellow] 2 13 6 14" xfId="8217"/>
    <cellStyle name="Input [yellow] 2 13 6 14 2" xfId="19414"/>
    <cellStyle name="Input [yellow] 2 13 6 14 3" xfId="30582"/>
    <cellStyle name="Input [yellow] 2 13 6 14 4" xfId="41747"/>
    <cellStyle name="Input [yellow] 2 13 6 14 5" xfId="52940"/>
    <cellStyle name="Input [yellow] 2 13 6 15" xfId="8846"/>
    <cellStyle name="Input [yellow] 2 13 6 15 2" xfId="20043"/>
    <cellStyle name="Input [yellow] 2 13 6 15 3" xfId="31211"/>
    <cellStyle name="Input [yellow] 2 13 6 15 4" xfId="42376"/>
    <cellStyle name="Input [yellow] 2 13 6 15 5" xfId="53569"/>
    <cellStyle name="Input [yellow] 2 13 6 16" xfId="9268"/>
    <cellStyle name="Input [yellow] 2 13 6 16 2" xfId="20465"/>
    <cellStyle name="Input [yellow] 2 13 6 16 3" xfId="31633"/>
    <cellStyle name="Input [yellow] 2 13 6 16 4" xfId="42798"/>
    <cellStyle name="Input [yellow] 2 13 6 16 5" xfId="53991"/>
    <cellStyle name="Input [yellow] 2 13 6 17" xfId="9895"/>
    <cellStyle name="Input [yellow] 2 13 6 17 2" xfId="21092"/>
    <cellStyle name="Input [yellow] 2 13 6 17 3" xfId="32260"/>
    <cellStyle name="Input [yellow] 2 13 6 17 4" xfId="43425"/>
    <cellStyle name="Input [yellow] 2 13 6 17 5" xfId="54618"/>
    <cellStyle name="Input [yellow] 2 13 6 18" xfId="9647"/>
    <cellStyle name="Input [yellow] 2 13 6 18 2" xfId="20844"/>
    <cellStyle name="Input [yellow] 2 13 6 18 3" xfId="32012"/>
    <cellStyle name="Input [yellow] 2 13 6 18 4" xfId="43177"/>
    <cellStyle name="Input [yellow] 2 13 6 18 5" xfId="54370"/>
    <cellStyle name="Input [yellow] 2 13 6 19" xfId="10933"/>
    <cellStyle name="Input [yellow] 2 13 6 19 2" xfId="22130"/>
    <cellStyle name="Input [yellow] 2 13 6 19 3" xfId="33298"/>
    <cellStyle name="Input [yellow] 2 13 6 19 4" xfId="44463"/>
    <cellStyle name="Input [yellow] 2 13 6 19 5" xfId="55656"/>
    <cellStyle name="Input [yellow] 2 13 6 2" xfId="1029"/>
    <cellStyle name="Input [yellow] 2 13 6 2 2" xfId="12226"/>
    <cellStyle name="Input [yellow] 2 13 6 2 3" xfId="23394"/>
    <cellStyle name="Input [yellow] 2 13 6 2 4" xfId="34559"/>
    <cellStyle name="Input [yellow] 2 13 6 2 5" xfId="45752"/>
    <cellStyle name="Input [yellow] 2 13 6 20" xfId="11580"/>
    <cellStyle name="Input [yellow] 2 13 6 21" xfId="22750"/>
    <cellStyle name="Input [yellow] 2 13 6 22" xfId="33917"/>
    <cellStyle name="Input [yellow] 2 13 6 23" xfId="45103"/>
    <cellStyle name="Input [yellow] 2 13 6 3" xfId="1878"/>
    <cellStyle name="Input [yellow] 2 13 6 3 2" xfId="13075"/>
    <cellStyle name="Input [yellow] 2 13 6 3 3" xfId="24243"/>
    <cellStyle name="Input [yellow] 2 13 6 3 4" xfId="35408"/>
    <cellStyle name="Input [yellow] 2 13 6 3 5" xfId="46601"/>
    <cellStyle name="Input [yellow] 2 13 6 4" xfId="2305"/>
    <cellStyle name="Input [yellow] 2 13 6 4 2" xfId="13502"/>
    <cellStyle name="Input [yellow] 2 13 6 4 3" xfId="24670"/>
    <cellStyle name="Input [yellow] 2 13 6 4 4" xfId="35835"/>
    <cellStyle name="Input [yellow] 2 13 6 4 5" xfId="47028"/>
    <cellStyle name="Input [yellow] 2 13 6 5" xfId="2730"/>
    <cellStyle name="Input [yellow] 2 13 6 5 2" xfId="13927"/>
    <cellStyle name="Input [yellow] 2 13 6 5 3" xfId="25095"/>
    <cellStyle name="Input [yellow] 2 13 6 5 4" xfId="36260"/>
    <cellStyle name="Input [yellow] 2 13 6 5 5" xfId="47453"/>
    <cellStyle name="Input [yellow] 2 13 6 6" xfId="3364"/>
    <cellStyle name="Input [yellow] 2 13 6 6 2" xfId="14561"/>
    <cellStyle name="Input [yellow] 2 13 6 6 3" xfId="25729"/>
    <cellStyle name="Input [yellow] 2 13 6 6 4" xfId="36894"/>
    <cellStyle name="Input [yellow] 2 13 6 6 5" xfId="48087"/>
    <cellStyle name="Input [yellow] 2 13 6 7" xfId="3998"/>
    <cellStyle name="Input [yellow] 2 13 6 7 2" xfId="15195"/>
    <cellStyle name="Input [yellow] 2 13 6 7 3" xfId="26363"/>
    <cellStyle name="Input [yellow] 2 13 6 7 4" xfId="37528"/>
    <cellStyle name="Input [yellow] 2 13 6 7 5" xfId="48721"/>
    <cellStyle name="Input [yellow] 2 13 6 8" xfId="4631"/>
    <cellStyle name="Input [yellow] 2 13 6 8 2" xfId="15828"/>
    <cellStyle name="Input [yellow] 2 13 6 8 3" xfId="26996"/>
    <cellStyle name="Input [yellow] 2 13 6 8 4" xfId="38161"/>
    <cellStyle name="Input [yellow] 2 13 6 8 5" xfId="49354"/>
    <cellStyle name="Input [yellow] 2 13 6 9" xfId="5262"/>
    <cellStyle name="Input [yellow] 2 13 6 9 2" xfId="16459"/>
    <cellStyle name="Input [yellow] 2 13 6 9 3" xfId="27627"/>
    <cellStyle name="Input [yellow] 2 13 6 9 4" xfId="38792"/>
    <cellStyle name="Input [yellow] 2 13 6 9 5" xfId="49985"/>
    <cellStyle name="Input [yellow] 2 13 7" xfId="475"/>
    <cellStyle name="Input [yellow] 2 13 7 10" xfId="5583"/>
    <cellStyle name="Input [yellow] 2 13 7 10 2" xfId="16780"/>
    <cellStyle name="Input [yellow] 2 13 7 10 3" xfId="27948"/>
    <cellStyle name="Input [yellow] 2 13 7 10 4" xfId="39113"/>
    <cellStyle name="Input [yellow] 2 13 7 10 5" xfId="50306"/>
    <cellStyle name="Input [yellow] 2 13 7 11" xfId="6411"/>
    <cellStyle name="Input [yellow] 2 13 7 11 2" xfId="17608"/>
    <cellStyle name="Input [yellow] 2 13 7 11 3" xfId="28776"/>
    <cellStyle name="Input [yellow] 2 13 7 11 4" xfId="39941"/>
    <cellStyle name="Input [yellow] 2 13 7 11 5" xfId="51134"/>
    <cellStyle name="Input [yellow] 2 13 7 12" xfId="7044"/>
    <cellStyle name="Input [yellow] 2 13 7 12 2" xfId="18241"/>
    <cellStyle name="Input [yellow] 2 13 7 12 3" xfId="29409"/>
    <cellStyle name="Input [yellow] 2 13 7 12 4" xfId="40574"/>
    <cellStyle name="Input [yellow] 2 13 7 12 5" xfId="51767"/>
    <cellStyle name="Input [yellow] 2 13 7 13" xfId="7678"/>
    <cellStyle name="Input [yellow] 2 13 7 13 2" xfId="18875"/>
    <cellStyle name="Input [yellow] 2 13 7 13 3" xfId="30043"/>
    <cellStyle name="Input [yellow] 2 13 7 13 4" xfId="41208"/>
    <cellStyle name="Input [yellow] 2 13 7 13 5" xfId="52401"/>
    <cellStyle name="Input [yellow] 2 13 7 14" xfId="8312"/>
    <cellStyle name="Input [yellow] 2 13 7 14 2" xfId="19509"/>
    <cellStyle name="Input [yellow] 2 13 7 14 3" xfId="30677"/>
    <cellStyle name="Input [yellow] 2 13 7 14 4" xfId="41842"/>
    <cellStyle name="Input [yellow] 2 13 7 14 5" xfId="53035"/>
    <cellStyle name="Input [yellow] 2 13 7 15" xfId="8940"/>
    <cellStyle name="Input [yellow] 2 13 7 15 2" xfId="20137"/>
    <cellStyle name="Input [yellow] 2 13 7 15 3" xfId="31305"/>
    <cellStyle name="Input [yellow] 2 13 7 15 4" xfId="42470"/>
    <cellStyle name="Input [yellow] 2 13 7 15 5" xfId="53663"/>
    <cellStyle name="Input [yellow] 2 13 7 16" xfId="9363"/>
    <cellStyle name="Input [yellow] 2 13 7 16 2" xfId="20560"/>
    <cellStyle name="Input [yellow] 2 13 7 16 3" xfId="31728"/>
    <cellStyle name="Input [yellow] 2 13 7 16 4" xfId="42893"/>
    <cellStyle name="Input [yellow] 2 13 7 16 5" xfId="54086"/>
    <cellStyle name="Input [yellow] 2 13 7 17" xfId="9989"/>
    <cellStyle name="Input [yellow] 2 13 7 17 2" xfId="21186"/>
    <cellStyle name="Input [yellow] 2 13 7 17 3" xfId="32354"/>
    <cellStyle name="Input [yellow] 2 13 7 17 4" xfId="43519"/>
    <cellStyle name="Input [yellow] 2 13 7 17 5" xfId="54712"/>
    <cellStyle name="Input [yellow] 2 13 7 18" xfId="9588"/>
    <cellStyle name="Input [yellow] 2 13 7 18 2" xfId="20785"/>
    <cellStyle name="Input [yellow] 2 13 7 18 3" xfId="31953"/>
    <cellStyle name="Input [yellow] 2 13 7 18 4" xfId="43118"/>
    <cellStyle name="Input [yellow] 2 13 7 18 5" xfId="54311"/>
    <cellStyle name="Input [yellow] 2 13 7 19" xfId="11028"/>
    <cellStyle name="Input [yellow] 2 13 7 19 2" xfId="22225"/>
    <cellStyle name="Input [yellow] 2 13 7 19 3" xfId="33393"/>
    <cellStyle name="Input [yellow] 2 13 7 19 4" xfId="44558"/>
    <cellStyle name="Input [yellow] 2 13 7 19 5" xfId="55751"/>
    <cellStyle name="Input [yellow] 2 13 7 2" xfId="1124"/>
    <cellStyle name="Input [yellow] 2 13 7 2 2" xfId="12321"/>
    <cellStyle name="Input [yellow] 2 13 7 2 3" xfId="23489"/>
    <cellStyle name="Input [yellow] 2 13 7 2 4" xfId="34654"/>
    <cellStyle name="Input [yellow] 2 13 7 2 5" xfId="45847"/>
    <cellStyle name="Input [yellow] 2 13 7 20" xfId="11675"/>
    <cellStyle name="Input [yellow] 2 13 7 21" xfId="22845"/>
    <cellStyle name="Input [yellow] 2 13 7 22" xfId="34012"/>
    <cellStyle name="Input [yellow] 2 13 7 23" xfId="45198"/>
    <cellStyle name="Input [yellow] 2 13 7 3" xfId="1350"/>
    <cellStyle name="Input [yellow] 2 13 7 3 2" xfId="12547"/>
    <cellStyle name="Input [yellow] 2 13 7 3 3" xfId="23715"/>
    <cellStyle name="Input [yellow] 2 13 7 3 4" xfId="34880"/>
    <cellStyle name="Input [yellow] 2 13 7 3 5" xfId="46073"/>
    <cellStyle name="Input [yellow] 2 13 7 4" xfId="2400"/>
    <cellStyle name="Input [yellow] 2 13 7 4 2" xfId="13597"/>
    <cellStyle name="Input [yellow] 2 13 7 4 3" xfId="24765"/>
    <cellStyle name="Input [yellow] 2 13 7 4 4" xfId="35930"/>
    <cellStyle name="Input [yellow] 2 13 7 4 5" xfId="47123"/>
    <cellStyle name="Input [yellow] 2 13 7 5" xfId="2825"/>
    <cellStyle name="Input [yellow] 2 13 7 5 2" xfId="14022"/>
    <cellStyle name="Input [yellow] 2 13 7 5 3" xfId="25190"/>
    <cellStyle name="Input [yellow] 2 13 7 5 4" xfId="36355"/>
    <cellStyle name="Input [yellow] 2 13 7 5 5" xfId="47548"/>
    <cellStyle name="Input [yellow] 2 13 7 6" xfId="3459"/>
    <cellStyle name="Input [yellow] 2 13 7 6 2" xfId="14656"/>
    <cellStyle name="Input [yellow] 2 13 7 6 3" xfId="25824"/>
    <cellStyle name="Input [yellow] 2 13 7 6 4" xfId="36989"/>
    <cellStyle name="Input [yellow] 2 13 7 6 5" xfId="48182"/>
    <cellStyle name="Input [yellow] 2 13 7 7" xfId="4093"/>
    <cellStyle name="Input [yellow] 2 13 7 7 2" xfId="15290"/>
    <cellStyle name="Input [yellow] 2 13 7 7 3" xfId="26458"/>
    <cellStyle name="Input [yellow] 2 13 7 7 4" xfId="37623"/>
    <cellStyle name="Input [yellow] 2 13 7 7 5" xfId="48816"/>
    <cellStyle name="Input [yellow] 2 13 7 8" xfId="4726"/>
    <cellStyle name="Input [yellow] 2 13 7 8 2" xfId="15923"/>
    <cellStyle name="Input [yellow] 2 13 7 8 3" xfId="27091"/>
    <cellStyle name="Input [yellow] 2 13 7 8 4" xfId="38256"/>
    <cellStyle name="Input [yellow] 2 13 7 8 5" xfId="49449"/>
    <cellStyle name="Input [yellow] 2 13 7 9" xfId="5357"/>
    <cellStyle name="Input [yellow] 2 13 7 9 2" xfId="16554"/>
    <cellStyle name="Input [yellow] 2 13 7 9 3" xfId="27722"/>
    <cellStyle name="Input [yellow] 2 13 7 9 4" xfId="38887"/>
    <cellStyle name="Input [yellow] 2 13 7 9 5" xfId="50080"/>
    <cellStyle name="Input [yellow] 2 13 8" xfId="514"/>
    <cellStyle name="Input [yellow] 2 13 8 10" xfId="5915"/>
    <cellStyle name="Input [yellow] 2 13 8 10 2" xfId="17112"/>
    <cellStyle name="Input [yellow] 2 13 8 10 3" xfId="28280"/>
    <cellStyle name="Input [yellow] 2 13 8 10 4" xfId="39445"/>
    <cellStyle name="Input [yellow] 2 13 8 10 5" xfId="50638"/>
    <cellStyle name="Input [yellow] 2 13 8 11" xfId="6450"/>
    <cellStyle name="Input [yellow] 2 13 8 11 2" xfId="17647"/>
    <cellStyle name="Input [yellow] 2 13 8 11 3" xfId="28815"/>
    <cellStyle name="Input [yellow] 2 13 8 11 4" xfId="39980"/>
    <cellStyle name="Input [yellow] 2 13 8 11 5" xfId="51173"/>
    <cellStyle name="Input [yellow] 2 13 8 12" xfId="7083"/>
    <cellStyle name="Input [yellow] 2 13 8 12 2" xfId="18280"/>
    <cellStyle name="Input [yellow] 2 13 8 12 3" xfId="29448"/>
    <cellStyle name="Input [yellow] 2 13 8 12 4" xfId="40613"/>
    <cellStyle name="Input [yellow] 2 13 8 12 5" xfId="51806"/>
    <cellStyle name="Input [yellow] 2 13 8 13" xfId="7717"/>
    <cellStyle name="Input [yellow] 2 13 8 13 2" xfId="18914"/>
    <cellStyle name="Input [yellow] 2 13 8 13 3" xfId="30082"/>
    <cellStyle name="Input [yellow] 2 13 8 13 4" xfId="41247"/>
    <cellStyle name="Input [yellow] 2 13 8 13 5" xfId="52440"/>
    <cellStyle name="Input [yellow] 2 13 8 14" xfId="8351"/>
    <cellStyle name="Input [yellow] 2 13 8 14 2" xfId="19548"/>
    <cellStyle name="Input [yellow] 2 13 8 14 3" xfId="30716"/>
    <cellStyle name="Input [yellow] 2 13 8 14 4" xfId="41881"/>
    <cellStyle name="Input [yellow] 2 13 8 14 5" xfId="53074"/>
    <cellStyle name="Input [yellow] 2 13 8 15" xfId="8979"/>
    <cellStyle name="Input [yellow] 2 13 8 15 2" xfId="20176"/>
    <cellStyle name="Input [yellow] 2 13 8 15 3" xfId="31344"/>
    <cellStyle name="Input [yellow] 2 13 8 15 4" xfId="42509"/>
    <cellStyle name="Input [yellow] 2 13 8 15 5" xfId="53702"/>
    <cellStyle name="Input [yellow] 2 13 8 16" xfId="9402"/>
    <cellStyle name="Input [yellow] 2 13 8 16 2" xfId="20599"/>
    <cellStyle name="Input [yellow] 2 13 8 16 3" xfId="31767"/>
    <cellStyle name="Input [yellow] 2 13 8 16 4" xfId="42932"/>
    <cellStyle name="Input [yellow] 2 13 8 16 5" xfId="54125"/>
    <cellStyle name="Input [yellow] 2 13 8 17" xfId="10027"/>
    <cellStyle name="Input [yellow] 2 13 8 17 2" xfId="21224"/>
    <cellStyle name="Input [yellow] 2 13 8 17 3" xfId="32392"/>
    <cellStyle name="Input [yellow] 2 13 8 17 4" xfId="43557"/>
    <cellStyle name="Input [yellow] 2 13 8 17 5" xfId="54750"/>
    <cellStyle name="Input [yellow] 2 13 8 18" xfId="10274"/>
    <cellStyle name="Input [yellow] 2 13 8 18 2" xfId="21471"/>
    <cellStyle name="Input [yellow] 2 13 8 18 3" xfId="32639"/>
    <cellStyle name="Input [yellow] 2 13 8 18 4" xfId="43804"/>
    <cellStyle name="Input [yellow] 2 13 8 18 5" xfId="54997"/>
    <cellStyle name="Input [yellow] 2 13 8 19" xfId="11067"/>
    <cellStyle name="Input [yellow] 2 13 8 19 2" xfId="22264"/>
    <cellStyle name="Input [yellow] 2 13 8 19 3" xfId="33432"/>
    <cellStyle name="Input [yellow] 2 13 8 19 4" xfId="44597"/>
    <cellStyle name="Input [yellow] 2 13 8 19 5" xfId="55790"/>
    <cellStyle name="Input [yellow] 2 13 8 2" xfId="1163"/>
    <cellStyle name="Input [yellow] 2 13 8 2 2" xfId="12360"/>
    <cellStyle name="Input [yellow] 2 13 8 2 3" xfId="23528"/>
    <cellStyle name="Input [yellow] 2 13 8 2 4" xfId="34693"/>
    <cellStyle name="Input [yellow] 2 13 8 2 5" xfId="45886"/>
    <cellStyle name="Input [yellow] 2 13 8 20" xfId="11714"/>
    <cellStyle name="Input [yellow] 2 13 8 21" xfId="22884"/>
    <cellStyle name="Input [yellow] 2 13 8 22" xfId="34051"/>
    <cellStyle name="Input [yellow] 2 13 8 23" xfId="45237"/>
    <cellStyle name="Input [yellow] 2 13 8 3" xfId="1547"/>
    <cellStyle name="Input [yellow] 2 13 8 3 2" xfId="12744"/>
    <cellStyle name="Input [yellow] 2 13 8 3 3" xfId="23912"/>
    <cellStyle name="Input [yellow] 2 13 8 3 4" xfId="35077"/>
    <cellStyle name="Input [yellow] 2 13 8 3 5" xfId="46270"/>
    <cellStyle name="Input [yellow] 2 13 8 4" xfId="2439"/>
    <cellStyle name="Input [yellow] 2 13 8 4 2" xfId="13636"/>
    <cellStyle name="Input [yellow] 2 13 8 4 3" xfId="24804"/>
    <cellStyle name="Input [yellow] 2 13 8 4 4" xfId="35969"/>
    <cellStyle name="Input [yellow] 2 13 8 4 5" xfId="47162"/>
    <cellStyle name="Input [yellow] 2 13 8 5" xfId="2864"/>
    <cellStyle name="Input [yellow] 2 13 8 5 2" xfId="14061"/>
    <cellStyle name="Input [yellow] 2 13 8 5 3" xfId="25229"/>
    <cellStyle name="Input [yellow] 2 13 8 5 4" xfId="36394"/>
    <cellStyle name="Input [yellow] 2 13 8 5 5" xfId="47587"/>
    <cellStyle name="Input [yellow] 2 13 8 6" xfId="3498"/>
    <cellStyle name="Input [yellow] 2 13 8 6 2" xfId="14695"/>
    <cellStyle name="Input [yellow] 2 13 8 6 3" xfId="25863"/>
    <cellStyle name="Input [yellow] 2 13 8 6 4" xfId="37028"/>
    <cellStyle name="Input [yellow] 2 13 8 6 5" xfId="48221"/>
    <cellStyle name="Input [yellow] 2 13 8 7" xfId="4132"/>
    <cellStyle name="Input [yellow] 2 13 8 7 2" xfId="15329"/>
    <cellStyle name="Input [yellow] 2 13 8 7 3" xfId="26497"/>
    <cellStyle name="Input [yellow] 2 13 8 7 4" xfId="37662"/>
    <cellStyle name="Input [yellow] 2 13 8 7 5" xfId="48855"/>
    <cellStyle name="Input [yellow] 2 13 8 8" xfId="4765"/>
    <cellStyle name="Input [yellow] 2 13 8 8 2" xfId="15962"/>
    <cellStyle name="Input [yellow] 2 13 8 8 3" xfId="27130"/>
    <cellStyle name="Input [yellow] 2 13 8 8 4" xfId="38295"/>
    <cellStyle name="Input [yellow] 2 13 8 8 5" xfId="49488"/>
    <cellStyle name="Input [yellow] 2 13 8 9" xfId="5396"/>
    <cellStyle name="Input [yellow] 2 13 8 9 2" xfId="16593"/>
    <cellStyle name="Input [yellow] 2 13 8 9 3" xfId="27761"/>
    <cellStyle name="Input [yellow] 2 13 8 9 4" xfId="38926"/>
    <cellStyle name="Input [yellow] 2 13 8 9 5" xfId="50119"/>
    <cellStyle name="Input [yellow] 2 13 9" xfId="572"/>
    <cellStyle name="Input [yellow] 2 13 9 10" xfId="5871"/>
    <cellStyle name="Input [yellow] 2 13 9 10 2" xfId="17068"/>
    <cellStyle name="Input [yellow] 2 13 9 10 3" xfId="28236"/>
    <cellStyle name="Input [yellow] 2 13 9 10 4" xfId="39401"/>
    <cellStyle name="Input [yellow] 2 13 9 10 5" xfId="50594"/>
    <cellStyle name="Input [yellow] 2 13 9 11" xfId="6508"/>
    <cellStyle name="Input [yellow] 2 13 9 11 2" xfId="17705"/>
    <cellStyle name="Input [yellow] 2 13 9 11 3" xfId="28873"/>
    <cellStyle name="Input [yellow] 2 13 9 11 4" xfId="40038"/>
    <cellStyle name="Input [yellow] 2 13 9 11 5" xfId="51231"/>
    <cellStyle name="Input [yellow] 2 13 9 12" xfId="7141"/>
    <cellStyle name="Input [yellow] 2 13 9 12 2" xfId="18338"/>
    <cellStyle name="Input [yellow] 2 13 9 12 3" xfId="29506"/>
    <cellStyle name="Input [yellow] 2 13 9 12 4" xfId="40671"/>
    <cellStyle name="Input [yellow] 2 13 9 12 5" xfId="51864"/>
    <cellStyle name="Input [yellow] 2 13 9 13" xfId="7775"/>
    <cellStyle name="Input [yellow] 2 13 9 13 2" xfId="18972"/>
    <cellStyle name="Input [yellow] 2 13 9 13 3" xfId="30140"/>
    <cellStyle name="Input [yellow] 2 13 9 13 4" xfId="41305"/>
    <cellStyle name="Input [yellow] 2 13 9 13 5" xfId="52498"/>
    <cellStyle name="Input [yellow] 2 13 9 14" xfId="8409"/>
    <cellStyle name="Input [yellow] 2 13 9 14 2" xfId="19606"/>
    <cellStyle name="Input [yellow] 2 13 9 14 3" xfId="30774"/>
    <cellStyle name="Input [yellow] 2 13 9 14 4" xfId="41939"/>
    <cellStyle name="Input [yellow] 2 13 9 14 5" xfId="53132"/>
    <cellStyle name="Input [yellow] 2 13 9 15" xfId="9037"/>
    <cellStyle name="Input [yellow] 2 13 9 15 2" xfId="20234"/>
    <cellStyle name="Input [yellow] 2 13 9 15 3" xfId="31402"/>
    <cellStyle name="Input [yellow] 2 13 9 15 4" xfId="42567"/>
    <cellStyle name="Input [yellow] 2 13 9 15 5" xfId="53760"/>
    <cellStyle name="Input [yellow] 2 13 9 16" xfId="9460"/>
    <cellStyle name="Input [yellow] 2 13 9 16 2" xfId="20657"/>
    <cellStyle name="Input [yellow] 2 13 9 16 3" xfId="31825"/>
    <cellStyle name="Input [yellow] 2 13 9 16 4" xfId="42990"/>
    <cellStyle name="Input [yellow] 2 13 9 16 5" xfId="54183"/>
    <cellStyle name="Input [yellow] 2 13 9 17" xfId="10085"/>
    <cellStyle name="Input [yellow] 2 13 9 17 2" xfId="21282"/>
    <cellStyle name="Input [yellow] 2 13 9 17 3" xfId="32450"/>
    <cellStyle name="Input [yellow] 2 13 9 17 4" xfId="43615"/>
    <cellStyle name="Input [yellow] 2 13 9 17 5" xfId="54808"/>
    <cellStyle name="Input [yellow] 2 13 9 18" xfId="9602"/>
    <cellStyle name="Input [yellow] 2 13 9 18 2" xfId="20799"/>
    <cellStyle name="Input [yellow] 2 13 9 18 3" xfId="31967"/>
    <cellStyle name="Input [yellow] 2 13 9 18 4" xfId="43132"/>
    <cellStyle name="Input [yellow] 2 13 9 18 5" xfId="54325"/>
    <cellStyle name="Input [yellow] 2 13 9 19" xfId="11125"/>
    <cellStyle name="Input [yellow] 2 13 9 19 2" xfId="22322"/>
    <cellStyle name="Input [yellow] 2 13 9 19 3" xfId="33490"/>
    <cellStyle name="Input [yellow] 2 13 9 19 4" xfId="44655"/>
    <cellStyle name="Input [yellow] 2 13 9 19 5" xfId="55848"/>
    <cellStyle name="Input [yellow] 2 13 9 2" xfId="1221"/>
    <cellStyle name="Input [yellow] 2 13 9 2 2" xfId="12418"/>
    <cellStyle name="Input [yellow] 2 13 9 2 3" xfId="23586"/>
    <cellStyle name="Input [yellow] 2 13 9 2 4" xfId="34751"/>
    <cellStyle name="Input [yellow] 2 13 9 2 5" xfId="45944"/>
    <cellStyle name="Input [yellow] 2 13 9 20" xfId="11772"/>
    <cellStyle name="Input [yellow] 2 13 9 21" xfId="22942"/>
    <cellStyle name="Input [yellow] 2 13 9 22" xfId="34109"/>
    <cellStyle name="Input [yellow] 2 13 9 23" xfId="45295"/>
    <cellStyle name="Input [yellow] 2 13 9 3" xfId="1962"/>
    <cellStyle name="Input [yellow] 2 13 9 3 2" xfId="13159"/>
    <cellStyle name="Input [yellow] 2 13 9 3 3" xfId="24327"/>
    <cellStyle name="Input [yellow] 2 13 9 3 4" xfId="35492"/>
    <cellStyle name="Input [yellow] 2 13 9 3 5" xfId="46685"/>
    <cellStyle name="Input [yellow] 2 13 9 4" xfId="2497"/>
    <cellStyle name="Input [yellow] 2 13 9 4 2" xfId="13694"/>
    <cellStyle name="Input [yellow] 2 13 9 4 3" xfId="24862"/>
    <cellStyle name="Input [yellow] 2 13 9 4 4" xfId="36027"/>
    <cellStyle name="Input [yellow] 2 13 9 4 5" xfId="47220"/>
    <cellStyle name="Input [yellow] 2 13 9 5" xfId="2922"/>
    <cellStyle name="Input [yellow] 2 13 9 5 2" xfId="14119"/>
    <cellStyle name="Input [yellow] 2 13 9 5 3" xfId="25287"/>
    <cellStyle name="Input [yellow] 2 13 9 5 4" xfId="36452"/>
    <cellStyle name="Input [yellow] 2 13 9 5 5" xfId="47645"/>
    <cellStyle name="Input [yellow] 2 13 9 6" xfId="3556"/>
    <cellStyle name="Input [yellow] 2 13 9 6 2" xfId="14753"/>
    <cellStyle name="Input [yellow] 2 13 9 6 3" xfId="25921"/>
    <cellStyle name="Input [yellow] 2 13 9 6 4" xfId="37086"/>
    <cellStyle name="Input [yellow] 2 13 9 6 5" xfId="48279"/>
    <cellStyle name="Input [yellow] 2 13 9 7" xfId="4190"/>
    <cellStyle name="Input [yellow] 2 13 9 7 2" xfId="15387"/>
    <cellStyle name="Input [yellow] 2 13 9 7 3" xfId="26555"/>
    <cellStyle name="Input [yellow] 2 13 9 7 4" xfId="37720"/>
    <cellStyle name="Input [yellow] 2 13 9 7 5" xfId="48913"/>
    <cellStyle name="Input [yellow] 2 13 9 8" xfId="4823"/>
    <cellStyle name="Input [yellow] 2 13 9 8 2" xfId="16020"/>
    <cellStyle name="Input [yellow] 2 13 9 8 3" xfId="27188"/>
    <cellStyle name="Input [yellow] 2 13 9 8 4" xfId="38353"/>
    <cellStyle name="Input [yellow] 2 13 9 8 5" xfId="49546"/>
    <cellStyle name="Input [yellow] 2 13 9 9" xfId="5454"/>
    <cellStyle name="Input [yellow] 2 13 9 9 2" xfId="16651"/>
    <cellStyle name="Input [yellow] 2 13 9 9 3" xfId="27819"/>
    <cellStyle name="Input [yellow] 2 13 9 9 4" xfId="38984"/>
    <cellStyle name="Input [yellow] 2 13 9 9 5" xfId="50177"/>
    <cellStyle name="Input [yellow] 2 14" xfId="108"/>
    <cellStyle name="Input [yellow] 2 14 10" xfId="625"/>
    <cellStyle name="Input [yellow] 2 14 10 10" xfId="5803"/>
    <cellStyle name="Input [yellow] 2 14 10 10 2" xfId="17000"/>
    <cellStyle name="Input [yellow] 2 14 10 10 3" xfId="28168"/>
    <cellStyle name="Input [yellow] 2 14 10 10 4" xfId="39333"/>
    <cellStyle name="Input [yellow] 2 14 10 10 5" xfId="50526"/>
    <cellStyle name="Input [yellow] 2 14 10 11" xfId="6561"/>
    <cellStyle name="Input [yellow] 2 14 10 11 2" xfId="17758"/>
    <cellStyle name="Input [yellow] 2 14 10 11 3" xfId="28926"/>
    <cellStyle name="Input [yellow] 2 14 10 11 4" xfId="40091"/>
    <cellStyle name="Input [yellow] 2 14 10 11 5" xfId="51284"/>
    <cellStyle name="Input [yellow] 2 14 10 12" xfId="7194"/>
    <cellStyle name="Input [yellow] 2 14 10 12 2" xfId="18391"/>
    <cellStyle name="Input [yellow] 2 14 10 12 3" xfId="29559"/>
    <cellStyle name="Input [yellow] 2 14 10 12 4" xfId="40724"/>
    <cellStyle name="Input [yellow] 2 14 10 12 5" xfId="51917"/>
    <cellStyle name="Input [yellow] 2 14 10 13" xfId="7828"/>
    <cellStyle name="Input [yellow] 2 14 10 13 2" xfId="19025"/>
    <cellStyle name="Input [yellow] 2 14 10 13 3" xfId="30193"/>
    <cellStyle name="Input [yellow] 2 14 10 13 4" xfId="41358"/>
    <cellStyle name="Input [yellow] 2 14 10 13 5" xfId="52551"/>
    <cellStyle name="Input [yellow] 2 14 10 14" xfId="8462"/>
    <cellStyle name="Input [yellow] 2 14 10 14 2" xfId="19659"/>
    <cellStyle name="Input [yellow] 2 14 10 14 3" xfId="30827"/>
    <cellStyle name="Input [yellow] 2 14 10 14 4" xfId="41992"/>
    <cellStyle name="Input [yellow] 2 14 10 14 5" xfId="53185"/>
    <cellStyle name="Input [yellow] 2 14 10 15" xfId="9090"/>
    <cellStyle name="Input [yellow] 2 14 10 15 2" xfId="20287"/>
    <cellStyle name="Input [yellow] 2 14 10 15 3" xfId="31455"/>
    <cellStyle name="Input [yellow] 2 14 10 15 4" xfId="42620"/>
    <cellStyle name="Input [yellow] 2 14 10 15 5" xfId="53813"/>
    <cellStyle name="Input [yellow] 2 14 10 16" xfId="9513"/>
    <cellStyle name="Input [yellow] 2 14 10 16 2" xfId="20710"/>
    <cellStyle name="Input [yellow] 2 14 10 16 3" xfId="31878"/>
    <cellStyle name="Input [yellow] 2 14 10 16 4" xfId="43043"/>
    <cellStyle name="Input [yellow] 2 14 10 16 5" xfId="54236"/>
    <cellStyle name="Input [yellow] 2 14 10 17" xfId="10138"/>
    <cellStyle name="Input [yellow] 2 14 10 17 2" xfId="21335"/>
    <cellStyle name="Input [yellow] 2 14 10 17 3" xfId="32503"/>
    <cellStyle name="Input [yellow] 2 14 10 17 4" xfId="43668"/>
    <cellStyle name="Input [yellow] 2 14 10 17 5" xfId="54861"/>
    <cellStyle name="Input [yellow] 2 14 10 18" xfId="10255"/>
    <cellStyle name="Input [yellow] 2 14 10 18 2" xfId="21452"/>
    <cellStyle name="Input [yellow] 2 14 10 18 3" xfId="32620"/>
    <cellStyle name="Input [yellow] 2 14 10 18 4" xfId="43785"/>
    <cellStyle name="Input [yellow] 2 14 10 18 5" xfId="54978"/>
    <cellStyle name="Input [yellow] 2 14 10 19" xfId="11178"/>
    <cellStyle name="Input [yellow] 2 14 10 19 2" xfId="22375"/>
    <cellStyle name="Input [yellow] 2 14 10 19 3" xfId="33543"/>
    <cellStyle name="Input [yellow] 2 14 10 19 4" xfId="44708"/>
    <cellStyle name="Input [yellow] 2 14 10 19 5" xfId="55901"/>
    <cellStyle name="Input [yellow] 2 14 10 2" xfId="1274"/>
    <cellStyle name="Input [yellow] 2 14 10 2 2" xfId="12471"/>
    <cellStyle name="Input [yellow] 2 14 10 2 3" xfId="23639"/>
    <cellStyle name="Input [yellow] 2 14 10 2 4" xfId="34804"/>
    <cellStyle name="Input [yellow] 2 14 10 2 5" xfId="45997"/>
    <cellStyle name="Input [yellow] 2 14 10 20" xfId="11825"/>
    <cellStyle name="Input [yellow] 2 14 10 21" xfId="22995"/>
    <cellStyle name="Input [yellow] 2 14 10 22" xfId="34162"/>
    <cellStyle name="Input [yellow] 2 14 10 23" xfId="45348"/>
    <cellStyle name="Input [yellow] 2 14 10 3" xfId="1348"/>
    <cellStyle name="Input [yellow] 2 14 10 3 2" xfId="12545"/>
    <cellStyle name="Input [yellow] 2 14 10 3 3" xfId="23713"/>
    <cellStyle name="Input [yellow] 2 14 10 3 4" xfId="34878"/>
    <cellStyle name="Input [yellow] 2 14 10 3 5" xfId="46071"/>
    <cellStyle name="Input [yellow] 2 14 10 4" xfId="2550"/>
    <cellStyle name="Input [yellow] 2 14 10 4 2" xfId="13747"/>
    <cellStyle name="Input [yellow] 2 14 10 4 3" xfId="24915"/>
    <cellStyle name="Input [yellow] 2 14 10 4 4" xfId="36080"/>
    <cellStyle name="Input [yellow] 2 14 10 4 5" xfId="47273"/>
    <cellStyle name="Input [yellow] 2 14 10 5" xfId="2975"/>
    <cellStyle name="Input [yellow] 2 14 10 5 2" xfId="14172"/>
    <cellStyle name="Input [yellow] 2 14 10 5 3" xfId="25340"/>
    <cellStyle name="Input [yellow] 2 14 10 5 4" xfId="36505"/>
    <cellStyle name="Input [yellow] 2 14 10 5 5" xfId="47698"/>
    <cellStyle name="Input [yellow] 2 14 10 6" xfId="3609"/>
    <cellStyle name="Input [yellow] 2 14 10 6 2" xfId="14806"/>
    <cellStyle name="Input [yellow] 2 14 10 6 3" xfId="25974"/>
    <cellStyle name="Input [yellow] 2 14 10 6 4" xfId="37139"/>
    <cellStyle name="Input [yellow] 2 14 10 6 5" xfId="48332"/>
    <cellStyle name="Input [yellow] 2 14 10 7" xfId="4243"/>
    <cellStyle name="Input [yellow] 2 14 10 7 2" xfId="15440"/>
    <cellStyle name="Input [yellow] 2 14 10 7 3" xfId="26608"/>
    <cellStyle name="Input [yellow] 2 14 10 7 4" xfId="37773"/>
    <cellStyle name="Input [yellow] 2 14 10 7 5" xfId="48966"/>
    <cellStyle name="Input [yellow] 2 14 10 8" xfId="4876"/>
    <cellStyle name="Input [yellow] 2 14 10 8 2" xfId="16073"/>
    <cellStyle name="Input [yellow] 2 14 10 8 3" xfId="27241"/>
    <cellStyle name="Input [yellow] 2 14 10 8 4" xfId="38406"/>
    <cellStyle name="Input [yellow] 2 14 10 8 5" xfId="49599"/>
    <cellStyle name="Input [yellow] 2 14 10 9" xfId="5507"/>
    <cellStyle name="Input [yellow] 2 14 10 9 2" xfId="16704"/>
    <cellStyle name="Input [yellow] 2 14 10 9 3" xfId="27872"/>
    <cellStyle name="Input [yellow] 2 14 10 9 4" xfId="39037"/>
    <cellStyle name="Input [yellow] 2 14 10 9 5" xfId="50230"/>
    <cellStyle name="Input [yellow] 2 14 11" xfId="660"/>
    <cellStyle name="Input [yellow] 2 14 11 10" xfId="6027"/>
    <cellStyle name="Input [yellow] 2 14 11 10 2" xfId="17224"/>
    <cellStyle name="Input [yellow] 2 14 11 10 3" xfId="28392"/>
    <cellStyle name="Input [yellow] 2 14 11 10 4" xfId="39557"/>
    <cellStyle name="Input [yellow] 2 14 11 10 5" xfId="50750"/>
    <cellStyle name="Input [yellow] 2 14 11 11" xfId="6596"/>
    <cellStyle name="Input [yellow] 2 14 11 11 2" xfId="17793"/>
    <cellStyle name="Input [yellow] 2 14 11 11 3" xfId="28961"/>
    <cellStyle name="Input [yellow] 2 14 11 11 4" xfId="40126"/>
    <cellStyle name="Input [yellow] 2 14 11 11 5" xfId="51319"/>
    <cellStyle name="Input [yellow] 2 14 11 12" xfId="7229"/>
    <cellStyle name="Input [yellow] 2 14 11 12 2" xfId="18426"/>
    <cellStyle name="Input [yellow] 2 14 11 12 3" xfId="29594"/>
    <cellStyle name="Input [yellow] 2 14 11 12 4" xfId="40759"/>
    <cellStyle name="Input [yellow] 2 14 11 12 5" xfId="51952"/>
    <cellStyle name="Input [yellow] 2 14 11 13" xfId="7863"/>
    <cellStyle name="Input [yellow] 2 14 11 13 2" xfId="19060"/>
    <cellStyle name="Input [yellow] 2 14 11 13 3" xfId="30228"/>
    <cellStyle name="Input [yellow] 2 14 11 13 4" xfId="41393"/>
    <cellStyle name="Input [yellow] 2 14 11 13 5" xfId="52586"/>
    <cellStyle name="Input [yellow] 2 14 11 14" xfId="8497"/>
    <cellStyle name="Input [yellow] 2 14 11 14 2" xfId="19694"/>
    <cellStyle name="Input [yellow] 2 14 11 14 3" xfId="30862"/>
    <cellStyle name="Input [yellow] 2 14 11 14 4" xfId="42027"/>
    <cellStyle name="Input [yellow] 2 14 11 14 5" xfId="53220"/>
    <cellStyle name="Input [yellow] 2 14 11 15" xfId="9125"/>
    <cellStyle name="Input [yellow] 2 14 11 15 2" xfId="20322"/>
    <cellStyle name="Input [yellow] 2 14 11 15 3" xfId="31490"/>
    <cellStyle name="Input [yellow] 2 14 11 15 4" xfId="42655"/>
    <cellStyle name="Input [yellow] 2 14 11 15 5" xfId="53848"/>
    <cellStyle name="Input [yellow] 2 14 11 16" xfId="9548"/>
    <cellStyle name="Input [yellow] 2 14 11 16 2" xfId="20745"/>
    <cellStyle name="Input [yellow] 2 14 11 16 3" xfId="31913"/>
    <cellStyle name="Input [yellow] 2 14 11 16 4" xfId="43078"/>
    <cellStyle name="Input [yellow] 2 14 11 16 5" xfId="54271"/>
    <cellStyle name="Input [yellow] 2 14 11 17" xfId="10173"/>
    <cellStyle name="Input [yellow] 2 14 11 17 2" xfId="21370"/>
    <cellStyle name="Input [yellow] 2 14 11 17 3" xfId="32538"/>
    <cellStyle name="Input [yellow] 2 14 11 17 4" xfId="43703"/>
    <cellStyle name="Input [yellow] 2 14 11 17 5" xfId="54896"/>
    <cellStyle name="Input [yellow] 2 14 11 18" xfId="9697"/>
    <cellStyle name="Input [yellow] 2 14 11 18 2" xfId="20894"/>
    <cellStyle name="Input [yellow] 2 14 11 18 3" xfId="32062"/>
    <cellStyle name="Input [yellow] 2 14 11 18 4" xfId="43227"/>
    <cellStyle name="Input [yellow] 2 14 11 18 5" xfId="54420"/>
    <cellStyle name="Input [yellow] 2 14 11 19" xfId="11213"/>
    <cellStyle name="Input [yellow] 2 14 11 19 2" xfId="22410"/>
    <cellStyle name="Input [yellow] 2 14 11 19 3" xfId="33578"/>
    <cellStyle name="Input [yellow] 2 14 11 19 4" xfId="44743"/>
    <cellStyle name="Input [yellow] 2 14 11 19 5" xfId="55936"/>
    <cellStyle name="Input [yellow] 2 14 11 2" xfId="1309"/>
    <cellStyle name="Input [yellow] 2 14 11 2 2" xfId="12506"/>
    <cellStyle name="Input [yellow] 2 14 11 2 3" xfId="23674"/>
    <cellStyle name="Input [yellow] 2 14 11 2 4" xfId="34839"/>
    <cellStyle name="Input [yellow] 2 14 11 2 5" xfId="46032"/>
    <cellStyle name="Input [yellow] 2 14 11 20" xfId="11860"/>
    <cellStyle name="Input [yellow] 2 14 11 21" xfId="23030"/>
    <cellStyle name="Input [yellow] 2 14 11 22" xfId="34197"/>
    <cellStyle name="Input [yellow] 2 14 11 23" xfId="45383"/>
    <cellStyle name="Input [yellow] 2 14 11 3" xfId="1459"/>
    <cellStyle name="Input [yellow] 2 14 11 3 2" xfId="12656"/>
    <cellStyle name="Input [yellow] 2 14 11 3 3" xfId="23824"/>
    <cellStyle name="Input [yellow] 2 14 11 3 4" xfId="34989"/>
    <cellStyle name="Input [yellow] 2 14 11 3 5" xfId="46182"/>
    <cellStyle name="Input [yellow] 2 14 11 4" xfId="2585"/>
    <cellStyle name="Input [yellow] 2 14 11 4 2" xfId="13782"/>
    <cellStyle name="Input [yellow] 2 14 11 4 3" xfId="24950"/>
    <cellStyle name="Input [yellow] 2 14 11 4 4" xfId="36115"/>
    <cellStyle name="Input [yellow] 2 14 11 4 5" xfId="47308"/>
    <cellStyle name="Input [yellow] 2 14 11 5" xfId="3010"/>
    <cellStyle name="Input [yellow] 2 14 11 5 2" xfId="14207"/>
    <cellStyle name="Input [yellow] 2 14 11 5 3" xfId="25375"/>
    <cellStyle name="Input [yellow] 2 14 11 5 4" xfId="36540"/>
    <cellStyle name="Input [yellow] 2 14 11 5 5" xfId="47733"/>
    <cellStyle name="Input [yellow] 2 14 11 6" xfId="3644"/>
    <cellStyle name="Input [yellow] 2 14 11 6 2" xfId="14841"/>
    <cellStyle name="Input [yellow] 2 14 11 6 3" xfId="26009"/>
    <cellStyle name="Input [yellow] 2 14 11 6 4" xfId="37174"/>
    <cellStyle name="Input [yellow] 2 14 11 6 5" xfId="48367"/>
    <cellStyle name="Input [yellow] 2 14 11 7" xfId="4278"/>
    <cellStyle name="Input [yellow] 2 14 11 7 2" xfId="15475"/>
    <cellStyle name="Input [yellow] 2 14 11 7 3" xfId="26643"/>
    <cellStyle name="Input [yellow] 2 14 11 7 4" xfId="37808"/>
    <cellStyle name="Input [yellow] 2 14 11 7 5" xfId="49001"/>
    <cellStyle name="Input [yellow] 2 14 11 8" xfId="4911"/>
    <cellStyle name="Input [yellow] 2 14 11 8 2" xfId="16108"/>
    <cellStyle name="Input [yellow] 2 14 11 8 3" xfId="27276"/>
    <cellStyle name="Input [yellow] 2 14 11 8 4" xfId="38441"/>
    <cellStyle name="Input [yellow] 2 14 11 8 5" xfId="49634"/>
    <cellStyle name="Input [yellow] 2 14 11 9" xfId="5542"/>
    <cellStyle name="Input [yellow] 2 14 11 9 2" xfId="16739"/>
    <cellStyle name="Input [yellow] 2 14 11 9 3" xfId="27907"/>
    <cellStyle name="Input [yellow] 2 14 11 9 4" xfId="39072"/>
    <cellStyle name="Input [yellow] 2 14 11 9 5" xfId="50265"/>
    <cellStyle name="Input [yellow] 2 14 12" xfId="757"/>
    <cellStyle name="Input [yellow] 2 14 12 2" xfId="11955"/>
    <cellStyle name="Input [yellow] 2 14 12 3" xfId="23123"/>
    <cellStyle name="Input [yellow] 2 14 12 4" xfId="34288"/>
    <cellStyle name="Input [yellow] 2 14 12 5" xfId="45480"/>
    <cellStyle name="Input [yellow] 2 14 13" xfId="1772"/>
    <cellStyle name="Input [yellow] 2 14 13 2" xfId="12969"/>
    <cellStyle name="Input [yellow] 2 14 13 3" xfId="24137"/>
    <cellStyle name="Input [yellow] 2 14 13 4" xfId="35302"/>
    <cellStyle name="Input [yellow] 2 14 13 5" xfId="46495"/>
    <cellStyle name="Input [yellow] 2 14 14" xfId="2034"/>
    <cellStyle name="Input [yellow] 2 14 14 2" xfId="13231"/>
    <cellStyle name="Input [yellow] 2 14 14 3" xfId="24399"/>
    <cellStyle name="Input [yellow] 2 14 14 4" xfId="35564"/>
    <cellStyle name="Input [yellow] 2 14 14 5" xfId="46757"/>
    <cellStyle name="Input [yellow] 2 14 15" xfId="2310"/>
    <cellStyle name="Input [yellow] 2 14 15 2" xfId="13507"/>
    <cellStyle name="Input [yellow] 2 14 15 3" xfId="24675"/>
    <cellStyle name="Input [yellow] 2 14 15 4" xfId="35840"/>
    <cellStyle name="Input [yellow] 2 14 15 5" xfId="47033"/>
    <cellStyle name="Input [yellow] 2 14 16" xfId="3092"/>
    <cellStyle name="Input [yellow] 2 14 16 2" xfId="14289"/>
    <cellStyle name="Input [yellow] 2 14 16 3" xfId="25457"/>
    <cellStyle name="Input [yellow] 2 14 16 4" xfId="36622"/>
    <cellStyle name="Input [yellow] 2 14 16 5" xfId="47815"/>
    <cellStyle name="Input [yellow] 2 14 17" xfId="3726"/>
    <cellStyle name="Input [yellow] 2 14 17 2" xfId="14923"/>
    <cellStyle name="Input [yellow] 2 14 17 3" xfId="26091"/>
    <cellStyle name="Input [yellow] 2 14 17 4" xfId="37256"/>
    <cellStyle name="Input [yellow] 2 14 17 5" xfId="48449"/>
    <cellStyle name="Input [yellow] 2 14 18" xfId="4359"/>
    <cellStyle name="Input [yellow] 2 14 18 2" xfId="15556"/>
    <cellStyle name="Input [yellow] 2 14 18 3" xfId="26724"/>
    <cellStyle name="Input [yellow] 2 14 18 4" xfId="37889"/>
    <cellStyle name="Input [yellow] 2 14 18 5" xfId="49082"/>
    <cellStyle name="Input [yellow] 2 14 19" xfId="4991"/>
    <cellStyle name="Input [yellow] 2 14 19 2" xfId="16188"/>
    <cellStyle name="Input [yellow] 2 14 19 3" xfId="27356"/>
    <cellStyle name="Input [yellow] 2 14 19 4" xfId="38521"/>
    <cellStyle name="Input [yellow] 2 14 19 5" xfId="49714"/>
    <cellStyle name="Input [yellow] 2 14 2" xfId="172"/>
    <cellStyle name="Input [yellow] 2 14 2 10" xfId="5866"/>
    <cellStyle name="Input [yellow] 2 14 2 10 2" xfId="17063"/>
    <cellStyle name="Input [yellow] 2 14 2 10 3" xfId="28231"/>
    <cellStyle name="Input [yellow] 2 14 2 10 4" xfId="39396"/>
    <cellStyle name="Input [yellow] 2 14 2 10 5" xfId="50589"/>
    <cellStyle name="Input [yellow] 2 14 2 11" xfId="5676"/>
    <cellStyle name="Input [yellow] 2 14 2 11 2" xfId="16873"/>
    <cellStyle name="Input [yellow] 2 14 2 11 3" xfId="28041"/>
    <cellStyle name="Input [yellow] 2 14 2 11 4" xfId="39206"/>
    <cellStyle name="Input [yellow] 2 14 2 11 5" xfId="50399"/>
    <cellStyle name="Input [yellow] 2 14 2 12" xfId="6741"/>
    <cellStyle name="Input [yellow] 2 14 2 12 2" xfId="17938"/>
    <cellStyle name="Input [yellow] 2 14 2 12 3" xfId="29106"/>
    <cellStyle name="Input [yellow] 2 14 2 12 4" xfId="40271"/>
    <cellStyle name="Input [yellow] 2 14 2 12 5" xfId="51464"/>
    <cellStyle name="Input [yellow] 2 14 2 13" xfId="7375"/>
    <cellStyle name="Input [yellow] 2 14 2 13 2" xfId="18572"/>
    <cellStyle name="Input [yellow] 2 14 2 13 3" xfId="29740"/>
    <cellStyle name="Input [yellow] 2 14 2 13 4" xfId="40905"/>
    <cellStyle name="Input [yellow] 2 14 2 13 5" xfId="52098"/>
    <cellStyle name="Input [yellow] 2 14 2 14" xfId="8009"/>
    <cellStyle name="Input [yellow] 2 14 2 14 2" xfId="19206"/>
    <cellStyle name="Input [yellow] 2 14 2 14 3" xfId="30374"/>
    <cellStyle name="Input [yellow] 2 14 2 14 4" xfId="41539"/>
    <cellStyle name="Input [yellow] 2 14 2 14 5" xfId="52732"/>
    <cellStyle name="Input [yellow] 2 14 2 15" xfId="8640"/>
    <cellStyle name="Input [yellow] 2 14 2 15 2" xfId="19837"/>
    <cellStyle name="Input [yellow] 2 14 2 15 3" xfId="31005"/>
    <cellStyle name="Input [yellow] 2 14 2 15 4" xfId="42170"/>
    <cellStyle name="Input [yellow] 2 14 2 15 5" xfId="53363"/>
    <cellStyle name="Input [yellow] 2 14 2 16" xfId="9092"/>
    <cellStyle name="Input [yellow] 2 14 2 16 2" xfId="20289"/>
    <cellStyle name="Input [yellow] 2 14 2 16 3" xfId="31457"/>
    <cellStyle name="Input [yellow] 2 14 2 16 4" xfId="42622"/>
    <cellStyle name="Input [yellow] 2 14 2 16 5" xfId="53815"/>
    <cellStyle name="Input [yellow] 2 14 2 17" xfId="9693"/>
    <cellStyle name="Input [yellow] 2 14 2 17 2" xfId="20890"/>
    <cellStyle name="Input [yellow] 2 14 2 17 3" xfId="32058"/>
    <cellStyle name="Input [yellow] 2 14 2 17 4" xfId="43223"/>
    <cellStyle name="Input [yellow] 2 14 2 17 5" xfId="54416"/>
    <cellStyle name="Input [yellow] 2 14 2 18" xfId="10006"/>
    <cellStyle name="Input [yellow] 2 14 2 18 2" xfId="21203"/>
    <cellStyle name="Input [yellow] 2 14 2 18 3" xfId="32371"/>
    <cellStyle name="Input [yellow] 2 14 2 18 4" xfId="43536"/>
    <cellStyle name="Input [yellow] 2 14 2 18 5" xfId="54729"/>
    <cellStyle name="Input [yellow] 2 14 2 19" xfId="10725"/>
    <cellStyle name="Input [yellow] 2 14 2 19 2" xfId="21922"/>
    <cellStyle name="Input [yellow] 2 14 2 19 3" xfId="33090"/>
    <cellStyle name="Input [yellow] 2 14 2 19 4" xfId="44255"/>
    <cellStyle name="Input [yellow] 2 14 2 19 5" xfId="55448"/>
    <cellStyle name="Input [yellow] 2 14 2 2" xfId="821"/>
    <cellStyle name="Input [yellow] 2 14 2 2 2" xfId="12018"/>
    <cellStyle name="Input [yellow] 2 14 2 2 3" xfId="23186"/>
    <cellStyle name="Input [yellow] 2 14 2 2 4" xfId="34351"/>
    <cellStyle name="Input [yellow] 2 14 2 2 5" xfId="45544"/>
    <cellStyle name="Input [yellow] 2 14 2 20" xfId="11372"/>
    <cellStyle name="Input [yellow] 2 14 2 21" xfId="22542"/>
    <cellStyle name="Input [yellow] 2 14 2 22" xfId="33709"/>
    <cellStyle name="Input [yellow] 2 14 2 23" xfId="44895"/>
    <cellStyle name="Input [yellow] 2 14 2 3" xfId="1868"/>
    <cellStyle name="Input [yellow] 2 14 2 3 2" xfId="13065"/>
    <cellStyle name="Input [yellow] 2 14 2 3 3" xfId="24233"/>
    <cellStyle name="Input [yellow] 2 14 2 3 4" xfId="35398"/>
    <cellStyle name="Input [yellow] 2 14 2 3 5" xfId="46591"/>
    <cellStyle name="Input [yellow] 2 14 2 4" xfId="2098"/>
    <cellStyle name="Input [yellow] 2 14 2 4 2" xfId="13295"/>
    <cellStyle name="Input [yellow] 2 14 2 4 3" xfId="24463"/>
    <cellStyle name="Input [yellow] 2 14 2 4 4" xfId="35628"/>
    <cellStyle name="Input [yellow] 2 14 2 4 5" xfId="46821"/>
    <cellStyle name="Input [yellow] 2 14 2 5" xfId="2056"/>
    <cellStyle name="Input [yellow] 2 14 2 5 2" xfId="13253"/>
    <cellStyle name="Input [yellow] 2 14 2 5 3" xfId="24421"/>
    <cellStyle name="Input [yellow] 2 14 2 5 4" xfId="35586"/>
    <cellStyle name="Input [yellow] 2 14 2 5 5" xfId="46779"/>
    <cellStyle name="Input [yellow] 2 14 2 6" xfId="3156"/>
    <cellStyle name="Input [yellow] 2 14 2 6 2" xfId="14353"/>
    <cellStyle name="Input [yellow] 2 14 2 6 3" xfId="25521"/>
    <cellStyle name="Input [yellow] 2 14 2 6 4" xfId="36686"/>
    <cellStyle name="Input [yellow] 2 14 2 6 5" xfId="47879"/>
    <cellStyle name="Input [yellow] 2 14 2 7" xfId="3790"/>
    <cellStyle name="Input [yellow] 2 14 2 7 2" xfId="14987"/>
    <cellStyle name="Input [yellow] 2 14 2 7 3" xfId="26155"/>
    <cellStyle name="Input [yellow] 2 14 2 7 4" xfId="37320"/>
    <cellStyle name="Input [yellow] 2 14 2 7 5" xfId="48513"/>
    <cellStyle name="Input [yellow] 2 14 2 8" xfId="4423"/>
    <cellStyle name="Input [yellow] 2 14 2 8 2" xfId="15620"/>
    <cellStyle name="Input [yellow] 2 14 2 8 3" xfId="26788"/>
    <cellStyle name="Input [yellow] 2 14 2 8 4" xfId="37953"/>
    <cellStyle name="Input [yellow] 2 14 2 8 5" xfId="49146"/>
    <cellStyle name="Input [yellow] 2 14 2 9" xfId="5054"/>
    <cellStyle name="Input [yellow] 2 14 2 9 2" xfId="16251"/>
    <cellStyle name="Input [yellow] 2 14 2 9 3" xfId="27419"/>
    <cellStyle name="Input [yellow] 2 14 2 9 4" xfId="38584"/>
    <cellStyle name="Input [yellow] 2 14 2 9 5" xfId="49777"/>
    <cellStyle name="Input [yellow] 2 14 20" xfId="5772"/>
    <cellStyle name="Input [yellow] 2 14 20 2" xfId="16969"/>
    <cellStyle name="Input [yellow] 2 14 20 3" xfId="28137"/>
    <cellStyle name="Input [yellow] 2 14 20 4" xfId="39302"/>
    <cellStyle name="Input [yellow] 2 14 20 5" xfId="50495"/>
    <cellStyle name="Input [yellow] 2 14 21" xfId="5585"/>
    <cellStyle name="Input [yellow] 2 14 21 2" xfId="16782"/>
    <cellStyle name="Input [yellow] 2 14 21 3" xfId="27950"/>
    <cellStyle name="Input [yellow] 2 14 21 4" xfId="39115"/>
    <cellStyle name="Input [yellow] 2 14 21 5" xfId="50308"/>
    <cellStyle name="Input [yellow] 2 14 22" xfId="6678"/>
    <cellStyle name="Input [yellow] 2 14 22 2" xfId="17875"/>
    <cellStyle name="Input [yellow] 2 14 22 3" xfId="29043"/>
    <cellStyle name="Input [yellow] 2 14 22 4" xfId="40208"/>
    <cellStyle name="Input [yellow] 2 14 22 5" xfId="51401"/>
    <cellStyle name="Input [yellow] 2 14 23" xfId="7311"/>
    <cellStyle name="Input [yellow] 2 14 23 2" xfId="18508"/>
    <cellStyle name="Input [yellow] 2 14 23 3" xfId="29676"/>
    <cellStyle name="Input [yellow] 2 14 23 4" xfId="40841"/>
    <cellStyle name="Input [yellow] 2 14 23 5" xfId="52034"/>
    <cellStyle name="Input [yellow] 2 14 24" xfId="7945"/>
    <cellStyle name="Input [yellow] 2 14 24 2" xfId="19142"/>
    <cellStyle name="Input [yellow] 2 14 24 3" xfId="30310"/>
    <cellStyle name="Input [yellow] 2 14 24 4" xfId="41475"/>
    <cellStyle name="Input [yellow] 2 14 24 5" xfId="52668"/>
    <cellStyle name="Input [yellow] 2 14 25" xfId="8577"/>
    <cellStyle name="Input [yellow] 2 14 25 2" xfId="19774"/>
    <cellStyle name="Input [yellow] 2 14 25 3" xfId="30942"/>
    <cellStyle name="Input [yellow] 2 14 25 4" xfId="42107"/>
    <cellStyle name="Input [yellow] 2 14 25 5" xfId="53300"/>
    <cellStyle name="Input [yellow] 2 14 26" xfId="8559"/>
    <cellStyle name="Input [yellow] 2 14 26 2" xfId="19756"/>
    <cellStyle name="Input [yellow] 2 14 26 3" xfId="30924"/>
    <cellStyle name="Input [yellow] 2 14 26 4" xfId="42089"/>
    <cellStyle name="Input [yellow] 2 14 26 5" xfId="53282"/>
    <cellStyle name="Input [yellow] 2 14 27" xfId="9629"/>
    <cellStyle name="Input [yellow] 2 14 27 2" xfId="20826"/>
    <cellStyle name="Input [yellow] 2 14 27 3" xfId="31994"/>
    <cellStyle name="Input [yellow] 2 14 27 4" xfId="43159"/>
    <cellStyle name="Input [yellow] 2 14 27 5" xfId="54352"/>
    <cellStyle name="Input [yellow] 2 14 28" xfId="10476"/>
    <cellStyle name="Input [yellow] 2 14 28 2" xfId="21673"/>
    <cellStyle name="Input [yellow] 2 14 28 3" xfId="32841"/>
    <cellStyle name="Input [yellow] 2 14 28 4" xfId="44006"/>
    <cellStyle name="Input [yellow] 2 14 28 5" xfId="55199"/>
    <cellStyle name="Input [yellow] 2 14 29" xfId="10662"/>
    <cellStyle name="Input [yellow] 2 14 29 2" xfId="21859"/>
    <cellStyle name="Input [yellow] 2 14 29 3" xfId="33027"/>
    <cellStyle name="Input [yellow] 2 14 29 4" xfId="44192"/>
    <cellStyle name="Input [yellow] 2 14 29 5" xfId="55385"/>
    <cellStyle name="Input [yellow] 2 14 3" xfId="228"/>
    <cellStyle name="Input [yellow] 2 14 3 10" xfId="5713"/>
    <cellStyle name="Input [yellow] 2 14 3 10 2" xfId="16910"/>
    <cellStyle name="Input [yellow] 2 14 3 10 3" xfId="28078"/>
    <cellStyle name="Input [yellow] 2 14 3 10 4" xfId="39243"/>
    <cellStyle name="Input [yellow] 2 14 3 10 5" xfId="50436"/>
    <cellStyle name="Input [yellow] 2 14 3 11" xfId="5643"/>
    <cellStyle name="Input [yellow] 2 14 3 11 2" xfId="16840"/>
    <cellStyle name="Input [yellow] 2 14 3 11 3" xfId="28008"/>
    <cellStyle name="Input [yellow] 2 14 3 11 4" xfId="39173"/>
    <cellStyle name="Input [yellow] 2 14 3 11 5" xfId="50366"/>
    <cellStyle name="Input [yellow] 2 14 3 12" xfId="6797"/>
    <cellStyle name="Input [yellow] 2 14 3 12 2" xfId="17994"/>
    <cellStyle name="Input [yellow] 2 14 3 12 3" xfId="29162"/>
    <cellStyle name="Input [yellow] 2 14 3 12 4" xfId="40327"/>
    <cellStyle name="Input [yellow] 2 14 3 12 5" xfId="51520"/>
    <cellStyle name="Input [yellow] 2 14 3 13" xfId="7431"/>
    <cellStyle name="Input [yellow] 2 14 3 13 2" xfId="18628"/>
    <cellStyle name="Input [yellow] 2 14 3 13 3" xfId="29796"/>
    <cellStyle name="Input [yellow] 2 14 3 13 4" xfId="40961"/>
    <cellStyle name="Input [yellow] 2 14 3 13 5" xfId="52154"/>
    <cellStyle name="Input [yellow] 2 14 3 14" xfId="8065"/>
    <cellStyle name="Input [yellow] 2 14 3 14 2" xfId="19262"/>
    <cellStyle name="Input [yellow] 2 14 3 14 3" xfId="30430"/>
    <cellStyle name="Input [yellow] 2 14 3 14 4" xfId="41595"/>
    <cellStyle name="Input [yellow] 2 14 3 14 5" xfId="52788"/>
    <cellStyle name="Input [yellow] 2 14 3 15" xfId="8696"/>
    <cellStyle name="Input [yellow] 2 14 3 15 2" xfId="19893"/>
    <cellStyle name="Input [yellow] 2 14 3 15 3" xfId="31061"/>
    <cellStyle name="Input [yellow] 2 14 3 15 4" xfId="42226"/>
    <cellStyle name="Input [yellow] 2 14 3 15 5" xfId="53419"/>
    <cellStyle name="Input [yellow] 2 14 3 16" xfId="9116"/>
    <cellStyle name="Input [yellow] 2 14 3 16 2" xfId="20313"/>
    <cellStyle name="Input [yellow] 2 14 3 16 3" xfId="31481"/>
    <cellStyle name="Input [yellow] 2 14 3 16 4" xfId="42646"/>
    <cellStyle name="Input [yellow] 2 14 3 16 5" xfId="53839"/>
    <cellStyle name="Input [yellow] 2 14 3 17" xfId="9747"/>
    <cellStyle name="Input [yellow] 2 14 3 17 2" xfId="20944"/>
    <cellStyle name="Input [yellow] 2 14 3 17 3" xfId="32112"/>
    <cellStyle name="Input [yellow] 2 14 3 17 4" xfId="43277"/>
    <cellStyle name="Input [yellow] 2 14 3 17 5" xfId="54470"/>
    <cellStyle name="Input [yellow] 2 14 3 18" xfId="10498"/>
    <cellStyle name="Input [yellow] 2 14 3 18 2" xfId="21695"/>
    <cellStyle name="Input [yellow] 2 14 3 18 3" xfId="32863"/>
    <cellStyle name="Input [yellow] 2 14 3 18 4" xfId="44028"/>
    <cellStyle name="Input [yellow] 2 14 3 18 5" xfId="55221"/>
    <cellStyle name="Input [yellow] 2 14 3 19" xfId="10781"/>
    <cellStyle name="Input [yellow] 2 14 3 19 2" xfId="21978"/>
    <cellStyle name="Input [yellow] 2 14 3 19 3" xfId="33146"/>
    <cellStyle name="Input [yellow] 2 14 3 19 4" xfId="44311"/>
    <cellStyle name="Input [yellow] 2 14 3 19 5" xfId="55504"/>
    <cellStyle name="Input [yellow] 2 14 3 2" xfId="877"/>
    <cellStyle name="Input [yellow] 2 14 3 2 2" xfId="12074"/>
    <cellStyle name="Input [yellow] 2 14 3 2 3" xfId="23242"/>
    <cellStyle name="Input [yellow] 2 14 3 2 4" xfId="34407"/>
    <cellStyle name="Input [yellow] 2 14 3 2 5" xfId="45600"/>
    <cellStyle name="Input [yellow] 2 14 3 20" xfId="11428"/>
    <cellStyle name="Input [yellow] 2 14 3 21" xfId="22598"/>
    <cellStyle name="Input [yellow] 2 14 3 22" xfId="33765"/>
    <cellStyle name="Input [yellow] 2 14 3 23" xfId="44951"/>
    <cellStyle name="Input [yellow] 2 14 3 3" xfId="1795"/>
    <cellStyle name="Input [yellow] 2 14 3 3 2" xfId="12992"/>
    <cellStyle name="Input [yellow] 2 14 3 3 3" xfId="24160"/>
    <cellStyle name="Input [yellow] 2 14 3 3 4" xfId="35325"/>
    <cellStyle name="Input [yellow] 2 14 3 3 5" xfId="46518"/>
    <cellStyle name="Input [yellow] 2 14 3 4" xfId="2154"/>
    <cellStyle name="Input [yellow] 2 14 3 4 2" xfId="13351"/>
    <cellStyle name="Input [yellow] 2 14 3 4 3" xfId="24519"/>
    <cellStyle name="Input [yellow] 2 14 3 4 4" xfId="35684"/>
    <cellStyle name="Input [yellow] 2 14 3 4 5" xfId="46877"/>
    <cellStyle name="Input [yellow] 2 14 3 5" xfId="2499"/>
    <cellStyle name="Input [yellow] 2 14 3 5 2" xfId="13696"/>
    <cellStyle name="Input [yellow] 2 14 3 5 3" xfId="24864"/>
    <cellStyle name="Input [yellow] 2 14 3 5 4" xfId="36029"/>
    <cellStyle name="Input [yellow] 2 14 3 5 5" xfId="47222"/>
    <cellStyle name="Input [yellow] 2 14 3 6" xfId="3212"/>
    <cellStyle name="Input [yellow] 2 14 3 6 2" xfId="14409"/>
    <cellStyle name="Input [yellow] 2 14 3 6 3" xfId="25577"/>
    <cellStyle name="Input [yellow] 2 14 3 6 4" xfId="36742"/>
    <cellStyle name="Input [yellow] 2 14 3 6 5" xfId="47935"/>
    <cellStyle name="Input [yellow] 2 14 3 7" xfId="3846"/>
    <cellStyle name="Input [yellow] 2 14 3 7 2" xfId="15043"/>
    <cellStyle name="Input [yellow] 2 14 3 7 3" xfId="26211"/>
    <cellStyle name="Input [yellow] 2 14 3 7 4" xfId="37376"/>
    <cellStyle name="Input [yellow] 2 14 3 7 5" xfId="48569"/>
    <cellStyle name="Input [yellow] 2 14 3 8" xfId="4479"/>
    <cellStyle name="Input [yellow] 2 14 3 8 2" xfId="15676"/>
    <cellStyle name="Input [yellow] 2 14 3 8 3" xfId="26844"/>
    <cellStyle name="Input [yellow] 2 14 3 8 4" xfId="38009"/>
    <cellStyle name="Input [yellow] 2 14 3 8 5" xfId="49202"/>
    <cellStyle name="Input [yellow] 2 14 3 9" xfId="5110"/>
    <cellStyle name="Input [yellow] 2 14 3 9 2" xfId="16307"/>
    <cellStyle name="Input [yellow] 2 14 3 9 3" xfId="27475"/>
    <cellStyle name="Input [yellow] 2 14 3 9 4" xfId="38640"/>
    <cellStyle name="Input [yellow] 2 14 3 9 5" xfId="49833"/>
    <cellStyle name="Input [yellow] 2 14 30" xfId="11309"/>
    <cellStyle name="Input [yellow] 2 14 31" xfId="22479"/>
    <cellStyle name="Input [yellow] 2 14 32" xfId="33646"/>
    <cellStyle name="Input [yellow] 2 14 33" xfId="44831"/>
    <cellStyle name="Input [yellow] 2 14 4" xfId="260"/>
    <cellStyle name="Input [yellow] 2 14 4 10" xfId="5765"/>
    <cellStyle name="Input [yellow] 2 14 4 10 2" xfId="16962"/>
    <cellStyle name="Input [yellow] 2 14 4 10 3" xfId="28130"/>
    <cellStyle name="Input [yellow] 2 14 4 10 4" xfId="39295"/>
    <cellStyle name="Input [yellow] 2 14 4 10 5" xfId="50488"/>
    <cellStyle name="Input [yellow] 2 14 4 11" xfId="5715"/>
    <cellStyle name="Input [yellow] 2 14 4 11 2" xfId="16912"/>
    <cellStyle name="Input [yellow] 2 14 4 11 3" xfId="28080"/>
    <cellStyle name="Input [yellow] 2 14 4 11 4" xfId="39245"/>
    <cellStyle name="Input [yellow] 2 14 4 11 5" xfId="50438"/>
    <cellStyle name="Input [yellow] 2 14 4 12" xfId="6829"/>
    <cellStyle name="Input [yellow] 2 14 4 12 2" xfId="18026"/>
    <cellStyle name="Input [yellow] 2 14 4 12 3" xfId="29194"/>
    <cellStyle name="Input [yellow] 2 14 4 12 4" xfId="40359"/>
    <cellStyle name="Input [yellow] 2 14 4 12 5" xfId="51552"/>
    <cellStyle name="Input [yellow] 2 14 4 13" xfId="7463"/>
    <cellStyle name="Input [yellow] 2 14 4 13 2" xfId="18660"/>
    <cellStyle name="Input [yellow] 2 14 4 13 3" xfId="29828"/>
    <cellStyle name="Input [yellow] 2 14 4 13 4" xfId="40993"/>
    <cellStyle name="Input [yellow] 2 14 4 13 5" xfId="52186"/>
    <cellStyle name="Input [yellow] 2 14 4 14" xfId="8097"/>
    <cellStyle name="Input [yellow] 2 14 4 14 2" xfId="19294"/>
    <cellStyle name="Input [yellow] 2 14 4 14 3" xfId="30462"/>
    <cellStyle name="Input [yellow] 2 14 4 14 4" xfId="41627"/>
    <cellStyle name="Input [yellow] 2 14 4 14 5" xfId="52820"/>
    <cellStyle name="Input [yellow] 2 14 4 15" xfId="8727"/>
    <cellStyle name="Input [yellow] 2 14 4 15 2" xfId="19924"/>
    <cellStyle name="Input [yellow] 2 14 4 15 3" xfId="31092"/>
    <cellStyle name="Input [yellow] 2 14 4 15 4" xfId="42257"/>
    <cellStyle name="Input [yellow] 2 14 4 15 5" xfId="53450"/>
    <cellStyle name="Input [yellow] 2 14 4 16" xfId="8632"/>
    <cellStyle name="Input [yellow] 2 14 4 16 2" xfId="19829"/>
    <cellStyle name="Input [yellow] 2 14 4 16 3" xfId="30997"/>
    <cellStyle name="Input [yellow] 2 14 4 16 4" xfId="42162"/>
    <cellStyle name="Input [yellow] 2 14 4 16 5" xfId="53355"/>
    <cellStyle name="Input [yellow] 2 14 4 17" xfId="9777"/>
    <cellStyle name="Input [yellow] 2 14 4 17 2" xfId="20974"/>
    <cellStyle name="Input [yellow] 2 14 4 17 3" xfId="32142"/>
    <cellStyle name="Input [yellow] 2 14 4 17 4" xfId="43307"/>
    <cellStyle name="Input [yellow] 2 14 4 17 5" xfId="54500"/>
    <cellStyle name="Input [yellow] 2 14 4 18" xfId="10542"/>
    <cellStyle name="Input [yellow] 2 14 4 18 2" xfId="21739"/>
    <cellStyle name="Input [yellow] 2 14 4 18 3" xfId="32907"/>
    <cellStyle name="Input [yellow] 2 14 4 18 4" xfId="44072"/>
    <cellStyle name="Input [yellow] 2 14 4 18 5" xfId="55265"/>
    <cellStyle name="Input [yellow] 2 14 4 19" xfId="10813"/>
    <cellStyle name="Input [yellow] 2 14 4 19 2" xfId="22010"/>
    <cellStyle name="Input [yellow] 2 14 4 19 3" xfId="33178"/>
    <cellStyle name="Input [yellow] 2 14 4 19 4" xfId="44343"/>
    <cellStyle name="Input [yellow] 2 14 4 19 5" xfId="55536"/>
    <cellStyle name="Input [yellow] 2 14 4 2" xfId="909"/>
    <cellStyle name="Input [yellow] 2 14 4 2 2" xfId="12106"/>
    <cellStyle name="Input [yellow] 2 14 4 2 3" xfId="23274"/>
    <cellStyle name="Input [yellow] 2 14 4 2 4" xfId="34439"/>
    <cellStyle name="Input [yellow] 2 14 4 2 5" xfId="45632"/>
    <cellStyle name="Input [yellow] 2 14 4 20" xfId="11460"/>
    <cellStyle name="Input [yellow] 2 14 4 21" xfId="22630"/>
    <cellStyle name="Input [yellow] 2 14 4 22" xfId="33797"/>
    <cellStyle name="Input [yellow] 2 14 4 23" xfId="44983"/>
    <cellStyle name="Input [yellow] 2 14 4 3" xfId="1386"/>
    <cellStyle name="Input [yellow] 2 14 4 3 2" xfId="12583"/>
    <cellStyle name="Input [yellow] 2 14 4 3 3" xfId="23751"/>
    <cellStyle name="Input [yellow] 2 14 4 3 4" xfId="34916"/>
    <cellStyle name="Input [yellow] 2 14 4 3 5" xfId="46109"/>
    <cellStyle name="Input [yellow] 2 14 4 4" xfId="2186"/>
    <cellStyle name="Input [yellow] 2 14 4 4 2" xfId="13383"/>
    <cellStyle name="Input [yellow] 2 14 4 4 3" xfId="24551"/>
    <cellStyle name="Input [yellow] 2 14 4 4 4" xfId="35716"/>
    <cellStyle name="Input [yellow] 2 14 4 4 5" xfId="46909"/>
    <cellStyle name="Input [yellow] 2 14 4 5" xfId="2026"/>
    <cellStyle name="Input [yellow] 2 14 4 5 2" xfId="13223"/>
    <cellStyle name="Input [yellow] 2 14 4 5 3" xfId="24391"/>
    <cellStyle name="Input [yellow] 2 14 4 5 4" xfId="35556"/>
    <cellStyle name="Input [yellow] 2 14 4 5 5" xfId="46749"/>
    <cellStyle name="Input [yellow] 2 14 4 6" xfId="3244"/>
    <cellStyle name="Input [yellow] 2 14 4 6 2" xfId="14441"/>
    <cellStyle name="Input [yellow] 2 14 4 6 3" xfId="25609"/>
    <cellStyle name="Input [yellow] 2 14 4 6 4" xfId="36774"/>
    <cellStyle name="Input [yellow] 2 14 4 6 5" xfId="47967"/>
    <cellStyle name="Input [yellow] 2 14 4 7" xfId="3878"/>
    <cellStyle name="Input [yellow] 2 14 4 7 2" xfId="15075"/>
    <cellStyle name="Input [yellow] 2 14 4 7 3" xfId="26243"/>
    <cellStyle name="Input [yellow] 2 14 4 7 4" xfId="37408"/>
    <cellStyle name="Input [yellow] 2 14 4 7 5" xfId="48601"/>
    <cellStyle name="Input [yellow] 2 14 4 8" xfId="4511"/>
    <cellStyle name="Input [yellow] 2 14 4 8 2" xfId="15708"/>
    <cellStyle name="Input [yellow] 2 14 4 8 3" xfId="26876"/>
    <cellStyle name="Input [yellow] 2 14 4 8 4" xfId="38041"/>
    <cellStyle name="Input [yellow] 2 14 4 8 5" xfId="49234"/>
    <cellStyle name="Input [yellow] 2 14 4 9" xfId="5142"/>
    <cellStyle name="Input [yellow] 2 14 4 9 2" xfId="16339"/>
    <cellStyle name="Input [yellow] 2 14 4 9 3" xfId="27507"/>
    <cellStyle name="Input [yellow] 2 14 4 9 4" xfId="38672"/>
    <cellStyle name="Input [yellow] 2 14 4 9 5" xfId="49865"/>
    <cellStyle name="Input [yellow] 2 14 5" xfId="359"/>
    <cellStyle name="Input [yellow] 2 14 5 10" xfId="6085"/>
    <cellStyle name="Input [yellow] 2 14 5 10 2" xfId="17282"/>
    <cellStyle name="Input [yellow] 2 14 5 10 3" xfId="28450"/>
    <cellStyle name="Input [yellow] 2 14 5 10 4" xfId="39615"/>
    <cellStyle name="Input [yellow] 2 14 5 10 5" xfId="50808"/>
    <cellStyle name="Input [yellow] 2 14 5 11" xfId="6295"/>
    <cellStyle name="Input [yellow] 2 14 5 11 2" xfId="17492"/>
    <cellStyle name="Input [yellow] 2 14 5 11 3" xfId="28660"/>
    <cellStyle name="Input [yellow] 2 14 5 11 4" xfId="39825"/>
    <cellStyle name="Input [yellow] 2 14 5 11 5" xfId="51018"/>
    <cellStyle name="Input [yellow] 2 14 5 12" xfId="6928"/>
    <cellStyle name="Input [yellow] 2 14 5 12 2" xfId="18125"/>
    <cellStyle name="Input [yellow] 2 14 5 12 3" xfId="29293"/>
    <cellStyle name="Input [yellow] 2 14 5 12 4" xfId="40458"/>
    <cellStyle name="Input [yellow] 2 14 5 12 5" xfId="51651"/>
    <cellStyle name="Input [yellow] 2 14 5 13" xfId="7562"/>
    <cellStyle name="Input [yellow] 2 14 5 13 2" xfId="18759"/>
    <cellStyle name="Input [yellow] 2 14 5 13 3" xfId="29927"/>
    <cellStyle name="Input [yellow] 2 14 5 13 4" xfId="41092"/>
    <cellStyle name="Input [yellow] 2 14 5 13 5" xfId="52285"/>
    <cellStyle name="Input [yellow] 2 14 5 14" xfId="8196"/>
    <cellStyle name="Input [yellow] 2 14 5 14 2" xfId="19393"/>
    <cellStyle name="Input [yellow] 2 14 5 14 3" xfId="30561"/>
    <cellStyle name="Input [yellow] 2 14 5 14 4" xfId="41726"/>
    <cellStyle name="Input [yellow] 2 14 5 14 5" xfId="52919"/>
    <cellStyle name="Input [yellow] 2 14 5 15" xfId="8825"/>
    <cellStyle name="Input [yellow] 2 14 5 15 2" xfId="20022"/>
    <cellStyle name="Input [yellow] 2 14 5 15 3" xfId="31190"/>
    <cellStyle name="Input [yellow] 2 14 5 15 4" xfId="42355"/>
    <cellStyle name="Input [yellow] 2 14 5 15 5" xfId="53548"/>
    <cellStyle name="Input [yellow] 2 14 5 16" xfId="9247"/>
    <cellStyle name="Input [yellow] 2 14 5 16 2" xfId="20444"/>
    <cellStyle name="Input [yellow] 2 14 5 16 3" xfId="31612"/>
    <cellStyle name="Input [yellow] 2 14 5 16 4" xfId="42777"/>
    <cellStyle name="Input [yellow] 2 14 5 16 5" xfId="53970"/>
    <cellStyle name="Input [yellow] 2 14 5 17" xfId="9874"/>
    <cellStyle name="Input [yellow] 2 14 5 17 2" xfId="21071"/>
    <cellStyle name="Input [yellow] 2 14 5 17 3" xfId="32239"/>
    <cellStyle name="Input [yellow] 2 14 5 17 4" xfId="43404"/>
    <cellStyle name="Input [yellow] 2 14 5 17 5" xfId="54597"/>
    <cellStyle name="Input [yellow] 2 14 5 18" xfId="10592"/>
    <cellStyle name="Input [yellow] 2 14 5 18 2" xfId="21789"/>
    <cellStyle name="Input [yellow] 2 14 5 18 3" xfId="32957"/>
    <cellStyle name="Input [yellow] 2 14 5 18 4" xfId="44122"/>
    <cellStyle name="Input [yellow] 2 14 5 18 5" xfId="55315"/>
    <cellStyle name="Input [yellow] 2 14 5 19" xfId="10912"/>
    <cellStyle name="Input [yellow] 2 14 5 19 2" xfId="22109"/>
    <cellStyle name="Input [yellow] 2 14 5 19 3" xfId="33277"/>
    <cellStyle name="Input [yellow] 2 14 5 19 4" xfId="44442"/>
    <cellStyle name="Input [yellow] 2 14 5 19 5" xfId="55635"/>
    <cellStyle name="Input [yellow] 2 14 5 2" xfId="1008"/>
    <cellStyle name="Input [yellow] 2 14 5 2 2" xfId="12205"/>
    <cellStyle name="Input [yellow] 2 14 5 2 3" xfId="23373"/>
    <cellStyle name="Input [yellow] 2 14 5 2 4" xfId="34538"/>
    <cellStyle name="Input [yellow] 2 14 5 2 5" xfId="45731"/>
    <cellStyle name="Input [yellow] 2 14 5 20" xfId="11559"/>
    <cellStyle name="Input [yellow] 2 14 5 21" xfId="22729"/>
    <cellStyle name="Input [yellow] 2 14 5 22" xfId="33896"/>
    <cellStyle name="Input [yellow] 2 14 5 23" xfId="45082"/>
    <cellStyle name="Input [yellow] 2 14 5 3" xfId="1911"/>
    <cellStyle name="Input [yellow] 2 14 5 3 2" xfId="13108"/>
    <cellStyle name="Input [yellow] 2 14 5 3 3" xfId="24276"/>
    <cellStyle name="Input [yellow] 2 14 5 3 4" xfId="35441"/>
    <cellStyle name="Input [yellow] 2 14 5 3 5" xfId="46634"/>
    <cellStyle name="Input [yellow] 2 14 5 4" xfId="2284"/>
    <cellStyle name="Input [yellow] 2 14 5 4 2" xfId="13481"/>
    <cellStyle name="Input [yellow] 2 14 5 4 3" xfId="24649"/>
    <cellStyle name="Input [yellow] 2 14 5 4 4" xfId="35814"/>
    <cellStyle name="Input [yellow] 2 14 5 4 5" xfId="47007"/>
    <cellStyle name="Input [yellow] 2 14 5 5" xfId="2709"/>
    <cellStyle name="Input [yellow] 2 14 5 5 2" xfId="13906"/>
    <cellStyle name="Input [yellow] 2 14 5 5 3" xfId="25074"/>
    <cellStyle name="Input [yellow] 2 14 5 5 4" xfId="36239"/>
    <cellStyle name="Input [yellow] 2 14 5 5 5" xfId="47432"/>
    <cellStyle name="Input [yellow] 2 14 5 6" xfId="3343"/>
    <cellStyle name="Input [yellow] 2 14 5 6 2" xfId="14540"/>
    <cellStyle name="Input [yellow] 2 14 5 6 3" xfId="25708"/>
    <cellStyle name="Input [yellow] 2 14 5 6 4" xfId="36873"/>
    <cellStyle name="Input [yellow] 2 14 5 6 5" xfId="48066"/>
    <cellStyle name="Input [yellow] 2 14 5 7" xfId="3977"/>
    <cellStyle name="Input [yellow] 2 14 5 7 2" xfId="15174"/>
    <cellStyle name="Input [yellow] 2 14 5 7 3" xfId="26342"/>
    <cellStyle name="Input [yellow] 2 14 5 7 4" xfId="37507"/>
    <cellStyle name="Input [yellow] 2 14 5 7 5" xfId="48700"/>
    <cellStyle name="Input [yellow] 2 14 5 8" xfId="4610"/>
    <cellStyle name="Input [yellow] 2 14 5 8 2" xfId="15807"/>
    <cellStyle name="Input [yellow] 2 14 5 8 3" xfId="26975"/>
    <cellStyle name="Input [yellow] 2 14 5 8 4" xfId="38140"/>
    <cellStyle name="Input [yellow] 2 14 5 8 5" xfId="49333"/>
    <cellStyle name="Input [yellow] 2 14 5 9" xfId="5241"/>
    <cellStyle name="Input [yellow] 2 14 5 9 2" xfId="16438"/>
    <cellStyle name="Input [yellow] 2 14 5 9 3" xfId="27606"/>
    <cellStyle name="Input [yellow] 2 14 5 9 4" xfId="38771"/>
    <cellStyle name="Input [yellow] 2 14 5 9 5" xfId="49964"/>
    <cellStyle name="Input [yellow] 2 14 6" xfId="368"/>
    <cellStyle name="Input [yellow] 2 14 6 10" xfId="5735"/>
    <cellStyle name="Input [yellow] 2 14 6 10 2" xfId="16932"/>
    <cellStyle name="Input [yellow] 2 14 6 10 3" xfId="28100"/>
    <cellStyle name="Input [yellow] 2 14 6 10 4" xfId="39265"/>
    <cellStyle name="Input [yellow] 2 14 6 10 5" xfId="50458"/>
    <cellStyle name="Input [yellow] 2 14 6 11" xfId="6304"/>
    <cellStyle name="Input [yellow] 2 14 6 11 2" xfId="17501"/>
    <cellStyle name="Input [yellow] 2 14 6 11 3" xfId="28669"/>
    <cellStyle name="Input [yellow] 2 14 6 11 4" xfId="39834"/>
    <cellStyle name="Input [yellow] 2 14 6 11 5" xfId="51027"/>
    <cellStyle name="Input [yellow] 2 14 6 12" xfId="6937"/>
    <cellStyle name="Input [yellow] 2 14 6 12 2" xfId="18134"/>
    <cellStyle name="Input [yellow] 2 14 6 12 3" xfId="29302"/>
    <cellStyle name="Input [yellow] 2 14 6 12 4" xfId="40467"/>
    <cellStyle name="Input [yellow] 2 14 6 12 5" xfId="51660"/>
    <cellStyle name="Input [yellow] 2 14 6 13" xfId="7571"/>
    <cellStyle name="Input [yellow] 2 14 6 13 2" xfId="18768"/>
    <cellStyle name="Input [yellow] 2 14 6 13 3" xfId="29936"/>
    <cellStyle name="Input [yellow] 2 14 6 13 4" xfId="41101"/>
    <cellStyle name="Input [yellow] 2 14 6 13 5" xfId="52294"/>
    <cellStyle name="Input [yellow] 2 14 6 14" xfId="8205"/>
    <cellStyle name="Input [yellow] 2 14 6 14 2" xfId="19402"/>
    <cellStyle name="Input [yellow] 2 14 6 14 3" xfId="30570"/>
    <cellStyle name="Input [yellow] 2 14 6 14 4" xfId="41735"/>
    <cellStyle name="Input [yellow] 2 14 6 14 5" xfId="52928"/>
    <cellStyle name="Input [yellow] 2 14 6 15" xfId="8834"/>
    <cellStyle name="Input [yellow] 2 14 6 15 2" xfId="20031"/>
    <cellStyle name="Input [yellow] 2 14 6 15 3" xfId="31199"/>
    <cellStyle name="Input [yellow] 2 14 6 15 4" xfId="42364"/>
    <cellStyle name="Input [yellow] 2 14 6 15 5" xfId="53557"/>
    <cellStyle name="Input [yellow] 2 14 6 16" xfId="9256"/>
    <cellStyle name="Input [yellow] 2 14 6 16 2" xfId="20453"/>
    <cellStyle name="Input [yellow] 2 14 6 16 3" xfId="31621"/>
    <cellStyle name="Input [yellow] 2 14 6 16 4" xfId="42786"/>
    <cellStyle name="Input [yellow] 2 14 6 16 5" xfId="53979"/>
    <cellStyle name="Input [yellow] 2 14 6 17" xfId="9883"/>
    <cellStyle name="Input [yellow] 2 14 6 17 2" xfId="21080"/>
    <cellStyle name="Input [yellow] 2 14 6 17 3" xfId="32248"/>
    <cellStyle name="Input [yellow] 2 14 6 17 4" xfId="43413"/>
    <cellStyle name="Input [yellow] 2 14 6 17 5" xfId="54606"/>
    <cellStyle name="Input [yellow] 2 14 6 18" xfId="10025"/>
    <cellStyle name="Input [yellow] 2 14 6 18 2" xfId="21222"/>
    <cellStyle name="Input [yellow] 2 14 6 18 3" xfId="32390"/>
    <cellStyle name="Input [yellow] 2 14 6 18 4" xfId="43555"/>
    <cellStyle name="Input [yellow] 2 14 6 18 5" xfId="54748"/>
    <cellStyle name="Input [yellow] 2 14 6 19" xfId="10921"/>
    <cellStyle name="Input [yellow] 2 14 6 19 2" xfId="22118"/>
    <cellStyle name="Input [yellow] 2 14 6 19 3" xfId="33286"/>
    <cellStyle name="Input [yellow] 2 14 6 19 4" xfId="44451"/>
    <cellStyle name="Input [yellow] 2 14 6 19 5" xfId="55644"/>
    <cellStyle name="Input [yellow] 2 14 6 2" xfId="1017"/>
    <cellStyle name="Input [yellow] 2 14 6 2 2" xfId="12214"/>
    <cellStyle name="Input [yellow] 2 14 6 2 3" xfId="23382"/>
    <cellStyle name="Input [yellow] 2 14 6 2 4" xfId="34547"/>
    <cellStyle name="Input [yellow] 2 14 6 2 5" xfId="45740"/>
    <cellStyle name="Input [yellow] 2 14 6 20" xfId="11568"/>
    <cellStyle name="Input [yellow] 2 14 6 21" xfId="22738"/>
    <cellStyle name="Input [yellow] 2 14 6 22" xfId="33905"/>
    <cellStyle name="Input [yellow] 2 14 6 23" xfId="45091"/>
    <cellStyle name="Input [yellow] 2 14 6 3" xfId="1475"/>
    <cellStyle name="Input [yellow] 2 14 6 3 2" xfId="12672"/>
    <cellStyle name="Input [yellow] 2 14 6 3 3" xfId="23840"/>
    <cellStyle name="Input [yellow] 2 14 6 3 4" xfId="35005"/>
    <cellStyle name="Input [yellow] 2 14 6 3 5" xfId="46198"/>
    <cellStyle name="Input [yellow] 2 14 6 4" xfId="2293"/>
    <cellStyle name="Input [yellow] 2 14 6 4 2" xfId="13490"/>
    <cellStyle name="Input [yellow] 2 14 6 4 3" xfId="24658"/>
    <cellStyle name="Input [yellow] 2 14 6 4 4" xfId="35823"/>
    <cellStyle name="Input [yellow] 2 14 6 4 5" xfId="47016"/>
    <cellStyle name="Input [yellow] 2 14 6 5" xfId="2718"/>
    <cellStyle name="Input [yellow] 2 14 6 5 2" xfId="13915"/>
    <cellStyle name="Input [yellow] 2 14 6 5 3" xfId="25083"/>
    <cellStyle name="Input [yellow] 2 14 6 5 4" xfId="36248"/>
    <cellStyle name="Input [yellow] 2 14 6 5 5" xfId="47441"/>
    <cellStyle name="Input [yellow] 2 14 6 6" xfId="3352"/>
    <cellStyle name="Input [yellow] 2 14 6 6 2" xfId="14549"/>
    <cellStyle name="Input [yellow] 2 14 6 6 3" xfId="25717"/>
    <cellStyle name="Input [yellow] 2 14 6 6 4" xfId="36882"/>
    <cellStyle name="Input [yellow] 2 14 6 6 5" xfId="48075"/>
    <cellStyle name="Input [yellow] 2 14 6 7" xfId="3986"/>
    <cellStyle name="Input [yellow] 2 14 6 7 2" xfId="15183"/>
    <cellStyle name="Input [yellow] 2 14 6 7 3" xfId="26351"/>
    <cellStyle name="Input [yellow] 2 14 6 7 4" xfId="37516"/>
    <cellStyle name="Input [yellow] 2 14 6 7 5" xfId="48709"/>
    <cellStyle name="Input [yellow] 2 14 6 8" xfId="4619"/>
    <cellStyle name="Input [yellow] 2 14 6 8 2" xfId="15816"/>
    <cellStyle name="Input [yellow] 2 14 6 8 3" xfId="26984"/>
    <cellStyle name="Input [yellow] 2 14 6 8 4" xfId="38149"/>
    <cellStyle name="Input [yellow] 2 14 6 8 5" xfId="49342"/>
    <cellStyle name="Input [yellow] 2 14 6 9" xfId="5250"/>
    <cellStyle name="Input [yellow] 2 14 6 9 2" xfId="16447"/>
    <cellStyle name="Input [yellow] 2 14 6 9 3" xfId="27615"/>
    <cellStyle name="Input [yellow] 2 14 6 9 4" xfId="38780"/>
    <cellStyle name="Input [yellow] 2 14 6 9 5" xfId="49973"/>
    <cellStyle name="Input [yellow] 2 14 7" xfId="478"/>
    <cellStyle name="Input [yellow] 2 14 7 10" xfId="6071"/>
    <cellStyle name="Input [yellow] 2 14 7 10 2" xfId="17268"/>
    <cellStyle name="Input [yellow] 2 14 7 10 3" xfId="28436"/>
    <cellStyle name="Input [yellow] 2 14 7 10 4" xfId="39601"/>
    <cellStyle name="Input [yellow] 2 14 7 10 5" xfId="50794"/>
    <cellStyle name="Input [yellow] 2 14 7 11" xfId="6414"/>
    <cellStyle name="Input [yellow] 2 14 7 11 2" xfId="17611"/>
    <cellStyle name="Input [yellow] 2 14 7 11 3" xfId="28779"/>
    <cellStyle name="Input [yellow] 2 14 7 11 4" xfId="39944"/>
    <cellStyle name="Input [yellow] 2 14 7 11 5" xfId="51137"/>
    <cellStyle name="Input [yellow] 2 14 7 12" xfId="7047"/>
    <cellStyle name="Input [yellow] 2 14 7 12 2" xfId="18244"/>
    <cellStyle name="Input [yellow] 2 14 7 12 3" xfId="29412"/>
    <cellStyle name="Input [yellow] 2 14 7 12 4" xfId="40577"/>
    <cellStyle name="Input [yellow] 2 14 7 12 5" xfId="51770"/>
    <cellStyle name="Input [yellow] 2 14 7 13" xfId="7681"/>
    <cellStyle name="Input [yellow] 2 14 7 13 2" xfId="18878"/>
    <cellStyle name="Input [yellow] 2 14 7 13 3" xfId="30046"/>
    <cellStyle name="Input [yellow] 2 14 7 13 4" xfId="41211"/>
    <cellStyle name="Input [yellow] 2 14 7 13 5" xfId="52404"/>
    <cellStyle name="Input [yellow] 2 14 7 14" xfId="8315"/>
    <cellStyle name="Input [yellow] 2 14 7 14 2" xfId="19512"/>
    <cellStyle name="Input [yellow] 2 14 7 14 3" xfId="30680"/>
    <cellStyle name="Input [yellow] 2 14 7 14 4" xfId="41845"/>
    <cellStyle name="Input [yellow] 2 14 7 14 5" xfId="53038"/>
    <cellStyle name="Input [yellow] 2 14 7 15" xfId="8943"/>
    <cellStyle name="Input [yellow] 2 14 7 15 2" xfId="20140"/>
    <cellStyle name="Input [yellow] 2 14 7 15 3" xfId="31308"/>
    <cellStyle name="Input [yellow] 2 14 7 15 4" xfId="42473"/>
    <cellStyle name="Input [yellow] 2 14 7 15 5" xfId="53666"/>
    <cellStyle name="Input [yellow] 2 14 7 16" xfId="9366"/>
    <cellStyle name="Input [yellow] 2 14 7 16 2" xfId="20563"/>
    <cellStyle name="Input [yellow] 2 14 7 16 3" xfId="31731"/>
    <cellStyle name="Input [yellow] 2 14 7 16 4" xfId="42896"/>
    <cellStyle name="Input [yellow] 2 14 7 16 5" xfId="54089"/>
    <cellStyle name="Input [yellow] 2 14 7 17" xfId="9992"/>
    <cellStyle name="Input [yellow] 2 14 7 17 2" xfId="21189"/>
    <cellStyle name="Input [yellow] 2 14 7 17 3" xfId="32357"/>
    <cellStyle name="Input [yellow] 2 14 7 17 4" xfId="43522"/>
    <cellStyle name="Input [yellow] 2 14 7 17 5" xfId="54715"/>
    <cellStyle name="Input [yellow] 2 14 7 18" xfId="10449"/>
    <cellStyle name="Input [yellow] 2 14 7 18 2" xfId="21646"/>
    <cellStyle name="Input [yellow] 2 14 7 18 3" xfId="32814"/>
    <cellStyle name="Input [yellow] 2 14 7 18 4" xfId="43979"/>
    <cellStyle name="Input [yellow] 2 14 7 18 5" xfId="55172"/>
    <cellStyle name="Input [yellow] 2 14 7 19" xfId="11031"/>
    <cellStyle name="Input [yellow] 2 14 7 19 2" xfId="22228"/>
    <cellStyle name="Input [yellow] 2 14 7 19 3" xfId="33396"/>
    <cellStyle name="Input [yellow] 2 14 7 19 4" xfId="44561"/>
    <cellStyle name="Input [yellow] 2 14 7 19 5" xfId="55754"/>
    <cellStyle name="Input [yellow] 2 14 7 2" xfId="1127"/>
    <cellStyle name="Input [yellow] 2 14 7 2 2" xfId="12324"/>
    <cellStyle name="Input [yellow] 2 14 7 2 3" xfId="23492"/>
    <cellStyle name="Input [yellow] 2 14 7 2 4" xfId="34657"/>
    <cellStyle name="Input [yellow] 2 14 7 2 5" xfId="45850"/>
    <cellStyle name="Input [yellow] 2 14 7 20" xfId="11678"/>
    <cellStyle name="Input [yellow] 2 14 7 21" xfId="22848"/>
    <cellStyle name="Input [yellow] 2 14 7 22" xfId="34015"/>
    <cellStyle name="Input [yellow] 2 14 7 23" xfId="45201"/>
    <cellStyle name="Input [yellow] 2 14 7 3" xfId="1727"/>
    <cellStyle name="Input [yellow] 2 14 7 3 2" xfId="12924"/>
    <cellStyle name="Input [yellow] 2 14 7 3 3" xfId="24092"/>
    <cellStyle name="Input [yellow] 2 14 7 3 4" xfId="35257"/>
    <cellStyle name="Input [yellow] 2 14 7 3 5" xfId="46450"/>
    <cellStyle name="Input [yellow] 2 14 7 4" xfId="2403"/>
    <cellStyle name="Input [yellow] 2 14 7 4 2" xfId="13600"/>
    <cellStyle name="Input [yellow] 2 14 7 4 3" xfId="24768"/>
    <cellStyle name="Input [yellow] 2 14 7 4 4" xfId="35933"/>
    <cellStyle name="Input [yellow] 2 14 7 4 5" xfId="47126"/>
    <cellStyle name="Input [yellow] 2 14 7 5" xfId="2828"/>
    <cellStyle name="Input [yellow] 2 14 7 5 2" xfId="14025"/>
    <cellStyle name="Input [yellow] 2 14 7 5 3" xfId="25193"/>
    <cellStyle name="Input [yellow] 2 14 7 5 4" xfId="36358"/>
    <cellStyle name="Input [yellow] 2 14 7 5 5" xfId="47551"/>
    <cellStyle name="Input [yellow] 2 14 7 6" xfId="3462"/>
    <cellStyle name="Input [yellow] 2 14 7 6 2" xfId="14659"/>
    <cellStyle name="Input [yellow] 2 14 7 6 3" xfId="25827"/>
    <cellStyle name="Input [yellow] 2 14 7 6 4" xfId="36992"/>
    <cellStyle name="Input [yellow] 2 14 7 6 5" xfId="48185"/>
    <cellStyle name="Input [yellow] 2 14 7 7" xfId="4096"/>
    <cellStyle name="Input [yellow] 2 14 7 7 2" xfId="15293"/>
    <cellStyle name="Input [yellow] 2 14 7 7 3" xfId="26461"/>
    <cellStyle name="Input [yellow] 2 14 7 7 4" xfId="37626"/>
    <cellStyle name="Input [yellow] 2 14 7 7 5" xfId="48819"/>
    <cellStyle name="Input [yellow] 2 14 7 8" xfId="4729"/>
    <cellStyle name="Input [yellow] 2 14 7 8 2" xfId="15926"/>
    <cellStyle name="Input [yellow] 2 14 7 8 3" xfId="27094"/>
    <cellStyle name="Input [yellow] 2 14 7 8 4" xfId="38259"/>
    <cellStyle name="Input [yellow] 2 14 7 8 5" xfId="49452"/>
    <cellStyle name="Input [yellow] 2 14 7 9" xfId="5360"/>
    <cellStyle name="Input [yellow] 2 14 7 9 2" xfId="16557"/>
    <cellStyle name="Input [yellow] 2 14 7 9 3" xfId="27725"/>
    <cellStyle name="Input [yellow] 2 14 7 9 4" xfId="38890"/>
    <cellStyle name="Input [yellow] 2 14 7 9 5" xfId="50083"/>
    <cellStyle name="Input [yellow] 2 14 8" xfId="517"/>
    <cellStyle name="Input [yellow] 2 14 8 10" xfId="6161"/>
    <cellStyle name="Input [yellow] 2 14 8 10 2" xfId="17358"/>
    <cellStyle name="Input [yellow] 2 14 8 10 3" xfId="28526"/>
    <cellStyle name="Input [yellow] 2 14 8 10 4" xfId="39691"/>
    <cellStyle name="Input [yellow] 2 14 8 10 5" xfId="50884"/>
    <cellStyle name="Input [yellow] 2 14 8 11" xfId="6453"/>
    <cellStyle name="Input [yellow] 2 14 8 11 2" xfId="17650"/>
    <cellStyle name="Input [yellow] 2 14 8 11 3" xfId="28818"/>
    <cellStyle name="Input [yellow] 2 14 8 11 4" xfId="39983"/>
    <cellStyle name="Input [yellow] 2 14 8 11 5" xfId="51176"/>
    <cellStyle name="Input [yellow] 2 14 8 12" xfId="7086"/>
    <cellStyle name="Input [yellow] 2 14 8 12 2" xfId="18283"/>
    <cellStyle name="Input [yellow] 2 14 8 12 3" xfId="29451"/>
    <cellStyle name="Input [yellow] 2 14 8 12 4" xfId="40616"/>
    <cellStyle name="Input [yellow] 2 14 8 12 5" xfId="51809"/>
    <cellStyle name="Input [yellow] 2 14 8 13" xfId="7720"/>
    <cellStyle name="Input [yellow] 2 14 8 13 2" xfId="18917"/>
    <cellStyle name="Input [yellow] 2 14 8 13 3" xfId="30085"/>
    <cellStyle name="Input [yellow] 2 14 8 13 4" xfId="41250"/>
    <cellStyle name="Input [yellow] 2 14 8 13 5" xfId="52443"/>
    <cellStyle name="Input [yellow] 2 14 8 14" xfId="8354"/>
    <cellStyle name="Input [yellow] 2 14 8 14 2" xfId="19551"/>
    <cellStyle name="Input [yellow] 2 14 8 14 3" xfId="30719"/>
    <cellStyle name="Input [yellow] 2 14 8 14 4" xfId="41884"/>
    <cellStyle name="Input [yellow] 2 14 8 14 5" xfId="53077"/>
    <cellStyle name="Input [yellow] 2 14 8 15" xfId="8982"/>
    <cellStyle name="Input [yellow] 2 14 8 15 2" xfId="20179"/>
    <cellStyle name="Input [yellow] 2 14 8 15 3" xfId="31347"/>
    <cellStyle name="Input [yellow] 2 14 8 15 4" xfId="42512"/>
    <cellStyle name="Input [yellow] 2 14 8 15 5" xfId="53705"/>
    <cellStyle name="Input [yellow] 2 14 8 16" xfId="9405"/>
    <cellStyle name="Input [yellow] 2 14 8 16 2" xfId="20602"/>
    <cellStyle name="Input [yellow] 2 14 8 16 3" xfId="31770"/>
    <cellStyle name="Input [yellow] 2 14 8 16 4" xfId="42935"/>
    <cellStyle name="Input [yellow] 2 14 8 16 5" xfId="54128"/>
    <cellStyle name="Input [yellow] 2 14 8 17" xfId="10030"/>
    <cellStyle name="Input [yellow] 2 14 8 17 2" xfId="21227"/>
    <cellStyle name="Input [yellow] 2 14 8 17 3" xfId="32395"/>
    <cellStyle name="Input [yellow] 2 14 8 17 4" xfId="43560"/>
    <cellStyle name="Input [yellow] 2 14 8 17 5" xfId="54753"/>
    <cellStyle name="Input [yellow] 2 14 8 18" xfId="9924"/>
    <cellStyle name="Input [yellow] 2 14 8 18 2" xfId="21121"/>
    <cellStyle name="Input [yellow] 2 14 8 18 3" xfId="32289"/>
    <cellStyle name="Input [yellow] 2 14 8 18 4" xfId="43454"/>
    <cellStyle name="Input [yellow] 2 14 8 18 5" xfId="54647"/>
    <cellStyle name="Input [yellow] 2 14 8 19" xfId="11070"/>
    <cellStyle name="Input [yellow] 2 14 8 19 2" xfId="22267"/>
    <cellStyle name="Input [yellow] 2 14 8 19 3" xfId="33435"/>
    <cellStyle name="Input [yellow] 2 14 8 19 4" xfId="44600"/>
    <cellStyle name="Input [yellow] 2 14 8 19 5" xfId="55793"/>
    <cellStyle name="Input [yellow] 2 14 8 2" xfId="1166"/>
    <cellStyle name="Input [yellow] 2 14 8 2 2" xfId="12363"/>
    <cellStyle name="Input [yellow] 2 14 8 2 3" xfId="23531"/>
    <cellStyle name="Input [yellow] 2 14 8 2 4" xfId="34696"/>
    <cellStyle name="Input [yellow] 2 14 8 2 5" xfId="45889"/>
    <cellStyle name="Input [yellow] 2 14 8 20" xfId="11717"/>
    <cellStyle name="Input [yellow] 2 14 8 21" xfId="22887"/>
    <cellStyle name="Input [yellow] 2 14 8 22" xfId="34054"/>
    <cellStyle name="Input [yellow] 2 14 8 23" xfId="45240"/>
    <cellStyle name="Input [yellow] 2 14 8 3" xfId="1967"/>
    <cellStyle name="Input [yellow] 2 14 8 3 2" xfId="13164"/>
    <cellStyle name="Input [yellow] 2 14 8 3 3" xfId="24332"/>
    <cellStyle name="Input [yellow] 2 14 8 3 4" xfId="35497"/>
    <cellStyle name="Input [yellow] 2 14 8 3 5" xfId="46690"/>
    <cellStyle name="Input [yellow] 2 14 8 4" xfId="2442"/>
    <cellStyle name="Input [yellow] 2 14 8 4 2" xfId="13639"/>
    <cellStyle name="Input [yellow] 2 14 8 4 3" xfId="24807"/>
    <cellStyle name="Input [yellow] 2 14 8 4 4" xfId="35972"/>
    <cellStyle name="Input [yellow] 2 14 8 4 5" xfId="47165"/>
    <cellStyle name="Input [yellow] 2 14 8 5" xfId="2867"/>
    <cellStyle name="Input [yellow] 2 14 8 5 2" xfId="14064"/>
    <cellStyle name="Input [yellow] 2 14 8 5 3" xfId="25232"/>
    <cellStyle name="Input [yellow] 2 14 8 5 4" xfId="36397"/>
    <cellStyle name="Input [yellow] 2 14 8 5 5" xfId="47590"/>
    <cellStyle name="Input [yellow] 2 14 8 6" xfId="3501"/>
    <cellStyle name="Input [yellow] 2 14 8 6 2" xfId="14698"/>
    <cellStyle name="Input [yellow] 2 14 8 6 3" xfId="25866"/>
    <cellStyle name="Input [yellow] 2 14 8 6 4" xfId="37031"/>
    <cellStyle name="Input [yellow] 2 14 8 6 5" xfId="48224"/>
    <cellStyle name="Input [yellow] 2 14 8 7" xfId="4135"/>
    <cellStyle name="Input [yellow] 2 14 8 7 2" xfId="15332"/>
    <cellStyle name="Input [yellow] 2 14 8 7 3" xfId="26500"/>
    <cellStyle name="Input [yellow] 2 14 8 7 4" xfId="37665"/>
    <cellStyle name="Input [yellow] 2 14 8 7 5" xfId="48858"/>
    <cellStyle name="Input [yellow] 2 14 8 8" xfId="4768"/>
    <cellStyle name="Input [yellow] 2 14 8 8 2" xfId="15965"/>
    <cellStyle name="Input [yellow] 2 14 8 8 3" xfId="27133"/>
    <cellStyle name="Input [yellow] 2 14 8 8 4" xfId="38298"/>
    <cellStyle name="Input [yellow] 2 14 8 8 5" xfId="49491"/>
    <cellStyle name="Input [yellow] 2 14 8 9" xfId="5399"/>
    <cellStyle name="Input [yellow] 2 14 8 9 2" xfId="16596"/>
    <cellStyle name="Input [yellow] 2 14 8 9 3" xfId="27764"/>
    <cellStyle name="Input [yellow] 2 14 8 9 4" xfId="38929"/>
    <cellStyle name="Input [yellow] 2 14 8 9 5" xfId="50122"/>
    <cellStyle name="Input [yellow] 2 14 9" xfId="575"/>
    <cellStyle name="Input [yellow] 2 14 9 10" xfId="5877"/>
    <cellStyle name="Input [yellow] 2 14 9 10 2" xfId="17074"/>
    <cellStyle name="Input [yellow] 2 14 9 10 3" xfId="28242"/>
    <cellStyle name="Input [yellow] 2 14 9 10 4" xfId="39407"/>
    <cellStyle name="Input [yellow] 2 14 9 10 5" xfId="50600"/>
    <cellStyle name="Input [yellow] 2 14 9 11" xfId="6511"/>
    <cellStyle name="Input [yellow] 2 14 9 11 2" xfId="17708"/>
    <cellStyle name="Input [yellow] 2 14 9 11 3" xfId="28876"/>
    <cellStyle name="Input [yellow] 2 14 9 11 4" xfId="40041"/>
    <cellStyle name="Input [yellow] 2 14 9 11 5" xfId="51234"/>
    <cellStyle name="Input [yellow] 2 14 9 12" xfId="7144"/>
    <cellStyle name="Input [yellow] 2 14 9 12 2" xfId="18341"/>
    <cellStyle name="Input [yellow] 2 14 9 12 3" xfId="29509"/>
    <cellStyle name="Input [yellow] 2 14 9 12 4" xfId="40674"/>
    <cellStyle name="Input [yellow] 2 14 9 12 5" xfId="51867"/>
    <cellStyle name="Input [yellow] 2 14 9 13" xfId="7778"/>
    <cellStyle name="Input [yellow] 2 14 9 13 2" xfId="18975"/>
    <cellStyle name="Input [yellow] 2 14 9 13 3" xfId="30143"/>
    <cellStyle name="Input [yellow] 2 14 9 13 4" xfId="41308"/>
    <cellStyle name="Input [yellow] 2 14 9 13 5" xfId="52501"/>
    <cellStyle name="Input [yellow] 2 14 9 14" xfId="8412"/>
    <cellStyle name="Input [yellow] 2 14 9 14 2" xfId="19609"/>
    <cellStyle name="Input [yellow] 2 14 9 14 3" xfId="30777"/>
    <cellStyle name="Input [yellow] 2 14 9 14 4" xfId="41942"/>
    <cellStyle name="Input [yellow] 2 14 9 14 5" xfId="53135"/>
    <cellStyle name="Input [yellow] 2 14 9 15" xfId="9040"/>
    <cellStyle name="Input [yellow] 2 14 9 15 2" xfId="20237"/>
    <cellStyle name="Input [yellow] 2 14 9 15 3" xfId="31405"/>
    <cellStyle name="Input [yellow] 2 14 9 15 4" xfId="42570"/>
    <cellStyle name="Input [yellow] 2 14 9 15 5" xfId="53763"/>
    <cellStyle name="Input [yellow] 2 14 9 16" xfId="9463"/>
    <cellStyle name="Input [yellow] 2 14 9 16 2" xfId="20660"/>
    <cellStyle name="Input [yellow] 2 14 9 16 3" xfId="31828"/>
    <cellStyle name="Input [yellow] 2 14 9 16 4" xfId="42993"/>
    <cellStyle name="Input [yellow] 2 14 9 16 5" xfId="54186"/>
    <cellStyle name="Input [yellow] 2 14 9 17" xfId="10088"/>
    <cellStyle name="Input [yellow] 2 14 9 17 2" xfId="21285"/>
    <cellStyle name="Input [yellow] 2 14 9 17 3" xfId="32453"/>
    <cellStyle name="Input [yellow] 2 14 9 17 4" xfId="43618"/>
    <cellStyle name="Input [yellow] 2 14 9 17 5" xfId="54811"/>
    <cellStyle name="Input [yellow] 2 14 9 18" xfId="10077"/>
    <cellStyle name="Input [yellow] 2 14 9 18 2" xfId="21274"/>
    <cellStyle name="Input [yellow] 2 14 9 18 3" xfId="32442"/>
    <cellStyle name="Input [yellow] 2 14 9 18 4" xfId="43607"/>
    <cellStyle name="Input [yellow] 2 14 9 18 5" xfId="54800"/>
    <cellStyle name="Input [yellow] 2 14 9 19" xfId="11128"/>
    <cellStyle name="Input [yellow] 2 14 9 19 2" xfId="22325"/>
    <cellStyle name="Input [yellow] 2 14 9 19 3" xfId="33493"/>
    <cellStyle name="Input [yellow] 2 14 9 19 4" xfId="44658"/>
    <cellStyle name="Input [yellow] 2 14 9 19 5" xfId="55851"/>
    <cellStyle name="Input [yellow] 2 14 9 2" xfId="1224"/>
    <cellStyle name="Input [yellow] 2 14 9 2 2" xfId="12421"/>
    <cellStyle name="Input [yellow] 2 14 9 2 3" xfId="23589"/>
    <cellStyle name="Input [yellow] 2 14 9 2 4" xfId="34754"/>
    <cellStyle name="Input [yellow] 2 14 9 2 5" xfId="45947"/>
    <cellStyle name="Input [yellow] 2 14 9 20" xfId="11775"/>
    <cellStyle name="Input [yellow] 2 14 9 21" xfId="22945"/>
    <cellStyle name="Input [yellow] 2 14 9 22" xfId="34112"/>
    <cellStyle name="Input [yellow] 2 14 9 23" xfId="45298"/>
    <cellStyle name="Input [yellow] 2 14 9 3" xfId="1899"/>
    <cellStyle name="Input [yellow] 2 14 9 3 2" xfId="13096"/>
    <cellStyle name="Input [yellow] 2 14 9 3 3" xfId="24264"/>
    <cellStyle name="Input [yellow] 2 14 9 3 4" xfId="35429"/>
    <cellStyle name="Input [yellow] 2 14 9 3 5" xfId="46622"/>
    <cellStyle name="Input [yellow] 2 14 9 4" xfId="2500"/>
    <cellStyle name="Input [yellow] 2 14 9 4 2" xfId="13697"/>
    <cellStyle name="Input [yellow] 2 14 9 4 3" xfId="24865"/>
    <cellStyle name="Input [yellow] 2 14 9 4 4" xfId="36030"/>
    <cellStyle name="Input [yellow] 2 14 9 4 5" xfId="47223"/>
    <cellStyle name="Input [yellow] 2 14 9 5" xfId="2925"/>
    <cellStyle name="Input [yellow] 2 14 9 5 2" xfId="14122"/>
    <cellStyle name="Input [yellow] 2 14 9 5 3" xfId="25290"/>
    <cellStyle name="Input [yellow] 2 14 9 5 4" xfId="36455"/>
    <cellStyle name="Input [yellow] 2 14 9 5 5" xfId="47648"/>
    <cellStyle name="Input [yellow] 2 14 9 6" xfId="3559"/>
    <cellStyle name="Input [yellow] 2 14 9 6 2" xfId="14756"/>
    <cellStyle name="Input [yellow] 2 14 9 6 3" xfId="25924"/>
    <cellStyle name="Input [yellow] 2 14 9 6 4" xfId="37089"/>
    <cellStyle name="Input [yellow] 2 14 9 6 5" xfId="48282"/>
    <cellStyle name="Input [yellow] 2 14 9 7" xfId="4193"/>
    <cellStyle name="Input [yellow] 2 14 9 7 2" xfId="15390"/>
    <cellStyle name="Input [yellow] 2 14 9 7 3" xfId="26558"/>
    <cellStyle name="Input [yellow] 2 14 9 7 4" xfId="37723"/>
    <cellStyle name="Input [yellow] 2 14 9 7 5" xfId="48916"/>
    <cellStyle name="Input [yellow] 2 14 9 8" xfId="4826"/>
    <cellStyle name="Input [yellow] 2 14 9 8 2" xfId="16023"/>
    <cellStyle name="Input [yellow] 2 14 9 8 3" xfId="27191"/>
    <cellStyle name="Input [yellow] 2 14 9 8 4" xfId="38356"/>
    <cellStyle name="Input [yellow] 2 14 9 8 5" xfId="49549"/>
    <cellStyle name="Input [yellow] 2 14 9 9" xfId="5457"/>
    <cellStyle name="Input [yellow] 2 14 9 9 2" xfId="16654"/>
    <cellStyle name="Input [yellow] 2 14 9 9 3" xfId="27822"/>
    <cellStyle name="Input [yellow] 2 14 9 9 4" xfId="38987"/>
    <cellStyle name="Input [yellow] 2 14 9 9 5" xfId="50180"/>
    <cellStyle name="Input [yellow] 2 15" xfId="114"/>
    <cellStyle name="Input [yellow] 2 15 10" xfId="578"/>
    <cellStyle name="Input [yellow] 2 15 10 10" xfId="5929"/>
    <cellStyle name="Input [yellow] 2 15 10 10 2" xfId="17126"/>
    <cellStyle name="Input [yellow] 2 15 10 10 3" xfId="28294"/>
    <cellStyle name="Input [yellow] 2 15 10 10 4" xfId="39459"/>
    <cellStyle name="Input [yellow] 2 15 10 10 5" xfId="50652"/>
    <cellStyle name="Input [yellow] 2 15 10 11" xfId="6514"/>
    <cellStyle name="Input [yellow] 2 15 10 11 2" xfId="17711"/>
    <cellStyle name="Input [yellow] 2 15 10 11 3" xfId="28879"/>
    <cellStyle name="Input [yellow] 2 15 10 11 4" xfId="40044"/>
    <cellStyle name="Input [yellow] 2 15 10 11 5" xfId="51237"/>
    <cellStyle name="Input [yellow] 2 15 10 12" xfId="7147"/>
    <cellStyle name="Input [yellow] 2 15 10 12 2" xfId="18344"/>
    <cellStyle name="Input [yellow] 2 15 10 12 3" xfId="29512"/>
    <cellStyle name="Input [yellow] 2 15 10 12 4" xfId="40677"/>
    <cellStyle name="Input [yellow] 2 15 10 12 5" xfId="51870"/>
    <cellStyle name="Input [yellow] 2 15 10 13" xfId="7781"/>
    <cellStyle name="Input [yellow] 2 15 10 13 2" xfId="18978"/>
    <cellStyle name="Input [yellow] 2 15 10 13 3" xfId="30146"/>
    <cellStyle name="Input [yellow] 2 15 10 13 4" xfId="41311"/>
    <cellStyle name="Input [yellow] 2 15 10 13 5" xfId="52504"/>
    <cellStyle name="Input [yellow] 2 15 10 14" xfId="8415"/>
    <cellStyle name="Input [yellow] 2 15 10 14 2" xfId="19612"/>
    <cellStyle name="Input [yellow] 2 15 10 14 3" xfId="30780"/>
    <cellStyle name="Input [yellow] 2 15 10 14 4" xfId="41945"/>
    <cellStyle name="Input [yellow] 2 15 10 14 5" xfId="53138"/>
    <cellStyle name="Input [yellow] 2 15 10 15" xfId="9043"/>
    <cellStyle name="Input [yellow] 2 15 10 15 2" xfId="20240"/>
    <cellStyle name="Input [yellow] 2 15 10 15 3" xfId="31408"/>
    <cellStyle name="Input [yellow] 2 15 10 15 4" xfId="42573"/>
    <cellStyle name="Input [yellow] 2 15 10 15 5" xfId="53766"/>
    <cellStyle name="Input [yellow] 2 15 10 16" xfId="9466"/>
    <cellStyle name="Input [yellow] 2 15 10 16 2" xfId="20663"/>
    <cellStyle name="Input [yellow] 2 15 10 16 3" xfId="31831"/>
    <cellStyle name="Input [yellow] 2 15 10 16 4" xfId="42996"/>
    <cellStyle name="Input [yellow] 2 15 10 16 5" xfId="54189"/>
    <cellStyle name="Input [yellow] 2 15 10 17" xfId="10091"/>
    <cellStyle name="Input [yellow] 2 15 10 17 2" xfId="21288"/>
    <cellStyle name="Input [yellow] 2 15 10 17 3" xfId="32456"/>
    <cellStyle name="Input [yellow] 2 15 10 17 4" xfId="43621"/>
    <cellStyle name="Input [yellow] 2 15 10 17 5" xfId="54814"/>
    <cellStyle name="Input [yellow] 2 15 10 18" xfId="10540"/>
    <cellStyle name="Input [yellow] 2 15 10 18 2" xfId="21737"/>
    <cellStyle name="Input [yellow] 2 15 10 18 3" xfId="32905"/>
    <cellStyle name="Input [yellow] 2 15 10 18 4" xfId="44070"/>
    <cellStyle name="Input [yellow] 2 15 10 18 5" xfId="55263"/>
    <cellStyle name="Input [yellow] 2 15 10 19" xfId="11131"/>
    <cellStyle name="Input [yellow] 2 15 10 19 2" xfId="22328"/>
    <cellStyle name="Input [yellow] 2 15 10 19 3" xfId="33496"/>
    <cellStyle name="Input [yellow] 2 15 10 19 4" xfId="44661"/>
    <cellStyle name="Input [yellow] 2 15 10 19 5" xfId="55854"/>
    <cellStyle name="Input [yellow] 2 15 10 2" xfId="1227"/>
    <cellStyle name="Input [yellow] 2 15 10 2 2" xfId="12424"/>
    <cellStyle name="Input [yellow] 2 15 10 2 3" xfId="23592"/>
    <cellStyle name="Input [yellow] 2 15 10 2 4" xfId="34757"/>
    <cellStyle name="Input [yellow] 2 15 10 2 5" xfId="45950"/>
    <cellStyle name="Input [yellow] 2 15 10 20" xfId="11778"/>
    <cellStyle name="Input [yellow] 2 15 10 21" xfId="22948"/>
    <cellStyle name="Input [yellow] 2 15 10 22" xfId="34115"/>
    <cellStyle name="Input [yellow] 2 15 10 23" xfId="45301"/>
    <cellStyle name="Input [yellow] 2 15 10 3" xfId="1736"/>
    <cellStyle name="Input [yellow] 2 15 10 3 2" xfId="12933"/>
    <cellStyle name="Input [yellow] 2 15 10 3 3" xfId="24101"/>
    <cellStyle name="Input [yellow] 2 15 10 3 4" xfId="35266"/>
    <cellStyle name="Input [yellow] 2 15 10 3 5" xfId="46459"/>
    <cellStyle name="Input [yellow] 2 15 10 4" xfId="2503"/>
    <cellStyle name="Input [yellow] 2 15 10 4 2" xfId="13700"/>
    <cellStyle name="Input [yellow] 2 15 10 4 3" xfId="24868"/>
    <cellStyle name="Input [yellow] 2 15 10 4 4" xfId="36033"/>
    <cellStyle name="Input [yellow] 2 15 10 4 5" xfId="47226"/>
    <cellStyle name="Input [yellow] 2 15 10 5" xfId="2928"/>
    <cellStyle name="Input [yellow] 2 15 10 5 2" xfId="14125"/>
    <cellStyle name="Input [yellow] 2 15 10 5 3" xfId="25293"/>
    <cellStyle name="Input [yellow] 2 15 10 5 4" xfId="36458"/>
    <cellStyle name="Input [yellow] 2 15 10 5 5" xfId="47651"/>
    <cellStyle name="Input [yellow] 2 15 10 6" xfId="3562"/>
    <cellStyle name="Input [yellow] 2 15 10 6 2" xfId="14759"/>
    <cellStyle name="Input [yellow] 2 15 10 6 3" xfId="25927"/>
    <cellStyle name="Input [yellow] 2 15 10 6 4" xfId="37092"/>
    <cellStyle name="Input [yellow] 2 15 10 6 5" xfId="48285"/>
    <cellStyle name="Input [yellow] 2 15 10 7" xfId="4196"/>
    <cellStyle name="Input [yellow] 2 15 10 7 2" xfId="15393"/>
    <cellStyle name="Input [yellow] 2 15 10 7 3" xfId="26561"/>
    <cellStyle name="Input [yellow] 2 15 10 7 4" xfId="37726"/>
    <cellStyle name="Input [yellow] 2 15 10 7 5" xfId="48919"/>
    <cellStyle name="Input [yellow] 2 15 10 8" xfId="4829"/>
    <cellStyle name="Input [yellow] 2 15 10 8 2" xfId="16026"/>
    <cellStyle name="Input [yellow] 2 15 10 8 3" xfId="27194"/>
    <cellStyle name="Input [yellow] 2 15 10 8 4" xfId="38359"/>
    <cellStyle name="Input [yellow] 2 15 10 8 5" xfId="49552"/>
    <cellStyle name="Input [yellow] 2 15 10 9" xfId="5460"/>
    <cellStyle name="Input [yellow] 2 15 10 9 2" xfId="16657"/>
    <cellStyle name="Input [yellow] 2 15 10 9 3" xfId="27825"/>
    <cellStyle name="Input [yellow] 2 15 10 9 4" xfId="38990"/>
    <cellStyle name="Input [yellow] 2 15 10 9 5" xfId="50183"/>
    <cellStyle name="Input [yellow] 2 15 11" xfId="691"/>
    <cellStyle name="Input [yellow] 2 15 11 10" xfId="5584"/>
    <cellStyle name="Input [yellow] 2 15 11 10 2" xfId="16781"/>
    <cellStyle name="Input [yellow] 2 15 11 10 3" xfId="27949"/>
    <cellStyle name="Input [yellow] 2 15 11 10 4" xfId="39114"/>
    <cellStyle name="Input [yellow] 2 15 11 10 5" xfId="50307"/>
    <cellStyle name="Input [yellow] 2 15 11 11" xfId="6627"/>
    <cellStyle name="Input [yellow] 2 15 11 11 2" xfId="17824"/>
    <cellStyle name="Input [yellow] 2 15 11 11 3" xfId="28992"/>
    <cellStyle name="Input [yellow] 2 15 11 11 4" xfId="40157"/>
    <cellStyle name="Input [yellow] 2 15 11 11 5" xfId="51350"/>
    <cellStyle name="Input [yellow] 2 15 11 12" xfId="7260"/>
    <cellStyle name="Input [yellow] 2 15 11 12 2" xfId="18457"/>
    <cellStyle name="Input [yellow] 2 15 11 12 3" xfId="29625"/>
    <cellStyle name="Input [yellow] 2 15 11 12 4" xfId="40790"/>
    <cellStyle name="Input [yellow] 2 15 11 12 5" xfId="51983"/>
    <cellStyle name="Input [yellow] 2 15 11 13" xfId="7894"/>
    <cellStyle name="Input [yellow] 2 15 11 13 2" xfId="19091"/>
    <cellStyle name="Input [yellow] 2 15 11 13 3" xfId="30259"/>
    <cellStyle name="Input [yellow] 2 15 11 13 4" xfId="41424"/>
    <cellStyle name="Input [yellow] 2 15 11 13 5" xfId="52617"/>
    <cellStyle name="Input [yellow] 2 15 11 14" xfId="8528"/>
    <cellStyle name="Input [yellow] 2 15 11 14 2" xfId="19725"/>
    <cellStyle name="Input [yellow] 2 15 11 14 3" xfId="30893"/>
    <cellStyle name="Input [yellow] 2 15 11 14 4" xfId="42058"/>
    <cellStyle name="Input [yellow] 2 15 11 14 5" xfId="53251"/>
    <cellStyle name="Input [yellow] 2 15 11 15" xfId="9156"/>
    <cellStyle name="Input [yellow] 2 15 11 15 2" xfId="20353"/>
    <cellStyle name="Input [yellow] 2 15 11 15 3" xfId="31521"/>
    <cellStyle name="Input [yellow] 2 15 11 15 4" xfId="42686"/>
    <cellStyle name="Input [yellow] 2 15 11 15 5" xfId="53879"/>
    <cellStyle name="Input [yellow] 2 15 11 16" xfId="9579"/>
    <cellStyle name="Input [yellow] 2 15 11 16 2" xfId="20776"/>
    <cellStyle name="Input [yellow] 2 15 11 16 3" xfId="31944"/>
    <cellStyle name="Input [yellow] 2 15 11 16 4" xfId="43109"/>
    <cellStyle name="Input [yellow] 2 15 11 16 5" xfId="54302"/>
    <cellStyle name="Input [yellow] 2 15 11 17" xfId="10203"/>
    <cellStyle name="Input [yellow] 2 15 11 17 2" xfId="21400"/>
    <cellStyle name="Input [yellow] 2 15 11 17 3" xfId="32568"/>
    <cellStyle name="Input [yellow] 2 15 11 17 4" xfId="43733"/>
    <cellStyle name="Input [yellow] 2 15 11 17 5" xfId="54926"/>
    <cellStyle name="Input [yellow] 2 15 11 18" xfId="9589"/>
    <cellStyle name="Input [yellow] 2 15 11 18 2" xfId="20786"/>
    <cellStyle name="Input [yellow] 2 15 11 18 3" xfId="31954"/>
    <cellStyle name="Input [yellow] 2 15 11 18 4" xfId="43119"/>
    <cellStyle name="Input [yellow] 2 15 11 18 5" xfId="54312"/>
    <cellStyle name="Input [yellow] 2 15 11 19" xfId="11244"/>
    <cellStyle name="Input [yellow] 2 15 11 19 2" xfId="22441"/>
    <cellStyle name="Input [yellow] 2 15 11 19 3" xfId="33609"/>
    <cellStyle name="Input [yellow] 2 15 11 19 4" xfId="44774"/>
    <cellStyle name="Input [yellow] 2 15 11 19 5" xfId="55967"/>
    <cellStyle name="Input [yellow] 2 15 11 2" xfId="1340"/>
    <cellStyle name="Input [yellow] 2 15 11 2 2" xfId="12537"/>
    <cellStyle name="Input [yellow] 2 15 11 2 3" xfId="23705"/>
    <cellStyle name="Input [yellow] 2 15 11 2 4" xfId="34870"/>
    <cellStyle name="Input [yellow] 2 15 11 2 5" xfId="46063"/>
    <cellStyle name="Input [yellow] 2 15 11 20" xfId="11891"/>
    <cellStyle name="Input [yellow] 2 15 11 21" xfId="23061"/>
    <cellStyle name="Input [yellow] 2 15 11 22" xfId="34228"/>
    <cellStyle name="Input [yellow] 2 15 11 23" xfId="45414"/>
    <cellStyle name="Input [yellow] 2 15 11 3" xfId="700"/>
    <cellStyle name="Input [yellow] 2 15 11 3 2" xfId="11900"/>
    <cellStyle name="Input [yellow] 2 15 11 3 3" xfId="23070"/>
    <cellStyle name="Input [yellow] 2 15 11 3 4" xfId="34237"/>
    <cellStyle name="Input [yellow] 2 15 11 3 5" xfId="45423"/>
    <cellStyle name="Input [yellow] 2 15 11 4" xfId="2615"/>
    <cellStyle name="Input [yellow] 2 15 11 4 2" xfId="13812"/>
    <cellStyle name="Input [yellow] 2 15 11 4 3" xfId="24980"/>
    <cellStyle name="Input [yellow] 2 15 11 4 4" xfId="36145"/>
    <cellStyle name="Input [yellow] 2 15 11 4 5" xfId="47338"/>
    <cellStyle name="Input [yellow] 2 15 11 5" xfId="3041"/>
    <cellStyle name="Input [yellow] 2 15 11 5 2" xfId="14238"/>
    <cellStyle name="Input [yellow] 2 15 11 5 3" xfId="25406"/>
    <cellStyle name="Input [yellow] 2 15 11 5 4" xfId="36571"/>
    <cellStyle name="Input [yellow] 2 15 11 5 5" xfId="47764"/>
    <cellStyle name="Input [yellow] 2 15 11 6" xfId="3675"/>
    <cellStyle name="Input [yellow] 2 15 11 6 2" xfId="14872"/>
    <cellStyle name="Input [yellow] 2 15 11 6 3" xfId="26040"/>
    <cellStyle name="Input [yellow] 2 15 11 6 4" xfId="37205"/>
    <cellStyle name="Input [yellow] 2 15 11 6 5" xfId="48398"/>
    <cellStyle name="Input [yellow] 2 15 11 7" xfId="4309"/>
    <cellStyle name="Input [yellow] 2 15 11 7 2" xfId="15506"/>
    <cellStyle name="Input [yellow] 2 15 11 7 3" xfId="26674"/>
    <cellStyle name="Input [yellow] 2 15 11 7 4" xfId="37839"/>
    <cellStyle name="Input [yellow] 2 15 11 7 5" xfId="49032"/>
    <cellStyle name="Input [yellow] 2 15 11 8" xfId="4942"/>
    <cellStyle name="Input [yellow] 2 15 11 8 2" xfId="16139"/>
    <cellStyle name="Input [yellow] 2 15 11 8 3" xfId="27307"/>
    <cellStyle name="Input [yellow] 2 15 11 8 4" xfId="38472"/>
    <cellStyle name="Input [yellow] 2 15 11 8 5" xfId="49665"/>
    <cellStyle name="Input [yellow] 2 15 11 9" xfId="5573"/>
    <cellStyle name="Input [yellow] 2 15 11 9 2" xfId="16770"/>
    <cellStyle name="Input [yellow] 2 15 11 9 3" xfId="27938"/>
    <cellStyle name="Input [yellow] 2 15 11 9 4" xfId="39103"/>
    <cellStyle name="Input [yellow] 2 15 11 9 5" xfId="50296"/>
    <cellStyle name="Input [yellow] 2 15 12" xfId="763"/>
    <cellStyle name="Input [yellow] 2 15 12 2" xfId="11960"/>
    <cellStyle name="Input [yellow] 2 15 12 3" xfId="23128"/>
    <cellStyle name="Input [yellow] 2 15 12 4" xfId="34293"/>
    <cellStyle name="Input [yellow] 2 15 12 5" xfId="45486"/>
    <cellStyle name="Input [yellow] 2 15 13" xfId="1434"/>
    <cellStyle name="Input [yellow] 2 15 13 2" xfId="12631"/>
    <cellStyle name="Input [yellow] 2 15 13 3" xfId="23799"/>
    <cellStyle name="Input [yellow] 2 15 13 4" xfId="34964"/>
    <cellStyle name="Input [yellow] 2 15 13 5" xfId="46157"/>
    <cellStyle name="Input [yellow] 2 15 14" xfId="2040"/>
    <cellStyle name="Input [yellow] 2 15 14 2" xfId="13237"/>
    <cellStyle name="Input [yellow] 2 15 14 3" xfId="24405"/>
    <cellStyle name="Input [yellow] 2 15 14 4" xfId="35570"/>
    <cellStyle name="Input [yellow] 2 15 14 5" xfId="46763"/>
    <cellStyle name="Input [yellow] 2 15 15" xfId="2580"/>
    <cellStyle name="Input [yellow] 2 15 15 2" xfId="13777"/>
    <cellStyle name="Input [yellow] 2 15 15 3" xfId="24945"/>
    <cellStyle name="Input [yellow] 2 15 15 4" xfId="36110"/>
    <cellStyle name="Input [yellow] 2 15 15 5" xfId="47303"/>
    <cellStyle name="Input [yellow] 2 15 16" xfId="3098"/>
    <cellStyle name="Input [yellow] 2 15 16 2" xfId="14295"/>
    <cellStyle name="Input [yellow] 2 15 16 3" xfId="25463"/>
    <cellStyle name="Input [yellow] 2 15 16 4" xfId="36628"/>
    <cellStyle name="Input [yellow] 2 15 16 5" xfId="47821"/>
    <cellStyle name="Input [yellow] 2 15 17" xfId="3732"/>
    <cellStyle name="Input [yellow] 2 15 17 2" xfId="14929"/>
    <cellStyle name="Input [yellow] 2 15 17 3" xfId="26097"/>
    <cellStyle name="Input [yellow] 2 15 17 4" xfId="37262"/>
    <cellStyle name="Input [yellow] 2 15 17 5" xfId="48455"/>
    <cellStyle name="Input [yellow] 2 15 18" xfId="4365"/>
    <cellStyle name="Input [yellow] 2 15 18 2" xfId="15562"/>
    <cellStyle name="Input [yellow] 2 15 18 3" xfId="26730"/>
    <cellStyle name="Input [yellow] 2 15 18 4" xfId="37895"/>
    <cellStyle name="Input [yellow] 2 15 18 5" xfId="49088"/>
    <cellStyle name="Input [yellow] 2 15 19" xfId="4996"/>
    <cellStyle name="Input [yellow] 2 15 19 2" xfId="16193"/>
    <cellStyle name="Input [yellow] 2 15 19 3" xfId="27361"/>
    <cellStyle name="Input [yellow] 2 15 19 4" xfId="38526"/>
    <cellStyle name="Input [yellow] 2 15 19 5" xfId="49719"/>
    <cellStyle name="Input [yellow] 2 15 2" xfId="177"/>
    <cellStyle name="Input [yellow] 2 15 2 10" xfId="5648"/>
    <cellStyle name="Input [yellow] 2 15 2 10 2" xfId="16845"/>
    <cellStyle name="Input [yellow] 2 15 2 10 3" xfId="28013"/>
    <cellStyle name="Input [yellow] 2 15 2 10 4" xfId="39178"/>
    <cellStyle name="Input [yellow] 2 15 2 10 5" xfId="50371"/>
    <cellStyle name="Input [yellow] 2 15 2 11" xfId="5695"/>
    <cellStyle name="Input [yellow] 2 15 2 11 2" xfId="16892"/>
    <cellStyle name="Input [yellow] 2 15 2 11 3" xfId="28060"/>
    <cellStyle name="Input [yellow] 2 15 2 11 4" xfId="39225"/>
    <cellStyle name="Input [yellow] 2 15 2 11 5" xfId="50418"/>
    <cellStyle name="Input [yellow] 2 15 2 12" xfId="6746"/>
    <cellStyle name="Input [yellow] 2 15 2 12 2" xfId="17943"/>
    <cellStyle name="Input [yellow] 2 15 2 12 3" xfId="29111"/>
    <cellStyle name="Input [yellow] 2 15 2 12 4" xfId="40276"/>
    <cellStyle name="Input [yellow] 2 15 2 12 5" xfId="51469"/>
    <cellStyle name="Input [yellow] 2 15 2 13" xfId="7380"/>
    <cellStyle name="Input [yellow] 2 15 2 13 2" xfId="18577"/>
    <cellStyle name="Input [yellow] 2 15 2 13 3" xfId="29745"/>
    <cellStyle name="Input [yellow] 2 15 2 13 4" xfId="40910"/>
    <cellStyle name="Input [yellow] 2 15 2 13 5" xfId="52103"/>
    <cellStyle name="Input [yellow] 2 15 2 14" xfId="8014"/>
    <cellStyle name="Input [yellow] 2 15 2 14 2" xfId="19211"/>
    <cellStyle name="Input [yellow] 2 15 2 14 3" xfId="30379"/>
    <cellStyle name="Input [yellow] 2 15 2 14 4" xfId="41544"/>
    <cellStyle name="Input [yellow] 2 15 2 14 5" xfId="52737"/>
    <cellStyle name="Input [yellow] 2 15 2 15" xfId="8645"/>
    <cellStyle name="Input [yellow] 2 15 2 15 2" xfId="19842"/>
    <cellStyle name="Input [yellow] 2 15 2 15 3" xfId="31010"/>
    <cellStyle name="Input [yellow] 2 15 2 15 4" xfId="42175"/>
    <cellStyle name="Input [yellow] 2 15 2 15 5" xfId="53368"/>
    <cellStyle name="Input [yellow] 2 15 2 16" xfId="9000"/>
    <cellStyle name="Input [yellow] 2 15 2 16 2" xfId="20197"/>
    <cellStyle name="Input [yellow] 2 15 2 16 3" xfId="31365"/>
    <cellStyle name="Input [yellow] 2 15 2 16 4" xfId="42530"/>
    <cellStyle name="Input [yellow] 2 15 2 16 5" xfId="53723"/>
    <cellStyle name="Input [yellow] 2 15 2 17" xfId="9698"/>
    <cellStyle name="Input [yellow] 2 15 2 17 2" xfId="20895"/>
    <cellStyle name="Input [yellow] 2 15 2 17 3" xfId="32063"/>
    <cellStyle name="Input [yellow] 2 15 2 17 4" xfId="43228"/>
    <cellStyle name="Input [yellow] 2 15 2 17 5" xfId="54421"/>
    <cellStyle name="Input [yellow] 2 15 2 18" xfId="10290"/>
    <cellStyle name="Input [yellow] 2 15 2 18 2" xfId="21487"/>
    <cellStyle name="Input [yellow] 2 15 2 18 3" xfId="32655"/>
    <cellStyle name="Input [yellow] 2 15 2 18 4" xfId="43820"/>
    <cellStyle name="Input [yellow] 2 15 2 18 5" xfId="55013"/>
    <cellStyle name="Input [yellow] 2 15 2 19" xfId="10730"/>
    <cellStyle name="Input [yellow] 2 15 2 19 2" xfId="21927"/>
    <cellStyle name="Input [yellow] 2 15 2 19 3" xfId="33095"/>
    <cellStyle name="Input [yellow] 2 15 2 19 4" xfId="44260"/>
    <cellStyle name="Input [yellow] 2 15 2 19 5" xfId="55453"/>
    <cellStyle name="Input [yellow] 2 15 2 2" xfId="826"/>
    <cellStyle name="Input [yellow] 2 15 2 2 2" xfId="12023"/>
    <cellStyle name="Input [yellow] 2 15 2 2 3" xfId="23191"/>
    <cellStyle name="Input [yellow] 2 15 2 2 4" xfId="34356"/>
    <cellStyle name="Input [yellow] 2 15 2 2 5" xfId="45549"/>
    <cellStyle name="Input [yellow] 2 15 2 20" xfId="11377"/>
    <cellStyle name="Input [yellow] 2 15 2 21" xfId="22547"/>
    <cellStyle name="Input [yellow] 2 15 2 22" xfId="33714"/>
    <cellStyle name="Input [yellow] 2 15 2 23" xfId="44900"/>
    <cellStyle name="Input [yellow] 2 15 2 3" xfId="1562"/>
    <cellStyle name="Input [yellow] 2 15 2 3 2" xfId="12759"/>
    <cellStyle name="Input [yellow] 2 15 2 3 3" xfId="23927"/>
    <cellStyle name="Input [yellow] 2 15 2 3 4" xfId="35092"/>
    <cellStyle name="Input [yellow] 2 15 2 3 5" xfId="46285"/>
    <cellStyle name="Input [yellow] 2 15 2 4" xfId="2103"/>
    <cellStyle name="Input [yellow] 2 15 2 4 2" xfId="13300"/>
    <cellStyle name="Input [yellow] 2 15 2 4 3" xfId="24468"/>
    <cellStyle name="Input [yellow] 2 15 2 4 4" xfId="35633"/>
    <cellStyle name="Input [yellow] 2 15 2 4 5" xfId="46826"/>
    <cellStyle name="Input [yellow] 2 15 2 5" xfId="2241"/>
    <cellStyle name="Input [yellow] 2 15 2 5 2" xfId="13438"/>
    <cellStyle name="Input [yellow] 2 15 2 5 3" xfId="24606"/>
    <cellStyle name="Input [yellow] 2 15 2 5 4" xfId="35771"/>
    <cellStyle name="Input [yellow] 2 15 2 5 5" xfId="46964"/>
    <cellStyle name="Input [yellow] 2 15 2 6" xfId="3161"/>
    <cellStyle name="Input [yellow] 2 15 2 6 2" xfId="14358"/>
    <cellStyle name="Input [yellow] 2 15 2 6 3" xfId="25526"/>
    <cellStyle name="Input [yellow] 2 15 2 6 4" xfId="36691"/>
    <cellStyle name="Input [yellow] 2 15 2 6 5" xfId="47884"/>
    <cellStyle name="Input [yellow] 2 15 2 7" xfId="3795"/>
    <cellStyle name="Input [yellow] 2 15 2 7 2" xfId="14992"/>
    <cellStyle name="Input [yellow] 2 15 2 7 3" xfId="26160"/>
    <cellStyle name="Input [yellow] 2 15 2 7 4" xfId="37325"/>
    <cellStyle name="Input [yellow] 2 15 2 7 5" xfId="48518"/>
    <cellStyle name="Input [yellow] 2 15 2 8" xfId="4428"/>
    <cellStyle name="Input [yellow] 2 15 2 8 2" xfId="15625"/>
    <cellStyle name="Input [yellow] 2 15 2 8 3" xfId="26793"/>
    <cellStyle name="Input [yellow] 2 15 2 8 4" xfId="37958"/>
    <cellStyle name="Input [yellow] 2 15 2 8 5" xfId="49151"/>
    <cellStyle name="Input [yellow] 2 15 2 9" xfId="5059"/>
    <cellStyle name="Input [yellow] 2 15 2 9 2" xfId="16256"/>
    <cellStyle name="Input [yellow] 2 15 2 9 3" xfId="27424"/>
    <cellStyle name="Input [yellow] 2 15 2 9 4" xfId="38589"/>
    <cellStyle name="Input [yellow] 2 15 2 9 5" xfId="49782"/>
    <cellStyle name="Input [yellow] 2 15 20" xfId="5691"/>
    <cellStyle name="Input [yellow] 2 15 20 2" xfId="16888"/>
    <cellStyle name="Input [yellow] 2 15 20 3" xfId="28056"/>
    <cellStyle name="Input [yellow] 2 15 20 4" xfId="39221"/>
    <cellStyle name="Input [yellow] 2 15 20 5" xfId="50414"/>
    <cellStyle name="Input [yellow] 2 15 21" xfId="5582"/>
    <cellStyle name="Input [yellow] 2 15 21 2" xfId="16779"/>
    <cellStyle name="Input [yellow] 2 15 21 3" xfId="27947"/>
    <cellStyle name="Input [yellow] 2 15 21 4" xfId="39112"/>
    <cellStyle name="Input [yellow] 2 15 21 5" xfId="50305"/>
    <cellStyle name="Input [yellow] 2 15 22" xfId="6683"/>
    <cellStyle name="Input [yellow] 2 15 22 2" xfId="17880"/>
    <cellStyle name="Input [yellow] 2 15 22 3" xfId="29048"/>
    <cellStyle name="Input [yellow] 2 15 22 4" xfId="40213"/>
    <cellStyle name="Input [yellow] 2 15 22 5" xfId="51406"/>
    <cellStyle name="Input [yellow] 2 15 23" xfId="7317"/>
    <cellStyle name="Input [yellow] 2 15 23 2" xfId="18514"/>
    <cellStyle name="Input [yellow] 2 15 23 3" xfId="29682"/>
    <cellStyle name="Input [yellow] 2 15 23 4" xfId="40847"/>
    <cellStyle name="Input [yellow] 2 15 23 5" xfId="52040"/>
    <cellStyle name="Input [yellow] 2 15 24" xfId="7951"/>
    <cellStyle name="Input [yellow] 2 15 24 2" xfId="19148"/>
    <cellStyle name="Input [yellow] 2 15 24 3" xfId="30316"/>
    <cellStyle name="Input [yellow] 2 15 24 4" xfId="41481"/>
    <cellStyle name="Input [yellow] 2 15 24 5" xfId="52674"/>
    <cellStyle name="Input [yellow] 2 15 25" xfId="8582"/>
    <cellStyle name="Input [yellow] 2 15 25 2" xfId="19779"/>
    <cellStyle name="Input [yellow] 2 15 25 3" xfId="30947"/>
    <cellStyle name="Input [yellow] 2 15 25 4" xfId="42112"/>
    <cellStyle name="Input [yellow] 2 15 25 5" xfId="53305"/>
    <cellStyle name="Input [yellow] 2 15 26" xfId="8756"/>
    <cellStyle name="Input [yellow] 2 15 26 2" xfId="19953"/>
    <cellStyle name="Input [yellow] 2 15 26 3" xfId="31121"/>
    <cellStyle name="Input [yellow] 2 15 26 4" xfId="42286"/>
    <cellStyle name="Input [yellow] 2 15 26 5" xfId="53479"/>
    <cellStyle name="Input [yellow] 2 15 27" xfId="9635"/>
    <cellStyle name="Input [yellow] 2 15 27 2" xfId="20832"/>
    <cellStyle name="Input [yellow] 2 15 27 3" xfId="32000"/>
    <cellStyle name="Input [yellow] 2 15 27 4" xfId="43165"/>
    <cellStyle name="Input [yellow] 2 15 27 5" xfId="54358"/>
    <cellStyle name="Input [yellow] 2 15 28" xfId="9961"/>
    <cellStyle name="Input [yellow] 2 15 28 2" xfId="21158"/>
    <cellStyle name="Input [yellow] 2 15 28 3" xfId="32326"/>
    <cellStyle name="Input [yellow] 2 15 28 4" xfId="43491"/>
    <cellStyle name="Input [yellow] 2 15 28 5" xfId="54684"/>
    <cellStyle name="Input [yellow] 2 15 29" xfId="10667"/>
    <cellStyle name="Input [yellow] 2 15 29 2" xfId="21864"/>
    <cellStyle name="Input [yellow] 2 15 29 3" xfId="33032"/>
    <cellStyle name="Input [yellow] 2 15 29 4" xfId="44197"/>
    <cellStyle name="Input [yellow] 2 15 29 5" xfId="55390"/>
    <cellStyle name="Input [yellow] 2 15 3" xfId="233"/>
    <cellStyle name="Input [yellow] 2 15 3 10" xfId="5993"/>
    <cellStyle name="Input [yellow] 2 15 3 10 2" xfId="17190"/>
    <cellStyle name="Input [yellow] 2 15 3 10 3" xfId="28358"/>
    <cellStyle name="Input [yellow] 2 15 3 10 4" xfId="39523"/>
    <cellStyle name="Input [yellow] 2 15 3 10 5" xfId="50716"/>
    <cellStyle name="Input [yellow] 2 15 3 11" xfId="5846"/>
    <cellStyle name="Input [yellow] 2 15 3 11 2" xfId="17043"/>
    <cellStyle name="Input [yellow] 2 15 3 11 3" xfId="28211"/>
    <cellStyle name="Input [yellow] 2 15 3 11 4" xfId="39376"/>
    <cellStyle name="Input [yellow] 2 15 3 11 5" xfId="50569"/>
    <cellStyle name="Input [yellow] 2 15 3 12" xfId="6802"/>
    <cellStyle name="Input [yellow] 2 15 3 12 2" xfId="17999"/>
    <cellStyle name="Input [yellow] 2 15 3 12 3" xfId="29167"/>
    <cellStyle name="Input [yellow] 2 15 3 12 4" xfId="40332"/>
    <cellStyle name="Input [yellow] 2 15 3 12 5" xfId="51525"/>
    <cellStyle name="Input [yellow] 2 15 3 13" xfId="7436"/>
    <cellStyle name="Input [yellow] 2 15 3 13 2" xfId="18633"/>
    <cellStyle name="Input [yellow] 2 15 3 13 3" xfId="29801"/>
    <cellStyle name="Input [yellow] 2 15 3 13 4" xfId="40966"/>
    <cellStyle name="Input [yellow] 2 15 3 13 5" xfId="52159"/>
    <cellStyle name="Input [yellow] 2 15 3 14" xfId="8070"/>
    <cellStyle name="Input [yellow] 2 15 3 14 2" xfId="19267"/>
    <cellStyle name="Input [yellow] 2 15 3 14 3" xfId="30435"/>
    <cellStyle name="Input [yellow] 2 15 3 14 4" xfId="41600"/>
    <cellStyle name="Input [yellow] 2 15 3 14 5" xfId="52793"/>
    <cellStyle name="Input [yellow] 2 15 3 15" xfId="8701"/>
    <cellStyle name="Input [yellow] 2 15 3 15 2" xfId="19898"/>
    <cellStyle name="Input [yellow] 2 15 3 15 3" xfId="31066"/>
    <cellStyle name="Input [yellow] 2 15 3 15 4" xfId="42231"/>
    <cellStyle name="Input [yellow] 2 15 3 15 5" xfId="53424"/>
    <cellStyle name="Input [yellow] 2 15 3 16" xfId="8934"/>
    <cellStyle name="Input [yellow] 2 15 3 16 2" xfId="20131"/>
    <cellStyle name="Input [yellow] 2 15 3 16 3" xfId="31299"/>
    <cellStyle name="Input [yellow] 2 15 3 16 4" xfId="42464"/>
    <cellStyle name="Input [yellow] 2 15 3 16 5" xfId="53657"/>
    <cellStyle name="Input [yellow] 2 15 3 17" xfId="9752"/>
    <cellStyle name="Input [yellow] 2 15 3 17 2" xfId="20949"/>
    <cellStyle name="Input [yellow] 2 15 3 17 3" xfId="32117"/>
    <cellStyle name="Input [yellow] 2 15 3 17 4" xfId="43282"/>
    <cellStyle name="Input [yellow] 2 15 3 17 5" xfId="54475"/>
    <cellStyle name="Input [yellow] 2 15 3 18" xfId="10155"/>
    <cellStyle name="Input [yellow] 2 15 3 18 2" xfId="21352"/>
    <cellStyle name="Input [yellow] 2 15 3 18 3" xfId="32520"/>
    <cellStyle name="Input [yellow] 2 15 3 18 4" xfId="43685"/>
    <cellStyle name="Input [yellow] 2 15 3 18 5" xfId="54878"/>
    <cellStyle name="Input [yellow] 2 15 3 19" xfId="10786"/>
    <cellStyle name="Input [yellow] 2 15 3 19 2" xfId="21983"/>
    <cellStyle name="Input [yellow] 2 15 3 19 3" xfId="33151"/>
    <cellStyle name="Input [yellow] 2 15 3 19 4" xfId="44316"/>
    <cellStyle name="Input [yellow] 2 15 3 19 5" xfId="55509"/>
    <cellStyle name="Input [yellow] 2 15 3 2" xfId="882"/>
    <cellStyle name="Input [yellow] 2 15 3 2 2" xfId="12079"/>
    <cellStyle name="Input [yellow] 2 15 3 2 3" xfId="23247"/>
    <cellStyle name="Input [yellow] 2 15 3 2 4" xfId="34412"/>
    <cellStyle name="Input [yellow] 2 15 3 2 5" xfId="45605"/>
    <cellStyle name="Input [yellow] 2 15 3 20" xfId="11433"/>
    <cellStyle name="Input [yellow] 2 15 3 21" xfId="22603"/>
    <cellStyle name="Input [yellow] 2 15 3 22" xfId="33770"/>
    <cellStyle name="Input [yellow] 2 15 3 23" xfId="44956"/>
    <cellStyle name="Input [yellow] 2 15 3 3" xfId="1510"/>
    <cellStyle name="Input [yellow] 2 15 3 3 2" xfId="12707"/>
    <cellStyle name="Input [yellow] 2 15 3 3 3" xfId="23875"/>
    <cellStyle name="Input [yellow] 2 15 3 3 4" xfId="35040"/>
    <cellStyle name="Input [yellow] 2 15 3 3 5" xfId="46233"/>
    <cellStyle name="Input [yellow] 2 15 3 4" xfId="2159"/>
    <cellStyle name="Input [yellow] 2 15 3 4 2" xfId="13356"/>
    <cellStyle name="Input [yellow] 2 15 3 4 3" xfId="24524"/>
    <cellStyle name="Input [yellow] 2 15 3 4 4" xfId="35689"/>
    <cellStyle name="Input [yellow] 2 15 3 4 5" xfId="46882"/>
    <cellStyle name="Input [yellow] 2 15 3 5" xfId="2226"/>
    <cellStyle name="Input [yellow] 2 15 3 5 2" xfId="13423"/>
    <cellStyle name="Input [yellow] 2 15 3 5 3" xfId="24591"/>
    <cellStyle name="Input [yellow] 2 15 3 5 4" xfId="35756"/>
    <cellStyle name="Input [yellow] 2 15 3 5 5" xfId="46949"/>
    <cellStyle name="Input [yellow] 2 15 3 6" xfId="3217"/>
    <cellStyle name="Input [yellow] 2 15 3 6 2" xfId="14414"/>
    <cellStyle name="Input [yellow] 2 15 3 6 3" xfId="25582"/>
    <cellStyle name="Input [yellow] 2 15 3 6 4" xfId="36747"/>
    <cellStyle name="Input [yellow] 2 15 3 6 5" xfId="47940"/>
    <cellStyle name="Input [yellow] 2 15 3 7" xfId="3851"/>
    <cellStyle name="Input [yellow] 2 15 3 7 2" xfId="15048"/>
    <cellStyle name="Input [yellow] 2 15 3 7 3" xfId="26216"/>
    <cellStyle name="Input [yellow] 2 15 3 7 4" xfId="37381"/>
    <cellStyle name="Input [yellow] 2 15 3 7 5" xfId="48574"/>
    <cellStyle name="Input [yellow] 2 15 3 8" xfId="4484"/>
    <cellStyle name="Input [yellow] 2 15 3 8 2" xfId="15681"/>
    <cellStyle name="Input [yellow] 2 15 3 8 3" xfId="26849"/>
    <cellStyle name="Input [yellow] 2 15 3 8 4" xfId="38014"/>
    <cellStyle name="Input [yellow] 2 15 3 8 5" xfId="49207"/>
    <cellStyle name="Input [yellow] 2 15 3 9" xfId="5115"/>
    <cellStyle name="Input [yellow] 2 15 3 9 2" xfId="16312"/>
    <cellStyle name="Input [yellow] 2 15 3 9 3" xfId="27480"/>
    <cellStyle name="Input [yellow] 2 15 3 9 4" xfId="38645"/>
    <cellStyle name="Input [yellow] 2 15 3 9 5" xfId="49838"/>
    <cellStyle name="Input [yellow] 2 15 30" xfId="11314"/>
    <cellStyle name="Input [yellow] 2 15 31" xfId="22484"/>
    <cellStyle name="Input [yellow] 2 15 32" xfId="33651"/>
    <cellStyle name="Input [yellow] 2 15 33" xfId="44837"/>
    <cellStyle name="Input [yellow] 2 15 4" xfId="133"/>
    <cellStyle name="Input [yellow] 2 15 4 10" xfId="5799"/>
    <cellStyle name="Input [yellow] 2 15 4 10 2" xfId="16996"/>
    <cellStyle name="Input [yellow] 2 15 4 10 3" xfId="28164"/>
    <cellStyle name="Input [yellow] 2 15 4 10 4" xfId="39329"/>
    <cellStyle name="Input [yellow] 2 15 4 10 5" xfId="50522"/>
    <cellStyle name="Input [yellow] 2 15 4 11" xfId="6176"/>
    <cellStyle name="Input [yellow] 2 15 4 11 2" xfId="17373"/>
    <cellStyle name="Input [yellow] 2 15 4 11 3" xfId="28541"/>
    <cellStyle name="Input [yellow] 2 15 4 11 4" xfId="39706"/>
    <cellStyle name="Input [yellow] 2 15 4 11 5" xfId="50899"/>
    <cellStyle name="Input [yellow] 2 15 4 12" xfId="6702"/>
    <cellStyle name="Input [yellow] 2 15 4 12 2" xfId="17899"/>
    <cellStyle name="Input [yellow] 2 15 4 12 3" xfId="29067"/>
    <cellStyle name="Input [yellow] 2 15 4 12 4" xfId="40232"/>
    <cellStyle name="Input [yellow] 2 15 4 12 5" xfId="51425"/>
    <cellStyle name="Input [yellow] 2 15 4 13" xfId="7336"/>
    <cellStyle name="Input [yellow] 2 15 4 13 2" xfId="18533"/>
    <cellStyle name="Input [yellow] 2 15 4 13 3" xfId="29701"/>
    <cellStyle name="Input [yellow] 2 15 4 13 4" xfId="40866"/>
    <cellStyle name="Input [yellow] 2 15 4 13 5" xfId="52059"/>
    <cellStyle name="Input [yellow] 2 15 4 14" xfId="7970"/>
    <cellStyle name="Input [yellow] 2 15 4 14 2" xfId="19167"/>
    <cellStyle name="Input [yellow] 2 15 4 14 3" xfId="30335"/>
    <cellStyle name="Input [yellow] 2 15 4 14 4" xfId="41500"/>
    <cellStyle name="Input [yellow] 2 15 4 14 5" xfId="52693"/>
    <cellStyle name="Input [yellow] 2 15 4 15" xfId="8601"/>
    <cellStyle name="Input [yellow] 2 15 4 15 2" xfId="19798"/>
    <cellStyle name="Input [yellow] 2 15 4 15 3" xfId="30966"/>
    <cellStyle name="Input [yellow] 2 15 4 15 4" xfId="42131"/>
    <cellStyle name="Input [yellow] 2 15 4 15 5" xfId="53324"/>
    <cellStyle name="Input [yellow] 2 15 4 16" xfId="8919"/>
    <cellStyle name="Input [yellow] 2 15 4 16 2" xfId="20116"/>
    <cellStyle name="Input [yellow] 2 15 4 16 3" xfId="31284"/>
    <cellStyle name="Input [yellow] 2 15 4 16 4" xfId="42449"/>
    <cellStyle name="Input [yellow] 2 15 4 16 5" xfId="53642"/>
    <cellStyle name="Input [yellow] 2 15 4 17" xfId="9654"/>
    <cellStyle name="Input [yellow] 2 15 4 17 2" xfId="20851"/>
    <cellStyle name="Input [yellow] 2 15 4 17 3" xfId="32019"/>
    <cellStyle name="Input [yellow] 2 15 4 17 4" xfId="43184"/>
    <cellStyle name="Input [yellow] 2 15 4 17 5" xfId="54377"/>
    <cellStyle name="Input [yellow] 2 15 4 18" xfId="10362"/>
    <cellStyle name="Input [yellow] 2 15 4 18 2" xfId="21559"/>
    <cellStyle name="Input [yellow] 2 15 4 18 3" xfId="32727"/>
    <cellStyle name="Input [yellow] 2 15 4 18 4" xfId="43892"/>
    <cellStyle name="Input [yellow] 2 15 4 18 5" xfId="55085"/>
    <cellStyle name="Input [yellow] 2 15 4 19" xfId="10686"/>
    <cellStyle name="Input [yellow] 2 15 4 19 2" xfId="21883"/>
    <cellStyle name="Input [yellow] 2 15 4 19 3" xfId="33051"/>
    <cellStyle name="Input [yellow] 2 15 4 19 4" xfId="44216"/>
    <cellStyle name="Input [yellow] 2 15 4 19 5" xfId="55409"/>
    <cellStyle name="Input [yellow] 2 15 4 2" xfId="782"/>
    <cellStyle name="Input [yellow] 2 15 4 2 2" xfId="11979"/>
    <cellStyle name="Input [yellow] 2 15 4 2 3" xfId="23147"/>
    <cellStyle name="Input [yellow] 2 15 4 2 4" xfId="34312"/>
    <cellStyle name="Input [yellow] 2 15 4 2 5" xfId="45505"/>
    <cellStyle name="Input [yellow] 2 15 4 20" xfId="11333"/>
    <cellStyle name="Input [yellow] 2 15 4 21" xfId="22503"/>
    <cellStyle name="Input [yellow] 2 15 4 22" xfId="33670"/>
    <cellStyle name="Input [yellow] 2 15 4 23" xfId="44856"/>
    <cellStyle name="Input [yellow] 2 15 4 3" xfId="1709"/>
    <cellStyle name="Input [yellow] 2 15 4 3 2" xfId="12906"/>
    <cellStyle name="Input [yellow] 2 15 4 3 3" xfId="24074"/>
    <cellStyle name="Input [yellow] 2 15 4 3 4" xfId="35239"/>
    <cellStyle name="Input [yellow] 2 15 4 3 5" xfId="46432"/>
    <cellStyle name="Input [yellow] 2 15 4 4" xfId="2059"/>
    <cellStyle name="Input [yellow] 2 15 4 4 2" xfId="13256"/>
    <cellStyle name="Input [yellow] 2 15 4 4 3" xfId="24424"/>
    <cellStyle name="Input [yellow] 2 15 4 4 4" xfId="35589"/>
    <cellStyle name="Input [yellow] 2 15 4 4 5" xfId="46782"/>
    <cellStyle name="Input [yellow] 2 15 4 5" xfId="2208"/>
    <cellStyle name="Input [yellow] 2 15 4 5 2" xfId="13405"/>
    <cellStyle name="Input [yellow] 2 15 4 5 3" xfId="24573"/>
    <cellStyle name="Input [yellow] 2 15 4 5 4" xfId="35738"/>
    <cellStyle name="Input [yellow] 2 15 4 5 5" xfId="46931"/>
    <cellStyle name="Input [yellow] 2 15 4 6" xfId="3117"/>
    <cellStyle name="Input [yellow] 2 15 4 6 2" xfId="14314"/>
    <cellStyle name="Input [yellow] 2 15 4 6 3" xfId="25482"/>
    <cellStyle name="Input [yellow] 2 15 4 6 4" xfId="36647"/>
    <cellStyle name="Input [yellow] 2 15 4 6 5" xfId="47840"/>
    <cellStyle name="Input [yellow] 2 15 4 7" xfId="3751"/>
    <cellStyle name="Input [yellow] 2 15 4 7 2" xfId="14948"/>
    <cellStyle name="Input [yellow] 2 15 4 7 3" xfId="26116"/>
    <cellStyle name="Input [yellow] 2 15 4 7 4" xfId="37281"/>
    <cellStyle name="Input [yellow] 2 15 4 7 5" xfId="48474"/>
    <cellStyle name="Input [yellow] 2 15 4 8" xfId="4384"/>
    <cellStyle name="Input [yellow] 2 15 4 8 2" xfId="15581"/>
    <cellStyle name="Input [yellow] 2 15 4 8 3" xfId="26749"/>
    <cellStyle name="Input [yellow] 2 15 4 8 4" xfId="37914"/>
    <cellStyle name="Input [yellow] 2 15 4 8 5" xfId="49107"/>
    <cellStyle name="Input [yellow] 2 15 4 9" xfId="5015"/>
    <cellStyle name="Input [yellow] 2 15 4 9 2" xfId="16212"/>
    <cellStyle name="Input [yellow] 2 15 4 9 3" xfId="27380"/>
    <cellStyle name="Input [yellow] 2 15 4 9 4" xfId="38545"/>
    <cellStyle name="Input [yellow] 2 15 4 9 5" xfId="49738"/>
    <cellStyle name="Input [yellow] 2 15 5" xfId="365"/>
    <cellStyle name="Input [yellow] 2 15 5 10" xfId="5881"/>
    <cellStyle name="Input [yellow] 2 15 5 10 2" xfId="17078"/>
    <cellStyle name="Input [yellow] 2 15 5 10 3" xfId="28246"/>
    <cellStyle name="Input [yellow] 2 15 5 10 4" xfId="39411"/>
    <cellStyle name="Input [yellow] 2 15 5 10 5" xfId="50604"/>
    <cellStyle name="Input [yellow] 2 15 5 11" xfId="6301"/>
    <cellStyle name="Input [yellow] 2 15 5 11 2" xfId="17498"/>
    <cellStyle name="Input [yellow] 2 15 5 11 3" xfId="28666"/>
    <cellStyle name="Input [yellow] 2 15 5 11 4" xfId="39831"/>
    <cellStyle name="Input [yellow] 2 15 5 11 5" xfId="51024"/>
    <cellStyle name="Input [yellow] 2 15 5 12" xfId="6934"/>
    <cellStyle name="Input [yellow] 2 15 5 12 2" xfId="18131"/>
    <cellStyle name="Input [yellow] 2 15 5 12 3" xfId="29299"/>
    <cellStyle name="Input [yellow] 2 15 5 12 4" xfId="40464"/>
    <cellStyle name="Input [yellow] 2 15 5 12 5" xfId="51657"/>
    <cellStyle name="Input [yellow] 2 15 5 13" xfId="7568"/>
    <cellStyle name="Input [yellow] 2 15 5 13 2" xfId="18765"/>
    <cellStyle name="Input [yellow] 2 15 5 13 3" xfId="29933"/>
    <cellStyle name="Input [yellow] 2 15 5 13 4" xfId="41098"/>
    <cellStyle name="Input [yellow] 2 15 5 13 5" xfId="52291"/>
    <cellStyle name="Input [yellow] 2 15 5 14" xfId="8202"/>
    <cellStyle name="Input [yellow] 2 15 5 14 2" xfId="19399"/>
    <cellStyle name="Input [yellow] 2 15 5 14 3" xfId="30567"/>
    <cellStyle name="Input [yellow] 2 15 5 14 4" xfId="41732"/>
    <cellStyle name="Input [yellow] 2 15 5 14 5" xfId="52925"/>
    <cellStyle name="Input [yellow] 2 15 5 15" xfId="8831"/>
    <cellStyle name="Input [yellow] 2 15 5 15 2" xfId="20028"/>
    <cellStyle name="Input [yellow] 2 15 5 15 3" xfId="31196"/>
    <cellStyle name="Input [yellow] 2 15 5 15 4" xfId="42361"/>
    <cellStyle name="Input [yellow] 2 15 5 15 5" xfId="53554"/>
    <cellStyle name="Input [yellow] 2 15 5 16" xfId="9253"/>
    <cellStyle name="Input [yellow] 2 15 5 16 2" xfId="20450"/>
    <cellStyle name="Input [yellow] 2 15 5 16 3" xfId="31618"/>
    <cellStyle name="Input [yellow] 2 15 5 16 4" xfId="42783"/>
    <cellStyle name="Input [yellow] 2 15 5 16 5" xfId="53976"/>
    <cellStyle name="Input [yellow] 2 15 5 17" xfId="9880"/>
    <cellStyle name="Input [yellow] 2 15 5 17 2" xfId="21077"/>
    <cellStyle name="Input [yellow] 2 15 5 17 3" xfId="32245"/>
    <cellStyle name="Input [yellow] 2 15 5 17 4" xfId="43410"/>
    <cellStyle name="Input [yellow] 2 15 5 17 5" xfId="54603"/>
    <cellStyle name="Input [yellow] 2 15 5 18" xfId="10339"/>
    <cellStyle name="Input [yellow] 2 15 5 18 2" xfId="21536"/>
    <cellStyle name="Input [yellow] 2 15 5 18 3" xfId="32704"/>
    <cellStyle name="Input [yellow] 2 15 5 18 4" xfId="43869"/>
    <cellStyle name="Input [yellow] 2 15 5 18 5" xfId="55062"/>
    <cellStyle name="Input [yellow] 2 15 5 19" xfId="10918"/>
    <cellStyle name="Input [yellow] 2 15 5 19 2" xfId="22115"/>
    <cellStyle name="Input [yellow] 2 15 5 19 3" xfId="33283"/>
    <cellStyle name="Input [yellow] 2 15 5 19 4" xfId="44448"/>
    <cellStyle name="Input [yellow] 2 15 5 19 5" xfId="55641"/>
    <cellStyle name="Input [yellow] 2 15 5 2" xfId="1014"/>
    <cellStyle name="Input [yellow] 2 15 5 2 2" xfId="12211"/>
    <cellStyle name="Input [yellow] 2 15 5 2 3" xfId="23379"/>
    <cellStyle name="Input [yellow] 2 15 5 2 4" xfId="34544"/>
    <cellStyle name="Input [yellow] 2 15 5 2 5" xfId="45737"/>
    <cellStyle name="Input [yellow] 2 15 5 20" xfId="11565"/>
    <cellStyle name="Input [yellow] 2 15 5 21" xfId="22735"/>
    <cellStyle name="Input [yellow] 2 15 5 22" xfId="33902"/>
    <cellStyle name="Input [yellow] 2 15 5 23" xfId="45088"/>
    <cellStyle name="Input [yellow] 2 15 5 3" xfId="1594"/>
    <cellStyle name="Input [yellow] 2 15 5 3 2" xfId="12791"/>
    <cellStyle name="Input [yellow] 2 15 5 3 3" xfId="23959"/>
    <cellStyle name="Input [yellow] 2 15 5 3 4" xfId="35124"/>
    <cellStyle name="Input [yellow] 2 15 5 3 5" xfId="46317"/>
    <cellStyle name="Input [yellow] 2 15 5 4" xfId="2290"/>
    <cellStyle name="Input [yellow] 2 15 5 4 2" xfId="13487"/>
    <cellStyle name="Input [yellow] 2 15 5 4 3" xfId="24655"/>
    <cellStyle name="Input [yellow] 2 15 5 4 4" xfId="35820"/>
    <cellStyle name="Input [yellow] 2 15 5 4 5" xfId="47013"/>
    <cellStyle name="Input [yellow] 2 15 5 5" xfId="2715"/>
    <cellStyle name="Input [yellow] 2 15 5 5 2" xfId="13912"/>
    <cellStyle name="Input [yellow] 2 15 5 5 3" xfId="25080"/>
    <cellStyle name="Input [yellow] 2 15 5 5 4" xfId="36245"/>
    <cellStyle name="Input [yellow] 2 15 5 5 5" xfId="47438"/>
    <cellStyle name="Input [yellow] 2 15 5 6" xfId="3349"/>
    <cellStyle name="Input [yellow] 2 15 5 6 2" xfId="14546"/>
    <cellStyle name="Input [yellow] 2 15 5 6 3" xfId="25714"/>
    <cellStyle name="Input [yellow] 2 15 5 6 4" xfId="36879"/>
    <cellStyle name="Input [yellow] 2 15 5 6 5" xfId="48072"/>
    <cellStyle name="Input [yellow] 2 15 5 7" xfId="3983"/>
    <cellStyle name="Input [yellow] 2 15 5 7 2" xfId="15180"/>
    <cellStyle name="Input [yellow] 2 15 5 7 3" xfId="26348"/>
    <cellStyle name="Input [yellow] 2 15 5 7 4" xfId="37513"/>
    <cellStyle name="Input [yellow] 2 15 5 7 5" xfId="48706"/>
    <cellStyle name="Input [yellow] 2 15 5 8" xfId="4616"/>
    <cellStyle name="Input [yellow] 2 15 5 8 2" xfId="15813"/>
    <cellStyle name="Input [yellow] 2 15 5 8 3" xfId="26981"/>
    <cellStyle name="Input [yellow] 2 15 5 8 4" xfId="38146"/>
    <cellStyle name="Input [yellow] 2 15 5 8 5" xfId="49339"/>
    <cellStyle name="Input [yellow] 2 15 5 9" xfId="5247"/>
    <cellStyle name="Input [yellow] 2 15 5 9 2" xfId="16444"/>
    <cellStyle name="Input [yellow] 2 15 5 9 3" xfId="27612"/>
    <cellStyle name="Input [yellow] 2 15 5 9 4" xfId="38777"/>
    <cellStyle name="Input [yellow] 2 15 5 9 5" xfId="49970"/>
    <cellStyle name="Input [yellow] 2 15 6" xfId="311"/>
    <cellStyle name="Input [yellow] 2 15 6 10" xfId="6003"/>
    <cellStyle name="Input [yellow] 2 15 6 10 2" xfId="17200"/>
    <cellStyle name="Input [yellow] 2 15 6 10 3" xfId="28368"/>
    <cellStyle name="Input [yellow] 2 15 6 10 4" xfId="39533"/>
    <cellStyle name="Input [yellow] 2 15 6 10 5" xfId="50726"/>
    <cellStyle name="Input [yellow] 2 15 6 11" xfId="6247"/>
    <cellStyle name="Input [yellow] 2 15 6 11 2" xfId="17444"/>
    <cellStyle name="Input [yellow] 2 15 6 11 3" xfId="28612"/>
    <cellStyle name="Input [yellow] 2 15 6 11 4" xfId="39777"/>
    <cellStyle name="Input [yellow] 2 15 6 11 5" xfId="50970"/>
    <cellStyle name="Input [yellow] 2 15 6 12" xfId="6880"/>
    <cellStyle name="Input [yellow] 2 15 6 12 2" xfId="18077"/>
    <cellStyle name="Input [yellow] 2 15 6 12 3" xfId="29245"/>
    <cellStyle name="Input [yellow] 2 15 6 12 4" xfId="40410"/>
    <cellStyle name="Input [yellow] 2 15 6 12 5" xfId="51603"/>
    <cellStyle name="Input [yellow] 2 15 6 13" xfId="7514"/>
    <cellStyle name="Input [yellow] 2 15 6 13 2" xfId="18711"/>
    <cellStyle name="Input [yellow] 2 15 6 13 3" xfId="29879"/>
    <cellStyle name="Input [yellow] 2 15 6 13 4" xfId="41044"/>
    <cellStyle name="Input [yellow] 2 15 6 13 5" xfId="52237"/>
    <cellStyle name="Input [yellow] 2 15 6 14" xfId="8148"/>
    <cellStyle name="Input [yellow] 2 15 6 14 2" xfId="19345"/>
    <cellStyle name="Input [yellow] 2 15 6 14 3" xfId="30513"/>
    <cellStyle name="Input [yellow] 2 15 6 14 4" xfId="41678"/>
    <cellStyle name="Input [yellow] 2 15 6 14 5" xfId="52871"/>
    <cellStyle name="Input [yellow] 2 15 6 15" xfId="8777"/>
    <cellStyle name="Input [yellow] 2 15 6 15 2" xfId="19974"/>
    <cellStyle name="Input [yellow] 2 15 6 15 3" xfId="31142"/>
    <cellStyle name="Input [yellow] 2 15 6 15 4" xfId="42307"/>
    <cellStyle name="Input [yellow] 2 15 6 15 5" xfId="53500"/>
    <cellStyle name="Input [yellow] 2 15 6 16" xfId="9199"/>
    <cellStyle name="Input [yellow] 2 15 6 16 2" xfId="20396"/>
    <cellStyle name="Input [yellow] 2 15 6 16 3" xfId="31564"/>
    <cellStyle name="Input [yellow] 2 15 6 16 4" xfId="42729"/>
    <cellStyle name="Input [yellow] 2 15 6 16 5" xfId="53922"/>
    <cellStyle name="Input [yellow] 2 15 6 17" xfId="9826"/>
    <cellStyle name="Input [yellow] 2 15 6 17 2" xfId="21023"/>
    <cellStyle name="Input [yellow] 2 15 6 17 3" xfId="32191"/>
    <cellStyle name="Input [yellow] 2 15 6 17 4" xfId="43356"/>
    <cellStyle name="Input [yellow] 2 15 6 17 5" xfId="54549"/>
    <cellStyle name="Input [yellow] 2 15 6 18" xfId="8836"/>
    <cellStyle name="Input [yellow] 2 15 6 18 2" xfId="20033"/>
    <cellStyle name="Input [yellow] 2 15 6 18 3" xfId="31201"/>
    <cellStyle name="Input [yellow] 2 15 6 18 4" xfId="42366"/>
    <cellStyle name="Input [yellow] 2 15 6 18 5" xfId="53559"/>
    <cellStyle name="Input [yellow] 2 15 6 19" xfId="10864"/>
    <cellStyle name="Input [yellow] 2 15 6 19 2" xfId="22061"/>
    <cellStyle name="Input [yellow] 2 15 6 19 3" xfId="33229"/>
    <cellStyle name="Input [yellow] 2 15 6 19 4" xfId="44394"/>
    <cellStyle name="Input [yellow] 2 15 6 19 5" xfId="55587"/>
    <cellStyle name="Input [yellow] 2 15 6 2" xfId="960"/>
    <cellStyle name="Input [yellow] 2 15 6 2 2" xfId="12157"/>
    <cellStyle name="Input [yellow] 2 15 6 2 3" xfId="23325"/>
    <cellStyle name="Input [yellow] 2 15 6 2 4" xfId="34490"/>
    <cellStyle name="Input [yellow] 2 15 6 2 5" xfId="45683"/>
    <cellStyle name="Input [yellow] 2 15 6 20" xfId="11511"/>
    <cellStyle name="Input [yellow] 2 15 6 21" xfId="22681"/>
    <cellStyle name="Input [yellow] 2 15 6 22" xfId="33848"/>
    <cellStyle name="Input [yellow] 2 15 6 23" xfId="45034"/>
    <cellStyle name="Input [yellow] 2 15 6 3" xfId="1486"/>
    <cellStyle name="Input [yellow] 2 15 6 3 2" xfId="12683"/>
    <cellStyle name="Input [yellow] 2 15 6 3 3" xfId="23851"/>
    <cellStyle name="Input [yellow] 2 15 6 3 4" xfId="35016"/>
    <cellStyle name="Input [yellow] 2 15 6 3 5" xfId="46209"/>
    <cellStyle name="Input [yellow] 2 15 6 4" xfId="2236"/>
    <cellStyle name="Input [yellow] 2 15 6 4 2" xfId="13433"/>
    <cellStyle name="Input [yellow] 2 15 6 4 3" xfId="24601"/>
    <cellStyle name="Input [yellow] 2 15 6 4 4" xfId="35766"/>
    <cellStyle name="Input [yellow] 2 15 6 4 5" xfId="46959"/>
    <cellStyle name="Input [yellow] 2 15 6 5" xfId="2661"/>
    <cellStyle name="Input [yellow] 2 15 6 5 2" xfId="13858"/>
    <cellStyle name="Input [yellow] 2 15 6 5 3" xfId="25026"/>
    <cellStyle name="Input [yellow] 2 15 6 5 4" xfId="36191"/>
    <cellStyle name="Input [yellow] 2 15 6 5 5" xfId="47384"/>
    <cellStyle name="Input [yellow] 2 15 6 6" xfId="3295"/>
    <cellStyle name="Input [yellow] 2 15 6 6 2" xfId="14492"/>
    <cellStyle name="Input [yellow] 2 15 6 6 3" xfId="25660"/>
    <cellStyle name="Input [yellow] 2 15 6 6 4" xfId="36825"/>
    <cellStyle name="Input [yellow] 2 15 6 6 5" xfId="48018"/>
    <cellStyle name="Input [yellow] 2 15 6 7" xfId="3929"/>
    <cellStyle name="Input [yellow] 2 15 6 7 2" xfId="15126"/>
    <cellStyle name="Input [yellow] 2 15 6 7 3" xfId="26294"/>
    <cellStyle name="Input [yellow] 2 15 6 7 4" xfId="37459"/>
    <cellStyle name="Input [yellow] 2 15 6 7 5" xfId="48652"/>
    <cellStyle name="Input [yellow] 2 15 6 8" xfId="4562"/>
    <cellStyle name="Input [yellow] 2 15 6 8 2" xfId="15759"/>
    <cellStyle name="Input [yellow] 2 15 6 8 3" xfId="26927"/>
    <cellStyle name="Input [yellow] 2 15 6 8 4" xfId="38092"/>
    <cellStyle name="Input [yellow] 2 15 6 8 5" xfId="49285"/>
    <cellStyle name="Input [yellow] 2 15 6 9" xfId="5193"/>
    <cellStyle name="Input [yellow] 2 15 6 9 2" xfId="16390"/>
    <cellStyle name="Input [yellow] 2 15 6 9 3" xfId="27558"/>
    <cellStyle name="Input [yellow] 2 15 6 9 4" xfId="38723"/>
    <cellStyle name="Input [yellow] 2 15 6 9 5" xfId="49916"/>
    <cellStyle name="Input [yellow] 2 15 7" xfId="416"/>
    <cellStyle name="Input [yellow] 2 15 7 10" xfId="6184"/>
    <cellStyle name="Input [yellow] 2 15 7 10 2" xfId="17381"/>
    <cellStyle name="Input [yellow] 2 15 7 10 3" xfId="28549"/>
    <cellStyle name="Input [yellow] 2 15 7 10 4" xfId="39714"/>
    <cellStyle name="Input [yellow] 2 15 7 10 5" xfId="50907"/>
    <cellStyle name="Input [yellow] 2 15 7 11" xfId="6352"/>
    <cellStyle name="Input [yellow] 2 15 7 11 2" xfId="17549"/>
    <cellStyle name="Input [yellow] 2 15 7 11 3" xfId="28717"/>
    <cellStyle name="Input [yellow] 2 15 7 11 4" xfId="39882"/>
    <cellStyle name="Input [yellow] 2 15 7 11 5" xfId="51075"/>
    <cellStyle name="Input [yellow] 2 15 7 12" xfId="6985"/>
    <cellStyle name="Input [yellow] 2 15 7 12 2" xfId="18182"/>
    <cellStyle name="Input [yellow] 2 15 7 12 3" xfId="29350"/>
    <cellStyle name="Input [yellow] 2 15 7 12 4" xfId="40515"/>
    <cellStyle name="Input [yellow] 2 15 7 12 5" xfId="51708"/>
    <cellStyle name="Input [yellow] 2 15 7 13" xfId="7619"/>
    <cellStyle name="Input [yellow] 2 15 7 13 2" xfId="18816"/>
    <cellStyle name="Input [yellow] 2 15 7 13 3" xfId="29984"/>
    <cellStyle name="Input [yellow] 2 15 7 13 4" xfId="41149"/>
    <cellStyle name="Input [yellow] 2 15 7 13 5" xfId="52342"/>
    <cellStyle name="Input [yellow] 2 15 7 14" xfId="8253"/>
    <cellStyle name="Input [yellow] 2 15 7 14 2" xfId="19450"/>
    <cellStyle name="Input [yellow] 2 15 7 14 3" xfId="30618"/>
    <cellStyle name="Input [yellow] 2 15 7 14 4" xfId="41783"/>
    <cellStyle name="Input [yellow] 2 15 7 14 5" xfId="52976"/>
    <cellStyle name="Input [yellow] 2 15 7 15" xfId="8881"/>
    <cellStyle name="Input [yellow] 2 15 7 15 2" xfId="20078"/>
    <cellStyle name="Input [yellow] 2 15 7 15 3" xfId="31246"/>
    <cellStyle name="Input [yellow] 2 15 7 15 4" xfId="42411"/>
    <cellStyle name="Input [yellow] 2 15 7 15 5" xfId="53604"/>
    <cellStyle name="Input [yellow] 2 15 7 16" xfId="9304"/>
    <cellStyle name="Input [yellow] 2 15 7 16 2" xfId="20501"/>
    <cellStyle name="Input [yellow] 2 15 7 16 3" xfId="31669"/>
    <cellStyle name="Input [yellow] 2 15 7 16 4" xfId="42834"/>
    <cellStyle name="Input [yellow] 2 15 7 16 5" xfId="54027"/>
    <cellStyle name="Input [yellow] 2 15 7 17" xfId="9930"/>
    <cellStyle name="Input [yellow] 2 15 7 17 2" xfId="21127"/>
    <cellStyle name="Input [yellow] 2 15 7 17 3" xfId="32295"/>
    <cellStyle name="Input [yellow] 2 15 7 17 4" xfId="43460"/>
    <cellStyle name="Input [yellow] 2 15 7 17 5" xfId="54653"/>
    <cellStyle name="Input [yellow] 2 15 7 18" xfId="9805"/>
    <cellStyle name="Input [yellow] 2 15 7 18 2" xfId="21002"/>
    <cellStyle name="Input [yellow] 2 15 7 18 3" xfId="32170"/>
    <cellStyle name="Input [yellow] 2 15 7 18 4" xfId="43335"/>
    <cellStyle name="Input [yellow] 2 15 7 18 5" xfId="54528"/>
    <cellStyle name="Input [yellow] 2 15 7 19" xfId="10969"/>
    <cellStyle name="Input [yellow] 2 15 7 19 2" xfId="22166"/>
    <cellStyle name="Input [yellow] 2 15 7 19 3" xfId="33334"/>
    <cellStyle name="Input [yellow] 2 15 7 19 4" xfId="44499"/>
    <cellStyle name="Input [yellow] 2 15 7 19 5" xfId="55692"/>
    <cellStyle name="Input [yellow] 2 15 7 2" xfId="1065"/>
    <cellStyle name="Input [yellow] 2 15 7 2 2" xfId="12262"/>
    <cellStyle name="Input [yellow] 2 15 7 2 3" xfId="23430"/>
    <cellStyle name="Input [yellow] 2 15 7 2 4" xfId="34595"/>
    <cellStyle name="Input [yellow] 2 15 7 2 5" xfId="45788"/>
    <cellStyle name="Input [yellow] 2 15 7 20" xfId="11616"/>
    <cellStyle name="Input [yellow] 2 15 7 21" xfId="22786"/>
    <cellStyle name="Input [yellow] 2 15 7 22" xfId="33953"/>
    <cellStyle name="Input [yellow] 2 15 7 23" xfId="45139"/>
    <cellStyle name="Input [yellow] 2 15 7 3" xfId="1858"/>
    <cellStyle name="Input [yellow] 2 15 7 3 2" xfId="13055"/>
    <cellStyle name="Input [yellow] 2 15 7 3 3" xfId="24223"/>
    <cellStyle name="Input [yellow] 2 15 7 3 4" xfId="35388"/>
    <cellStyle name="Input [yellow] 2 15 7 3 5" xfId="46581"/>
    <cellStyle name="Input [yellow] 2 15 7 4" xfId="2341"/>
    <cellStyle name="Input [yellow] 2 15 7 4 2" xfId="13538"/>
    <cellStyle name="Input [yellow] 2 15 7 4 3" xfId="24706"/>
    <cellStyle name="Input [yellow] 2 15 7 4 4" xfId="35871"/>
    <cellStyle name="Input [yellow] 2 15 7 4 5" xfId="47064"/>
    <cellStyle name="Input [yellow] 2 15 7 5" xfId="2766"/>
    <cellStyle name="Input [yellow] 2 15 7 5 2" xfId="13963"/>
    <cellStyle name="Input [yellow] 2 15 7 5 3" xfId="25131"/>
    <cellStyle name="Input [yellow] 2 15 7 5 4" xfId="36296"/>
    <cellStyle name="Input [yellow] 2 15 7 5 5" xfId="47489"/>
    <cellStyle name="Input [yellow] 2 15 7 6" xfId="3400"/>
    <cellStyle name="Input [yellow] 2 15 7 6 2" xfId="14597"/>
    <cellStyle name="Input [yellow] 2 15 7 6 3" xfId="25765"/>
    <cellStyle name="Input [yellow] 2 15 7 6 4" xfId="36930"/>
    <cellStyle name="Input [yellow] 2 15 7 6 5" xfId="48123"/>
    <cellStyle name="Input [yellow] 2 15 7 7" xfId="4034"/>
    <cellStyle name="Input [yellow] 2 15 7 7 2" xfId="15231"/>
    <cellStyle name="Input [yellow] 2 15 7 7 3" xfId="26399"/>
    <cellStyle name="Input [yellow] 2 15 7 7 4" xfId="37564"/>
    <cellStyle name="Input [yellow] 2 15 7 7 5" xfId="48757"/>
    <cellStyle name="Input [yellow] 2 15 7 8" xfId="4667"/>
    <cellStyle name="Input [yellow] 2 15 7 8 2" xfId="15864"/>
    <cellStyle name="Input [yellow] 2 15 7 8 3" xfId="27032"/>
    <cellStyle name="Input [yellow] 2 15 7 8 4" xfId="38197"/>
    <cellStyle name="Input [yellow] 2 15 7 8 5" xfId="49390"/>
    <cellStyle name="Input [yellow] 2 15 7 9" xfId="5298"/>
    <cellStyle name="Input [yellow] 2 15 7 9 2" xfId="16495"/>
    <cellStyle name="Input [yellow] 2 15 7 9 3" xfId="27663"/>
    <cellStyle name="Input [yellow] 2 15 7 9 4" xfId="38828"/>
    <cellStyle name="Input [yellow] 2 15 7 9 5" xfId="50021"/>
    <cellStyle name="Input [yellow] 2 15 8" xfId="523"/>
    <cellStyle name="Input [yellow] 2 15 8 10" xfId="5884"/>
    <cellStyle name="Input [yellow] 2 15 8 10 2" xfId="17081"/>
    <cellStyle name="Input [yellow] 2 15 8 10 3" xfId="28249"/>
    <cellStyle name="Input [yellow] 2 15 8 10 4" xfId="39414"/>
    <cellStyle name="Input [yellow] 2 15 8 10 5" xfId="50607"/>
    <cellStyle name="Input [yellow] 2 15 8 11" xfId="6459"/>
    <cellStyle name="Input [yellow] 2 15 8 11 2" xfId="17656"/>
    <cellStyle name="Input [yellow] 2 15 8 11 3" xfId="28824"/>
    <cellStyle name="Input [yellow] 2 15 8 11 4" xfId="39989"/>
    <cellStyle name="Input [yellow] 2 15 8 11 5" xfId="51182"/>
    <cellStyle name="Input [yellow] 2 15 8 12" xfId="7092"/>
    <cellStyle name="Input [yellow] 2 15 8 12 2" xfId="18289"/>
    <cellStyle name="Input [yellow] 2 15 8 12 3" xfId="29457"/>
    <cellStyle name="Input [yellow] 2 15 8 12 4" xfId="40622"/>
    <cellStyle name="Input [yellow] 2 15 8 12 5" xfId="51815"/>
    <cellStyle name="Input [yellow] 2 15 8 13" xfId="7726"/>
    <cellStyle name="Input [yellow] 2 15 8 13 2" xfId="18923"/>
    <cellStyle name="Input [yellow] 2 15 8 13 3" xfId="30091"/>
    <cellStyle name="Input [yellow] 2 15 8 13 4" xfId="41256"/>
    <cellStyle name="Input [yellow] 2 15 8 13 5" xfId="52449"/>
    <cellStyle name="Input [yellow] 2 15 8 14" xfId="8360"/>
    <cellStyle name="Input [yellow] 2 15 8 14 2" xfId="19557"/>
    <cellStyle name="Input [yellow] 2 15 8 14 3" xfId="30725"/>
    <cellStyle name="Input [yellow] 2 15 8 14 4" xfId="41890"/>
    <cellStyle name="Input [yellow] 2 15 8 14 5" xfId="53083"/>
    <cellStyle name="Input [yellow] 2 15 8 15" xfId="8988"/>
    <cellStyle name="Input [yellow] 2 15 8 15 2" xfId="20185"/>
    <cellStyle name="Input [yellow] 2 15 8 15 3" xfId="31353"/>
    <cellStyle name="Input [yellow] 2 15 8 15 4" xfId="42518"/>
    <cellStyle name="Input [yellow] 2 15 8 15 5" xfId="53711"/>
    <cellStyle name="Input [yellow] 2 15 8 16" xfId="9411"/>
    <cellStyle name="Input [yellow] 2 15 8 16 2" xfId="20608"/>
    <cellStyle name="Input [yellow] 2 15 8 16 3" xfId="31776"/>
    <cellStyle name="Input [yellow] 2 15 8 16 4" xfId="42941"/>
    <cellStyle name="Input [yellow] 2 15 8 16 5" xfId="54134"/>
    <cellStyle name="Input [yellow] 2 15 8 17" xfId="10036"/>
    <cellStyle name="Input [yellow] 2 15 8 17 2" xfId="21233"/>
    <cellStyle name="Input [yellow] 2 15 8 17 3" xfId="32401"/>
    <cellStyle name="Input [yellow] 2 15 8 17 4" xfId="43566"/>
    <cellStyle name="Input [yellow] 2 15 8 17 5" xfId="54759"/>
    <cellStyle name="Input [yellow] 2 15 8 18" xfId="10349"/>
    <cellStyle name="Input [yellow] 2 15 8 18 2" xfId="21546"/>
    <cellStyle name="Input [yellow] 2 15 8 18 3" xfId="32714"/>
    <cellStyle name="Input [yellow] 2 15 8 18 4" xfId="43879"/>
    <cellStyle name="Input [yellow] 2 15 8 18 5" xfId="55072"/>
    <cellStyle name="Input [yellow] 2 15 8 19" xfId="11076"/>
    <cellStyle name="Input [yellow] 2 15 8 19 2" xfId="22273"/>
    <cellStyle name="Input [yellow] 2 15 8 19 3" xfId="33441"/>
    <cellStyle name="Input [yellow] 2 15 8 19 4" xfId="44606"/>
    <cellStyle name="Input [yellow] 2 15 8 19 5" xfId="55799"/>
    <cellStyle name="Input [yellow] 2 15 8 2" xfId="1172"/>
    <cellStyle name="Input [yellow] 2 15 8 2 2" xfId="12369"/>
    <cellStyle name="Input [yellow] 2 15 8 2 3" xfId="23537"/>
    <cellStyle name="Input [yellow] 2 15 8 2 4" xfId="34702"/>
    <cellStyle name="Input [yellow] 2 15 8 2 5" xfId="45895"/>
    <cellStyle name="Input [yellow] 2 15 8 20" xfId="11723"/>
    <cellStyle name="Input [yellow] 2 15 8 21" xfId="22893"/>
    <cellStyle name="Input [yellow] 2 15 8 22" xfId="34060"/>
    <cellStyle name="Input [yellow] 2 15 8 23" xfId="45246"/>
    <cellStyle name="Input [yellow] 2 15 8 3" xfId="1586"/>
    <cellStyle name="Input [yellow] 2 15 8 3 2" xfId="12783"/>
    <cellStyle name="Input [yellow] 2 15 8 3 3" xfId="23951"/>
    <cellStyle name="Input [yellow] 2 15 8 3 4" xfId="35116"/>
    <cellStyle name="Input [yellow] 2 15 8 3 5" xfId="46309"/>
    <cellStyle name="Input [yellow] 2 15 8 4" xfId="2448"/>
    <cellStyle name="Input [yellow] 2 15 8 4 2" xfId="13645"/>
    <cellStyle name="Input [yellow] 2 15 8 4 3" xfId="24813"/>
    <cellStyle name="Input [yellow] 2 15 8 4 4" xfId="35978"/>
    <cellStyle name="Input [yellow] 2 15 8 4 5" xfId="47171"/>
    <cellStyle name="Input [yellow] 2 15 8 5" xfId="2873"/>
    <cellStyle name="Input [yellow] 2 15 8 5 2" xfId="14070"/>
    <cellStyle name="Input [yellow] 2 15 8 5 3" xfId="25238"/>
    <cellStyle name="Input [yellow] 2 15 8 5 4" xfId="36403"/>
    <cellStyle name="Input [yellow] 2 15 8 5 5" xfId="47596"/>
    <cellStyle name="Input [yellow] 2 15 8 6" xfId="3507"/>
    <cellStyle name="Input [yellow] 2 15 8 6 2" xfId="14704"/>
    <cellStyle name="Input [yellow] 2 15 8 6 3" xfId="25872"/>
    <cellStyle name="Input [yellow] 2 15 8 6 4" xfId="37037"/>
    <cellStyle name="Input [yellow] 2 15 8 6 5" xfId="48230"/>
    <cellStyle name="Input [yellow] 2 15 8 7" xfId="4141"/>
    <cellStyle name="Input [yellow] 2 15 8 7 2" xfId="15338"/>
    <cellStyle name="Input [yellow] 2 15 8 7 3" xfId="26506"/>
    <cellStyle name="Input [yellow] 2 15 8 7 4" xfId="37671"/>
    <cellStyle name="Input [yellow] 2 15 8 7 5" xfId="48864"/>
    <cellStyle name="Input [yellow] 2 15 8 8" xfId="4774"/>
    <cellStyle name="Input [yellow] 2 15 8 8 2" xfId="15971"/>
    <cellStyle name="Input [yellow] 2 15 8 8 3" xfId="27139"/>
    <cellStyle name="Input [yellow] 2 15 8 8 4" xfId="38304"/>
    <cellStyle name="Input [yellow] 2 15 8 8 5" xfId="49497"/>
    <cellStyle name="Input [yellow] 2 15 8 9" xfId="5405"/>
    <cellStyle name="Input [yellow] 2 15 8 9 2" xfId="16602"/>
    <cellStyle name="Input [yellow] 2 15 8 9 3" xfId="27770"/>
    <cellStyle name="Input [yellow] 2 15 8 9 4" xfId="38935"/>
    <cellStyle name="Input [yellow] 2 15 8 9 5" xfId="50128"/>
    <cellStyle name="Input [yellow] 2 15 9" xfId="581"/>
    <cellStyle name="Input [yellow] 2 15 9 10" xfId="5749"/>
    <cellStyle name="Input [yellow] 2 15 9 10 2" xfId="16946"/>
    <cellStyle name="Input [yellow] 2 15 9 10 3" xfId="28114"/>
    <cellStyle name="Input [yellow] 2 15 9 10 4" xfId="39279"/>
    <cellStyle name="Input [yellow] 2 15 9 10 5" xfId="50472"/>
    <cellStyle name="Input [yellow] 2 15 9 11" xfId="6517"/>
    <cellStyle name="Input [yellow] 2 15 9 11 2" xfId="17714"/>
    <cellStyle name="Input [yellow] 2 15 9 11 3" xfId="28882"/>
    <cellStyle name="Input [yellow] 2 15 9 11 4" xfId="40047"/>
    <cellStyle name="Input [yellow] 2 15 9 11 5" xfId="51240"/>
    <cellStyle name="Input [yellow] 2 15 9 12" xfId="7150"/>
    <cellStyle name="Input [yellow] 2 15 9 12 2" xfId="18347"/>
    <cellStyle name="Input [yellow] 2 15 9 12 3" xfId="29515"/>
    <cellStyle name="Input [yellow] 2 15 9 12 4" xfId="40680"/>
    <cellStyle name="Input [yellow] 2 15 9 12 5" xfId="51873"/>
    <cellStyle name="Input [yellow] 2 15 9 13" xfId="7784"/>
    <cellStyle name="Input [yellow] 2 15 9 13 2" xfId="18981"/>
    <cellStyle name="Input [yellow] 2 15 9 13 3" xfId="30149"/>
    <cellStyle name="Input [yellow] 2 15 9 13 4" xfId="41314"/>
    <cellStyle name="Input [yellow] 2 15 9 13 5" xfId="52507"/>
    <cellStyle name="Input [yellow] 2 15 9 14" xfId="8418"/>
    <cellStyle name="Input [yellow] 2 15 9 14 2" xfId="19615"/>
    <cellStyle name="Input [yellow] 2 15 9 14 3" xfId="30783"/>
    <cellStyle name="Input [yellow] 2 15 9 14 4" xfId="41948"/>
    <cellStyle name="Input [yellow] 2 15 9 14 5" xfId="53141"/>
    <cellStyle name="Input [yellow] 2 15 9 15" xfId="9046"/>
    <cellStyle name="Input [yellow] 2 15 9 15 2" xfId="20243"/>
    <cellStyle name="Input [yellow] 2 15 9 15 3" xfId="31411"/>
    <cellStyle name="Input [yellow] 2 15 9 15 4" xfId="42576"/>
    <cellStyle name="Input [yellow] 2 15 9 15 5" xfId="53769"/>
    <cellStyle name="Input [yellow] 2 15 9 16" xfId="9469"/>
    <cellStyle name="Input [yellow] 2 15 9 16 2" xfId="20666"/>
    <cellStyle name="Input [yellow] 2 15 9 16 3" xfId="31834"/>
    <cellStyle name="Input [yellow] 2 15 9 16 4" xfId="42999"/>
    <cellStyle name="Input [yellow] 2 15 9 16 5" xfId="54192"/>
    <cellStyle name="Input [yellow] 2 15 9 17" xfId="10094"/>
    <cellStyle name="Input [yellow] 2 15 9 17 2" xfId="21291"/>
    <cellStyle name="Input [yellow] 2 15 9 17 3" xfId="32459"/>
    <cellStyle name="Input [yellow] 2 15 9 17 4" xfId="43624"/>
    <cellStyle name="Input [yellow] 2 15 9 17 5" xfId="54817"/>
    <cellStyle name="Input [yellow] 2 15 9 18" xfId="10341"/>
    <cellStyle name="Input [yellow] 2 15 9 18 2" xfId="21538"/>
    <cellStyle name="Input [yellow] 2 15 9 18 3" xfId="32706"/>
    <cellStyle name="Input [yellow] 2 15 9 18 4" xfId="43871"/>
    <cellStyle name="Input [yellow] 2 15 9 18 5" xfId="55064"/>
    <cellStyle name="Input [yellow] 2 15 9 19" xfId="11134"/>
    <cellStyle name="Input [yellow] 2 15 9 19 2" xfId="22331"/>
    <cellStyle name="Input [yellow] 2 15 9 19 3" xfId="33499"/>
    <cellStyle name="Input [yellow] 2 15 9 19 4" xfId="44664"/>
    <cellStyle name="Input [yellow] 2 15 9 19 5" xfId="55857"/>
    <cellStyle name="Input [yellow] 2 15 9 2" xfId="1230"/>
    <cellStyle name="Input [yellow] 2 15 9 2 2" xfId="12427"/>
    <cellStyle name="Input [yellow] 2 15 9 2 3" xfId="23595"/>
    <cellStyle name="Input [yellow] 2 15 9 2 4" xfId="34760"/>
    <cellStyle name="Input [yellow] 2 15 9 2 5" xfId="45953"/>
    <cellStyle name="Input [yellow] 2 15 9 20" xfId="11781"/>
    <cellStyle name="Input [yellow] 2 15 9 21" xfId="22951"/>
    <cellStyle name="Input [yellow] 2 15 9 22" xfId="34118"/>
    <cellStyle name="Input [yellow] 2 15 9 23" xfId="45304"/>
    <cellStyle name="Input [yellow] 2 15 9 3" xfId="1654"/>
    <cellStyle name="Input [yellow] 2 15 9 3 2" xfId="12851"/>
    <cellStyle name="Input [yellow] 2 15 9 3 3" xfId="24019"/>
    <cellStyle name="Input [yellow] 2 15 9 3 4" xfId="35184"/>
    <cellStyle name="Input [yellow] 2 15 9 3 5" xfId="46377"/>
    <cellStyle name="Input [yellow] 2 15 9 4" xfId="2506"/>
    <cellStyle name="Input [yellow] 2 15 9 4 2" xfId="13703"/>
    <cellStyle name="Input [yellow] 2 15 9 4 3" xfId="24871"/>
    <cellStyle name="Input [yellow] 2 15 9 4 4" xfId="36036"/>
    <cellStyle name="Input [yellow] 2 15 9 4 5" xfId="47229"/>
    <cellStyle name="Input [yellow] 2 15 9 5" xfId="2931"/>
    <cellStyle name="Input [yellow] 2 15 9 5 2" xfId="14128"/>
    <cellStyle name="Input [yellow] 2 15 9 5 3" xfId="25296"/>
    <cellStyle name="Input [yellow] 2 15 9 5 4" xfId="36461"/>
    <cellStyle name="Input [yellow] 2 15 9 5 5" xfId="47654"/>
    <cellStyle name="Input [yellow] 2 15 9 6" xfId="3565"/>
    <cellStyle name="Input [yellow] 2 15 9 6 2" xfId="14762"/>
    <cellStyle name="Input [yellow] 2 15 9 6 3" xfId="25930"/>
    <cellStyle name="Input [yellow] 2 15 9 6 4" xfId="37095"/>
    <cellStyle name="Input [yellow] 2 15 9 6 5" xfId="48288"/>
    <cellStyle name="Input [yellow] 2 15 9 7" xfId="4199"/>
    <cellStyle name="Input [yellow] 2 15 9 7 2" xfId="15396"/>
    <cellStyle name="Input [yellow] 2 15 9 7 3" xfId="26564"/>
    <cellStyle name="Input [yellow] 2 15 9 7 4" xfId="37729"/>
    <cellStyle name="Input [yellow] 2 15 9 7 5" xfId="48922"/>
    <cellStyle name="Input [yellow] 2 15 9 8" xfId="4832"/>
    <cellStyle name="Input [yellow] 2 15 9 8 2" xfId="16029"/>
    <cellStyle name="Input [yellow] 2 15 9 8 3" xfId="27197"/>
    <cellStyle name="Input [yellow] 2 15 9 8 4" xfId="38362"/>
    <cellStyle name="Input [yellow] 2 15 9 8 5" xfId="49555"/>
    <cellStyle name="Input [yellow] 2 15 9 9" xfId="5463"/>
    <cellStyle name="Input [yellow] 2 15 9 9 2" xfId="16660"/>
    <cellStyle name="Input [yellow] 2 15 9 9 3" xfId="27828"/>
    <cellStyle name="Input [yellow] 2 15 9 9 4" xfId="38993"/>
    <cellStyle name="Input [yellow] 2 15 9 9 5" xfId="50186"/>
    <cellStyle name="Input [yellow] 2 16" xfId="117"/>
    <cellStyle name="Input [yellow] 2 16 10" xfId="600"/>
    <cellStyle name="Input [yellow] 2 16 10 10" xfId="5806"/>
    <cellStyle name="Input [yellow] 2 16 10 10 2" xfId="17003"/>
    <cellStyle name="Input [yellow] 2 16 10 10 3" xfId="28171"/>
    <cellStyle name="Input [yellow] 2 16 10 10 4" xfId="39336"/>
    <cellStyle name="Input [yellow] 2 16 10 10 5" xfId="50529"/>
    <cellStyle name="Input [yellow] 2 16 10 11" xfId="6536"/>
    <cellStyle name="Input [yellow] 2 16 10 11 2" xfId="17733"/>
    <cellStyle name="Input [yellow] 2 16 10 11 3" xfId="28901"/>
    <cellStyle name="Input [yellow] 2 16 10 11 4" xfId="40066"/>
    <cellStyle name="Input [yellow] 2 16 10 11 5" xfId="51259"/>
    <cellStyle name="Input [yellow] 2 16 10 12" xfId="7169"/>
    <cellStyle name="Input [yellow] 2 16 10 12 2" xfId="18366"/>
    <cellStyle name="Input [yellow] 2 16 10 12 3" xfId="29534"/>
    <cellStyle name="Input [yellow] 2 16 10 12 4" xfId="40699"/>
    <cellStyle name="Input [yellow] 2 16 10 12 5" xfId="51892"/>
    <cellStyle name="Input [yellow] 2 16 10 13" xfId="7803"/>
    <cellStyle name="Input [yellow] 2 16 10 13 2" xfId="19000"/>
    <cellStyle name="Input [yellow] 2 16 10 13 3" xfId="30168"/>
    <cellStyle name="Input [yellow] 2 16 10 13 4" xfId="41333"/>
    <cellStyle name="Input [yellow] 2 16 10 13 5" xfId="52526"/>
    <cellStyle name="Input [yellow] 2 16 10 14" xfId="8437"/>
    <cellStyle name="Input [yellow] 2 16 10 14 2" xfId="19634"/>
    <cellStyle name="Input [yellow] 2 16 10 14 3" xfId="30802"/>
    <cellStyle name="Input [yellow] 2 16 10 14 4" xfId="41967"/>
    <cellStyle name="Input [yellow] 2 16 10 14 5" xfId="53160"/>
    <cellStyle name="Input [yellow] 2 16 10 15" xfId="9065"/>
    <cellStyle name="Input [yellow] 2 16 10 15 2" xfId="20262"/>
    <cellStyle name="Input [yellow] 2 16 10 15 3" xfId="31430"/>
    <cellStyle name="Input [yellow] 2 16 10 15 4" xfId="42595"/>
    <cellStyle name="Input [yellow] 2 16 10 15 5" xfId="53788"/>
    <cellStyle name="Input [yellow] 2 16 10 16" xfId="9488"/>
    <cellStyle name="Input [yellow] 2 16 10 16 2" xfId="20685"/>
    <cellStyle name="Input [yellow] 2 16 10 16 3" xfId="31853"/>
    <cellStyle name="Input [yellow] 2 16 10 16 4" xfId="43018"/>
    <cellStyle name="Input [yellow] 2 16 10 16 5" xfId="54211"/>
    <cellStyle name="Input [yellow] 2 16 10 17" xfId="10113"/>
    <cellStyle name="Input [yellow] 2 16 10 17 2" xfId="21310"/>
    <cellStyle name="Input [yellow] 2 16 10 17 3" xfId="32478"/>
    <cellStyle name="Input [yellow] 2 16 10 17 4" xfId="43643"/>
    <cellStyle name="Input [yellow] 2 16 10 17 5" xfId="54836"/>
    <cellStyle name="Input [yellow] 2 16 10 18" xfId="10465"/>
    <cellStyle name="Input [yellow] 2 16 10 18 2" xfId="21662"/>
    <cellStyle name="Input [yellow] 2 16 10 18 3" xfId="32830"/>
    <cellStyle name="Input [yellow] 2 16 10 18 4" xfId="43995"/>
    <cellStyle name="Input [yellow] 2 16 10 18 5" xfId="55188"/>
    <cellStyle name="Input [yellow] 2 16 10 19" xfId="11153"/>
    <cellStyle name="Input [yellow] 2 16 10 19 2" xfId="22350"/>
    <cellStyle name="Input [yellow] 2 16 10 19 3" xfId="33518"/>
    <cellStyle name="Input [yellow] 2 16 10 19 4" xfId="44683"/>
    <cellStyle name="Input [yellow] 2 16 10 19 5" xfId="55876"/>
    <cellStyle name="Input [yellow] 2 16 10 2" xfId="1249"/>
    <cellStyle name="Input [yellow] 2 16 10 2 2" xfId="12446"/>
    <cellStyle name="Input [yellow] 2 16 10 2 3" xfId="23614"/>
    <cellStyle name="Input [yellow] 2 16 10 2 4" xfId="34779"/>
    <cellStyle name="Input [yellow] 2 16 10 2 5" xfId="45972"/>
    <cellStyle name="Input [yellow] 2 16 10 20" xfId="11800"/>
    <cellStyle name="Input [yellow] 2 16 10 21" xfId="22970"/>
    <cellStyle name="Input [yellow] 2 16 10 22" xfId="34137"/>
    <cellStyle name="Input [yellow] 2 16 10 23" xfId="45323"/>
    <cellStyle name="Input [yellow] 2 16 10 3" xfId="1675"/>
    <cellStyle name="Input [yellow] 2 16 10 3 2" xfId="12872"/>
    <cellStyle name="Input [yellow] 2 16 10 3 3" xfId="24040"/>
    <cellStyle name="Input [yellow] 2 16 10 3 4" xfId="35205"/>
    <cellStyle name="Input [yellow] 2 16 10 3 5" xfId="46398"/>
    <cellStyle name="Input [yellow] 2 16 10 4" xfId="2525"/>
    <cellStyle name="Input [yellow] 2 16 10 4 2" xfId="13722"/>
    <cellStyle name="Input [yellow] 2 16 10 4 3" xfId="24890"/>
    <cellStyle name="Input [yellow] 2 16 10 4 4" xfId="36055"/>
    <cellStyle name="Input [yellow] 2 16 10 4 5" xfId="47248"/>
    <cellStyle name="Input [yellow] 2 16 10 5" xfId="2950"/>
    <cellStyle name="Input [yellow] 2 16 10 5 2" xfId="14147"/>
    <cellStyle name="Input [yellow] 2 16 10 5 3" xfId="25315"/>
    <cellStyle name="Input [yellow] 2 16 10 5 4" xfId="36480"/>
    <cellStyle name="Input [yellow] 2 16 10 5 5" xfId="47673"/>
    <cellStyle name="Input [yellow] 2 16 10 6" xfId="3584"/>
    <cellStyle name="Input [yellow] 2 16 10 6 2" xfId="14781"/>
    <cellStyle name="Input [yellow] 2 16 10 6 3" xfId="25949"/>
    <cellStyle name="Input [yellow] 2 16 10 6 4" xfId="37114"/>
    <cellStyle name="Input [yellow] 2 16 10 6 5" xfId="48307"/>
    <cellStyle name="Input [yellow] 2 16 10 7" xfId="4218"/>
    <cellStyle name="Input [yellow] 2 16 10 7 2" xfId="15415"/>
    <cellStyle name="Input [yellow] 2 16 10 7 3" xfId="26583"/>
    <cellStyle name="Input [yellow] 2 16 10 7 4" xfId="37748"/>
    <cellStyle name="Input [yellow] 2 16 10 7 5" xfId="48941"/>
    <cellStyle name="Input [yellow] 2 16 10 8" xfId="4851"/>
    <cellStyle name="Input [yellow] 2 16 10 8 2" xfId="16048"/>
    <cellStyle name="Input [yellow] 2 16 10 8 3" xfId="27216"/>
    <cellStyle name="Input [yellow] 2 16 10 8 4" xfId="38381"/>
    <cellStyle name="Input [yellow] 2 16 10 8 5" xfId="49574"/>
    <cellStyle name="Input [yellow] 2 16 10 9" xfId="5482"/>
    <cellStyle name="Input [yellow] 2 16 10 9 2" xfId="16679"/>
    <cellStyle name="Input [yellow] 2 16 10 9 3" xfId="27847"/>
    <cellStyle name="Input [yellow] 2 16 10 9 4" xfId="39012"/>
    <cellStyle name="Input [yellow] 2 16 10 9 5" xfId="50205"/>
    <cellStyle name="Input [yellow] 2 16 11" xfId="683"/>
    <cellStyle name="Input [yellow] 2 16 11 10" xfId="5786"/>
    <cellStyle name="Input [yellow] 2 16 11 10 2" xfId="16983"/>
    <cellStyle name="Input [yellow] 2 16 11 10 3" xfId="28151"/>
    <cellStyle name="Input [yellow] 2 16 11 10 4" xfId="39316"/>
    <cellStyle name="Input [yellow] 2 16 11 10 5" xfId="50509"/>
    <cellStyle name="Input [yellow] 2 16 11 11" xfId="6619"/>
    <cellStyle name="Input [yellow] 2 16 11 11 2" xfId="17816"/>
    <cellStyle name="Input [yellow] 2 16 11 11 3" xfId="28984"/>
    <cellStyle name="Input [yellow] 2 16 11 11 4" xfId="40149"/>
    <cellStyle name="Input [yellow] 2 16 11 11 5" xfId="51342"/>
    <cellStyle name="Input [yellow] 2 16 11 12" xfId="7252"/>
    <cellStyle name="Input [yellow] 2 16 11 12 2" xfId="18449"/>
    <cellStyle name="Input [yellow] 2 16 11 12 3" xfId="29617"/>
    <cellStyle name="Input [yellow] 2 16 11 12 4" xfId="40782"/>
    <cellStyle name="Input [yellow] 2 16 11 12 5" xfId="51975"/>
    <cellStyle name="Input [yellow] 2 16 11 13" xfId="7886"/>
    <cellStyle name="Input [yellow] 2 16 11 13 2" xfId="19083"/>
    <cellStyle name="Input [yellow] 2 16 11 13 3" xfId="30251"/>
    <cellStyle name="Input [yellow] 2 16 11 13 4" xfId="41416"/>
    <cellStyle name="Input [yellow] 2 16 11 13 5" xfId="52609"/>
    <cellStyle name="Input [yellow] 2 16 11 14" xfId="8520"/>
    <cellStyle name="Input [yellow] 2 16 11 14 2" xfId="19717"/>
    <cellStyle name="Input [yellow] 2 16 11 14 3" xfId="30885"/>
    <cellStyle name="Input [yellow] 2 16 11 14 4" xfId="42050"/>
    <cellStyle name="Input [yellow] 2 16 11 14 5" xfId="53243"/>
    <cellStyle name="Input [yellow] 2 16 11 15" xfId="9148"/>
    <cellStyle name="Input [yellow] 2 16 11 15 2" xfId="20345"/>
    <cellStyle name="Input [yellow] 2 16 11 15 3" xfId="31513"/>
    <cellStyle name="Input [yellow] 2 16 11 15 4" xfId="42678"/>
    <cellStyle name="Input [yellow] 2 16 11 15 5" xfId="53871"/>
    <cellStyle name="Input [yellow] 2 16 11 16" xfId="9571"/>
    <cellStyle name="Input [yellow] 2 16 11 16 2" xfId="20768"/>
    <cellStyle name="Input [yellow] 2 16 11 16 3" xfId="31936"/>
    <cellStyle name="Input [yellow] 2 16 11 16 4" xfId="43101"/>
    <cellStyle name="Input [yellow] 2 16 11 16 5" xfId="54294"/>
    <cellStyle name="Input [yellow] 2 16 11 17" xfId="10195"/>
    <cellStyle name="Input [yellow] 2 16 11 17 2" xfId="21392"/>
    <cellStyle name="Input [yellow] 2 16 11 17 3" xfId="32560"/>
    <cellStyle name="Input [yellow] 2 16 11 17 4" xfId="43725"/>
    <cellStyle name="Input [yellow] 2 16 11 17 5" xfId="54918"/>
    <cellStyle name="Input [yellow] 2 16 11 18" xfId="9995"/>
    <cellStyle name="Input [yellow] 2 16 11 18 2" xfId="21192"/>
    <cellStyle name="Input [yellow] 2 16 11 18 3" xfId="32360"/>
    <cellStyle name="Input [yellow] 2 16 11 18 4" xfId="43525"/>
    <cellStyle name="Input [yellow] 2 16 11 18 5" xfId="54718"/>
    <cellStyle name="Input [yellow] 2 16 11 19" xfId="11236"/>
    <cellStyle name="Input [yellow] 2 16 11 19 2" xfId="22433"/>
    <cellStyle name="Input [yellow] 2 16 11 19 3" xfId="33601"/>
    <cellStyle name="Input [yellow] 2 16 11 19 4" xfId="44766"/>
    <cellStyle name="Input [yellow] 2 16 11 19 5" xfId="55959"/>
    <cellStyle name="Input [yellow] 2 16 11 2" xfId="1332"/>
    <cellStyle name="Input [yellow] 2 16 11 2 2" xfId="12529"/>
    <cellStyle name="Input [yellow] 2 16 11 2 3" xfId="23697"/>
    <cellStyle name="Input [yellow] 2 16 11 2 4" xfId="34862"/>
    <cellStyle name="Input [yellow] 2 16 11 2 5" xfId="46055"/>
    <cellStyle name="Input [yellow] 2 16 11 20" xfId="11883"/>
    <cellStyle name="Input [yellow] 2 16 11 21" xfId="23053"/>
    <cellStyle name="Input [yellow] 2 16 11 22" xfId="34220"/>
    <cellStyle name="Input [yellow] 2 16 11 23" xfId="45406"/>
    <cellStyle name="Input [yellow] 2 16 11 3" xfId="1950"/>
    <cellStyle name="Input [yellow] 2 16 11 3 2" xfId="13147"/>
    <cellStyle name="Input [yellow] 2 16 11 3 3" xfId="24315"/>
    <cellStyle name="Input [yellow] 2 16 11 3 4" xfId="35480"/>
    <cellStyle name="Input [yellow] 2 16 11 3 5" xfId="46673"/>
    <cellStyle name="Input [yellow] 2 16 11 4" xfId="2608"/>
    <cellStyle name="Input [yellow] 2 16 11 4 2" xfId="13805"/>
    <cellStyle name="Input [yellow] 2 16 11 4 3" xfId="24973"/>
    <cellStyle name="Input [yellow] 2 16 11 4 4" xfId="36138"/>
    <cellStyle name="Input [yellow] 2 16 11 4 5" xfId="47331"/>
    <cellStyle name="Input [yellow] 2 16 11 5" xfId="3033"/>
    <cellStyle name="Input [yellow] 2 16 11 5 2" xfId="14230"/>
    <cellStyle name="Input [yellow] 2 16 11 5 3" xfId="25398"/>
    <cellStyle name="Input [yellow] 2 16 11 5 4" xfId="36563"/>
    <cellStyle name="Input [yellow] 2 16 11 5 5" xfId="47756"/>
    <cellStyle name="Input [yellow] 2 16 11 6" xfId="3667"/>
    <cellStyle name="Input [yellow] 2 16 11 6 2" xfId="14864"/>
    <cellStyle name="Input [yellow] 2 16 11 6 3" xfId="26032"/>
    <cellStyle name="Input [yellow] 2 16 11 6 4" xfId="37197"/>
    <cellStyle name="Input [yellow] 2 16 11 6 5" xfId="48390"/>
    <cellStyle name="Input [yellow] 2 16 11 7" xfId="4301"/>
    <cellStyle name="Input [yellow] 2 16 11 7 2" xfId="15498"/>
    <cellStyle name="Input [yellow] 2 16 11 7 3" xfId="26666"/>
    <cellStyle name="Input [yellow] 2 16 11 7 4" xfId="37831"/>
    <cellStyle name="Input [yellow] 2 16 11 7 5" xfId="49024"/>
    <cellStyle name="Input [yellow] 2 16 11 8" xfId="4934"/>
    <cellStyle name="Input [yellow] 2 16 11 8 2" xfId="16131"/>
    <cellStyle name="Input [yellow] 2 16 11 8 3" xfId="27299"/>
    <cellStyle name="Input [yellow] 2 16 11 8 4" xfId="38464"/>
    <cellStyle name="Input [yellow] 2 16 11 8 5" xfId="49657"/>
    <cellStyle name="Input [yellow] 2 16 11 9" xfId="5565"/>
    <cellStyle name="Input [yellow] 2 16 11 9 2" xfId="16762"/>
    <cellStyle name="Input [yellow] 2 16 11 9 3" xfId="27930"/>
    <cellStyle name="Input [yellow] 2 16 11 9 4" xfId="39095"/>
    <cellStyle name="Input [yellow] 2 16 11 9 5" xfId="50288"/>
    <cellStyle name="Input [yellow] 2 16 12" xfId="766"/>
    <cellStyle name="Input [yellow] 2 16 12 2" xfId="11963"/>
    <cellStyle name="Input [yellow] 2 16 12 3" xfId="23131"/>
    <cellStyle name="Input [yellow] 2 16 12 4" xfId="34296"/>
    <cellStyle name="Input [yellow] 2 16 12 5" xfId="45489"/>
    <cellStyle name="Input [yellow] 2 16 13" xfId="1370"/>
    <cellStyle name="Input [yellow] 2 16 13 2" xfId="12567"/>
    <cellStyle name="Input [yellow] 2 16 13 3" xfId="23735"/>
    <cellStyle name="Input [yellow] 2 16 13 4" xfId="34900"/>
    <cellStyle name="Input [yellow] 2 16 13 5" xfId="46093"/>
    <cellStyle name="Input [yellow] 2 16 14" xfId="2043"/>
    <cellStyle name="Input [yellow] 2 16 14 2" xfId="13240"/>
    <cellStyle name="Input [yellow] 2 16 14 3" xfId="24408"/>
    <cellStyle name="Input [yellow] 2 16 14 4" xfId="35573"/>
    <cellStyle name="Input [yellow] 2 16 14 5" xfId="46766"/>
    <cellStyle name="Input [yellow] 2 16 15" xfId="2475"/>
    <cellStyle name="Input [yellow] 2 16 15 2" xfId="13672"/>
    <cellStyle name="Input [yellow] 2 16 15 3" xfId="24840"/>
    <cellStyle name="Input [yellow] 2 16 15 4" xfId="36005"/>
    <cellStyle name="Input [yellow] 2 16 15 5" xfId="47198"/>
    <cellStyle name="Input [yellow] 2 16 16" xfId="3101"/>
    <cellStyle name="Input [yellow] 2 16 16 2" xfId="14298"/>
    <cellStyle name="Input [yellow] 2 16 16 3" xfId="25466"/>
    <cellStyle name="Input [yellow] 2 16 16 4" xfId="36631"/>
    <cellStyle name="Input [yellow] 2 16 16 5" xfId="47824"/>
    <cellStyle name="Input [yellow] 2 16 17" xfId="3735"/>
    <cellStyle name="Input [yellow] 2 16 17 2" xfId="14932"/>
    <cellStyle name="Input [yellow] 2 16 17 3" xfId="26100"/>
    <cellStyle name="Input [yellow] 2 16 17 4" xfId="37265"/>
    <cellStyle name="Input [yellow] 2 16 17 5" xfId="48458"/>
    <cellStyle name="Input [yellow] 2 16 18" xfId="4368"/>
    <cellStyle name="Input [yellow] 2 16 18 2" xfId="15565"/>
    <cellStyle name="Input [yellow] 2 16 18 3" xfId="26733"/>
    <cellStyle name="Input [yellow] 2 16 18 4" xfId="37898"/>
    <cellStyle name="Input [yellow] 2 16 18 5" xfId="49091"/>
    <cellStyle name="Input [yellow] 2 16 19" xfId="4999"/>
    <cellStyle name="Input [yellow] 2 16 19 2" xfId="16196"/>
    <cellStyle name="Input [yellow] 2 16 19 3" xfId="27364"/>
    <cellStyle name="Input [yellow] 2 16 19 4" xfId="38529"/>
    <cellStyle name="Input [yellow] 2 16 19 5" xfId="49722"/>
    <cellStyle name="Input [yellow] 2 16 2" xfId="180"/>
    <cellStyle name="Input [yellow] 2 16 2 10" xfId="5634"/>
    <cellStyle name="Input [yellow] 2 16 2 10 2" xfId="16831"/>
    <cellStyle name="Input [yellow] 2 16 2 10 3" xfId="27999"/>
    <cellStyle name="Input [yellow] 2 16 2 10 4" xfId="39164"/>
    <cellStyle name="Input [yellow] 2 16 2 10 5" xfId="50357"/>
    <cellStyle name="Input [yellow] 2 16 2 11" xfId="5862"/>
    <cellStyle name="Input [yellow] 2 16 2 11 2" xfId="17059"/>
    <cellStyle name="Input [yellow] 2 16 2 11 3" xfId="28227"/>
    <cellStyle name="Input [yellow] 2 16 2 11 4" xfId="39392"/>
    <cellStyle name="Input [yellow] 2 16 2 11 5" xfId="50585"/>
    <cellStyle name="Input [yellow] 2 16 2 12" xfId="6749"/>
    <cellStyle name="Input [yellow] 2 16 2 12 2" xfId="17946"/>
    <cellStyle name="Input [yellow] 2 16 2 12 3" xfId="29114"/>
    <cellStyle name="Input [yellow] 2 16 2 12 4" xfId="40279"/>
    <cellStyle name="Input [yellow] 2 16 2 12 5" xfId="51472"/>
    <cellStyle name="Input [yellow] 2 16 2 13" xfId="7383"/>
    <cellStyle name="Input [yellow] 2 16 2 13 2" xfId="18580"/>
    <cellStyle name="Input [yellow] 2 16 2 13 3" xfId="29748"/>
    <cellStyle name="Input [yellow] 2 16 2 13 4" xfId="40913"/>
    <cellStyle name="Input [yellow] 2 16 2 13 5" xfId="52106"/>
    <cellStyle name="Input [yellow] 2 16 2 14" xfId="8017"/>
    <cellStyle name="Input [yellow] 2 16 2 14 2" xfId="19214"/>
    <cellStyle name="Input [yellow] 2 16 2 14 3" xfId="30382"/>
    <cellStyle name="Input [yellow] 2 16 2 14 4" xfId="41547"/>
    <cellStyle name="Input [yellow] 2 16 2 14 5" xfId="52740"/>
    <cellStyle name="Input [yellow] 2 16 2 15" xfId="8648"/>
    <cellStyle name="Input [yellow] 2 16 2 15 2" xfId="19845"/>
    <cellStyle name="Input [yellow] 2 16 2 15 3" xfId="31013"/>
    <cellStyle name="Input [yellow] 2 16 2 15 4" xfId="42178"/>
    <cellStyle name="Input [yellow] 2 16 2 15 5" xfId="53371"/>
    <cellStyle name="Input [yellow] 2 16 2 16" xfId="8782"/>
    <cellStyle name="Input [yellow] 2 16 2 16 2" xfId="19979"/>
    <cellStyle name="Input [yellow] 2 16 2 16 3" xfId="31147"/>
    <cellStyle name="Input [yellow] 2 16 2 16 4" xfId="42312"/>
    <cellStyle name="Input [yellow] 2 16 2 16 5" xfId="53505"/>
    <cellStyle name="Input [yellow] 2 16 2 17" xfId="9700"/>
    <cellStyle name="Input [yellow] 2 16 2 17 2" xfId="20897"/>
    <cellStyle name="Input [yellow] 2 16 2 17 3" xfId="32065"/>
    <cellStyle name="Input [yellow] 2 16 2 17 4" xfId="43230"/>
    <cellStyle name="Input [yellow] 2 16 2 17 5" xfId="54423"/>
    <cellStyle name="Input [yellow] 2 16 2 18" xfId="9820"/>
    <cellStyle name="Input [yellow] 2 16 2 18 2" xfId="21017"/>
    <cellStyle name="Input [yellow] 2 16 2 18 3" xfId="32185"/>
    <cellStyle name="Input [yellow] 2 16 2 18 4" xfId="43350"/>
    <cellStyle name="Input [yellow] 2 16 2 18 5" xfId="54543"/>
    <cellStyle name="Input [yellow] 2 16 2 19" xfId="10733"/>
    <cellStyle name="Input [yellow] 2 16 2 19 2" xfId="21930"/>
    <cellStyle name="Input [yellow] 2 16 2 19 3" xfId="33098"/>
    <cellStyle name="Input [yellow] 2 16 2 19 4" xfId="44263"/>
    <cellStyle name="Input [yellow] 2 16 2 19 5" xfId="55456"/>
    <cellStyle name="Input [yellow] 2 16 2 2" xfId="829"/>
    <cellStyle name="Input [yellow] 2 16 2 2 2" xfId="12026"/>
    <cellStyle name="Input [yellow] 2 16 2 2 3" xfId="23194"/>
    <cellStyle name="Input [yellow] 2 16 2 2 4" xfId="34359"/>
    <cellStyle name="Input [yellow] 2 16 2 2 5" xfId="45552"/>
    <cellStyle name="Input [yellow] 2 16 2 20" xfId="11380"/>
    <cellStyle name="Input [yellow] 2 16 2 21" xfId="22550"/>
    <cellStyle name="Input [yellow] 2 16 2 22" xfId="33717"/>
    <cellStyle name="Input [yellow] 2 16 2 23" xfId="44903"/>
    <cellStyle name="Input [yellow] 2 16 2 3" xfId="1963"/>
    <cellStyle name="Input [yellow] 2 16 2 3 2" xfId="13160"/>
    <cellStyle name="Input [yellow] 2 16 2 3 3" xfId="24328"/>
    <cellStyle name="Input [yellow] 2 16 2 3 4" xfId="35493"/>
    <cellStyle name="Input [yellow] 2 16 2 3 5" xfId="46686"/>
    <cellStyle name="Input [yellow] 2 16 2 4" xfId="2106"/>
    <cellStyle name="Input [yellow] 2 16 2 4 2" xfId="13303"/>
    <cellStyle name="Input [yellow] 2 16 2 4 3" xfId="24471"/>
    <cellStyle name="Input [yellow] 2 16 2 4 4" xfId="35636"/>
    <cellStyle name="Input [yellow] 2 16 2 4 5" xfId="46829"/>
    <cellStyle name="Input [yellow] 2 16 2 5" xfId="2115"/>
    <cellStyle name="Input [yellow] 2 16 2 5 2" xfId="13312"/>
    <cellStyle name="Input [yellow] 2 16 2 5 3" xfId="24480"/>
    <cellStyle name="Input [yellow] 2 16 2 5 4" xfId="35645"/>
    <cellStyle name="Input [yellow] 2 16 2 5 5" xfId="46838"/>
    <cellStyle name="Input [yellow] 2 16 2 6" xfId="3164"/>
    <cellStyle name="Input [yellow] 2 16 2 6 2" xfId="14361"/>
    <cellStyle name="Input [yellow] 2 16 2 6 3" xfId="25529"/>
    <cellStyle name="Input [yellow] 2 16 2 6 4" xfId="36694"/>
    <cellStyle name="Input [yellow] 2 16 2 6 5" xfId="47887"/>
    <cellStyle name="Input [yellow] 2 16 2 7" xfId="3798"/>
    <cellStyle name="Input [yellow] 2 16 2 7 2" xfId="14995"/>
    <cellStyle name="Input [yellow] 2 16 2 7 3" xfId="26163"/>
    <cellStyle name="Input [yellow] 2 16 2 7 4" xfId="37328"/>
    <cellStyle name="Input [yellow] 2 16 2 7 5" xfId="48521"/>
    <cellStyle name="Input [yellow] 2 16 2 8" xfId="4431"/>
    <cellStyle name="Input [yellow] 2 16 2 8 2" xfId="15628"/>
    <cellStyle name="Input [yellow] 2 16 2 8 3" xfId="26796"/>
    <cellStyle name="Input [yellow] 2 16 2 8 4" xfId="37961"/>
    <cellStyle name="Input [yellow] 2 16 2 8 5" xfId="49154"/>
    <cellStyle name="Input [yellow] 2 16 2 9" xfId="5062"/>
    <cellStyle name="Input [yellow] 2 16 2 9 2" xfId="16259"/>
    <cellStyle name="Input [yellow] 2 16 2 9 3" xfId="27427"/>
    <cellStyle name="Input [yellow] 2 16 2 9 4" xfId="38592"/>
    <cellStyle name="Input [yellow] 2 16 2 9 5" xfId="49785"/>
    <cellStyle name="Input [yellow] 2 16 20" xfId="6056"/>
    <cellStyle name="Input [yellow] 2 16 20 2" xfId="17253"/>
    <cellStyle name="Input [yellow] 2 16 20 3" xfId="28421"/>
    <cellStyle name="Input [yellow] 2 16 20 4" xfId="39586"/>
    <cellStyle name="Input [yellow] 2 16 20 5" xfId="50779"/>
    <cellStyle name="Input [yellow] 2 16 21" xfId="5610"/>
    <cellStyle name="Input [yellow] 2 16 21 2" xfId="16807"/>
    <cellStyle name="Input [yellow] 2 16 21 3" xfId="27975"/>
    <cellStyle name="Input [yellow] 2 16 21 4" xfId="39140"/>
    <cellStyle name="Input [yellow] 2 16 21 5" xfId="50333"/>
    <cellStyle name="Input [yellow] 2 16 22" xfId="6686"/>
    <cellStyle name="Input [yellow] 2 16 22 2" xfId="17883"/>
    <cellStyle name="Input [yellow] 2 16 22 3" xfId="29051"/>
    <cellStyle name="Input [yellow] 2 16 22 4" xfId="40216"/>
    <cellStyle name="Input [yellow] 2 16 22 5" xfId="51409"/>
    <cellStyle name="Input [yellow] 2 16 23" xfId="7320"/>
    <cellStyle name="Input [yellow] 2 16 23 2" xfId="18517"/>
    <cellStyle name="Input [yellow] 2 16 23 3" xfId="29685"/>
    <cellStyle name="Input [yellow] 2 16 23 4" xfId="40850"/>
    <cellStyle name="Input [yellow] 2 16 23 5" xfId="52043"/>
    <cellStyle name="Input [yellow] 2 16 24" xfId="7954"/>
    <cellStyle name="Input [yellow] 2 16 24 2" xfId="19151"/>
    <cellStyle name="Input [yellow] 2 16 24 3" xfId="30319"/>
    <cellStyle name="Input [yellow] 2 16 24 4" xfId="41484"/>
    <cellStyle name="Input [yellow] 2 16 24 5" xfId="52677"/>
    <cellStyle name="Input [yellow] 2 16 25" xfId="8585"/>
    <cellStyle name="Input [yellow] 2 16 25 2" xfId="19782"/>
    <cellStyle name="Input [yellow] 2 16 25 3" xfId="30950"/>
    <cellStyle name="Input [yellow] 2 16 25 4" xfId="42115"/>
    <cellStyle name="Input [yellow] 2 16 25 5" xfId="53308"/>
    <cellStyle name="Input [yellow] 2 16 26" xfId="9120"/>
    <cellStyle name="Input [yellow] 2 16 26 2" xfId="20317"/>
    <cellStyle name="Input [yellow] 2 16 26 3" xfId="31485"/>
    <cellStyle name="Input [yellow] 2 16 26 4" xfId="42650"/>
    <cellStyle name="Input [yellow] 2 16 26 5" xfId="53843"/>
    <cellStyle name="Input [yellow] 2 16 27" xfId="9638"/>
    <cellStyle name="Input [yellow] 2 16 27 2" xfId="20835"/>
    <cellStyle name="Input [yellow] 2 16 27 3" xfId="32003"/>
    <cellStyle name="Input [yellow] 2 16 27 4" xfId="43168"/>
    <cellStyle name="Input [yellow] 2 16 27 5" xfId="54361"/>
    <cellStyle name="Input [yellow] 2 16 28" xfId="10568"/>
    <cellStyle name="Input [yellow] 2 16 28 2" xfId="21765"/>
    <cellStyle name="Input [yellow] 2 16 28 3" xfId="32933"/>
    <cellStyle name="Input [yellow] 2 16 28 4" xfId="44098"/>
    <cellStyle name="Input [yellow] 2 16 28 5" xfId="55291"/>
    <cellStyle name="Input [yellow] 2 16 29" xfId="10670"/>
    <cellStyle name="Input [yellow] 2 16 29 2" xfId="21867"/>
    <cellStyle name="Input [yellow] 2 16 29 3" xfId="33035"/>
    <cellStyle name="Input [yellow] 2 16 29 4" xfId="44200"/>
    <cellStyle name="Input [yellow] 2 16 29 5" xfId="55393"/>
    <cellStyle name="Input [yellow] 2 16 3" xfId="236"/>
    <cellStyle name="Input [yellow] 2 16 3 10" xfId="6104"/>
    <cellStyle name="Input [yellow] 2 16 3 10 2" xfId="17301"/>
    <cellStyle name="Input [yellow] 2 16 3 10 3" xfId="28469"/>
    <cellStyle name="Input [yellow] 2 16 3 10 4" xfId="39634"/>
    <cellStyle name="Input [yellow] 2 16 3 10 5" xfId="50827"/>
    <cellStyle name="Input [yellow] 2 16 3 11" xfId="5910"/>
    <cellStyle name="Input [yellow] 2 16 3 11 2" xfId="17107"/>
    <cellStyle name="Input [yellow] 2 16 3 11 3" xfId="28275"/>
    <cellStyle name="Input [yellow] 2 16 3 11 4" xfId="39440"/>
    <cellStyle name="Input [yellow] 2 16 3 11 5" xfId="50633"/>
    <cellStyle name="Input [yellow] 2 16 3 12" xfId="6805"/>
    <cellStyle name="Input [yellow] 2 16 3 12 2" xfId="18002"/>
    <cellStyle name="Input [yellow] 2 16 3 12 3" xfId="29170"/>
    <cellStyle name="Input [yellow] 2 16 3 12 4" xfId="40335"/>
    <cellStyle name="Input [yellow] 2 16 3 12 5" xfId="51528"/>
    <cellStyle name="Input [yellow] 2 16 3 13" xfId="7439"/>
    <cellStyle name="Input [yellow] 2 16 3 13 2" xfId="18636"/>
    <cellStyle name="Input [yellow] 2 16 3 13 3" xfId="29804"/>
    <cellStyle name="Input [yellow] 2 16 3 13 4" xfId="40969"/>
    <cellStyle name="Input [yellow] 2 16 3 13 5" xfId="52162"/>
    <cellStyle name="Input [yellow] 2 16 3 14" xfId="8073"/>
    <cellStyle name="Input [yellow] 2 16 3 14 2" xfId="19270"/>
    <cellStyle name="Input [yellow] 2 16 3 14 3" xfId="30438"/>
    <cellStyle name="Input [yellow] 2 16 3 14 4" xfId="41603"/>
    <cellStyle name="Input [yellow] 2 16 3 14 5" xfId="52796"/>
    <cellStyle name="Input [yellow] 2 16 3 15" xfId="8704"/>
    <cellStyle name="Input [yellow] 2 16 3 15 2" xfId="19901"/>
    <cellStyle name="Input [yellow] 2 16 3 15 3" xfId="31069"/>
    <cellStyle name="Input [yellow] 2 16 3 15 4" xfId="42234"/>
    <cellStyle name="Input [yellow] 2 16 3 15 5" xfId="53427"/>
    <cellStyle name="Input [yellow] 2 16 3 16" xfId="8767"/>
    <cellStyle name="Input [yellow] 2 16 3 16 2" xfId="19964"/>
    <cellStyle name="Input [yellow] 2 16 3 16 3" xfId="31132"/>
    <cellStyle name="Input [yellow] 2 16 3 16 4" xfId="42297"/>
    <cellStyle name="Input [yellow] 2 16 3 16 5" xfId="53490"/>
    <cellStyle name="Input [yellow] 2 16 3 17" xfId="9755"/>
    <cellStyle name="Input [yellow] 2 16 3 17 2" xfId="20952"/>
    <cellStyle name="Input [yellow] 2 16 3 17 3" xfId="32120"/>
    <cellStyle name="Input [yellow] 2 16 3 17 4" xfId="43285"/>
    <cellStyle name="Input [yellow] 2 16 3 17 5" xfId="54478"/>
    <cellStyle name="Input [yellow] 2 16 3 18" xfId="10537"/>
    <cellStyle name="Input [yellow] 2 16 3 18 2" xfId="21734"/>
    <cellStyle name="Input [yellow] 2 16 3 18 3" xfId="32902"/>
    <cellStyle name="Input [yellow] 2 16 3 18 4" xfId="44067"/>
    <cellStyle name="Input [yellow] 2 16 3 18 5" xfId="55260"/>
    <cellStyle name="Input [yellow] 2 16 3 19" xfId="10789"/>
    <cellStyle name="Input [yellow] 2 16 3 19 2" xfId="21986"/>
    <cellStyle name="Input [yellow] 2 16 3 19 3" xfId="33154"/>
    <cellStyle name="Input [yellow] 2 16 3 19 4" xfId="44319"/>
    <cellStyle name="Input [yellow] 2 16 3 19 5" xfId="55512"/>
    <cellStyle name="Input [yellow] 2 16 3 2" xfId="885"/>
    <cellStyle name="Input [yellow] 2 16 3 2 2" xfId="12082"/>
    <cellStyle name="Input [yellow] 2 16 3 2 3" xfId="23250"/>
    <cellStyle name="Input [yellow] 2 16 3 2 4" xfId="34415"/>
    <cellStyle name="Input [yellow] 2 16 3 2 5" xfId="45608"/>
    <cellStyle name="Input [yellow] 2 16 3 20" xfId="11436"/>
    <cellStyle name="Input [yellow] 2 16 3 21" xfId="22606"/>
    <cellStyle name="Input [yellow] 2 16 3 22" xfId="33773"/>
    <cellStyle name="Input [yellow] 2 16 3 23" xfId="44959"/>
    <cellStyle name="Input [yellow] 2 16 3 3" xfId="1785"/>
    <cellStyle name="Input [yellow] 2 16 3 3 2" xfId="12982"/>
    <cellStyle name="Input [yellow] 2 16 3 3 3" xfId="24150"/>
    <cellStyle name="Input [yellow] 2 16 3 3 4" xfId="35315"/>
    <cellStyle name="Input [yellow] 2 16 3 3 5" xfId="46508"/>
    <cellStyle name="Input [yellow] 2 16 3 4" xfId="2162"/>
    <cellStyle name="Input [yellow] 2 16 3 4 2" xfId="13359"/>
    <cellStyle name="Input [yellow] 2 16 3 4 3" xfId="24527"/>
    <cellStyle name="Input [yellow] 2 16 3 4 4" xfId="35692"/>
    <cellStyle name="Input [yellow] 2 16 3 4 5" xfId="46885"/>
    <cellStyle name="Input [yellow] 2 16 3 5" xfId="2589"/>
    <cellStyle name="Input [yellow] 2 16 3 5 2" xfId="13786"/>
    <cellStyle name="Input [yellow] 2 16 3 5 3" xfId="24954"/>
    <cellStyle name="Input [yellow] 2 16 3 5 4" xfId="36119"/>
    <cellStyle name="Input [yellow] 2 16 3 5 5" xfId="47312"/>
    <cellStyle name="Input [yellow] 2 16 3 6" xfId="3220"/>
    <cellStyle name="Input [yellow] 2 16 3 6 2" xfId="14417"/>
    <cellStyle name="Input [yellow] 2 16 3 6 3" xfId="25585"/>
    <cellStyle name="Input [yellow] 2 16 3 6 4" xfId="36750"/>
    <cellStyle name="Input [yellow] 2 16 3 6 5" xfId="47943"/>
    <cellStyle name="Input [yellow] 2 16 3 7" xfId="3854"/>
    <cellStyle name="Input [yellow] 2 16 3 7 2" xfId="15051"/>
    <cellStyle name="Input [yellow] 2 16 3 7 3" xfId="26219"/>
    <cellStyle name="Input [yellow] 2 16 3 7 4" xfId="37384"/>
    <cellStyle name="Input [yellow] 2 16 3 7 5" xfId="48577"/>
    <cellStyle name="Input [yellow] 2 16 3 8" xfId="4487"/>
    <cellStyle name="Input [yellow] 2 16 3 8 2" xfId="15684"/>
    <cellStyle name="Input [yellow] 2 16 3 8 3" xfId="26852"/>
    <cellStyle name="Input [yellow] 2 16 3 8 4" xfId="38017"/>
    <cellStyle name="Input [yellow] 2 16 3 8 5" xfId="49210"/>
    <cellStyle name="Input [yellow] 2 16 3 9" xfId="5118"/>
    <cellStyle name="Input [yellow] 2 16 3 9 2" xfId="16315"/>
    <cellStyle name="Input [yellow] 2 16 3 9 3" xfId="27483"/>
    <cellStyle name="Input [yellow] 2 16 3 9 4" xfId="38648"/>
    <cellStyle name="Input [yellow] 2 16 3 9 5" xfId="49841"/>
    <cellStyle name="Input [yellow] 2 16 30" xfId="11317"/>
    <cellStyle name="Input [yellow] 2 16 31" xfId="22487"/>
    <cellStyle name="Input [yellow] 2 16 32" xfId="33654"/>
    <cellStyle name="Input [yellow] 2 16 33" xfId="44840"/>
    <cellStyle name="Input [yellow] 2 16 4" xfId="262"/>
    <cellStyle name="Input [yellow] 2 16 4 10" xfId="5798"/>
    <cellStyle name="Input [yellow] 2 16 4 10 2" xfId="16995"/>
    <cellStyle name="Input [yellow] 2 16 4 10 3" xfId="28163"/>
    <cellStyle name="Input [yellow] 2 16 4 10 4" xfId="39328"/>
    <cellStyle name="Input [yellow] 2 16 4 10 5" xfId="50521"/>
    <cellStyle name="Input [yellow] 2 16 4 11" xfId="5839"/>
    <cellStyle name="Input [yellow] 2 16 4 11 2" xfId="17036"/>
    <cellStyle name="Input [yellow] 2 16 4 11 3" xfId="28204"/>
    <cellStyle name="Input [yellow] 2 16 4 11 4" xfId="39369"/>
    <cellStyle name="Input [yellow] 2 16 4 11 5" xfId="50562"/>
    <cellStyle name="Input [yellow] 2 16 4 12" xfId="6831"/>
    <cellStyle name="Input [yellow] 2 16 4 12 2" xfId="18028"/>
    <cellStyle name="Input [yellow] 2 16 4 12 3" xfId="29196"/>
    <cellStyle name="Input [yellow] 2 16 4 12 4" xfId="40361"/>
    <cellStyle name="Input [yellow] 2 16 4 12 5" xfId="51554"/>
    <cellStyle name="Input [yellow] 2 16 4 13" xfId="7465"/>
    <cellStyle name="Input [yellow] 2 16 4 13 2" xfId="18662"/>
    <cellStyle name="Input [yellow] 2 16 4 13 3" xfId="29830"/>
    <cellStyle name="Input [yellow] 2 16 4 13 4" xfId="40995"/>
    <cellStyle name="Input [yellow] 2 16 4 13 5" xfId="52188"/>
    <cellStyle name="Input [yellow] 2 16 4 14" xfId="8099"/>
    <cellStyle name="Input [yellow] 2 16 4 14 2" xfId="19296"/>
    <cellStyle name="Input [yellow] 2 16 4 14 3" xfId="30464"/>
    <cellStyle name="Input [yellow] 2 16 4 14 4" xfId="41629"/>
    <cellStyle name="Input [yellow] 2 16 4 14 5" xfId="52822"/>
    <cellStyle name="Input [yellow] 2 16 4 15" xfId="8729"/>
    <cellStyle name="Input [yellow] 2 16 4 15 2" xfId="19926"/>
    <cellStyle name="Input [yellow] 2 16 4 15 3" xfId="31094"/>
    <cellStyle name="Input [yellow] 2 16 4 15 4" xfId="42259"/>
    <cellStyle name="Input [yellow] 2 16 4 15 5" xfId="53452"/>
    <cellStyle name="Input [yellow] 2 16 4 16" xfId="9066"/>
    <cellStyle name="Input [yellow] 2 16 4 16 2" xfId="20263"/>
    <cellStyle name="Input [yellow] 2 16 4 16 3" xfId="31431"/>
    <cellStyle name="Input [yellow] 2 16 4 16 4" xfId="42596"/>
    <cellStyle name="Input [yellow] 2 16 4 16 5" xfId="53789"/>
    <cellStyle name="Input [yellow] 2 16 4 17" xfId="9779"/>
    <cellStyle name="Input [yellow] 2 16 4 17 2" xfId="20976"/>
    <cellStyle name="Input [yellow] 2 16 4 17 3" xfId="32144"/>
    <cellStyle name="Input [yellow] 2 16 4 17 4" xfId="43309"/>
    <cellStyle name="Input [yellow] 2 16 4 17 5" xfId="54502"/>
    <cellStyle name="Input [yellow] 2 16 4 18" xfId="10487"/>
    <cellStyle name="Input [yellow] 2 16 4 18 2" xfId="21684"/>
    <cellStyle name="Input [yellow] 2 16 4 18 3" xfId="32852"/>
    <cellStyle name="Input [yellow] 2 16 4 18 4" xfId="44017"/>
    <cellStyle name="Input [yellow] 2 16 4 18 5" xfId="55210"/>
    <cellStyle name="Input [yellow] 2 16 4 19" xfId="10815"/>
    <cellStyle name="Input [yellow] 2 16 4 19 2" xfId="22012"/>
    <cellStyle name="Input [yellow] 2 16 4 19 3" xfId="33180"/>
    <cellStyle name="Input [yellow] 2 16 4 19 4" xfId="44345"/>
    <cellStyle name="Input [yellow] 2 16 4 19 5" xfId="55538"/>
    <cellStyle name="Input [yellow] 2 16 4 2" xfId="911"/>
    <cellStyle name="Input [yellow] 2 16 4 2 2" xfId="12108"/>
    <cellStyle name="Input [yellow] 2 16 4 2 3" xfId="23276"/>
    <cellStyle name="Input [yellow] 2 16 4 2 4" xfId="34441"/>
    <cellStyle name="Input [yellow] 2 16 4 2 5" xfId="45634"/>
    <cellStyle name="Input [yellow] 2 16 4 20" xfId="11462"/>
    <cellStyle name="Input [yellow] 2 16 4 21" xfId="22632"/>
    <cellStyle name="Input [yellow] 2 16 4 22" xfId="33799"/>
    <cellStyle name="Input [yellow] 2 16 4 23" xfId="44985"/>
    <cellStyle name="Input [yellow] 2 16 4 3" xfId="1783"/>
    <cellStyle name="Input [yellow] 2 16 4 3 2" xfId="12980"/>
    <cellStyle name="Input [yellow] 2 16 4 3 3" xfId="24148"/>
    <cellStyle name="Input [yellow] 2 16 4 3 4" xfId="35313"/>
    <cellStyle name="Input [yellow] 2 16 4 3 5" xfId="46506"/>
    <cellStyle name="Input [yellow] 2 16 4 4" xfId="2188"/>
    <cellStyle name="Input [yellow] 2 16 4 4 2" xfId="13385"/>
    <cellStyle name="Input [yellow] 2 16 4 4 3" xfId="24553"/>
    <cellStyle name="Input [yellow] 2 16 4 4 4" xfId="35718"/>
    <cellStyle name="Input [yellow] 2 16 4 4 5" xfId="46911"/>
    <cellStyle name="Input [yellow] 2 16 4 5" xfId="1345"/>
    <cellStyle name="Input [yellow] 2 16 4 5 2" xfId="12542"/>
    <cellStyle name="Input [yellow] 2 16 4 5 3" xfId="23710"/>
    <cellStyle name="Input [yellow] 2 16 4 5 4" xfId="34875"/>
    <cellStyle name="Input [yellow] 2 16 4 5 5" xfId="46068"/>
    <cellStyle name="Input [yellow] 2 16 4 6" xfId="3246"/>
    <cellStyle name="Input [yellow] 2 16 4 6 2" xfId="14443"/>
    <cellStyle name="Input [yellow] 2 16 4 6 3" xfId="25611"/>
    <cellStyle name="Input [yellow] 2 16 4 6 4" xfId="36776"/>
    <cellStyle name="Input [yellow] 2 16 4 6 5" xfId="47969"/>
    <cellStyle name="Input [yellow] 2 16 4 7" xfId="3880"/>
    <cellStyle name="Input [yellow] 2 16 4 7 2" xfId="15077"/>
    <cellStyle name="Input [yellow] 2 16 4 7 3" xfId="26245"/>
    <cellStyle name="Input [yellow] 2 16 4 7 4" xfId="37410"/>
    <cellStyle name="Input [yellow] 2 16 4 7 5" xfId="48603"/>
    <cellStyle name="Input [yellow] 2 16 4 8" xfId="4513"/>
    <cellStyle name="Input [yellow] 2 16 4 8 2" xfId="15710"/>
    <cellStyle name="Input [yellow] 2 16 4 8 3" xfId="26878"/>
    <cellStyle name="Input [yellow] 2 16 4 8 4" xfId="38043"/>
    <cellStyle name="Input [yellow] 2 16 4 8 5" xfId="49236"/>
    <cellStyle name="Input [yellow] 2 16 4 9" xfId="5144"/>
    <cellStyle name="Input [yellow] 2 16 4 9 2" xfId="16341"/>
    <cellStyle name="Input [yellow] 2 16 4 9 3" xfId="27509"/>
    <cellStyle name="Input [yellow] 2 16 4 9 4" xfId="38674"/>
    <cellStyle name="Input [yellow] 2 16 4 9 5" xfId="49867"/>
    <cellStyle name="Input [yellow] 2 16 5" xfId="344"/>
    <cellStyle name="Input [yellow] 2 16 5 10" xfId="6020"/>
    <cellStyle name="Input [yellow] 2 16 5 10 2" xfId="17217"/>
    <cellStyle name="Input [yellow] 2 16 5 10 3" xfId="28385"/>
    <cellStyle name="Input [yellow] 2 16 5 10 4" xfId="39550"/>
    <cellStyle name="Input [yellow] 2 16 5 10 5" xfId="50743"/>
    <cellStyle name="Input [yellow] 2 16 5 11" xfId="6280"/>
    <cellStyle name="Input [yellow] 2 16 5 11 2" xfId="17477"/>
    <cellStyle name="Input [yellow] 2 16 5 11 3" xfId="28645"/>
    <cellStyle name="Input [yellow] 2 16 5 11 4" xfId="39810"/>
    <cellStyle name="Input [yellow] 2 16 5 11 5" xfId="51003"/>
    <cellStyle name="Input [yellow] 2 16 5 12" xfId="6913"/>
    <cellStyle name="Input [yellow] 2 16 5 12 2" xfId="18110"/>
    <cellStyle name="Input [yellow] 2 16 5 12 3" xfId="29278"/>
    <cellStyle name="Input [yellow] 2 16 5 12 4" xfId="40443"/>
    <cellStyle name="Input [yellow] 2 16 5 12 5" xfId="51636"/>
    <cellStyle name="Input [yellow] 2 16 5 13" xfId="7547"/>
    <cellStyle name="Input [yellow] 2 16 5 13 2" xfId="18744"/>
    <cellStyle name="Input [yellow] 2 16 5 13 3" xfId="29912"/>
    <cellStyle name="Input [yellow] 2 16 5 13 4" xfId="41077"/>
    <cellStyle name="Input [yellow] 2 16 5 13 5" xfId="52270"/>
    <cellStyle name="Input [yellow] 2 16 5 14" xfId="8181"/>
    <cellStyle name="Input [yellow] 2 16 5 14 2" xfId="19378"/>
    <cellStyle name="Input [yellow] 2 16 5 14 3" xfId="30546"/>
    <cellStyle name="Input [yellow] 2 16 5 14 4" xfId="41711"/>
    <cellStyle name="Input [yellow] 2 16 5 14 5" xfId="52904"/>
    <cellStyle name="Input [yellow] 2 16 5 15" xfId="8810"/>
    <cellStyle name="Input [yellow] 2 16 5 15 2" xfId="20007"/>
    <cellStyle name="Input [yellow] 2 16 5 15 3" xfId="31175"/>
    <cellStyle name="Input [yellow] 2 16 5 15 4" xfId="42340"/>
    <cellStyle name="Input [yellow] 2 16 5 15 5" xfId="53533"/>
    <cellStyle name="Input [yellow] 2 16 5 16" xfId="9232"/>
    <cellStyle name="Input [yellow] 2 16 5 16 2" xfId="20429"/>
    <cellStyle name="Input [yellow] 2 16 5 16 3" xfId="31597"/>
    <cellStyle name="Input [yellow] 2 16 5 16 4" xfId="42762"/>
    <cellStyle name="Input [yellow] 2 16 5 16 5" xfId="53955"/>
    <cellStyle name="Input [yellow] 2 16 5 17" xfId="9859"/>
    <cellStyle name="Input [yellow] 2 16 5 17 2" xfId="21056"/>
    <cellStyle name="Input [yellow] 2 16 5 17 3" xfId="32224"/>
    <cellStyle name="Input [yellow] 2 16 5 17 4" xfId="43389"/>
    <cellStyle name="Input [yellow] 2 16 5 17 5" xfId="54582"/>
    <cellStyle name="Input [yellow] 2 16 5 18" xfId="9993"/>
    <cellStyle name="Input [yellow] 2 16 5 18 2" xfId="21190"/>
    <cellStyle name="Input [yellow] 2 16 5 18 3" xfId="32358"/>
    <cellStyle name="Input [yellow] 2 16 5 18 4" xfId="43523"/>
    <cellStyle name="Input [yellow] 2 16 5 18 5" xfId="54716"/>
    <cellStyle name="Input [yellow] 2 16 5 19" xfId="10897"/>
    <cellStyle name="Input [yellow] 2 16 5 19 2" xfId="22094"/>
    <cellStyle name="Input [yellow] 2 16 5 19 3" xfId="33262"/>
    <cellStyle name="Input [yellow] 2 16 5 19 4" xfId="44427"/>
    <cellStyle name="Input [yellow] 2 16 5 19 5" xfId="55620"/>
    <cellStyle name="Input [yellow] 2 16 5 2" xfId="993"/>
    <cellStyle name="Input [yellow] 2 16 5 2 2" xfId="12190"/>
    <cellStyle name="Input [yellow] 2 16 5 2 3" xfId="23358"/>
    <cellStyle name="Input [yellow] 2 16 5 2 4" xfId="34523"/>
    <cellStyle name="Input [yellow] 2 16 5 2 5" xfId="45716"/>
    <cellStyle name="Input [yellow] 2 16 5 20" xfId="11544"/>
    <cellStyle name="Input [yellow] 2 16 5 21" xfId="22714"/>
    <cellStyle name="Input [yellow] 2 16 5 22" xfId="33881"/>
    <cellStyle name="Input [yellow] 2 16 5 23" xfId="45067"/>
    <cellStyle name="Input [yellow] 2 16 5 3" xfId="1592"/>
    <cellStyle name="Input [yellow] 2 16 5 3 2" xfId="12789"/>
    <cellStyle name="Input [yellow] 2 16 5 3 3" xfId="23957"/>
    <cellStyle name="Input [yellow] 2 16 5 3 4" xfId="35122"/>
    <cellStyle name="Input [yellow] 2 16 5 3 5" xfId="46315"/>
    <cellStyle name="Input [yellow] 2 16 5 4" xfId="2269"/>
    <cellStyle name="Input [yellow] 2 16 5 4 2" xfId="13466"/>
    <cellStyle name="Input [yellow] 2 16 5 4 3" xfId="24634"/>
    <cellStyle name="Input [yellow] 2 16 5 4 4" xfId="35799"/>
    <cellStyle name="Input [yellow] 2 16 5 4 5" xfId="46992"/>
    <cellStyle name="Input [yellow] 2 16 5 5" xfId="2694"/>
    <cellStyle name="Input [yellow] 2 16 5 5 2" xfId="13891"/>
    <cellStyle name="Input [yellow] 2 16 5 5 3" xfId="25059"/>
    <cellStyle name="Input [yellow] 2 16 5 5 4" xfId="36224"/>
    <cellStyle name="Input [yellow] 2 16 5 5 5" xfId="47417"/>
    <cellStyle name="Input [yellow] 2 16 5 6" xfId="3328"/>
    <cellStyle name="Input [yellow] 2 16 5 6 2" xfId="14525"/>
    <cellStyle name="Input [yellow] 2 16 5 6 3" xfId="25693"/>
    <cellStyle name="Input [yellow] 2 16 5 6 4" xfId="36858"/>
    <cellStyle name="Input [yellow] 2 16 5 6 5" xfId="48051"/>
    <cellStyle name="Input [yellow] 2 16 5 7" xfId="3962"/>
    <cellStyle name="Input [yellow] 2 16 5 7 2" xfId="15159"/>
    <cellStyle name="Input [yellow] 2 16 5 7 3" xfId="26327"/>
    <cellStyle name="Input [yellow] 2 16 5 7 4" xfId="37492"/>
    <cellStyle name="Input [yellow] 2 16 5 7 5" xfId="48685"/>
    <cellStyle name="Input [yellow] 2 16 5 8" xfId="4595"/>
    <cellStyle name="Input [yellow] 2 16 5 8 2" xfId="15792"/>
    <cellStyle name="Input [yellow] 2 16 5 8 3" xfId="26960"/>
    <cellStyle name="Input [yellow] 2 16 5 8 4" xfId="38125"/>
    <cellStyle name="Input [yellow] 2 16 5 8 5" xfId="49318"/>
    <cellStyle name="Input [yellow] 2 16 5 9" xfId="5226"/>
    <cellStyle name="Input [yellow] 2 16 5 9 2" xfId="16423"/>
    <cellStyle name="Input [yellow] 2 16 5 9 3" xfId="27591"/>
    <cellStyle name="Input [yellow] 2 16 5 9 4" xfId="38756"/>
    <cellStyle name="Input [yellow] 2 16 5 9 5" xfId="49949"/>
    <cellStyle name="Input [yellow] 2 16 6" xfId="382"/>
    <cellStyle name="Input [yellow] 2 16 6 10" xfId="5868"/>
    <cellStyle name="Input [yellow] 2 16 6 10 2" xfId="17065"/>
    <cellStyle name="Input [yellow] 2 16 6 10 3" xfId="28233"/>
    <cellStyle name="Input [yellow] 2 16 6 10 4" xfId="39398"/>
    <cellStyle name="Input [yellow] 2 16 6 10 5" xfId="50591"/>
    <cellStyle name="Input [yellow] 2 16 6 11" xfId="6318"/>
    <cellStyle name="Input [yellow] 2 16 6 11 2" xfId="17515"/>
    <cellStyle name="Input [yellow] 2 16 6 11 3" xfId="28683"/>
    <cellStyle name="Input [yellow] 2 16 6 11 4" xfId="39848"/>
    <cellStyle name="Input [yellow] 2 16 6 11 5" xfId="51041"/>
    <cellStyle name="Input [yellow] 2 16 6 12" xfId="6951"/>
    <cellStyle name="Input [yellow] 2 16 6 12 2" xfId="18148"/>
    <cellStyle name="Input [yellow] 2 16 6 12 3" xfId="29316"/>
    <cellStyle name="Input [yellow] 2 16 6 12 4" xfId="40481"/>
    <cellStyle name="Input [yellow] 2 16 6 12 5" xfId="51674"/>
    <cellStyle name="Input [yellow] 2 16 6 13" xfId="7585"/>
    <cellStyle name="Input [yellow] 2 16 6 13 2" xfId="18782"/>
    <cellStyle name="Input [yellow] 2 16 6 13 3" xfId="29950"/>
    <cellStyle name="Input [yellow] 2 16 6 13 4" xfId="41115"/>
    <cellStyle name="Input [yellow] 2 16 6 13 5" xfId="52308"/>
    <cellStyle name="Input [yellow] 2 16 6 14" xfId="8219"/>
    <cellStyle name="Input [yellow] 2 16 6 14 2" xfId="19416"/>
    <cellStyle name="Input [yellow] 2 16 6 14 3" xfId="30584"/>
    <cellStyle name="Input [yellow] 2 16 6 14 4" xfId="41749"/>
    <cellStyle name="Input [yellow] 2 16 6 14 5" xfId="52942"/>
    <cellStyle name="Input [yellow] 2 16 6 15" xfId="8848"/>
    <cellStyle name="Input [yellow] 2 16 6 15 2" xfId="20045"/>
    <cellStyle name="Input [yellow] 2 16 6 15 3" xfId="31213"/>
    <cellStyle name="Input [yellow] 2 16 6 15 4" xfId="42378"/>
    <cellStyle name="Input [yellow] 2 16 6 15 5" xfId="53571"/>
    <cellStyle name="Input [yellow] 2 16 6 16" xfId="9270"/>
    <cellStyle name="Input [yellow] 2 16 6 16 2" xfId="20467"/>
    <cellStyle name="Input [yellow] 2 16 6 16 3" xfId="31635"/>
    <cellStyle name="Input [yellow] 2 16 6 16 4" xfId="42800"/>
    <cellStyle name="Input [yellow] 2 16 6 16 5" xfId="53993"/>
    <cellStyle name="Input [yellow] 2 16 6 17" xfId="9897"/>
    <cellStyle name="Input [yellow] 2 16 6 17 2" xfId="21094"/>
    <cellStyle name="Input [yellow] 2 16 6 17 3" xfId="32262"/>
    <cellStyle name="Input [yellow] 2 16 6 17 4" xfId="43427"/>
    <cellStyle name="Input [yellow] 2 16 6 17 5" xfId="54620"/>
    <cellStyle name="Input [yellow] 2 16 6 18" xfId="10574"/>
    <cellStyle name="Input [yellow] 2 16 6 18 2" xfId="21771"/>
    <cellStyle name="Input [yellow] 2 16 6 18 3" xfId="32939"/>
    <cellStyle name="Input [yellow] 2 16 6 18 4" xfId="44104"/>
    <cellStyle name="Input [yellow] 2 16 6 18 5" xfId="55297"/>
    <cellStyle name="Input [yellow] 2 16 6 19" xfId="10935"/>
    <cellStyle name="Input [yellow] 2 16 6 19 2" xfId="22132"/>
    <cellStyle name="Input [yellow] 2 16 6 19 3" xfId="33300"/>
    <cellStyle name="Input [yellow] 2 16 6 19 4" xfId="44465"/>
    <cellStyle name="Input [yellow] 2 16 6 19 5" xfId="55658"/>
    <cellStyle name="Input [yellow] 2 16 6 2" xfId="1031"/>
    <cellStyle name="Input [yellow] 2 16 6 2 2" xfId="12228"/>
    <cellStyle name="Input [yellow] 2 16 6 2 3" xfId="23396"/>
    <cellStyle name="Input [yellow] 2 16 6 2 4" xfId="34561"/>
    <cellStyle name="Input [yellow] 2 16 6 2 5" xfId="45754"/>
    <cellStyle name="Input [yellow] 2 16 6 20" xfId="11582"/>
    <cellStyle name="Input [yellow] 2 16 6 21" xfId="22752"/>
    <cellStyle name="Input [yellow] 2 16 6 22" xfId="33919"/>
    <cellStyle name="Input [yellow] 2 16 6 23" xfId="45105"/>
    <cellStyle name="Input [yellow] 2 16 6 3" xfId="1413"/>
    <cellStyle name="Input [yellow] 2 16 6 3 2" xfId="12610"/>
    <cellStyle name="Input [yellow] 2 16 6 3 3" xfId="23778"/>
    <cellStyle name="Input [yellow] 2 16 6 3 4" xfId="34943"/>
    <cellStyle name="Input [yellow] 2 16 6 3 5" xfId="46136"/>
    <cellStyle name="Input [yellow] 2 16 6 4" xfId="2307"/>
    <cellStyle name="Input [yellow] 2 16 6 4 2" xfId="13504"/>
    <cellStyle name="Input [yellow] 2 16 6 4 3" xfId="24672"/>
    <cellStyle name="Input [yellow] 2 16 6 4 4" xfId="35837"/>
    <cellStyle name="Input [yellow] 2 16 6 4 5" xfId="47030"/>
    <cellStyle name="Input [yellow] 2 16 6 5" xfId="2732"/>
    <cellStyle name="Input [yellow] 2 16 6 5 2" xfId="13929"/>
    <cellStyle name="Input [yellow] 2 16 6 5 3" xfId="25097"/>
    <cellStyle name="Input [yellow] 2 16 6 5 4" xfId="36262"/>
    <cellStyle name="Input [yellow] 2 16 6 5 5" xfId="47455"/>
    <cellStyle name="Input [yellow] 2 16 6 6" xfId="3366"/>
    <cellStyle name="Input [yellow] 2 16 6 6 2" xfId="14563"/>
    <cellStyle name="Input [yellow] 2 16 6 6 3" xfId="25731"/>
    <cellStyle name="Input [yellow] 2 16 6 6 4" xfId="36896"/>
    <cellStyle name="Input [yellow] 2 16 6 6 5" xfId="48089"/>
    <cellStyle name="Input [yellow] 2 16 6 7" xfId="4000"/>
    <cellStyle name="Input [yellow] 2 16 6 7 2" xfId="15197"/>
    <cellStyle name="Input [yellow] 2 16 6 7 3" xfId="26365"/>
    <cellStyle name="Input [yellow] 2 16 6 7 4" xfId="37530"/>
    <cellStyle name="Input [yellow] 2 16 6 7 5" xfId="48723"/>
    <cellStyle name="Input [yellow] 2 16 6 8" xfId="4633"/>
    <cellStyle name="Input [yellow] 2 16 6 8 2" xfId="15830"/>
    <cellStyle name="Input [yellow] 2 16 6 8 3" xfId="26998"/>
    <cellStyle name="Input [yellow] 2 16 6 8 4" xfId="38163"/>
    <cellStyle name="Input [yellow] 2 16 6 8 5" xfId="49356"/>
    <cellStyle name="Input [yellow] 2 16 6 9" xfId="5264"/>
    <cellStyle name="Input [yellow] 2 16 6 9 2" xfId="16461"/>
    <cellStyle name="Input [yellow] 2 16 6 9 3" xfId="27629"/>
    <cellStyle name="Input [yellow] 2 16 6 9 4" xfId="38794"/>
    <cellStyle name="Input [yellow] 2 16 6 9 5" xfId="49987"/>
    <cellStyle name="Input [yellow] 2 16 7" xfId="471"/>
    <cellStyle name="Input [yellow] 2 16 7 10" xfId="5899"/>
    <cellStyle name="Input [yellow] 2 16 7 10 2" xfId="17096"/>
    <cellStyle name="Input [yellow] 2 16 7 10 3" xfId="28264"/>
    <cellStyle name="Input [yellow] 2 16 7 10 4" xfId="39429"/>
    <cellStyle name="Input [yellow] 2 16 7 10 5" xfId="50622"/>
    <cellStyle name="Input [yellow] 2 16 7 11" xfId="6407"/>
    <cellStyle name="Input [yellow] 2 16 7 11 2" xfId="17604"/>
    <cellStyle name="Input [yellow] 2 16 7 11 3" xfId="28772"/>
    <cellStyle name="Input [yellow] 2 16 7 11 4" xfId="39937"/>
    <cellStyle name="Input [yellow] 2 16 7 11 5" xfId="51130"/>
    <cellStyle name="Input [yellow] 2 16 7 12" xfId="7040"/>
    <cellStyle name="Input [yellow] 2 16 7 12 2" xfId="18237"/>
    <cellStyle name="Input [yellow] 2 16 7 12 3" xfId="29405"/>
    <cellStyle name="Input [yellow] 2 16 7 12 4" xfId="40570"/>
    <cellStyle name="Input [yellow] 2 16 7 12 5" xfId="51763"/>
    <cellStyle name="Input [yellow] 2 16 7 13" xfId="7674"/>
    <cellStyle name="Input [yellow] 2 16 7 13 2" xfId="18871"/>
    <cellStyle name="Input [yellow] 2 16 7 13 3" xfId="30039"/>
    <cellStyle name="Input [yellow] 2 16 7 13 4" xfId="41204"/>
    <cellStyle name="Input [yellow] 2 16 7 13 5" xfId="52397"/>
    <cellStyle name="Input [yellow] 2 16 7 14" xfId="8308"/>
    <cellStyle name="Input [yellow] 2 16 7 14 2" xfId="19505"/>
    <cellStyle name="Input [yellow] 2 16 7 14 3" xfId="30673"/>
    <cellStyle name="Input [yellow] 2 16 7 14 4" xfId="41838"/>
    <cellStyle name="Input [yellow] 2 16 7 14 5" xfId="53031"/>
    <cellStyle name="Input [yellow] 2 16 7 15" xfId="8936"/>
    <cellStyle name="Input [yellow] 2 16 7 15 2" xfId="20133"/>
    <cellStyle name="Input [yellow] 2 16 7 15 3" xfId="31301"/>
    <cellStyle name="Input [yellow] 2 16 7 15 4" xfId="42466"/>
    <cellStyle name="Input [yellow] 2 16 7 15 5" xfId="53659"/>
    <cellStyle name="Input [yellow] 2 16 7 16" xfId="9359"/>
    <cellStyle name="Input [yellow] 2 16 7 16 2" xfId="20556"/>
    <cellStyle name="Input [yellow] 2 16 7 16 3" xfId="31724"/>
    <cellStyle name="Input [yellow] 2 16 7 16 4" xfId="42889"/>
    <cellStyle name="Input [yellow] 2 16 7 16 5" xfId="54082"/>
    <cellStyle name="Input [yellow] 2 16 7 17" xfId="9985"/>
    <cellStyle name="Input [yellow] 2 16 7 17 2" xfId="21182"/>
    <cellStyle name="Input [yellow] 2 16 7 17 3" xfId="32350"/>
    <cellStyle name="Input [yellow] 2 16 7 17 4" xfId="43515"/>
    <cellStyle name="Input [yellow] 2 16 7 17 5" xfId="54708"/>
    <cellStyle name="Input [yellow] 2 16 7 18" xfId="10069"/>
    <cellStyle name="Input [yellow] 2 16 7 18 2" xfId="21266"/>
    <cellStyle name="Input [yellow] 2 16 7 18 3" xfId="32434"/>
    <cellStyle name="Input [yellow] 2 16 7 18 4" xfId="43599"/>
    <cellStyle name="Input [yellow] 2 16 7 18 5" xfId="54792"/>
    <cellStyle name="Input [yellow] 2 16 7 19" xfId="11024"/>
    <cellStyle name="Input [yellow] 2 16 7 19 2" xfId="22221"/>
    <cellStyle name="Input [yellow] 2 16 7 19 3" xfId="33389"/>
    <cellStyle name="Input [yellow] 2 16 7 19 4" xfId="44554"/>
    <cellStyle name="Input [yellow] 2 16 7 19 5" xfId="55747"/>
    <cellStyle name="Input [yellow] 2 16 7 2" xfId="1120"/>
    <cellStyle name="Input [yellow] 2 16 7 2 2" xfId="12317"/>
    <cellStyle name="Input [yellow] 2 16 7 2 3" xfId="23485"/>
    <cellStyle name="Input [yellow] 2 16 7 2 4" xfId="34650"/>
    <cellStyle name="Input [yellow] 2 16 7 2 5" xfId="45843"/>
    <cellStyle name="Input [yellow] 2 16 7 20" xfId="11671"/>
    <cellStyle name="Input [yellow] 2 16 7 21" xfId="22841"/>
    <cellStyle name="Input [yellow] 2 16 7 22" xfId="34008"/>
    <cellStyle name="Input [yellow] 2 16 7 23" xfId="45194"/>
    <cellStyle name="Input [yellow] 2 16 7 3" xfId="1360"/>
    <cellStyle name="Input [yellow] 2 16 7 3 2" xfId="12557"/>
    <cellStyle name="Input [yellow] 2 16 7 3 3" xfId="23725"/>
    <cellStyle name="Input [yellow] 2 16 7 3 4" xfId="34890"/>
    <cellStyle name="Input [yellow] 2 16 7 3 5" xfId="46083"/>
    <cellStyle name="Input [yellow] 2 16 7 4" xfId="2396"/>
    <cellStyle name="Input [yellow] 2 16 7 4 2" xfId="13593"/>
    <cellStyle name="Input [yellow] 2 16 7 4 3" xfId="24761"/>
    <cellStyle name="Input [yellow] 2 16 7 4 4" xfId="35926"/>
    <cellStyle name="Input [yellow] 2 16 7 4 5" xfId="47119"/>
    <cellStyle name="Input [yellow] 2 16 7 5" xfId="2821"/>
    <cellStyle name="Input [yellow] 2 16 7 5 2" xfId="14018"/>
    <cellStyle name="Input [yellow] 2 16 7 5 3" xfId="25186"/>
    <cellStyle name="Input [yellow] 2 16 7 5 4" xfId="36351"/>
    <cellStyle name="Input [yellow] 2 16 7 5 5" xfId="47544"/>
    <cellStyle name="Input [yellow] 2 16 7 6" xfId="3455"/>
    <cellStyle name="Input [yellow] 2 16 7 6 2" xfId="14652"/>
    <cellStyle name="Input [yellow] 2 16 7 6 3" xfId="25820"/>
    <cellStyle name="Input [yellow] 2 16 7 6 4" xfId="36985"/>
    <cellStyle name="Input [yellow] 2 16 7 6 5" xfId="48178"/>
    <cellStyle name="Input [yellow] 2 16 7 7" xfId="4089"/>
    <cellStyle name="Input [yellow] 2 16 7 7 2" xfId="15286"/>
    <cellStyle name="Input [yellow] 2 16 7 7 3" xfId="26454"/>
    <cellStyle name="Input [yellow] 2 16 7 7 4" xfId="37619"/>
    <cellStyle name="Input [yellow] 2 16 7 7 5" xfId="48812"/>
    <cellStyle name="Input [yellow] 2 16 7 8" xfId="4722"/>
    <cellStyle name="Input [yellow] 2 16 7 8 2" xfId="15919"/>
    <cellStyle name="Input [yellow] 2 16 7 8 3" xfId="27087"/>
    <cellStyle name="Input [yellow] 2 16 7 8 4" xfId="38252"/>
    <cellStyle name="Input [yellow] 2 16 7 8 5" xfId="49445"/>
    <cellStyle name="Input [yellow] 2 16 7 9" xfId="5353"/>
    <cellStyle name="Input [yellow] 2 16 7 9 2" xfId="16550"/>
    <cellStyle name="Input [yellow] 2 16 7 9 3" xfId="27718"/>
    <cellStyle name="Input [yellow] 2 16 7 9 4" xfId="38883"/>
    <cellStyle name="Input [yellow] 2 16 7 9 5" xfId="50076"/>
    <cellStyle name="Input [yellow] 2 16 8" xfId="526"/>
    <cellStyle name="Input [yellow] 2 16 8 10" xfId="5788"/>
    <cellStyle name="Input [yellow] 2 16 8 10 2" xfId="16985"/>
    <cellStyle name="Input [yellow] 2 16 8 10 3" xfId="28153"/>
    <cellStyle name="Input [yellow] 2 16 8 10 4" xfId="39318"/>
    <cellStyle name="Input [yellow] 2 16 8 10 5" xfId="50511"/>
    <cellStyle name="Input [yellow] 2 16 8 11" xfId="6462"/>
    <cellStyle name="Input [yellow] 2 16 8 11 2" xfId="17659"/>
    <cellStyle name="Input [yellow] 2 16 8 11 3" xfId="28827"/>
    <cellStyle name="Input [yellow] 2 16 8 11 4" xfId="39992"/>
    <cellStyle name="Input [yellow] 2 16 8 11 5" xfId="51185"/>
    <cellStyle name="Input [yellow] 2 16 8 12" xfId="7095"/>
    <cellStyle name="Input [yellow] 2 16 8 12 2" xfId="18292"/>
    <cellStyle name="Input [yellow] 2 16 8 12 3" xfId="29460"/>
    <cellStyle name="Input [yellow] 2 16 8 12 4" xfId="40625"/>
    <cellStyle name="Input [yellow] 2 16 8 12 5" xfId="51818"/>
    <cellStyle name="Input [yellow] 2 16 8 13" xfId="7729"/>
    <cellStyle name="Input [yellow] 2 16 8 13 2" xfId="18926"/>
    <cellStyle name="Input [yellow] 2 16 8 13 3" xfId="30094"/>
    <cellStyle name="Input [yellow] 2 16 8 13 4" xfId="41259"/>
    <cellStyle name="Input [yellow] 2 16 8 13 5" xfId="52452"/>
    <cellStyle name="Input [yellow] 2 16 8 14" xfId="8363"/>
    <cellStyle name="Input [yellow] 2 16 8 14 2" xfId="19560"/>
    <cellStyle name="Input [yellow] 2 16 8 14 3" xfId="30728"/>
    <cellStyle name="Input [yellow] 2 16 8 14 4" xfId="41893"/>
    <cellStyle name="Input [yellow] 2 16 8 14 5" xfId="53086"/>
    <cellStyle name="Input [yellow] 2 16 8 15" xfId="8991"/>
    <cellStyle name="Input [yellow] 2 16 8 15 2" xfId="20188"/>
    <cellStyle name="Input [yellow] 2 16 8 15 3" xfId="31356"/>
    <cellStyle name="Input [yellow] 2 16 8 15 4" xfId="42521"/>
    <cellStyle name="Input [yellow] 2 16 8 15 5" xfId="53714"/>
    <cellStyle name="Input [yellow] 2 16 8 16" xfId="9414"/>
    <cellStyle name="Input [yellow] 2 16 8 16 2" xfId="20611"/>
    <cellStyle name="Input [yellow] 2 16 8 16 3" xfId="31779"/>
    <cellStyle name="Input [yellow] 2 16 8 16 4" xfId="42944"/>
    <cellStyle name="Input [yellow] 2 16 8 16 5" xfId="54137"/>
    <cellStyle name="Input [yellow] 2 16 8 17" xfId="10039"/>
    <cellStyle name="Input [yellow] 2 16 8 17 2" xfId="21236"/>
    <cellStyle name="Input [yellow] 2 16 8 17 3" xfId="32404"/>
    <cellStyle name="Input [yellow] 2 16 8 17 4" xfId="43569"/>
    <cellStyle name="Input [yellow] 2 16 8 17 5" xfId="54762"/>
    <cellStyle name="Input [yellow] 2 16 8 18" xfId="9957"/>
    <cellStyle name="Input [yellow] 2 16 8 18 2" xfId="21154"/>
    <cellStyle name="Input [yellow] 2 16 8 18 3" xfId="32322"/>
    <cellStyle name="Input [yellow] 2 16 8 18 4" xfId="43487"/>
    <cellStyle name="Input [yellow] 2 16 8 18 5" xfId="54680"/>
    <cellStyle name="Input [yellow] 2 16 8 19" xfId="11079"/>
    <cellStyle name="Input [yellow] 2 16 8 19 2" xfId="22276"/>
    <cellStyle name="Input [yellow] 2 16 8 19 3" xfId="33444"/>
    <cellStyle name="Input [yellow] 2 16 8 19 4" xfId="44609"/>
    <cellStyle name="Input [yellow] 2 16 8 19 5" xfId="55802"/>
    <cellStyle name="Input [yellow] 2 16 8 2" xfId="1175"/>
    <cellStyle name="Input [yellow] 2 16 8 2 2" xfId="12372"/>
    <cellStyle name="Input [yellow] 2 16 8 2 3" xfId="23540"/>
    <cellStyle name="Input [yellow] 2 16 8 2 4" xfId="34705"/>
    <cellStyle name="Input [yellow] 2 16 8 2 5" xfId="45898"/>
    <cellStyle name="Input [yellow] 2 16 8 20" xfId="11726"/>
    <cellStyle name="Input [yellow] 2 16 8 21" xfId="22896"/>
    <cellStyle name="Input [yellow] 2 16 8 22" xfId="34063"/>
    <cellStyle name="Input [yellow] 2 16 8 23" xfId="45249"/>
    <cellStyle name="Input [yellow] 2 16 8 3" xfId="1498"/>
    <cellStyle name="Input [yellow] 2 16 8 3 2" xfId="12695"/>
    <cellStyle name="Input [yellow] 2 16 8 3 3" xfId="23863"/>
    <cellStyle name="Input [yellow] 2 16 8 3 4" xfId="35028"/>
    <cellStyle name="Input [yellow] 2 16 8 3 5" xfId="46221"/>
    <cellStyle name="Input [yellow] 2 16 8 4" xfId="2451"/>
    <cellStyle name="Input [yellow] 2 16 8 4 2" xfId="13648"/>
    <cellStyle name="Input [yellow] 2 16 8 4 3" xfId="24816"/>
    <cellStyle name="Input [yellow] 2 16 8 4 4" xfId="35981"/>
    <cellStyle name="Input [yellow] 2 16 8 4 5" xfId="47174"/>
    <cellStyle name="Input [yellow] 2 16 8 5" xfId="2876"/>
    <cellStyle name="Input [yellow] 2 16 8 5 2" xfId="14073"/>
    <cellStyle name="Input [yellow] 2 16 8 5 3" xfId="25241"/>
    <cellStyle name="Input [yellow] 2 16 8 5 4" xfId="36406"/>
    <cellStyle name="Input [yellow] 2 16 8 5 5" xfId="47599"/>
    <cellStyle name="Input [yellow] 2 16 8 6" xfId="3510"/>
    <cellStyle name="Input [yellow] 2 16 8 6 2" xfId="14707"/>
    <cellStyle name="Input [yellow] 2 16 8 6 3" xfId="25875"/>
    <cellStyle name="Input [yellow] 2 16 8 6 4" xfId="37040"/>
    <cellStyle name="Input [yellow] 2 16 8 6 5" xfId="48233"/>
    <cellStyle name="Input [yellow] 2 16 8 7" xfId="4144"/>
    <cellStyle name="Input [yellow] 2 16 8 7 2" xfId="15341"/>
    <cellStyle name="Input [yellow] 2 16 8 7 3" xfId="26509"/>
    <cellStyle name="Input [yellow] 2 16 8 7 4" xfId="37674"/>
    <cellStyle name="Input [yellow] 2 16 8 7 5" xfId="48867"/>
    <cellStyle name="Input [yellow] 2 16 8 8" xfId="4777"/>
    <cellStyle name="Input [yellow] 2 16 8 8 2" xfId="15974"/>
    <cellStyle name="Input [yellow] 2 16 8 8 3" xfId="27142"/>
    <cellStyle name="Input [yellow] 2 16 8 8 4" xfId="38307"/>
    <cellStyle name="Input [yellow] 2 16 8 8 5" xfId="49500"/>
    <cellStyle name="Input [yellow] 2 16 8 9" xfId="5408"/>
    <cellStyle name="Input [yellow] 2 16 8 9 2" xfId="16605"/>
    <cellStyle name="Input [yellow] 2 16 8 9 3" xfId="27773"/>
    <cellStyle name="Input [yellow] 2 16 8 9 4" xfId="38938"/>
    <cellStyle name="Input [yellow] 2 16 8 9 5" xfId="50131"/>
    <cellStyle name="Input [yellow] 2 16 9" xfId="584"/>
    <cellStyle name="Input [yellow] 2 16 9 10" xfId="5965"/>
    <cellStyle name="Input [yellow] 2 16 9 10 2" xfId="17162"/>
    <cellStyle name="Input [yellow] 2 16 9 10 3" xfId="28330"/>
    <cellStyle name="Input [yellow] 2 16 9 10 4" xfId="39495"/>
    <cellStyle name="Input [yellow] 2 16 9 10 5" xfId="50688"/>
    <cellStyle name="Input [yellow] 2 16 9 11" xfId="6520"/>
    <cellStyle name="Input [yellow] 2 16 9 11 2" xfId="17717"/>
    <cellStyle name="Input [yellow] 2 16 9 11 3" xfId="28885"/>
    <cellStyle name="Input [yellow] 2 16 9 11 4" xfId="40050"/>
    <cellStyle name="Input [yellow] 2 16 9 11 5" xfId="51243"/>
    <cellStyle name="Input [yellow] 2 16 9 12" xfId="7153"/>
    <cellStyle name="Input [yellow] 2 16 9 12 2" xfId="18350"/>
    <cellStyle name="Input [yellow] 2 16 9 12 3" xfId="29518"/>
    <cellStyle name="Input [yellow] 2 16 9 12 4" xfId="40683"/>
    <cellStyle name="Input [yellow] 2 16 9 12 5" xfId="51876"/>
    <cellStyle name="Input [yellow] 2 16 9 13" xfId="7787"/>
    <cellStyle name="Input [yellow] 2 16 9 13 2" xfId="18984"/>
    <cellStyle name="Input [yellow] 2 16 9 13 3" xfId="30152"/>
    <cellStyle name="Input [yellow] 2 16 9 13 4" xfId="41317"/>
    <cellStyle name="Input [yellow] 2 16 9 13 5" xfId="52510"/>
    <cellStyle name="Input [yellow] 2 16 9 14" xfId="8421"/>
    <cellStyle name="Input [yellow] 2 16 9 14 2" xfId="19618"/>
    <cellStyle name="Input [yellow] 2 16 9 14 3" xfId="30786"/>
    <cellStyle name="Input [yellow] 2 16 9 14 4" xfId="41951"/>
    <cellStyle name="Input [yellow] 2 16 9 14 5" xfId="53144"/>
    <cellStyle name="Input [yellow] 2 16 9 15" xfId="9049"/>
    <cellStyle name="Input [yellow] 2 16 9 15 2" xfId="20246"/>
    <cellStyle name="Input [yellow] 2 16 9 15 3" xfId="31414"/>
    <cellStyle name="Input [yellow] 2 16 9 15 4" xfId="42579"/>
    <cellStyle name="Input [yellow] 2 16 9 15 5" xfId="53772"/>
    <cellStyle name="Input [yellow] 2 16 9 16" xfId="9472"/>
    <cellStyle name="Input [yellow] 2 16 9 16 2" xfId="20669"/>
    <cellStyle name="Input [yellow] 2 16 9 16 3" xfId="31837"/>
    <cellStyle name="Input [yellow] 2 16 9 16 4" xfId="43002"/>
    <cellStyle name="Input [yellow] 2 16 9 16 5" xfId="54195"/>
    <cellStyle name="Input [yellow] 2 16 9 17" xfId="10097"/>
    <cellStyle name="Input [yellow] 2 16 9 17 2" xfId="21294"/>
    <cellStyle name="Input [yellow] 2 16 9 17 3" xfId="32462"/>
    <cellStyle name="Input [yellow] 2 16 9 17 4" xfId="43627"/>
    <cellStyle name="Input [yellow] 2 16 9 17 5" xfId="54820"/>
    <cellStyle name="Input [yellow] 2 16 9 18" xfId="10263"/>
    <cellStyle name="Input [yellow] 2 16 9 18 2" xfId="21460"/>
    <cellStyle name="Input [yellow] 2 16 9 18 3" xfId="32628"/>
    <cellStyle name="Input [yellow] 2 16 9 18 4" xfId="43793"/>
    <cellStyle name="Input [yellow] 2 16 9 18 5" xfId="54986"/>
    <cellStyle name="Input [yellow] 2 16 9 19" xfId="11137"/>
    <cellStyle name="Input [yellow] 2 16 9 19 2" xfId="22334"/>
    <cellStyle name="Input [yellow] 2 16 9 19 3" xfId="33502"/>
    <cellStyle name="Input [yellow] 2 16 9 19 4" xfId="44667"/>
    <cellStyle name="Input [yellow] 2 16 9 19 5" xfId="55860"/>
    <cellStyle name="Input [yellow] 2 16 9 2" xfId="1233"/>
    <cellStyle name="Input [yellow] 2 16 9 2 2" xfId="12430"/>
    <cellStyle name="Input [yellow] 2 16 9 2 3" xfId="23598"/>
    <cellStyle name="Input [yellow] 2 16 9 2 4" xfId="34763"/>
    <cellStyle name="Input [yellow] 2 16 9 2 5" xfId="45956"/>
    <cellStyle name="Input [yellow] 2 16 9 20" xfId="11784"/>
    <cellStyle name="Input [yellow] 2 16 9 21" xfId="22954"/>
    <cellStyle name="Input [yellow] 2 16 9 22" xfId="34121"/>
    <cellStyle name="Input [yellow] 2 16 9 23" xfId="45307"/>
    <cellStyle name="Input [yellow] 2 16 9 3" xfId="1566"/>
    <cellStyle name="Input [yellow] 2 16 9 3 2" xfId="12763"/>
    <cellStyle name="Input [yellow] 2 16 9 3 3" xfId="23931"/>
    <cellStyle name="Input [yellow] 2 16 9 3 4" xfId="35096"/>
    <cellStyle name="Input [yellow] 2 16 9 3 5" xfId="46289"/>
    <cellStyle name="Input [yellow] 2 16 9 4" xfId="2509"/>
    <cellStyle name="Input [yellow] 2 16 9 4 2" xfId="13706"/>
    <cellStyle name="Input [yellow] 2 16 9 4 3" xfId="24874"/>
    <cellStyle name="Input [yellow] 2 16 9 4 4" xfId="36039"/>
    <cellStyle name="Input [yellow] 2 16 9 4 5" xfId="47232"/>
    <cellStyle name="Input [yellow] 2 16 9 5" xfId="2934"/>
    <cellStyle name="Input [yellow] 2 16 9 5 2" xfId="14131"/>
    <cellStyle name="Input [yellow] 2 16 9 5 3" xfId="25299"/>
    <cellStyle name="Input [yellow] 2 16 9 5 4" xfId="36464"/>
    <cellStyle name="Input [yellow] 2 16 9 5 5" xfId="47657"/>
    <cellStyle name="Input [yellow] 2 16 9 6" xfId="3568"/>
    <cellStyle name="Input [yellow] 2 16 9 6 2" xfId="14765"/>
    <cellStyle name="Input [yellow] 2 16 9 6 3" xfId="25933"/>
    <cellStyle name="Input [yellow] 2 16 9 6 4" xfId="37098"/>
    <cellStyle name="Input [yellow] 2 16 9 6 5" xfId="48291"/>
    <cellStyle name="Input [yellow] 2 16 9 7" xfId="4202"/>
    <cellStyle name="Input [yellow] 2 16 9 7 2" xfId="15399"/>
    <cellStyle name="Input [yellow] 2 16 9 7 3" xfId="26567"/>
    <cellStyle name="Input [yellow] 2 16 9 7 4" xfId="37732"/>
    <cellStyle name="Input [yellow] 2 16 9 7 5" xfId="48925"/>
    <cellStyle name="Input [yellow] 2 16 9 8" xfId="4835"/>
    <cellStyle name="Input [yellow] 2 16 9 8 2" xfId="16032"/>
    <cellStyle name="Input [yellow] 2 16 9 8 3" xfId="27200"/>
    <cellStyle name="Input [yellow] 2 16 9 8 4" xfId="38365"/>
    <cellStyle name="Input [yellow] 2 16 9 8 5" xfId="49558"/>
    <cellStyle name="Input [yellow] 2 16 9 9" xfId="5466"/>
    <cellStyle name="Input [yellow] 2 16 9 9 2" xfId="16663"/>
    <cellStyle name="Input [yellow] 2 16 9 9 3" xfId="27831"/>
    <cellStyle name="Input [yellow] 2 16 9 9 4" xfId="38996"/>
    <cellStyle name="Input [yellow] 2 16 9 9 5" xfId="50189"/>
    <cellStyle name="Input [yellow] 2 17" xfId="120"/>
    <cellStyle name="Input [yellow] 2 17 10" xfId="619"/>
    <cellStyle name="Input [yellow] 2 17 10 10" xfId="6132"/>
    <cellStyle name="Input [yellow] 2 17 10 10 2" xfId="17329"/>
    <cellStyle name="Input [yellow] 2 17 10 10 3" xfId="28497"/>
    <cellStyle name="Input [yellow] 2 17 10 10 4" xfId="39662"/>
    <cellStyle name="Input [yellow] 2 17 10 10 5" xfId="50855"/>
    <cellStyle name="Input [yellow] 2 17 10 11" xfId="6555"/>
    <cellStyle name="Input [yellow] 2 17 10 11 2" xfId="17752"/>
    <cellStyle name="Input [yellow] 2 17 10 11 3" xfId="28920"/>
    <cellStyle name="Input [yellow] 2 17 10 11 4" xfId="40085"/>
    <cellStyle name="Input [yellow] 2 17 10 11 5" xfId="51278"/>
    <cellStyle name="Input [yellow] 2 17 10 12" xfId="7188"/>
    <cellStyle name="Input [yellow] 2 17 10 12 2" xfId="18385"/>
    <cellStyle name="Input [yellow] 2 17 10 12 3" xfId="29553"/>
    <cellStyle name="Input [yellow] 2 17 10 12 4" xfId="40718"/>
    <cellStyle name="Input [yellow] 2 17 10 12 5" xfId="51911"/>
    <cellStyle name="Input [yellow] 2 17 10 13" xfId="7822"/>
    <cellStyle name="Input [yellow] 2 17 10 13 2" xfId="19019"/>
    <cellStyle name="Input [yellow] 2 17 10 13 3" xfId="30187"/>
    <cellStyle name="Input [yellow] 2 17 10 13 4" xfId="41352"/>
    <cellStyle name="Input [yellow] 2 17 10 13 5" xfId="52545"/>
    <cellStyle name="Input [yellow] 2 17 10 14" xfId="8456"/>
    <cellStyle name="Input [yellow] 2 17 10 14 2" xfId="19653"/>
    <cellStyle name="Input [yellow] 2 17 10 14 3" xfId="30821"/>
    <cellStyle name="Input [yellow] 2 17 10 14 4" xfId="41986"/>
    <cellStyle name="Input [yellow] 2 17 10 14 5" xfId="53179"/>
    <cellStyle name="Input [yellow] 2 17 10 15" xfId="9084"/>
    <cellStyle name="Input [yellow] 2 17 10 15 2" xfId="20281"/>
    <cellStyle name="Input [yellow] 2 17 10 15 3" xfId="31449"/>
    <cellStyle name="Input [yellow] 2 17 10 15 4" xfId="42614"/>
    <cellStyle name="Input [yellow] 2 17 10 15 5" xfId="53807"/>
    <cellStyle name="Input [yellow] 2 17 10 16" xfId="9507"/>
    <cellStyle name="Input [yellow] 2 17 10 16 2" xfId="20704"/>
    <cellStyle name="Input [yellow] 2 17 10 16 3" xfId="31872"/>
    <cellStyle name="Input [yellow] 2 17 10 16 4" xfId="43037"/>
    <cellStyle name="Input [yellow] 2 17 10 16 5" xfId="54230"/>
    <cellStyle name="Input [yellow] 2 17 10 17" xfId="10132"/>
    <cellStyle name="Input [yellow] 2 17 10 17 2" xfId="21329"/>
    <cellStyle name="Input [yellow] 2 17 10 17 3" xfId="32497"/>
    <cellStyle name="Input [yellow] 2 17 10 17 4" xfId="43662"/>
    <cellStyle name="Input [yellow] 2 17 10 17 5" xfId="54855"/>
    <cellStyle name="Input [yellow] 2 17 10 18" xfId="10546"/>
    <cellStyle name="Input [yellow] 2 17 10 18 2" xfId="21743"/>
    <cellStyle name="Input [yellow] 2 17 10 18 3" xfId="32911"/>
    <cellStyle name="Input [yellow] 2 17 10 18 4" xfId="44076"/>
    <cellStyle name="Input [yellow] 2 17 10 18 5" xfId="55269"/>
    <cellStyle name="Input [yellow] 2 17 10 19" xfId="11172"/>
    <cellStyle name="Input [yellow] 2 17 10 19 2" xfId="22369"/>
    <cellStyle name="Input [yellow] 2 17 10 19 3" xfId="33537"/>
    <cellStyle name="Input [yellow] 2 17 10 19 4" xfId="44702"/>
    <cellStyle name="Input [yellow] 2 17 10 19 5" xfId="55895"/>
    <cellStyle name="Input [yellow] 2 17 10 2" xfId="1268"/>
    <cellStyle name="Input [yellow] 2 17 10 2 2" xfId="12465"/>
    <cellStyle name="Input [yellow] 2 17 10 2 3" xfId="23633"/>
    <cellStyle name="Input [yellow] 2 17 10 2 4" xfId="34798"/>
    <cellStyle name="Input [yellow] 2 17 10 2 5" xfId="45991"/>
    <cellStyle name="Input [yellow] 2 17 10 20" xfId="11819"/>
    <cellStyle name="Input [yellow] 2 17 10 21" xfId="22989"/>
    <cellStyle name="Input [yellow] 2 17 10 22" xfId="34156"/>
    <cellStyle name="Input [yellow] 2 17 10 23" xfId="45342"/>
    <cellStyle name="Input [yellow] 2 17 10 3" xfId="1412"/>
    <cellStyle name="Input [yellow] 2 17 10 3 2" xfId="12609"/>
    <cellStyle name="Input [yellow] 2 17 10 3 3" xfId="23777"/>
    <cellStyle name="Input [yellow] 2 17 10 3 4" xfId="34942"/>
    <cellStyle name="Input [yellow] 2 17 10 3 5" xfId="46135"/>
    <cellStyle name="Input [yellow] 2 17 10 4" xfId="2544"/>
    <cellStyle name="Input [yellow] 2 17 10 4 2" xfId="13741"/>
    <cellStyle name="Input [yellow] 2 17 10 4 3" xfId="24909"/>
    <cellStyle name="Input [yellow] 2 17 10 4 4" xfId="36074"/>
    <cellStyle name="Input [yellow] 2 17 10 4 5" xfId="47267"/>
    <cellStyle name="Input [yellow] 2 17 10 5" xfId="2969"/>
    <cellStyle name="Input [yellow] 2 17 10 5 2" xfId="14166"/>
    <cellStyle name="Input [yellow] 2 17 10 5 3" xfId="25334"/>
    <cellStyle name="Input [yellow] 2 17 10 5 4" xfId="36499"/>
    <cellStyle name="Input [yellow] 2 17 10 5 5" xfId="47692"/>
    <cellStyle name="Input [yellow] 2 17 10 6" xfId="3603"/>
    <cellStyle name="Input [yellow] 2 17 10 6 2" xfId="14800"/>
    <cellStyle name="Input [yellow] 2 17 10 6 3" xfId="25968"/>
    <cellStyle name="Input [yellow] 2 17 10 6 4" xfId="37133"/>
    <cellStyle name="Input [yellow] 2 17 10 6 5" xfId="48326"/>
    <cellStyle name="Input [yellow] 2 17 10 7" xfId="4237"/>
    <cellStyle name="Input [yellow] 2 17 10 7 2" xfId="15434"/>
    <cellStyle name="Input [yellow] 2 17 10 7 3" xfId="26602"/>
    <cellStyle name="Input [yellow] 2 17 10 7 4" xfId="37767"/>
    <cellStyle name="Input [yellow] 2 17 10 7 5" xfId="48960"/>
    <cellStyle name="Input [yellow] 2 17 10 8" xfId="4870"/>
    <cellStyle name="Input [yellow] 2 17 10 8 2" xfId="16067"/>
    <cellStyle name="Input [yellow] 2 17 10 8 3" xfId="27235"/>
    <cellStyle name="Input [yellow] 2 17 10 8 4" xfId="38400"/>
    <cellStyle name="Input [yellow] 2 17 10 8 5" xfId="49593"/>
    <cellStyle name="Input [yellow] 2 17 10 9" xfId="5501"/>
    <cellStyle name="Input [yellow] 2 17 10 9 2" xfId="16698"/>
    <cellStyle name="Input [yellow] 2 17 10 9 3" xfId="27866"/>
    <cellStyle name="Input [yellow] 2 17 10 9 4" xfId="39031"/>
    <cellStyle name="Input [yellow] 2 17 10 9 5" xfId="50224"/>
    <cellStyle name="Input [yellow] 2 17 11" xfId="672"/>
    <cellStyle name="Input [yellow] 2 17 11 10" xfId="5700"/>
    <cellStyle name="Input [yellow] 2 17 11 10 2" xfId="16897"/>
    <cellStyle name="Input [yellow] 2 17 11 10 3" xfId="28065"/>
    <cellStyle name="Input [yellow] 2 17 11 10 4" xfId="39230"/>
    <cellStyle name="Input [yellow] 2 17 11 10 5" xfId="50423"/>
    <cellStyle name="Input [yellow] 2 17 11 11" xfId="6608"/>
    <cellStyle name="Input [yellow] 2 17 11 11 2" xfId="17805"/>
    <cellStyle name="Input [yellow] 2 17 11 11 3" xfId="28973"/>
    <cellStyle name="Input [yellow] 2 17 11 11 4" xfId="40138"/>
    <cellStyle name="Input [yellow] 2 17 11 11 5" xfId="51331"/>
    <cellStyle name="Input [yellow] 2 17 11 12" xfId="7241"/>
    <cellStyle name="Input [yellow] 2 17 11 12 2" xfId="18438"/>
    <cellStyle name="Input [yellow] 2 17 11 12 3" xfId="29606"/>
    <cellStyle name="Input [yellow] 2 17 11 12 4" xfId="40771"/>
    <cellStyle name="Input [yellow] 2 17 11 12 5" xfId="51964"/>
    <cellStyle name="Input [yellow] 2 17 11 13" xfId="7875"/>
    <cellStyle name="Input [yellow] 2 17 11 13 2" xfId="19072"/>
    <cellStyle name="Input [yellow] 2 17 11 13 3" xfId="30240"/>
    <cellStyle name="Input [yellow] 2 17 11 13 4" xfId="41405"/>
    <cellStyle name="Input [yellow] 2 17 11 13 5" xfId="52598"/>
    <cellStyle name="Input [yellow] 2 17 11 14" xfId="8509"/>
    <cellStyle name="Input [yellow] 2 17 11 14 2" xfId="19706"/>
    <cellStyle name="Input [yellow] 2 17 11 14 3" xfId="30874"/>
    <cellStyle name="Input [yellow] 2 17 11 14 4" xfId="42039"/>
    <cellStyle name="Input [yellow] 2 17 11 14 5" xfId="53232"/>
    <cellStyle name="Input [yellow] 2 17 11 15" xfId="9137"/>
    <cellStyle name="Input [yellow] 2 17 11 15 2" xfId="20334"/>
    <cellStyle name="Input [yellow] 2 17 11 15 3" xfId="31502"/>
    <cellStyle name="Input [yellow] 2 17 11 15 4" xfId="42667"/>
    <cellStyle name="Input [yellow] 2 17 11 15 5" xfId="53860"/>
    <cellStyle name="Input [yellow] 2 17 11 16" xfId="9560"/>
    <cellStyle name="Input [yellow] 2 17 11 16 2" xfId="20757"/>
    <cellStyle name="Input [yellow] 2 17 11 16 3" xfId="31925"/>
    <cellStyle name="Input [yellow] 2 17 11 16 4" xfId="43090"/>
    <cellStyle name="Input [yellow] 2 17 11 16 5" xfId="54283"/>
    <cellStyle name="Input [yellow] 2 17 11 17" xfId="10185"/>
    <cellStyle name="Input [yellow] 2 17 11 17 2" xfId="21382"/>
    <cellStyle name="Input [yellow] 2 17 11 17 3" xfId="32550"/>
    <cellStyle name="Input [yellow] 2 17 11 17 4" xfId="43715"/>
    <cellStyle name="Input [yellow] 2 17 11 17 5" xfId="54908"/>
    <cellStyle name="Input [yellow] 2 17 11 18" xfId="9879"/>
    <cellStyle name="Input [yellow] 2 17 11 18 2" xfId="21076"/>
    <cellStyle name="Input [yellow] 2 17 11 18 3" xfId="32244"/>
    <cellStyle name="Input [yellow] 2 17 11 18 4" xfId="43409"/>
    <cellStyle name="Input [yellow] 2 17 11 18 5" xfId="54602"/>
    <cellStyle name="Input [yellow] 2 17 11 19" xfId="11225"/>
    <cellStyle name="Input [yellow] 2 17 11 19 2" xfId="22422"/>
    <cellStyle name="Input [yellow] 2 17 11 19 3" xfId="33590"/>
    <cellStyle name="Input [yellow] 2 17 11 19 4" xfId="44755"/>
    <cellStyle name="Input [yellow] 2 17 11 19 5" xfId="55948"/>
    <cellStyle name="Input [yellow] 2 17 11 2" xfId="1321"/>
    <cellStyle name="Input [yellow] 2 17 11 2 2" xfId="12518"/>
    <cellStyle name="Input [yellow] 2 17 11 2 3" xfId="23686"/>
    <cellStyle name="Input [yellow] 2 17 11 2 4" xfId="34851"/>
    <cellStyle name="Input [yellow] 2 17 11 2 5" xfId="46044"/>
    <cellStyle name="Input [yellow] 2 17 11 20" xfId="11872"/>
    <cellStyle name="Input [yellow] 2 17 11 21" xfId="23042"/>
    <cellStyle name="Input [yellow] 2 17 11 22" xfId="34209"/>
    <cellStyle name="Input [yellow] 2 17 11 23" xfId="45395"/>
    <cellStyle name="Input [yellow] 2 17 11 3" xfId="1763"/>
    <cellStyle name="Input [yellow] 2 17 11 3 2" xfId="12960"/>
    <cellStyle name="Input [yellow] 2 17 11 3 3" xfId="24128"/>
    <cellStyle name="Input [yellow] 2 17 11 3 4" xfId="35293"/>
    <cellStyle name="Input [yellow] 2 17 11 3 5" xfId="46486"/>
    <cellStyle name="Input [yellow] 2 17 11 4" xfId="2597"/>
    <cellStyle name="Input [yellow] 2 17 11 4 2" xfId="13794"/>
    <cellStyle name="Input [yellow] 2 17 11 4 3" xfId="24962"/>
    <cellStyle name="Input [yellow] 2 17 11 4 4" xfId="36127"/>
    <cellStyle name="Input [yellow] 2 17 11 4 5" xfId="47320"/>
    <cellStyle name="Input [yellow] 2 17 11 5" xfId="3022"/>
    <cellStyle name="Input [yellow] 2 17 11 5 2" xfId="14219"/>
    <cellStyle name="Input [yellow] 2 17 11 5 3" xfId="25387"/>
    <cellStyle name="Input [yellow] 2 17 11 5 4" xfId="36552"/>
    <cellStyle name="Input [yellow] 2 17 11 5 5" xfId="47745"/>
    <cellStyle name="Input [yellow] 2 17 11 6" xfId="3656"/>
    <cellStyle name="Input [yellow] 2 17 11 6 2" xfId="14853"/>
    <cellStyle name="Input [yellow] 2 17 11 6 3" xfId="26021"/>
    <cellStyle name="Input [yellow] 2 17 11 6 4" xfId="37186"/>
    <cellStyle name="Input [yellow] 2 17 11 6 5" xfId="48379"/>
    <cellStyle name="Input [yellow] 2 17 11 7" xfId="4290"/>
    <cellStyle name="Input [yellow] 2 17 11 7 2" xfId="15487"/>
    <cellStyle name="Input [yellow] 2 17 11 7 3" xfId="26655"/>
    <cellStyle name="Input [yellow] 2 17 11 7 4" xfId="37820"/>
    <cellStyle name="Input [yellow] 2 17 11 7 5" xfId="49013"/>
    <cellStyle name="Input [yellow] 2 17 11 8" xfId="4923"/>
    <cellStyle name="Input [yellow] 2 17 11 8 2" xfId="16120"/>
    <cellStyle name="Input [yellow] 2 17 11 8 3" xfId="27288"/>
    <cellStyle name="Input [yellow] 2 17 11 8 4" xfId="38453"/>
    <cellStyle name="Input [yellow] 2 17 11 8 5" xfId="49646"/>
    <cellStyle name="Input [yellow] 2 17 11 9" xfId="5554"/>
    <cellStyle name="Input [yellow] 2 17 11 9 2" xfId="16751"/>
    <cellStyle name="Input [yellow] 2 17 11 9 3" xfId="27919"/>
    <cellStyle name="Input [yellow] 2 17 11 9 4" xfId="39084"/>
    <cellStyle name="Input [yellow] 2 17 11 9 5" xfId="50277"/>
    <cellStyle name="Input [yellow] 2 17 12" xfId="769"/>
    <cellStyle name="Input [yellow] 2 17 12 2" xfId="11966"/>
    <cellStyle name="Input [yellow] 2 17 12 3" xfId="23134"/>
    <cellStyle name="Input [yellow] 2 17 12 4" xfId="34299"/>
    <cellStyle name="Input [yellow] 2 17 12 5" xfId="45492"/>
    <cellStyle name="Input [yellow] 2 17 13" xfId="1758"/>
    <cellStyle name="Input [yellow] 2 17 13 2" xfId="12955"/>
    <cellStyle name="Input [yellow] 2 17 13 3" xfId="24123"/>
    <cellStyle name="Input [yellow] 2 17 13 4" xfId="35288"/>
    <cellStyle name="Input [yellow] 2 17 13 5" xfId="46481"/>
    <cellStyle name="Input [yellow] 2 17 14" xfId="2046"/>
    <cellStyle name="Input [yellow] 2 17 14 2" xfId="13243"/>
    <cellStyle name="Input [yellow] 2 17 14 3" xfId="24411"/>
    <cellStyle name="Input [yellow] 2 17 14 4" xfId="35576"/>
    <cellStyle name="Input [yellow] 2 17 14 5" xfId="46769"/>
    <cellStyle name="Input [yellow] 2 17 15" xfId="2304"/>
    <cellStyle name="Input [yellow] 2 17 15 2" xfId="13501"/>
    <cellStyle name="Input [yellow] 2 17 15 3" xfId="24669"/>
    <cellStyle name="Input [yellow] 2 17 15 4" xfId="35834"/>
    <cellStyle name="Input [yellow] 2 17 15 5" xfId="47027"/>
    <cellStyle name="Input [yellow] 2 17 16" xfId="3104"/>
    <cellStyle name="Input [yellow] 2 17 16 2" xfId="14301"/>
    <cellStyle name="Input [yellow] 2 17 16 3" xfId="25469"/>
    <cellStyle name="Input [yellow] 2 17 16 4" xfId="36634"/>
    <cellStyle name="Input [yellow] 2 17 16 5" xfId="47827"/>
    <cellStyle name="Input [yellow] 2 17 17" xfId="3738"/>
    <cellStyle name="Input [yellow] 2 17 17 2" xfId="14935"/>
    <cellStyle name="Input [yellow] 2 17 17 3" xfId="26103"/>
    <cellStyle name="Input [yellow] 2 17 17 4" xfId="37268"/>
    <cellStyle name="Input [yellow] 2 17 17 5" xfId="48461"/>
    <cellStyle name="Input [yellow] 2 17 18" xfId="4371"/>
    <cellStyle name="Input [yellow] 2 17 18 2" xfId="15568"/>
    <cellStyle name="Input [yellow] 2 17 18 3" xfId="26736"/>
    <cellStyle name="Input [yellow] 2 17 18 4" xfId="37901"/>
    <cellStyle name="Input [yellow] 2 17 18 5" xfId="49094"/>
    <cellStyle name="Input [yellow] 2 17 19" xfId="5002"/>
    <cellStyle name="Input [yellow] 2 17 19 2" xfId="16199"/>
    <cellStyle name="Input [yellow] 2 17 19 3" xfId="27367"/>
    <cellStyle name="Input [yellow] 2 17 19 4" xfId="38532"/>
    <cellStyle name="Input [yellow] 2 17 19 5" xfId="49725"/>
    <cellStyle name="Input [yellow] 2 17 2" xfId="183"/>
    <cellStyle name="Input [yellow] 2 17 2 10" xfId="6000"/>
    <cellStyle name="Input [yellow] 2 17 2 10 2" xfId="17197"/>
    <cellStyle name="Input [yellow] 2 17 2 10 3" xfId="28365"/>
    <cellStyle name="Input [yellow] 2 17 2 10 4" xfId="39530"/>
    <cellStyle name="Input [yellow] 2 17 2 10 5" xfId="50723"/>
    <cellStyle name="Input [yellow] 2 17 2 11" xfId="6166"/>
    <cellStyle name="Input [yellow] 2 17 2 11 2" xfId="17363"/>
    <cellStyle name="Input [yellow] 2 17 2 11 3" xfId="28531"/>
    <cellStyle name="Input [yellow] 2 17 2 11 4" xfId="39696"/>
    <cellStyle name="Input [yellow] 2 17 2 11 5" xfId="50889"/>
    <cellStyle name="Input [yellow] 2 17 2 12" xfId="6752"/>
    <cellStyle name="Input [yellow] 2 17 2 12 2" xfId="17949"/>
    <cellStyle name="Input [yellow] 2 17 2 12 3" xfId="29117"/>
    <cellStyle name="Input [yellow] 2 17 2 12 4" xfId="40282"/>
    <cellStyle name="Input [yellow] 2 17 2 12 5" xfId="51475"/>
    <cellStyle name="Input [yellow] 2 17 2 13" xfId="7386"/>
    <cellStyle name="Input [yellow] 2 17 2 13 2" xfId="18583"/>
    <cellStyle name="Input [yellow] 2 17 2 13 3" xfId="29751"/>
    <cellStyle name="Input [yellow] 2 17 2 13 4" xfId="40916"/>
    <cellStyle name="Input [yellow] 2 17 2 13 5" xfId="52109"/>
    <cellStyle name="Input [yellow] 2 17 2 14" xfId="8020"/>
    <cellStyle name="Input [yellow] 2 17 2 14 2" xfId="19217"/>
    <cellStyle name="Input [yellow] 2 17 2 14 3" xfId="30385"/>
    <cellStyle name="Input [yellow] 2 17 2 14 4" xfId="41550"/>
    <cellStyle name="Input [yellow] 2 17 2 14 5" xfId="52743"/>
    <cellStyle name="Input [yellow] 2 17 2 15" xfId="8651"/>
    <cellStyle name="Input [yellow] 2 17 2 15 2" xfId="19848"/>
    <cellStyle name="Input [yellow] 2 17 2 15 3" xfId="31016"/>
    <cellStyle name="Input [yellow] 2 17 2 15 4" xfId="42181"/>
    <cellStyle name="Input [yellow] 2 17 2 15 5" xfId="53374"/>
    <cellStyle name="Input [yellow] 2 17 2 16" xfId="8657"/>
    <cellStyle name="Input [yellow] 2 17 2 16 2" xfId="19854"/>
    <cellStyle name="Input [yellow] 2 17 2 16 3" xfId="31022"/>
    <cellStyle name="Input [yellow] 2 17 2 16 4" xfId="42187"/>
    <cellStyle name="Input [yellow] 2 17 2 16 5" xfId="53380"/>
    <cellStyle name="Input [yellow] 2 17 2 17" xfId="9703"/>
    <cellStyle name="Input [yellow] 2 17 2 17 2" xfId="20900"/>
    <cellStyle name="Input [yellow] 2 17 2 17 3" xfId="32068"/>
    <cellStyle name="Input [yellow] 2 17 2 17 4" xfId="43233"/>
    <cellStyle name="Input [yellow] 2 17 2 17 5" xfId="54426"/>
    <cellStyle name="Input [yellow] 2 17 2 18" xfId="10157"/>
    <cellStyle name="Input [yellow] 2 17 2 18 2" xfId="21354"/>
    <cellStyle name="Input [yellow] 2 17 2 18 3" xfId="32522"/>
    <cellStyle name="Input [yellow] 2 17 2 18 4" xfId="43687"/>
    <cellStyle name="Input [yellow] 2 17 2 18 5" xfId="54880"/>
    <cellStyle name="Input [yellow] 2 17 2 19" xfId="10736"/>
    <cellStyle name="Input [yellow] 2 17 2 19 2" xfId="21933"/>
    <cellStyle name="Input [yellow] 2 17 2 19 3" xfId="33101"/>
    <cellStyle name="Input [yellow] 2 17 2 19 4" xfId="44266"/>
    <cellStyle name="Input [yellow] 2 17 2 19 5" xfId="55459"/>
    <cellStyle name="Input [yellow] 2 17 2 2" xfId="832"/>
    <cellStyle name="Input [yellow] 2 17 2 2 2" xfId="12029"/>
    <cellStyle name="Input [yellow] 2 17 2 2 3" xfId="23197"/>
    <cellStyle name="Input [yellow] 2 17 2 2 4" xfId="34362"/>
    <cellStyle name="Input [yellow] 2 17 2 2 5" xfId="45555"/>
    <cellStyle name="Input [yellow] 2 17 2 20" xfId="11383"/>
    <cellStyle name="Input [yellow] 2 17 2 21" xfId="22553"/>
    <cellStyle name="Input [yellow] 2 17 2 22" xfId="33720"/>
    <cellStyle name="Input [yellow] 2 17 2 23" xfId="44906"/>
    <cellStyle name="Input [yellow] 2 17 2 3" xfId="1865"/>
    <cellStyle name="Input [yellow] 2 17 2 3 2" xfId="13062"/>
    <cellStyle name="Input [yellow] 2 17 2 3 3" xfId="24230"/>
    <cellStyle name="Input [yellow] 2 17 2 3 4" xfId="35395"/>
    <cellStyle name="Input [yellow] 2 17 2 3 5" xfId="46588"/>
    <cellStyle name="Input [yellow] 2 17 2 4" xfId="2109"/>
    <cellStyle name="Input [yellow] 2 17 2 4 2" xfId="13306"/>
    <cellStyle name="Input [yellow] 2 17 2 4 3" xfId="24474"/>
    <cellStyle name="Input [yellow] 2 17 2 4 4" xfId="35639"/>
    <cellStyle name="Input [yellow] 2 17 2 4 5" xfId="46832"/>
    <cellStyle name="Input [yellow] 2 17 2 5" xfId="2052"/>
    <cellStyle name="Input [yellow] 2 17 2 5 2" xfId="13249"/>
    <cellStyle name="Input [yellow] 2 17 2 5 3" xfId="24417"/>
    <cellStyle name="Input [yellow] 2 17 2 5 4" xfId="35582"/>
    <cellStyle name="Input [yellow] 2 17 2 5 5" xfId="46775"/>
    <cellStyle name="Input [yellow] 2 17 2 6" xfId="3167"/>
    <cellStyle name="Input [yellow] 2 17 2 6 2" xfId="14364"/>
    <cellStyle name="Input [yellow] 2 17 2 6 3" xfId="25532"/>
    <cellStyle name="Input [yellow] 2 17 2 6 4" xfId="36697"/>
    <cellStyle name="Input [yellow] 2 17 2 6 5" xfId="47890"/>
    <cellStyle name="Input [yellow] 2 17 2 7" xfId="3801"/>
    <cellStyle name="Input [yellow] 2 17 2 7 2" xfId="14998"/>
    <cellStyle name="Input [yellow] 2 17 2 7 3" xfId="26166"/>
    <cellStyle name="Input [yellow] 2 17 2 7 4" xfId="37331"/>
    <cellStyle name="Input [yellow] 2 17 2 7 5" xfId="48524"/>
    <cellStyle name="Input [yellow] 2 17 2 8" xfId="4434"/>
    <cellStyle name="Input [yellow] 2 17 2 8 2" xfId="15631"/>
    <cellStyle name="Input [yellow] 2 17 2 8 3" xfId="26799"/>
    <cellStyle name="Input [yellow] 2 17 2 8 4" xfId="37964"/>
    <cellStyle name="Input [yellow] 2 17 2 8 5" xfId="49157"/>
    <cellStyle name="Input [yellow] 2 17 2 9" xfId="5065"/>
    <cellStyle name="Input [yellow] 2 17 2 9 2" xfId="16262"/>
    <cellStyle name="Input [yellow] 2 17 2 9 3" xfId="27430"/>
    <cellStyle name="Input [yellow] 2 17 2 9 4" xfId="38595"/>
    <cellStyle name="Input [yellow] 2 17 2 9 5" xfId="49788"/>
    <cellStyle name="Input [yellow] 2 17 20" xfId="6157"/>
    <cellStyle name="Input [yellow] 2 17 20 2" xfId="17354"/>
    <cellStyle name="Input [yellow] 2 17 20 3" xfId="28522"/>
    <cellStyle name="Input [yellow] 2 17 20 4" xfId="39687"/>
    <cellStyle name="Input [yellow] 2 17 20 5" xfId="50880"/>
    <cellStyle name="Input [yellow] 2 17 21" xfId="5816"/>
    <cellStyle name="Input [yellow] 2 17 21 2" xfId="17013"/>
    <cellStyle name="Input [yellow] 2 17 21 3" xfId="28181"/>
    <cellStyle name="Input [yellow] 2 17 21 4" xfId="39346"/>
    <cellStyle name="Input [yellow] 2 17 21 5" xfId="50539"/>
    <cellStyle name="Input [yellow] 2 17 22" xfId="6689"/>
    <cellStyle name="Input [yellow] 2 17 22 2" xfId="17886"/>
    <cellStyle name="Input [yellow] 2 17 22 3" xfId="29054"/>
    <cellStyle name="Input [yellow] 2 17 22 4" xfId="40219"/>
    <cellStyle name="Input [yellow] 2 17 22 5" xfId="51412"/>
    <cellStyle name="Input [yellow] 2 17 23" xfId="7323"/>
    <cellStyle name="Input [yellow] 2 17 23 2" xfId="18520"/>
    <cellStyle name="Input [yellow] 2 17 23 3" xfId="29688"/>
    <cellStyle name="Input [yellow] 2 17 23 4" xfId="40853"/>
    <cellStyle name="Input [yellow] 2 17 23 5" xfId="52046"/>
    <cellStyle name="Input [yellow] 2 17 24" xfId="7957"/>
    <cellStyle name="Input [yellow] 2 17 24 2" xfId="19154"/>
    <cellStyle name="Input [yellow] 2 17 24 3" xfId="30322"/>
    <cellStyle name="Input [yellow] 2 17 24 4" xfId="41487"/>
    <cellStyle name="Input [yellow] 2 17 24 5" xfId="52680"/>
    <cellStyle name="Input [yellow] 2 17 25" xfId="8588"/>
    <cellStyle name="Input [yellow] 2 17 25 2" xfId="19785"/>
    <cellStyle name="Input [yellow] 2 17 25 3" xfId="30953"/>
    <cellStyle name="Input [yellow] 2 17 25 4" xfId="42118"/>
    <cellStyle name="Input [yellow] 2 17 25 5" xfId="53311"/>
    <cellStyle name="Input [yellow] 2 17 26" xfId="9015"/>
    <cellStyle name="Input [yellow] 2 17 26 2" xfId="20212"/>
    <cellStyle name="Input [yellow] 2 17 26 3" xfId="31380"/>
    <cellStyle name="Input [yellow] 2 17 26 4" xfId="42545"/>
    <cellStyle name="Input [yellow] 2 17 26 5" xfId="53738"/>
    <cellStyle name="Input [yellow] 2 17 27" xfId="9641"/>
    <cellStyle name="Input [yellow] 2 17 27 2" xfId="20838"/>
    <cellStyle name="Input [yellow] 2 17 27 3" xfId="32006"/>
    <cellStyle name="Input [yellow] 2 17 27 4" xfId="43171"/>
    <cellStyle name="Input [yellow] 2 17 27 5" xfId="54364"/>
    <cellStyle name="Input [yellow] 2 17 28" xfId="10414"/>
    <cellStyle name="Input [yellow] 2 17 28 2" xfId="21611"/>
    <cellStyle name="Input [yellow] 2 17 28 3" xfId="32779"/>
    <cellStyle name="Input [yellow] 2 17 28 4" xfId="43944"/>
    <cellStyle name="Input [yellow] 2 17 28 5" xfId="55137"/>
    <cellStyle name="Input [yellow] 2 17 29" xfId="10673"/>
    <cellStyle name="Input [yellow] 2 17 29 2" xfId="21870"/>
    <cellStyle name="Input [yellow] 2 17 29 3" xfId="33038"/>
    <cellStyle name="Input [yellow] 2 17 29 4" xfId="44203"/>
    <cellStyle name="Input [yellow] 2 17 29 5" xfId="55396"/>
    <cellStyle name="Input [yellow] 2 17 3" xfId="239"/>
    <cellStyle name="Input [yellow] 2 17 3 10" xfId="5878"/>
    <cellStyle name="Input [yellow] 2 17 3 10 2" xfId="17075"/>
    <cellStyle name="Input [yellow] 2 17 3 10 3" xfId="28243"/>
    <cellStyle name="Input [yellow] 2 17 3 10 4" xfId="39408"/>
    <cellStyle name="Input [yellow] 2 17 3 10 5" xfId="50601"/>
    <cellStyle name="Input [yellow] 2 17 3 11" xfId="6061"/>
    <cellStyle name="Input [yellow] 2 17 3 11 2" xfId="17258"/>
    <cellStyle name="Input [yellow] 2 17 3 11 3" xfId="28426"/>
    <cellStyle name="Input [yellow] 2 17 3 11 4" xfId="39591"/>
    <cellStyle name="Input [yellow] 2 17 3 11 5" xfId="50784"/>
    <cellStyle name="Input [yellow] 2 17 3 12" xfId="6808"/>
    <cellStyle name="Input [yellow] 2 17 3 12 2" xfId="18005"/>
    <cellStyle name="Input [yellow] 2 17 3 12 3" xfId="29173"/>
    <cellStyle name="Input [yellow] 2 17 3 12 4" xfId="40338"/>
    <cellStyle name="Input [yellow] 2 17 3 12 5" xfId="51531"/>
    <cellStyle name="Input [yellow] 2 17 3 13" xfId="7442"/>
    <cellStyle name="Input [yellow] 2 17 3 13 2" xfId="18639"/>
    <cellStyle name="Input [yellow] 2 17 3 13 3" xfId="29807"/>
    <cellStyle name="Input [yellow] 2 17 3 13 4" xfId="40972"/>
    <cellStyle name="Input [yellow] 2 17 3 13 5" xfId="52165"/>
    <cellStyle name="Input [yellow] 2 17 3 14" xfId="8076"/>
    <cellStyle name="Input [yellow] 2 17 3 14 2" xfId="19273"/>
    <cellStyle name="Input [yellow] 2 17 3 14 3" xfId="30441"/>
    <cellStyle name="Input [yellow] 2 17 3 14 4" xfId="41606"/>
    <cellStyle name="Input [yellow] 2 17 3 14 5" xfId="52799"/>
    <cellStyle name="Input [yellow] 2 17 3 15" xfId="8707"/>
    <cellStyle name="Input [yellow] 2 17 3 15 2" xfId="19904"/>
    <cellStyle name="Input [yellow] 2 17 3 15 3" xfId="31072"/>
    <cellStyle name="Input [yellow] 2 17 3 15 4" xfId="42237"/>
    <cellStyle name="Input [yellow] 2 17 3 15 5" xfId="53430"/>
    <cellStyle name="Input [yellow] 2 17 3 16" xfId="9129"/>
    <cellStyle name="Input [yellow] 2 17 3 16 2" xfId="20326"/>
    <cellStyle name="Input [yellow] 2 17 3 16 3" xfId="31494"/>
    <cellStyle name="Input [yellow] 2 17 3 16 4" xfId="42659"/>
    <cellStyle name="Input [yellow] 2 17 3 16 5" xfId="53852"/>
    <cellStyle name="Input [yellow] 2 17 3 17" xfId="9758"/>
    <cellStyle name="Input [yellow] 2 17 3 17 2" xfId="20955"/>
    <cellStyle name="Input [yellow] 2 17 3 17 3" xfId="32123"/>
    <cellStyle name="Input [yellow] 2 17 3 17 4" xfId="43288"/>
    <cellStyle name="Input [yellow] 2 17 3 17 5" xfId="54481"/>
    <cellStyle name="Input [yellow] 2 17 3 18" xfId="10495"/>
    <cellStyle name="Input [yellow] 2 17 3 18 2" xfId="21692"/>
    <cellStyle name="Input [yellow] 2 17 3 18 3" xfId="32860"/>
    <cellStyle name="Input [yellow] 2 17 3 18 4" xfId="44025"/>
    <cellStyle name="Input [yellow] 2 17 3 18 5" xfId="55218"/>
    <cellStyle name="Input [yellow] 2 17 3 19" xfId="10792"/>
    <cellStyle name="Input [yellow] 2 17 3 19 2" xfId="21989"/>
    <cellStyle name="Input [yellow] 2 17 3 19 3" xfId="33157"/>
    <cellStyle name="Input [yellow] 2 17 3 19 4" xfId="44322"/>
    <cellStyle name="Input [yellow] 2 17 3 19 5" xfId="55515"/>
    <cellStyle name="Input [yellow] 2 17 3 2" xfId="888"/>
    <cellStyle name="Input [yellow] 2 17 3 2 2" xfId="12085"/>
    <cellStyle name="Input [yellow] 2 17 3 2 3" xfId="23253"/>
    <cellStyle name="Input [yellow] 2 17 3 2 4" xfId="34418"/>
    <cellStyle name="Input [yellow] 2 17 3 2 5" xfId="45611"/>
    <cellStyle name="Input [yellow] 2 17 3 20" xfId="11439"/>
    <cellStyle name="Input [yellow] 2 17 3 21" xfId="22609"/>
    <cellStyle name="Input [yellow] 2 17 3 22" xfId="33776"/>
    <cellStyle name="Input [yellow] 2 17 3 23" xfId="44962"/>
    <cellStyle name="Input [yellow] 2 17 3 3" xfId="1792"/>
    <cellStyle name="Input [yellow] 2 17 3 3 2" xfId="12989"/>
    <cellStyle name="Input [yellow] 2 17 3 3 3" xfId="24157"/>
    <cellStyle name="Input [yellow] 2 17 3 3 4" xfId="35322"/>
    <cellStyle name="Input [yellow] 2 17 3 3 5" xfId="46515"/>
    <cellStyle name="Input [yellow] 2 17 3 4" xfId="2165"/>
    <cellStyle name="Input [yellow] 2 17 3 4 2" xfId="13362"/>
    <cellStyle name="Input [yellow] 2 17 3 4 3" xfId="24530"/>
    <cellStyle name="Input [yellow] 2 17 3 4 4" xfId="35695"/>
    <cellStyle name="Input [yellow] 2 17 3 4 5" xfId="46888"/>
    <cellStyle name="Input [yellow] 2 17 3 5" xfId="2495"/>
    <cellStyle name="Input [yellow] 2 17 3 5 2" xfId="13692"/>
    <cellStyle name="Input [yellow] 2 17 3 5 3" xfId="24860"/>
    <cellStyle name="Input [yellow] 2 17 3 5 4" xfId="36025"/>
    <cellStyle name="Input [yellow] 2 17 3 5 5" xfId="47218"/>
    <cellStyle name="Input [yellow] 2 17 3 6" xfId="3223"/>
    <cellStyle name="Input [yellow] 2 17 3 6 2" xfId="14420"/>
    <cellStyle name="Input [yellow] 2 17 3 6 3" xfId="25588"/>
    <cellStyle name="Input [yellow] 2 17 3 6 4" xfId="36753"/>
    <cellStyle name="Input [yellow] 2 17 3 6 5" xfId="47946"/>
    <cellStyle name="Input [yellow] 2 17 3 7" xfId="3857"/>
    <cellStyle name="Input [yellow] 2 17 3 7 2" xfId="15054"/>
    <cellStyle name="Input [yellow] 2 17 3 7 3" xfId="26222"/>
    <cellStyle name="Input [yellow] 2 17 3 7 4" xfId="37387"/>
    <cellStyle name="Input [yellow] 2 17 3 7 5" xfId="48580"/>
    <cellStyle name="Input [yellow] 2 17 3 8" xfId="4490"/>
    <cellStyle name="Input [yellow] 2 17 3 8 2" xfId="15687"/>
    <cellStyle name="Input [yellow] 2 17 3 8 3" xfId="26855"/>
    <cellStyle name="Input [yellow] 2 17 3 8 4" xfId="38020"/>
    <cellStyle name="Input [yellow] 2 17 3 8 5" xfId="49213"/>
    <cellStyle name="Input [yellow] 2 17 3 9" xfId="5121"/>
    <cellStyle name="Input [yellow] 2 17 3 9 2" xfId="16318"/>
    <cellStyle name="Input [yellow] 2 17 3 9 3" xfId="27486"/>
    <cellStyle name="Input [yellow] 2 17 3 9 4" xfId="38651"/>
    <cellStyle name="Input [yellow] 2 17 3 9 5" xfId="49844"/>
    <cellStyle name="Input [yellow] 2 17 30" xfId="11320"/>
    <cellStyle name="Input [yellow] 2 17 31" xfId="22490"/>
    <cellStyle name="Input [yellow] 2 17 32" xfId="33657"/>
    <cellStyle name="Input [yellow] 2 17 33" xfId="44843"/>
    <cellStyle name="Input [yellow] 2 17 4" xfId="271"/>
    <cellStyle name="Input [yellow] 2 17 4 10" xfId="6016"/>
    <cellStyle name="Input [yellow] 2 17 4 10 2" xfId="17213"/>
    <cellStyle name="Input [yellow] 2 17 4 10 3" xfId="28381"/>
    <cellStyle name="Input [yellow] 2 17 4 10 4" xfId="39546"/>
    <cellStyle name="Input [yellow] 2 17 4 10 5" xfId="50739"/>
    <cellStyle name="Input [yellow] 2 17 4 11" xfId="5627"/>
    <cellStyle name="Input [yellow] 2 17 4 11 2" xfId="16824"/>
    <cellStyle name="Input [yellow] 2 17 4 11 3" xfId="27992"/>
    <cellStyle name="Input [yellow] 2 17 4 11 4" xfId="39157"/>
    <cellStyle name="Input [yellow] 2 17 4 11 5" xfId="50350"/>
    <cellStyle name="Input [yellow] 2 17 4 12" xfId="6840"/>
    <cellStyle name="Input [yellow] 2 17 4 12 2" xfId="18037"/>
    <cellStyle name="Input [yellow] 2 17 4 12 3" xfId="29205"/>
    <cellStyle name="Input [yellow] 2 17 4 12 4" xfId="40370"/>
    <cellStyle name="Input [yellow] 2 17 4 12 5" xfId="51563"/>
    <cellStyle name="Input [yellow] 2 17 4 13" xfId="7474"/>
    <cellStyle name="Input [yellow] 2 17 4 13 2" xfId="18671"/>
    <cellStyle name="Input [yellow] 2 17 4 13 3" xfId="29839"/>
    <cellStyle name="Input [yellow] 2 17 4 13 4" xfId="41004"/>
    <cellStyle name="Input [yellow] 2 17 4 13 5" xfId="52197"/>
    <cellStyle name="Input [yellow] 2 17 4 14" xfId="8108"/>
    <cellStyle name="Input [yellow] 2 17 4 14 2" xfId="19305"/>
    <cellStyle name="Input [yellow] 2 17 4 14 3" xfId="30473"/>
    <cellStyle name="Input [yellow] 2 17 4 14 4" xfId="41638"/>
    <cellStyle name="Input [yellow] 2 17 4 14 5" xfId="52831"/>
    <cellStyle name="Input [yellow] 2 17 4 15" xfId="8738"/>
    <cellStyle name="Input [yellow] 2 17 4 15 2" xfId="19935"/>
    <cellStyle name="Input [yellow] 2 17 4 15 3" xfId="31103"/>
    <cellStyle name="Input [yellow] 2 17 4 15 4" xfId="42268"/>
    <cellStyle name="Input [yellow] 2 17 4 15 5" xfId="53461"/>
    <cellStyle name="Input [yellow] 2 17 4 16" xfId="9159"/>
    <cellStyle name="Input [yellow] 2 17 4 16 2" xfId="20356"/>
    <cellStyle name="Input [yellow] 2 17 4 16 3" xfId="31524"/>
    <cellStyle name="Input [yellow] 2 17 4 16 4" xfId="42689"/>
    <cellStyle name="Input [yellow] 2 17 4 16 5" xfId="53882"/>
    <cellStyle name="Input [yellow] 2 17 4 17" xfId="9788"/>
    <cellStyle name="Input [yellow] 2 17 4 17 2" xfId="20985"/>
    <cellStyle name="Input [yellow] 2 17 4 17 3" xfId="32153"/>
    <cellStyle name="Input [yellow] 2 17 4 17 4" xfId="43318"/>
    <cellStyle name="Input [yellow] 2 17 4 17 5" xfId="54511"/>
    <cellStyle name="Input [yellow] 2 17 4 18" xfId="10417"/>
    <cellStyle name="Input [yellow] 2 17 4 18 2" xfId="21614"/>
    <cellStyle name="Input [yellow] 2 17 4 18 3" xfId="32782"/>
    <cellStyle name="Input [yellow] 2 17 4 18 4" xfId="43947"/>
    <cellStyle name="Input [yellow] 2 17 4 18 5" xfId="55140"/>
    <cellStyle name="Input [yellow] 2 17 4 19" xfId="10824"/>
    <cellStyle name="Input [yellow] 2 17 4 19 2" xfId="22021"/>
    <cellStyle name="Input [yellow] 2 17 4 19 3" xfId="33189"/>
    <cellStyle name="Input [yellow] 2 17 4 19 4" xfId="44354"/>
    <cellStyle name="Input [yellow] 2 17 4 19 5" xfId="55547"/>
    <cellStyle name="Input [yellow] 2 17 4 2" xfId="920"/>
    <cellStyle name="Input [yellow] 2 17 4 2 2" xfId="12117"/>
    <cellStyle name="Input [yellow] 2 17 4 2 3" xfId="23285"/>
    <cellStyle name="Input [yellow] 2 17 4 2 4" xfId="34450"/>
    <cellStyle name="Input [yellow] 2 17 4 2 5" xfId="45643"/>
    <cellStyle name="Input [yellow] 2 17 4 20" xfId="11471"/>
    <cellStyle name="Input [yellow] 2 17 4 21" xfId="22641"/>
    <cellStyle name="Input [yellow] 2 17 4 22" xfId="33808"/>
    <cellStyle name="Input [yellow] 2 17 4 23" xfId="44994"/>
    <cellStyle name="Input [yellow] 2 17 4 3" xfId="1381"/>
    <cellStyle name="Input [yellow] 2 17 4 3 2" xfId="12578"/>
    <cellStyle name="Input [yellow] 2 17 4 3 3" xfId="23746"/>
    <cellStyle name="Input [yellow] 2 17 4 3 4" xfId="34911"/>
    <cellStyle name="Input [yellow] 2 17 4 3 5" xfId="46104"/>
    <cellStyle name="Input [yellow] 2 17 4 4" xfId="2197"/>
    <cellStyle name="Input [yellow] 2 17 4 4 2" xfId="13394"/>
    <cellStyle name="Input [yellow] 2 17 4 4 3" xfId="24562"/>
    <cellStyle name="Input [yellow] 2 17 4 4 4" xfId="35727"/>
    <cellStyle name="Input [yellow] 2 17 4 4 5" xfId="46920"/>
    <cellStyle name="Input [yellow] 2 17 4 5" xfId="2621"/>
    <cellStyle name="Input [yellow] 2 17 4 5 2" xfId="13818"/>
    <cellStyle name="Input [yellow] 2 17 4 5 3" xfId="24986"/>
    <cellStyle name="Input [yellow] 2 17 4 5 4" xfId="36151"/>
    <cellStyle name="Input [yellow] 2 17 4 5 5" xfId="47344"/>
    <cellStyle name="Input [yellow] 2 17 4 6" xfId="3255"/>
    <cellStyle name="Input [yellow] 2 17 4 6 2" xfId="14452"/>
    <cellStyle name="Input [yellow] 2 17 4 6 3" xfId="25620"/>
    <cellStyle name="Input [yellow] 2 17 4 6 4" xfId="36785"/>
    <cellStyle name="Input [yellow] 2 17 4 6 5" xfId="47978"/>
    <cellStyle name="Input [yellow] 2 17 4 7" xfId="3889"/>
    <cellStyle name="Input [yellow] 2 17 4 7 2" xfId="15086"/>
    <cellStyle name="Input [yellow] 2 17 4 7 3" xfId="26254"/>
    <cellStyle name="Input [yellow] 2 17 4 7 4" xfId="37419"/>
    <cellStyle name="Input [yellow] 2 17 4 7 5" xfId="48612"/>
    <cellStyle name="Input [yellow] 2 17 4 8" xfId="4522"/>
    <cellStyle name="Input [yellow] 2 17 4 8 2" xfId="15719"/>
    <cellStyle name="Input [yellow] 2 17 4 8 3" xfId="26887"/>
    <cellStyle name="Input [yellow] 2 17 4 8 4" xfId="38052"/>
    <cellStyle name="Input [yellow] 2 17 4 8 5" xfId="49245"/>
    <cellStyle name="Input [yellow] 2 17 4 9" xfId="5153"/>
    <cellStyle name="Input [yellow] 2 17 4 9 2" xfId="16350"/>
    <cellStyle name="Input [yellow] 2 17 4 9 3" xfId="27518"/>
    <cellStyle name="Input [yellow] 2 17 4 9 4" xfId="38683"/>
    <cellStyle name="Input [yellow] 2 17 4 9 5" xfId="49876"/>
    <cellStyle name="Input [yellow] 2 17 5" xfId="334"/>
    <cellStyle name="Input [yellow] 2 17 5 10" xfId="5776"/>
    <cellStyle name="Input [yellow] 2 17 5 10 2" xfId="16973"/>
    <cellStyle name="Input [yellow] 2 17 5 10 3" xfId="28141"/>
    <cellStyle name="Input [yellow] 2 17 5 10 4" xfId="39306"/>
    <cellStyle name="Input [yellow] 2 17 5 10 5" xfId="50499"/>
    <cellStyle name="Input [yellow] 2 17 5 11" xfId="6270"/>
    <cellStyle name="Input [yellow] 2 17 5 11 2" xfId="17467"/>
    <cellStyle name="Input [yellow] 2 17 5 11 3" xfId="28635"/>
    <cellStyle name="Input [yellow] 2 17 5 11 4" xfId="39800"/>
    <cellStyle name="Input [yellow] 2 17 5 11 5" xfId="50993"/>
    <cellStyle name="Input [yellow] 2 17 5 12" xfId="6903"/>
    <cellStyle name="Input [yellow] 2 17 5 12 2" xfId="18100"/>
    <cellStyle name="Input [yellow] 2 17 5 12 3" xfId="29268"/>
    <cellStyle name="Input [yellow] 2 17 5 12 4" xfId="40433"/>
    <cellStyle name="Input [yellow] 2 17 5 12 5" xfId="51626"/>
    <cellStyle name="Input [yellow] 2 17 5 13" xfId="7537"/>
    <cellStyle name="Input [yellow] 2 17 5 13 2" xfId="18734"/>
    <cellStyle name="Input [yellow] 2 17 5 13 3" xfId="29902"/>
    <cellStyle name="Input [yellow] 2 17 5 13 4" xfId="41067"/>
    <cellStyle name="Input [yellow] 2 17 5 13 5" xfId="52260"/>
    <cellStyle name="Input [yellow] 2 17 5 14" xfId="8171"/>
    <cellStyle name="Input [yellow] 2 17 5 14 2" xfId="19368"/>
    <cellStyle name="Input [yellow] 2 17 5 14 3" xfId="30536"/>
    <cellStyle name="Input [yellow] 2 17 5 14 4" xfId="41701"/>
    <cellStyle name="Input [yellow] 2 17 5 14 5" xfId="52894"/>
    <cellStyle name="Input [yellow] 2 17 5 15" xfId="8800"/>
    <cellStyle name="Input [yellow] 2 17 5 15 2" xfId="19997"/>
    <cellStyle name="Input [yellow] 2 17 5 15 3" xfId="31165"/>
    <cellStyle name="Input [yellow] 2 17 5 15 4" xfId="42330"/>
    <cellStyle name="Input [yellow] 2 17 5 15 5" xfId="53523"/>
    <cellStyle name="Input [yellow] 2 17 5 16" xfId="9222"/>
    <cellStyle name="Input [yellow] 2 17 5 16 2" xfId="20419"/>
    <cellStyle name="Input [yellow] 2 17 5 16 3" xfId="31587"/>
    <cellStyle name="Input [yellow] 2 17 5 16 4" xfId="42752"/>
    <cellStyle name="Input [yellow] 2 17 5 16 5" xfId="53945"/>
    <cellStyle name="Input [yellow] 2 17 5 17" xfId="9849"/>
    <cellStyle name="Input [yellow] 2 17 5 17 2" xfId="21046"/>
    <cellStyle name="Input [yellow] 2 17 5 17 3" xfId="32214"/>
    <cellStyle name="Input [yellow] 2 17 5 17 4" xfId="43379"/>
    <cellStyle name="Input [yellow] 2 17 5 17 5" xfId="54572"/>
    <cellStyle name="Input [yellow] 2 17 5 18" xfId="10351"/>
    <cellStyle name="Input [yellow] 2 17 5 18 2" xfId="21548"/>
    <cellStyle name="Input [yellow] 2 17 5 18 3" xfId="32716"/>
    <cellStyle name="Input [yellow] 2 17 5 18 4" xfId="43881"/>
    <cellStyle name="Input [yellow] 2 17 5 18 5" xfId="55074"/>
    <cellStyle name="Input [yellow] 2 17 5 19" xfId="10887"/>
    <cellStyle name="Input [yellow] 2 17 5 19 2" xfId="22084"/>
    <cellStyle name="Input [yellow] 2 17 5 19 3" xfId="33252"/>
    <cellStyle name="Input [yellow] 2 17 5 19 4" xfId="44417"/>
    <cellStyle name="Input [yellow] 2 17 5 19 5" xfId="55610"/>
    <cellStyle name="Input [yellow] 2 17 5 2" xfId="983"/>
    <cellStyle name="Input [yellow] 2 17 5 2 2" xfId="12180"/>
    <cellStyle name="Input [yellow] 2 17 5 2 3" xfId="23348"/>
    <cellStyle name="Input [yellow] 2 17 5 2 4" xfId="34513"/>
    <cellStyle name="Input [yellow] 2 17 5 2 5" xfId="45706"/>
    <cellStyle name="Input [yellow] 2 17 5 20" xfId="11534"/>
    <cellStyle name="Input [yellow] 2 17 5 21" xfId="22704"/>
    <cellStyle name="Input [yellow] 2 17 5 22" xfId="33871"/>
    <cellStyle name="Input [yellow] 2 17 5 23" xfId="45057"/>
    <cellStyle name="Input [yellow] 2 17 5 3" xfId="1688"/>
    <cellStyle name="Input [yellow] 2 17 5 3 2" xfId="12885"/>
    <cellStyle name="Input [yellow] 2 17 5 3 3" xfId="24053"/>
    <cellStyle name="Input [yellow] 2 17 5 3 4" xfId="35218"/>
    <cellStyle name="Input [yellow] 2 17 5 3 5" xfId="46411"/>
    <cellStyle name="Input [yellow] 2 17 5 4" xfId="2259"/>
    <cellStyle name="Input [yellow] 2 17 5 4 2" xfId="13456"/>
    <cellStyle name="Input [yellow] 2 17 5 4 3" xfId="24624"/>
    <cellStyle name="Input [yellow] 2 17 5 4 4" xfId="35789"/>
    <cellStyle name="Input [yellow] 2 17 5 4 5" xfId="46982"/>
    <cellStyle name="Input [yellow] 2 17 5 5" xfId="2684"/>
    <cellStyle name="Input [yellow] 2 17 5 5 2" xfId="13881"/>
    <cellStyle name="Input [yellow] 2 17 5 5 3" xfId="25049"/>
    <cellStyle name="Input [yellow] 2 17 5 5 4" xfId="36214"/>
    <cellStyle name="Input [yellow] 2 17 5 5 5" xfId="47407"/>
    <cellStyle name="Input [yellow] 2 17 5 6" xfId="3318"/>
    <cellStyle name="Input [yellow] 2 17 5 6 2" xfId="14515"/>
    <cellStyle name="Input [yellow] 2 17 5 6 3" xfId="25683"/>
    <cellStyle name="Input [yellow] 2 17 5 6 4" xfId="36848"/>
    <cellStyle name="Input [yellow] 2 17 5 6 5" xfId="48041"/>
    <cellStyle name="Input [yellow] 2 17 5 7" xfId="3952"/>
    <cellStyle name="Input [yellow] 2 17 5 7 2" xfId="15149"/>
    <cellStyle name="Input [yellow] 2 17 5 7 3" xfId="26317"/>
    <cellStyle name="Input [yellow] 2 17 5 7 4" xfId="37482"/>
    <cellStyle name="Input [yellow] 2 17 5 7 5" xfId="48675"/>
    <cellStyle name="Input [yellow] 2 17 5 8" xfId="4585"/>
    <cellStyle name="Input [yellow] 2 17 5 8 2" xfId="15782"/>
    <cellStyle name="Input [yellow] 2 17 5 8 3" xfId="26950"/>
    <cellStyle name="Input [yellow] 2 17 5 8 4" xfId="38115"/>
    <cellStyle name="Input [yellow] 2 17 5 8 5" xfId="49308"/>
    <cellStyle name="Input [yellow] 2 17 5 9" xfId="5216"/>
    <cellStyle name="Input [yellow] 2 17 5 9 2" xfId="16413"/>
    <cellStyle name="Input [yellow] 2 17 5 9 3" xfId="27581"/>
    <cellStyle name="Input [yellow] 2 17 5 9 4" xfId="38746"/>
    <cellStyle name="Input [yellow] 2 17 5 9 5" xfId="49939"/>
    <cellStyle name="Input [yellow] 2 17 6" xfId="403"/>
    <cellStyle name="Input [yellow] 2 17 6 10" xfId="6116"/>
    <cellStyle name="Input [yellow] 2 17 6 10 2" xfId="17313"/>
    <cellStyle name="Input [yellow] 2 17 6 10 3" xfId="28481"/>
    <cellStyle name="Input [yellow] 2 17 6 10 4" xfId="39646"/>
    <cellStyle name="Input [yellow] 2 17 6 10 5" xfId="50839"/>
    <cellStyle name="Input [yellow] 2 17 6 11" xfId="6339"/>
    <cellStyle name="Input [yellow] 2 17 6 11 2" xfId="17536"/>
    <cellStyle name="Input [yellow] 2 17 6 11 3" xfId="28704"/>
    <cellStyle name="Input [yellow] 2 17 6 11 4" xfId="39869"/>
    <cellStyle name="Input [yellow] 2 17 6 11 5" xfId="51062"/>
    <cellStyle name="Input [yellow] 2 17 6 12" xfId="6972"/>
    <cellStyle name="Input [yellow] 2 17 6 12 2" xfId="18169"/>
    <cellStyle name="Input [yellow] 2 17 6 12 3" xfId="29337"/>
    <cellStyle name="Input [yellow] 2 17 6 12 4" xfId="40502"/>
    <cellStyle name="Input [yellow] 2 17 6 12 5" xfId="51695"/>
    <cellStyle name="Input [yellow] 2 17 6 13" xfId="7606"/>
    <cellStyle name="Input [yellow] 2 17 6 13 2" xfId="18803"/>
    <cellStyle name="Input [yellow] 2 17 6 13 3" xfId="29971"/>
    <cellStyle name="Input [yellow] 2 17 6 13 4" xfId="41136"/>
    <cellStyle name="Input [yellow] 2 17 6 13 5" xfId="52329"/>
    <cellStyle name="Input [yellow] 2 17 6 14" xfId="8240"/>
    <cellStyle name="Input [yellow] 2 17 6 14 2" xfId="19437"/>
    <cellStyle name="Input [yellow] 2 17 6 14 3" xfId="30605"/>
    <cellStyle name="Input [yellow] 2 17 6 14 4" xfId="41770"/>
    <cellStyle name="Input [yellow] 2 17 6 14 5" xfId="52963"/>
    <cellStyle name="Input [yellow] 2 17 6 15" xfId="8868"/>
    <cellStyle name="Input [yellow] 2 17 6 15 2" xfId="20065"/>
    <cellStyle name="Input [yellow] 2 17 6 15 3" xfId="31233"/>
    <cellStyle name="Input [yellow] 2 17 6 15 4" xfId="42398"/>
    <cellStyle name="Input [yellow] 2 17 6 15 5" xfId="53591"/>
    <cellStyle name="Input [yellow] 2 17 6 16" xfId="9291"/>
    <cellStyle name="Input [yellow] 2 17 6 16 2" xfId="20488"/>
    <cellStyle name="Input [yellow] 2 17 6 16 3" xfId="31656"/>
    <cellStyle name="Input [yellow] 2 17 6 16 4" xfId="42821"/>
    <cellStyle name="Input [yellow] 2 17 6 16 5" xfId="54014"/>
    <cellStyle name="Input [yellow] 2 17 6 17" xfId="9917"/>
    <cellStyle name="Input [yellow] 2 17 6 17 2" xfId="21114"/>
    <cellStyle name="Input [yellow] 2 17 6 17 3" xfId="32282"/>
    <cellStyle name="Input [yellow] 2 17 6 17 4" xfId="43447"/>
    <cellStyle name="Input [yellow] 2 17 6 17 5" xfId="54640"/>
    <cellStyle name="Input [yellow] 2 17 6 18" xfId="10612"/>
    <cellStyle name="Input [yellow] 2 17 6 18 2" xfId="21809"/>
    <cellStyle name="Input [yellow] 2 17 6 18 3" xfId="32977"/>
    <cellStyle name="Input [yellow] 2 17 6 18 4" xfId="44142"/>
    <cellStyle name="Input [yellow] 2 17 6 18 5" xfId="55335"/>
    <cellStyle name="Input [yellow] 2 17 6 19" xfId="10956"/>
    <cellStyle name="Input [yellow] 2 17 6 19 2" xfId="22153"/>
    <cellStyle name="Input [yellow] 2 17 6 19 3" xfId="33321"/>
    <cellStyle name="Input [yellow] 2 17 6 19 4" xfId="44486"/>
    <cellStyle name="Input [yellow] 2 17 6 19 5" xfId="55679"/>
    <cellStyle name="Input [yellow] 2 17 6 2" xfId="1052"/>
    <cellStyle name="Input [yellow] 2 17 6 2 2" xfId="12249"/>
    <cellStyle name="Input [yellow] 2 17 6 2 3" xfId="23417"/>
    <cellStyle name="Input [yellow] 2 17 6 2 4" xfId="34582"/>
    <cellStyle name="Input [yellow] 2 17 6 2 5" xfId="45775"/>
    <cellStyle name="Input [yellow] 2 17 6 20" xfId="11603"/>
    <cellStyle name="Input [yellow] 2 17 6 21" xfId="22773"/>
    <cellStyle name="Input [yellow] 2 17 6 22" xfId="33940"/>
    <cellStyle name="Input [yellow] 2 17 6 23" xfId="45126"/>
    <cellStyle name="Input [yellow] 2 17 6 3" xfId="1883"/>
    <cellStyle name="Input [yellow] 2 17 6 3 2" xfId="13080"/>
    <cellStyle name="Input [yellow] 2 17 6 3 3" xfId="24248"/>
    <cellStyle name="Input [yellow] 2 17 6 3 4" xfId="35413"/>
    <cellStyle name="Input [yellow] 2 17 6 3 5" xfId="46606"/>
    <cellStyle name="Input [yellow] 2 17 6 4" xfId="2328"/>
    <cellStyle name="Input [yellow] 2 17 6 4 2" xfId="13525"/>
    <cellStyle name="Input [yellow] 2 17 6 4 3" xfId="24693"/>
    <cellStyle name="Input [yellow] 2 17 6 4 4" xfId="35858"/>
    <cellStyle name="Input [yellow] 2 17 6 4 5" xfId="47051"/>
    <cellStyle name="Input [yellow] 2 17 6 5" xfId="2753"/>
    <cellStyle name="Input [yellow] 2 17 6 5 2" xfId="13950"/>
    <cellStyle name="Input [yellow] 2 17 6 5 3" xfId="25118"/>
    <cellStyle name="Input [yellow] 2 17 6 5 4" xfId="36283"/>
    <cellStyle name="Input [yellow] 2 17 6 5 5" xfId="47476"/>
    <cellStyle name="Input [yellow] 2 17 6 6" xfId="3387"/>
    <cellStyle name="Input [yellow] 2 17 6 6 2" xfId="14584"/>
    <cellStyle name="Input [yellow] 2 17 6 6 3" xfId="25752"/>
    <cellStyle name="Input [yellow] 2 17 6 6 4" xfId="36917"/>
    <cellStyle name="Input [yellow] 2 17 6 6 5" xfId="48110"/>
    <cellStyle name="Input [yellow] 2 17 6 7" xfId="4021"/>
    <cellStyle name="Input [yellow] 2 17 6 7 2" xfId="15218"/>
    <cellStyle name="Input [yellow] 2 17 6 7 3" xfId="26386"/>
    <cellStyle name="Input [yellow] 2 17 6 7 4" xfId="37551"/>
    <cellStyle name="Input [yellow] 2 17 6 7 5" xfId="48744"/>
    <cellStyle name="Input [yellow] 2 17 6 8" xfId="4654"/>
    <cellStyle name="Input [yellow] 2 17 6 8 2" xfId="15851"/>
    <cellStyle name="Input [yellow] 2 17 6 8 3" xfId="27019"/>
    <cellStyle name="Input [yellow] 2 17 6 8 4" xfId="38184"/>
    <cellStyle name="Input [yellow] 2 17 6 8 5" xfId="49377"/>
    <cellStyle name="Input [yellow] 2 17 6 9" xfId="5285"/>
    <cellStyle name="Input [yellow] 2 17 6 9 2" xfId="16482"/>
    <cellStyle name="Input [yellow] 2 17 6 9 3" xfId="27650"/>
    <cellStyle name="Input [yellow] 2 17 6 9 4" xfId="38815"/>
    <cellStyle name="Input [yellow] 2 17 6 9 5" xfId="50008"/>
    <cellStyle name="Input [yellow] 2 17 7" xfId="389"/>
    <cellStyle name="Input [yellow] 2 17 7 10" xfId="6069"/>
    <cellStyle name="Input [yellow] 2 17 7 10 2" xfId="17266"/>
    <cellStyle name="Input [yellow] 2 17 7 10 3" xfId="28434"/>
    <cellStyle name="Input [yellow] 2 17 7 10 4" xfId="39599"/>
    <cellStyle name="Input [yellow] 2 17 7 10 5" xfId="50792"/>
    <cellStyle name="Input [yellow] 2 17 7 11" xfId="6325"/>
    <cellStyle name="Input [yellow] 2 17 7 11 2" xfId="17522"/>
    <cellStyle name="Input [yellow] 2 17 7 11 3" xfId="28690"/>
    <cellStyle name="Input [yellow] 2 17 7 11 4" xfId="39855"/>
    <cellStyle name="Input [yellow] 2 17 7 11 5" xfId="51048"/>
    <cellStyle name="Input [yellow] 2 17 7 12" xfId="6958"/>
    <cellStyle name="Input [yellow] 2 17 7 12 2" xfId="18155"/>
    <cellStyle name="Input [yellow] 2 17 7 12 3" xfId="29323"/>
    <cellStyle name="Input [yellow] 2 17 7 12 4" xfId="40488"/>
    <cellStyle name="Input [yellow] 2 17 7 12 5" xfId="51681"/>
    <cellStyle name="Input [yellow] 2 17 7 13" xfId="7592"/>
    <cellStyle name="Input [yellow] 2 17 7 13 2" xfId="18789"/>
    <cellStyle name="Input [yellow] 2 17 7 13 3" xfId="29957"/>
    <cellStyle name="Input [yellow] 2 17 7 13 4" xfId="41122"/>
    <cellStyle name="Input [yellow] 2 17 7 13 5" xfId="52315"/>
    <cellStyle name="Input [yellow] 2 17 7 14" xfId="8226"/>
    <cellStyle name="Input [yellow] 2 17 7 14 2" xfId="19423"/>
    <cellStyle name="Input [yellow] 2 17 7 14 3" xfId="30591"/>
    <cellStyle name="Input [yellow] 2 17 7 14 4" xfId="41756"/>
    <cellStyle name="Input [yellow] 2 17 7 14 5" xfId="52949"/>
    <cellStyle name="Input [yellow] 2 17 7 15" xfId="8854"/>
    <cellStyle name="Input [yellow] 2 17 7 15 2" xfId="20051"/>
    <cellStyle name="Input [yellow] 2 17 7 15 3" xfId="31219"/>
    <cellStyle name="Input [yellow] 2 17 7 15 4" xfId="42384"/>
    <cellStyle name="Input [yellow] 2 17 7 15 5" xfId="53577"/>
    <cellStyle name="Input [yellow] 2 17 7 16" xfId="9277"/>
    <cellStyle name="Input [yellow] 2 17 7 16 2" xfId="20474"/>
    <cellStyle name="Input [yellow] 2 17 7 16 3" xfId="31642"/>
    <cellStyle name="Input [yellow] 2 17 7 16 4" xfId="42807"/>
    <cellStyle name="Input [yellow] 2 17 7 16 5" xfId="54000"/>
    <cellStyle name="Input [yellow] 2 17 7 17" xfId="9903"/>
    <cellStyle name="Input [yellow] 2 17 7 17 2" xfId="21100"/>
    <cellStyle name="Input [yellow] 2 17 7 17 3" xfId="32268"/>
    <cellStyle name="Input [yellow] 2 17 7 17 4" xfId="43433"/>
    <cellStyle name="Input [yellow] 2 17 7 17 5" xfId="54626"/>
    <cellStyle name="Input [yellow] 2 17 7 18" xfId="10206"/>
    <cellStyle name="Input [yellow] 2 17 7 18 2" xfId="21403"/>
    <cellStyle name="Input [yellow] 2 17 7 18 3" xfId="32571"/>
    <cellStyle name="Input [yellow] 2 17 7 18 4" xfId="43736"/>
    <cellStyle name="Input [yellow] 2 17 7 18 5" xfId="54929"/>
    <cellStyle name="Input [yellow] 2 17 7 19" xfId="10942"/>
    <cellStyle name="Input [yellow] 2 17 7 19 2" xfId="22139"/>
    <cellStyle name="Input [yellow] 2 17 7 19 3" xfId="33307"/>
    <cellStyle name="Input [yellow] 2 17 7 19 4" xfId="44472"/>
    <cellStyle name="Input [yellow] 2 17 7 19 5" xfId="55665"/>
    <cellStyle name="Input [yellow] 2 17 7 2" xfId="1038"/>
    <cellStyle name="Input [yellow] 2 17 7 2 2" xfId="12235"/>
    <cellStyle name="Input [yellow] 2 17 7 2 3" xfId="23403"/>
    <cellStyle name="Input [yellow] 2 17 7 2 4" xfId="34568"/>
    <cellStyle name="Input [yellow] 2 17 7 2 5" xfId="45761"/>
    <cellStyle name="Input [yellow] 2 17 7 20" xfId="11589"/>
    <cellStyle name="Input [yellow] 2 17 7 21" xfId="22759"/>
    <cellStyle name="Input [yellow] 2 17 7 22" xfId="33926"/>
    <cellStyle name="Input [yellow] 2 17 7 23" xfId="45112"/>
    <cellStyle name="Input [yellow] 2 17 7 3" xfId="1527"/>
    <cellStyle name="Input [yellow] 2 17 7 3 2" xfId="12724"/>
    <cellStyle name="Input [yellow] 2 17 7 3 3" xfId="23892"/>
    <cellStyle name="Input [yellow] 2 17 7 3 4" xfId="35057"/>
    <cellStyle name="Input [yellow] 2 17 7 3 5" xfId="46250"/>
    <cellStyle name="Input [yellow] 2 17 7 4" xfId="2314"/>
    <cellStyle name="Input [yellow] 2 17 7 4 2" xfId="13511"/>
    <cellStyle name="Input [yellow] 2 17 7 4 3" xfId="24679"/>
    <cellStyle name="Input [yellow] 2 17 7 4 4" xfId="35844"/>
    <cellStyle name="Input [yellow] 2 17 7 4 5" xfId="47037"/>
    <cellStyle name="Input [yellow] 2 17 7 5" xfId="2739"/>
    <cellStyle name="Input [yellow] 2 17 7 5 2" xfId="13936"/>
    <cellStyle name="Input [yellow] 2 17 7 5 3" xfId="25104"/>
    <cellStyle name="Input [yellow] 2 17 7 5 4" xfId="36269"/>
    <cellStyle name="Input [yellow] 2 17 7 5 5" xfId="47462"/>
    <cellStyle name="Input [yellow] 2 17 7 6" xfId="3373"/>
    <cellStyle name="Input [yellow] 2 17 7 6 2" xfId="14570"/>
    <cellStyle name="Input [yellow] 2 17 7 6 3" xfId="25738"/>
    <cellStyle name="Input [yellow] 2 17 7 6 4" xfId="36903"/>
    <cellStyle name="Input [yellow] 2 17 7 6 5" xfId="48096"/>
    <cellStyle name="Input [yellow] 2 17 7 7" xfId="4007"/>
    <cellStyle name="Input [yellow] 2 17 7 7 2" xfId="15204"/>
    <cellStyle name="Input [yellow] 2 17 7 7 3" xfId="26372"/>
    <cellStyle name="Input [yellow] 2 17 7 7 4" xfId="37537"/>
    <cellStyle name="Input [yellow] 2 17 7 7 5" xfId="48730"/>
    <cellStyle name="Input [yellow] 2 17 7 8" xfId="4640"/>
    <cellStyle name="Input [yellow] 2 17 7 8 2" xfId="15837"/>
    <cellStyle name="Input [yellow] 2 17 7 8 3" xfId="27005"/>
    <cellStyle name="Input [yellow] 2 17 7 8 4" xfId="38170"/>
    <cellStyle name="Input [yellow] 2 17 7 8 5" xfId="49363"/>
    <cellStyle name="Input [yellow] 2 17 7 9" xfId="5271"/>
    <cellStyle name="Input [yellow] 2 17 7 9 2" xfId="16468"/>
    <cellStyle name="Input [yellow] 2 17 7 9 3" xfId="27636"/>
    <cellStyle name="Input [yellow] 2 17 7 9 4" xfId="38801"/>
    <cellStyle name="Input [yellow] 2 17 7 9 5" xfId="49994"/>
    <cellStyle name="Input [yellow] 2 17 8" xfId="529"/>
    <cellStyle name="Input [yellow] 2 17 8 10" xfId="6207"/>
    <cellStyle name="Input [yellow] 2 17 8 10 2" xfId="17404"/>
    <cellStyle name="Input [yellow] 2 17 8 10 3" xfId="28572"/>
    <cellStyle name="Input [yellow] 2 17 8 10 4" xfId="39737"/>
    <cellStyle name="Input [yellow] 2 17 8 10 5" xfId="50930"/>
    <cellStyle name="Input [yellow] 2 17 8 11" xfId="6465"/>
    <cellStyle name="Input [yellow] 2 17 8 11 2" xfId="17662"/>
    <cellStyle name="Input [yellow] 2 17 8 11 3" xfId="28830"/>
    <cellStyle name="Input [yellow] 2 17 8 11 4" xfId="39995"/>
    <cellStyle name="Input [yellow] 2 17 8 11 5" xfId="51188"/>
    <cellStyle name="Input [yellow] 2 17 8 12" xfId="7098"/>
    <cellStyle name="Input [yellow] 2 17 8 12 2" xfId="18295"/>
    <cellStyle name="Input [yellow] 2 17 8 12 3" xfId="29463"/>
    <cellStyle name="Input [yellow] 2 17 8 12 4" xfId="40628"/>
    <cellStyle name="Input [yellow] 2 17 8 12 5" xfId="51821"/>
    <cellStyle name="Input [yellow] 2 17 8 13" xfId="7732"/>
    <cellStyle name="Input [yellow] 2 17 8 13 2" xfId="18929"/>
    <cellStyle name="Input [yellow] 2 17 8 13 3" xfId="30097"/>
    <cellStyle name="Input [yellow] 2 17 8 13 4" xfId="41262"/>
    <cellStyle name="Input [yellow] 2 17 8 13 5" xfId="52455"/>
    <cellStyle name="Input [yellow] 2 17 8 14" xfId="8366"/>
    <cellStyle name="Input [yellow] 2 17 8 14 2" xfId="19563"/>
    <cellStyle name="Input [yellow] 2 17 8 14 3" xfId="30731"/>
    <cellStyle name="Input [yellow] 2 17 8 14 4" xfId="41896"/>
    <cellStyle name="Input [yellow] 2 17 8 14 5" xfId="53089"/>
    <cellStyle name="Input [yellow] 2 17 8 15" xfId="8994"/>
    <cellStyle name="Input [yellow] 2 17 8 15 2" xfId="20191"/>
    <cellStyle name="Input [yellow] 2 17 8 15 3" xfId="31359"/>
    <cellStyle name="Input [yellow] 2 17 8 15 4" xfId="42524"/>
    <cellStyle name="Input [yellow] 2 17 8 15 5" xfId="53717"/>
    <cellStyle name="Input [yellow] 2 17 8 16" xfId="9417"/>
    <cellStyle name="Input [yellow] 2 17 8 16 2" xfId="20614"/>
    <cellStyle name="Input [yellow] 2 17 8 16 3" xfId="31782"/>
    <cellStyle name="Input [yellow] 2 17 8 16 4" xfId="42947"/>
    <cellStyle name="Input [yellow] 2 17 8 16 5" xfId="54140"/>
    <cellStyle name="Input [yellow] 2 17 8 17" xfId="10042"/>
    <cellStyle name="Input [yellow] 2 17 8 17 2" xfId="21239"/>
    <cellStyle name="Input [yellow] 2 17 8 17 3" xfId="32407"/>
    <cellStyle name="Input [yellow] 2 17 8 17 4" xfId="43572"/>
    <cellStyle name="Input [yellow] 2 17 8 17 5" xfId="54765"/>
    <cellStyle name="Input [yellow] 2 17 8 18" xfId="10621"/>
    <cellStyle name="Input [yellow] 2 17 8 18 2" xfId="21818"/>
    <cellStyle name="Input [yellow] 2 17 8 18 3" xfId="32986"/>
    <cellStyle name="Input [yellow] 2 17 8 18 4" xfId="44151"/>
    <cellStyle name="Input [yellow] 2 17 8 18 5" xfId="55344"/>
    <cellStyle name="Input [yellow] 2 17 8 19" xfId="11082"/>
    <cellStyle name="Input [yellow] 2 17 8 19 2" xfId="22279"/>
    <cellStyle name="Input [yellow] 2 17 8 19 3" xfId="33447"/>
    <cellStyle name="Input [yellow] 2 17 8 19 4" xfId="44612"/>
    <cellStyle name="Input [yellow] 2 17 8 19 5" xfId="55805"/>
    <cellStyle name="Input [yellow] 2 17 8 2" xfId="1178"/>
    <cellStyle name="Input [yellow] 2 17 8 2 2" xfId="12375"/>
    <cellStyle name="Input [yellow] 2 17 8 2 3" xfId="23543"/>
    <cellStyle name="Input [yellow] 2 17 8 2 4" xfId="34708"/>
    <cellStyle name="Input [yellow] 2 17 8 2 5" xfId="45901"/>
    <cellStyle name="Input [yellow] 2 17 8 20" xfId="11729"/>
    <cellStyle name="Input [yellow] 2 17 8 21" xfId="22899"/>
    <cellStyle name="Input [yellow] 2 17 8 22" xfId="34066"/>
    <cellStyle name="Input [yellow] 2 17 8 23" xfId="45252"/>
    <cellStyle name="Input [yellow] 2 17 8 3" xfId="1888"/>
    <cellStyle name="Input [yellow] 2 17 8 3 2" xfId="13085"/>
    <cellStyle name="Input [yellow] 2 17 8 3 3" xfId="24253"/>
    <cellStyle name="Input [yellow] 2 17 8 3 4" xfId="35418"/>
    <cellStyle name="Input [yellow] 2 17 8 3 5" xfId="46611"/>
    <cellStyle name="Input [yellow] 2 17 8 4" xfId="2454"/>
    <cellStyle name="Input [yellow] 2 17 8 4 2" xfId="13651"/>
    <cellStyle name="Input [yellow] 2 17 8 4 3" xfId="24819"/>
    <cellStyle name="Input [yellow] 2 17 8 4 4" xfId="35984"/>
    <cellStyle name="Input [yellow] 2 17 8 4 5" xfId="47177"/>
    <cellStyle name="Input [yellow] 2 17 8 5" xfId="2879"/>
    <cellStyle name="Input [yellow] 2 17 8 5 2" xfId="14076"/>
    <cellStyle name="Input [yellow] 2 17 8 5 3" xfId="25244"/>
    <cellStyle name="Input [yellow] 2 17 8 5 4" xfId="36409"/>
    <cellStyle name="Input [yellow] 2 17 8 5 5" xfId="47602"/>
    <cellStyle name="Input [yellow] 2 17 8 6" xfId="3513"/>
    <cellStyle name="Input [yellow] 2 17 8 6 2" xfId="14710"/>
    <cellStyle name="Input [yellow] 2 17 8 6 3" xfId="25878"/>
    <cellStyle name="Input [yellow] 2 17 8 6 4" xfId="37043"/>
    <cellStyle name="Input [yellow] 2 17 8 6 5" xfId="48236"/>
    <cellStyle name="Input [yellow] 2 17 8 7" xfId="4147"/>
    <cellStyle name="Input [yellow] 2 17 8 7 2" xfId="15344"/>
    <cellStyle name="Input [yellow] 2 17 8 7 3" xfId="26512"/>
    <cellStyle name="Input [yellow] 2 17 8 7 4" xfId="37677"/>
    <cellStyle name="Input [yellow] 2 17 8 7 5" xfId="48870"/>
    <cellStyle name="Input [yellow] 2 17 8 8" xfId="4780"/>
    <cellStyle name="Input [yellow] 2 17 8 8 2" xfId="15977"/>
    <cellStyle name="Input [yellow] 2 17 8 8 3" xfId="27145"/>
    <cellStyle name="Input [yellow] 2 17 8 8 4" xfId="38310"/>
    <cellStyle name="Input [yellow] 2 17 8 8 5" xfId="49503"/>
    <cellStyle name="Input [yellow] 2 17 8 9" xfId="5411"/>
    <cellStyle name="Input [yellow] 2 17 8 9 2" xfId="16608"/>
    <cellStyle name="Input [yellow] 2 17 8 9 3" xfId="27776"/>
    <cellStyle name="Input [yellow] 2 17 8 9 4" xfId="38941"/>
    <cellStyle name="Input [yellow] 2 17 8 9 5" xfId="50134"/>
    <cellStyle name="Input [yellow] 2 17 9" xfId="587"/>
    <cellStyle name="Input [yellow] 2 17 9 10" xfId="5746"/>
    <cellStyle name="Input [yellow] 2 17 9 10 2" xfId="16943"/>
    <cellStyle name="Input [yellow] 2 17 9 10 3" xfId="28111"/>
    <cellStyle name="Input [yellow] 2 17 9 10 4" xfId="39276"/>
    <cellStyle name="Input [yellow] 2 17 9 10 5" xfId="50469"/>
    <cellStyle name="Input [yellow] 2 17 9 11" xfId="6523"/>
    <cellStyle name="Input [yellow] 2 17 9 11 2" xfId="17720"/>
    <cellStyle name="Input [yellow] 2 17 9 11 3" xfId="28888"/>
    <cellStyle name="Input [yellow] 2 17 9 11 4" xfId="40053"/>
    <cellStyle name="Input [yellow] 2 17 9 11 5" xfId="51246"/>
    <cellStyle name="Input [yellow] 2 17 9 12" xfId="7156"/>
    <cellStyle name="Input [yellow] 2 17 9 12 2" xfId="18353"/>
    <cellStyle name="Input [yellow] 2 17 9 12 3" xfId="29521"/>
    <cellStyle name="Input [yellow] 2 17 9 12 4" xfId="40686"/>
    <cellStyle name="Input [yellow] 2 17 9 12 5" xfId="51879"/>
    <cellStyle name="Input [yellow] 2 17 9 13" xfId="7790"/>
    <cellStyle name="Input [yellow] 2 17 9 13 2" xfId="18987"/>
    <cellStyle name="Input [yellow] 2 17 9 13 3" xfId="30155"/>
    <cellStyle name="Input [yellow] 2 17 9 13 4" xfId="41320"/>
    <cellStyle name="Input [yellow] 2 17 9 13 5" xfId="52513"/>
    <cellStyle name="Input [yellow] 2 17 9 14" xfId="8424"/>
    <cellStyle name="Input [yellow] 2 17 9 14 2" xfId="19621"/>
    <cellStyle name="Input [yellow] 2 17 9 14 3" xfId="30789"/>
    <cellStyle name="Input [yellow] 2 17 9 14 4" xfId="41954"/>
    <cellStyle name="Input [yellow] 2 17 9 14 5" xfId="53147"/>
    <cellStyle name="Input [yellow] 2 17 9 15" xfId="9052"/>
    <cellStyle name="Input [yellow] 2 17 9 15 2" xfId="20249"/>
    <cellStyle name="Input [yellow] 2 17 9 15 3" xfId="31417"/>
    <cellStyle name="Input [yellow] 2 17 9 15 4" xfId="42582"/>
    <cellStyle name="Input [yellow] 2 17 9 15 5" xfId="53775"/>
    <cellStyle name="Input [yellow] 2 17 9 16" xfId="9475"/>
    <cellStyle name="Input [yellow] 2 17 9 16 2" xfId="20672"/>
    <cellStyle name="Input [yellow] 2 17 9 16 3" xfId="31840"/>
    <cellStyle name="Input [yellow] 2 17 9 16 4" xfId="43005"/>
    <cellStyle name="Input [yellow] 2 17 9 16 5" xfId="54198"/>
    <cellStyle name="Input [yellow] 2 17 9 17" xfId="10100"/>
    <cellStyle name="Input [yellow] 2 17 9 17 2" xfId="21297"/>
    <cellStyle name="Input [yellow] 2 17 9 17 3" xfId="32465"/>
    <cellStyle name="Input [yellow] 2 17 9 17 4" xfId="43630"/>
    <cellStyle name="Input [yellow] 2 17 9 17 5" xfId="54823"/>
    <cellStyle name="Input [yellow] 2 17 9 18" xfId="10411"/>
    <cellStyle name="Input [yellow] 2 17 9 18 2" xfId="21608"/>
    <cellStyle name="Input [yellow] 2 17 9 18 3" xfId="32776"/>
    <cellStyle name="Input [yellow] 2 17 9 18 4" xfId="43941"/>
    <cellStyle name="Input [yellow] 2 17 9 18 5" xfId="55134"/>
    <cellStyle name="Input [yellow] 2 17 9 19" xfId="11140"/>
    <cellStyle name="Input [yellow] 2 17 9 19 2" xfId="22337"/>
    <cellStyle name="Input [yellow] 2 17 9 19 3" xfId="33505"/>
    <cellStyle name="Input [yellow] 2 17 9 19 4" xfId="44670"/>
    <cellStyle name="Input [yellow] 2 17 9 19 5" xfId="55863"/>
    <cellStyle name="Input [yellow] 2 17 9 2" xfId="1236"/>
    <cellStyle name="Input [yellow] 2 17 9 2 2" xfId="12433"/>
    <cellStyle name="Input [yellow] 2 17 9 2 3" xfId="23601"/>
    <cellStyle name="Input [yellow] 2 17 9 2 4" xfId="34766"/>
    <cellStyle name="Input [yellow] 2 17 9 2 5" xfId="45959"/>
    <cellStyle name="Input [yellow] 2 17 9 20" xfId="11787"/>
    <cellStyle name="Input [yellow] 2 17 9 21" xfId="22957"/>
    <cellStyle name="Input [yellow] 2 17 9 22" xfId="34124"/>
    <cellStyle name="Input [yellow] 2 17 9 23" xfId="45310"/>
    <cellStyle name="Input [yellow] 2 17 9 3" xfId="1685"/>
    <cellStyle name="Input [yellow] 2 17 9 3 2" xfId="12882"/>
    <cellStyle name="Input [yellow] 2 17 9 3 3" xfId="24050"/>
    <cellStyle name="Input [yellow] 2 17 9 3 4" xfId="35215"/>
    <cellStyle name="Input [yellow] 2 17 9 3 5" xfId="46408"/>
    <cellStyle name="Input [yellow] 2 17 9 4" xfId="2512"/>
    <cellStyle name="Input [yellow] 2 17 9 4 2" xfId="13709"/>
    <cellStyle name="Input [yellow] 2 17 9 4 3" xfId="24877"/>
    <cellStyle name="Input [yellow] 2 17 9 4 4" xfId="36042"/>
    <cellStyle name="Input [yellow] 2 17 9 4 5" xfId="47235"/>
    <cellStyle name="Input [yellow] 2 17 9 5" xfId="2937"/>
    <cellStyle name="Input [yellow] 2 17 9 5 2" xfId="14134"/>
    <cellStyle name="Input [yellow] 2 17 9 5 3" xfId="25302"/>
    <cellStyle name="Input [yellow] 2 17 9 5 4" xfId="36467"/>
    <cellStyle name="Input [yellow] 2 17 9 5 5" xfId="47660"/>
    <cellStyle name="Input [yellow] 2 17 9 6" xfId="3571"/>
    <cellStyle name="Input [yellow] 2 17 9 6 2" xfId="14768"/>
    <cellStyle name="Input [yellow] 2 17 9 6 3" xfId="25936"/>
    <cellStyle name="Input [yellow] 2 17 9 6 4" xfId="37101"/>
    <cellStyle name="Input [yellow] 2 17 9 6 5" xfId="48294"/>
    <cellStyle name="Input [yellow] 2 17 9 7" xfId="4205"/>
    <cellStyle name="Input [yellow] 2 17 9 7 2" xfId="15402"/>
    <cellStyle name="Input [yellow] 2 17 9 7 3" xfId="26570"/>
    <cellStyle name="Input [yellow] 2 17 9 7 4" xfId="37735"/>
    <cellStyle name="Input [yellow] 2 17 9 7 5" xfId="48928"/>
    <cellStyle name="Input [yellow] 2 17 9 8" xfId="4838"/>
    <cellStyle name="Input [yellow] 2 17 9 8 2" xfId="16035"/>
    <cellStyle name="Input [yellow] 2 17 9 8 3" xfId="27203"/>
    <cellStyle name="Input [yellow] 2 17 9 8 4" xfId="38368"/>
    <cellStyle name="Input [yellow] 2 17 9 8 5" xfId="49561"/>
    <cellStyle name="Input [yellow] 2 17 9 9" xfId="5469"/>
    <cellStyle name="Input [yellow] 2 17 9 9 2" xfId="16666"/>
    <cellStyle name="Input [yellow] 2 17 9 9 3" xfId="27834"/>
    <cellStyle name="Input [yellow] 2 17 9 9 4" xfId="38999"/>
    <cellStyle name="Input [yellow] 2 17 9 9 5" xfId="50192"/>
    <cellStyle name="Input [yellow] 2 18" xfId="123"/>
    <cellStyle name="Input [yellow] 2 18 10" xfId="645"/>
    <cellStyle name="Input [yellow] 2 18 10 10" xfId="6034"/>
    <cellStyle name="Input [yellow] 2 18 10 10 2" xfId="17231"/>
    <cellStyle name="Input [yellow] 2 18 10 10 3" xfId="28399"/>
    <cellStyle name="Input [yellow] 2 18 10 10 4" xfId="39564"/>
    <cellStyle name="Input [yellow] 2 18 10 10 5" xfId="50757"/>
    <cellStyle name="Input [yellow] 2 18 10 11" xfId="6581"/>
    <cellStyle name="Input [yellow] 2 18 10 11 2" xfId="17778"/>
    <cellStyle name="Input [yellow] 2 18 10 11 3" xfId="28946"/>
    <cellStyle name="Input [yellow] 2 18 10 11 4" xfId="40111"/>
    <cellStyle name="Input [yellow] 2 18 10 11 5" xfId="51304"/>
    <cellStyle name="Input [yellow] 2 18 10 12" xfId="7214"/>
    <cellStyle name="Input [yellow] 2 18 10 12 2" xfId="18411"/>
    <cellStyle name="Input [yellow] 2 18 10 12 3" xfId="29579"/>
    <cellStyle name="Input [yellow] 2 18 10 12 4" xfId="40744"/>
    <cellStyle name="Input [yellow] 2 18 10 12 5" xfId="51937"/>
    <cellStyle name="Input [yellow] 2 18 10 13" xfId="7848"/>
    <cellStyle name="Input [yellow] 2 18 10 13 2" xfId="19045"/>
    <cellStyle name="Input [yellow] 2 18 10 13 3" xfId="30213"/>
    <cellStyle name="Input [yellow] 2 18 10 13 4" xfId="41378"/>
    <cellStyle name="Input [yellow] 2 18 10 13 5" xfId="52571"/>
    <cellStyle name="Input [yellow] 2 18 10 14" xfId="8482"/>
    <cellStyle name="Input [yellow] 2 18 10 14 2" xfId="19679"/>
    <cellStyle name="Input [yellow] 2 18 10 14 3" xfId="30847"/>
    <cellStyle name="Input [yellow] 2 18 10 14 4" xfId="42012"/>
    <cellStyle name="Input [yellow] 2 18 10 14 5" xfId="53205"/>
    <cellStyle name="Input [yellow] 2 18 10 15" xfId="9110"/>
    <cellStyle name="Input [yellow] 2 18 10 15 2" xfId="20307"/>
    <cellStyle name="Input [yellow] 2 18 10 15 3" xfId="31475"/>
    <cellStyle name="Input [yellow] 2 18 10 15 4" xfId="42640"/>
    <cellStyle name="Input [yellow] 2 18 10 15 5" xfId="53833"/>
    <cellStyle name="Input [yellow] 2 18 10 16" xfId="9533"/>
    <cellStyle name="Input [yellow] 2 18 10 16 2" xfId="20730"/>
    <cellStyle name="Input [yellow] 2 18 10 16 3" xfId="31898"/>
    <cellStyle name="Input [yellow] 2 18 10 16 4" xfId="43063"/>
    <cellStyle name="Input [yellow] 2 18 10 16 5" xfId="54256"/>
    <cellStyle name="Input [yellow] 2 18 10 17" xfId="10158"/>
    <cellStyle name="Input [yellow] 2 18 10 17 2" xfId="21355"/>
    <cellStyle name="Input [yellow] 2 18 10 17 3" xfId="32523"/>
    <cellStyle name="Input [yellow] 2 18 10 17 4" xfId="43688"/>
    <cellStyle name="Input [yellow] 2 18 10 17 5" xfId="54881"/>
    <cellStyle name="Input [yellow] 2 18 10 18" xfId="10406"/>
    <cellStyle name="Input [yellow] 2 18 10 18 2" xfId="21603"/>
    <cellStyle name="Input [yellow] 2 18 10 18 3" xfId="32771"/>
    <cellStyle name="Input [yellow] 2 18 10 18 4" xfId="43936"/>
    <cellStyle name="Input [yellow] 2 18 10 18 5" xfId="55129"/>
    <cellStyle name="Input [yellow] 2 18 10 19" xfId="11198"/>
    <cellStyle name="Input [yellow] 2 18 10 19 2" xfId="22395"/>
    <cellStyle name="Input [yellow] 2 18 10 19 3" xfId="33563"/>
    <cellStyle name="Input [yellow] 2 18 10 19 4" xfId="44728"/>
    <cellStyle name="Input [yellow] 2 18 10 19 5" xfId="55921"/>
    <cellStyle name="Input [yellow] 2 18 10 2" xfId="1294"/>
    <cellStyle name="Input [yellow] 2 18 10 2 2" xfId="12491"/>
    <cellStyle name="Input [yellow] 2 18 10 2 3" xfId="23659"/>
    <cellStyle name="Input [yellow] 2 18 10 2 4" xfId="34824"/>
    <cellStyle name="Input [yellow] 2 18 10 2 5" xfId="46017"/>
    <cellStyle name="Input [yellow] 2 18 10 20" xfId="11845"/>
    <cellStyle name="Input [yellow] 2 18 10 21" xfId="23015"/>
    <cellStyle name="Input [yellow] 2 18 10 22" xfId="34182"/>
    <cellStyle name="Input [yellow] 2 18 10 23" xfId="45368"/>
    <cellStyle name="Input [yellow] 2 18 10 3" xfId="1603"/>
    <cellStyle name="Input [yellow] 2 18 10 3 2" xfId="12800"/>
    <cellStyle name="Input [yellow] 2 18 10 3 3" xfId="23968"/>
    <cellStyle name="Input [yellow] 2 18 10 3 4" xfId="35133"/>
    <cellStyle name="Input [yellow] 2 18 10 3 5" xfId="46326"/>
    <cellStyle name="Input [yellow] 2 18 10 4" xfId="2570"/>
    <cellStyle name="Input [yellow] 2 18 10 4 2" xfId="13767"/>
    <cellStyle name="Input [yellow] 2 18 10 4 3" xfId="24935"/>
    <cellStyle name="Input [yellow] 2 18 10 4 4" xfId="36100"/>
    <cellStyle name="Input [yellow] 2 18 10 4 5" xfId="47293"/>
    <cellStyle name="Input [yellow] 2 18 10 5" xfId="2995"/>
    <cellStyle name="Input [yellow] 2 18 10 5 2" xfId="14192"/>
    <cellStyle name="Input [yellow] 2 18 10 5 3" xfId="25360"/>
    <cellStyle name="Input [yellow] 2 18 10 5 4" xfId="36525"/>
    <cellStyle name="Input [yellow] 2 18 10 5 5" xfId="47718"/>
    <cellStyle name="Input [yellow] 2 18 10 6" xfId="3629"/>
    <cellStyle name="Input [yellow] 2 18 10 6 2" xfId="14826"/>
    <cellStyle name="Input [yellow] 2 18 10 6 3" xfId="25994"/>
    <cellStyle name="Input [yellow] 2 18 10 6 4" xfId="37159"/>
    <cellStyle name="Input [yellow] 2 18 10 6 5" xfId="48352"/>
    <cellStyle name="Input [yellow] 2 18 10 7" xfId="4263"/>
    <cellStyle name="Input [yellow] 2 18 10 7 2" xfId="15460"/>
    <cellStyle name="Input [yellow] 2 18 10 7 3" xfId="26628"/>
    <cellStyle name="Input [yellow] 2 18 10 7 4" xfId="37793"/>
    <cellStyle name="Input [yellow] 2 18 10 7 5" xfId="48986"/>
    <cellStyle name="Input [yellow] 2 18 10 8" xfId="4896"/>
    <cellStyle name="Input [yellow] 2 18 10 8 2" xfId="16093"/>
    <cellStyle name="Input [yellow] 2 18 10 8 3" xfId="27261"/>
    <cellStyle name="Input [yellow] 2 18 10 8 4" xfId="38426"/>
    <cellStyle name="Input [yellow] 2 18 10 8 5" xfId="49619"/>
    <cellStyle name="Input [yellow] 2 18 10 9" xfId="5527"/>
    <cellStyle name="Input [yellow] 2 18 10 9 2" xfId="16724"/>
    <cellStyle name="Input [yellow] 2 18 10 9 3" xfId="27892"/>
    <cellStyle name="Input [yellow] 2 18 10 9 4" xfId="39057"/>
    <cellStyle name="Input [yellow] 2 18 10 9 5" xfId="50250"/>
    <cellStyle name="Input [yellow] 2 18 11" xfId="595"/>
    <cellStyle name="Input [yellow] 2 18 11 10" xfId="6188"/>
    <cellStyle name="Input [yellow] 2 18 11 10 2" xfId="17385"/>
    <cellStyle name="Input [yellow] 2 18 11 10 3" xfId="28553"/>
    <cellStyle name="Input [yellow] 2 18 11 10 4" xfId="39718"/>
    <cellStyle name="Input [yellow] 2 18 11 10 5" xfId="50911"/>
    <cellStyle name="Input [yellow] 2 18 11 11" xfId="6531"/>
    <cellStyle name="Input [yellow] 2 18 11 11 2" xfId="17728"/>
    <cellStyle name="Input [yellow] 2 18 11 11 3" xfId="28896"/>
    <cellStyle name="Input [yellow] 2 18 11 11 4" xfId="40061"/>
    <cellStyle name="Input [yellow] 2 18 11 11 5" xfId="51254"/>
    <cellStyle name="Input [yellow] 2 18 11 12" xfId="7164"/>
    <cellStyle name="Input [yellow] 2 18 11 12 2" xfId="18361"/>
    <cellStyle name="Input [yellow] 2 18 11 12 3" xfId="29529"/>
    <cellStyle name="Input [yellow] 2 18 11 12 4" xfId="40694"/>
    <cellStyle name="Input [yellow] 2 18 11 12 5" xfId="51887"/>
    <cellStyle name="Input [yellow] 2 18 11 13" xfId="7798"/>
    <cellStyle name="Input [yellow] 2 18 11 13 2" xfId="18995"/>
    <cellStyle name="Input [yellow] 2 18 11 13 3" xfId="30163"/>
    <cellStyle name="Input [yellow] 2 18 11 13 4" xfId="41328"/>
    <cellStyle name="Input [yellow] 2 18 11 13 5" xfId="52521"/>
    <cellStyle name="Input [yellow] 2 18 11 14" xfId="8432"/>
    <cellStyle name="Input [yellow] 2 18 11 14 2" xfId="19629"/>
    <cellStyle name="Input [yellow] 2 18 11 14 3" xfId="30797"/>
    <cellStyle name="Input [yellow] 2 18 11 14 4" xfId="41962"/>
    <cellStyle name="Input [yellow] 2 18 11 14 5" xfId="53155"/>
    <cellStyle name="Input [yellow] 2 18 11 15" xfId="9060"/>
    <cellStyle name="Input [yellow] 2 18 11 15 2" xfId="20257"/>
    <cellStyle name="Input [yellow] 2 18 11 15 3" xfId="31425"/>
    <cellStyle name="Input [yellow] 2 18 11 15 4" xfId="42590"/>
    <cellStyle name="Input [yellow] 2 18 11 15 5" xfId="53783"/>
    <cellStyle name="Input [yellow] 2 18 11 16" xfId="9483"/>
    <cellStyle name="Input [yellow] 2 18 11 16 2" xfId="20680"/>
    <cellStyle name="Input [yellow] 2 18 11 16 3" xfId="31848"/>
    <cellStyle name="Input [yellow] 2 18 11 16 4" xfId="43013"/>
    <cellStyle name="Input [yellow] 2 18 11 16 5" xfId="54206"/>
    <cellStyle name="Input [yellow] 2 18 11 17" xfId="10108"/>
    <cellStyle name="Input [yellow] 2 18 11 17 2" xfId="21305"/>
    <cellStyle name="Input [yellow] 2 18 11 17 3" xfId="32473"/>
    <cellStyle name="Input [yellow] 2 18 11 17 4" xfId="43638"/>
    <cellStyle name="Input [yellow] 2 18 11 17 5" xfId="54831"/>
    <cellStyle name="Input [yellow] 2 18 11 18" xfId="10556"/>
    <cellStyle name="Input [yellow] 2 18 11 18 2" xfId="21753"/>
    <cellStyle name="Input [yellow] 2 18 11 18 3" xfId="32921"/>
    <cellStyle name="Input [yellow] 2 18 11 18 4" xfId="44086"/>
    <cellStyle name="Input [yellow] 2 18 11 18 5" xfId="55279"/>
    <cellStyle name="Input [yellow] 2 18 11 19" xfId="11148"/>
    <cellStyle name="Input [yellow] 2 18 11 19 2" xfId="22345"/>
    <cellStyle name="Input [yellow] 2 18 11 19 3" xfId="33513"/>
    <cellStyle name="Input [yellow] 2 18 11 19 4" xfId="44678"/>
    <cellStyle name="Input [yellow] 2 18 11 19 5" xfId="55871"/>
    <cellStyle name="Input [yellow] 2 18 11 2" xfId="1244"/>
    <cellStyle name="Input [yellow] 2 18 11 2 2" xfId="12441"/>
    <cellStyle name="Input [yellow] 2 18 11 2 3" xfId="23609"/>
    <cellStyle name="Input [yellow] 2 18 11 2 4" xfId="34774"/>
    <cellStyle name="Input [yellow] 2 18 11 2 5" xfId="45967"/>
    <cellStyle name="Input [yellow] 2 18 11 20" xfId="11795"/>
    <cellStyle name="Input [yellow] 2 18 11 21" xfId="22965"/>
    <cellStyle name="Input [yellow] 2 18 11 22" xfId="34132"/>
    <cellStyle name="Input [yellow] 2 18 11 23" xfId="45318"/>
    <cellStyle name="Input [yellow] 2 18 11 3" xfId="1365"/>
    <cellStyle name="Input [yellow] 2 18 11 3 2" xfId="12562"/>
    <cellStyle name="Input [yellow] 2 18 11 3 3" xfId="23730"/>
    <cellStyle name="Input [yellow] 2 18 11 3 4" xfId="34895"/>
    <cellStyle name="Input [yellow] 2 18 11 3 5" xfId="46088"/>
    <cellStyle name="Input [yellow] 2 18 11 4" xfId="2520"/>
    <cellStyle name="Input [yellow] 2 18 11 4 2" xfId="13717"/>
    <cellStyle name="Input [yellow] 2 18 11 4 3" xfId="24885"/>
    <cellStyle name="Input [yellow] 2 18 11 4 4" xfId="36050"/>
    <cellStyle name="Input [yellow] 2 18 11 4 5" xfId="47243"/>
    <cellStyle name="Input [yellow] 2 18 11 5" xfId="2945"/>
    <cellStyle name="Input [yellow] 2 18 11 5 2" xfId="14142"/>
    <cellStyle name="Input [yellow] 2 18 11 5 3" xfId="25310"/>
    <cellStyle name="Input [yellow] 2 18 11 5 4" xfId="36475"/>
    <cellStyle name="Input [yellow] 2 18 11 5 5" xfId="47668"/>
    <cellStyle name="Input [yellow] 2 18 11 6" xfId="3579"/>
    <cellStyle name="Input [yellow] 2 18 11 6 2" xfId="14776"/>
    <cellStyle name="Input [yellow] 2 18 11 6 3" xfId="25944"/>
    <cellStyle name="Input [yellow] 2 18 11 6 4" xfId="37109"/>
    <cellStyle name="Input [yellow] 2 18 11 6 5" xfId="48302"/>
    <cellStyle name="Input [yellow] 2 18 11 7" xfId="4213"/>
    <cellStyle name="Input [yellow] 2 18 11 7 2" xfId="15410"/>
    <cellStyle name="Input [yellow] 2 18 11 7 3" xfId="26578"/>
    <cellStyle name="Input [yellow] 2 18 11 7 4" xfId="37743"/>
    <cellStyle name="Input [yellow] 2 18 11 7 5" xfId="48936"/>
    <cellStyle name="Input [yellow] 2 18 11 8" xfId="4846"/>
    <cellStyle name="Input [yellow] 2 18 11 8 2" xfId="16043"/>
    <cellStyle name="Input [yellow] 2 18 11 8 3" xfId="27211"/>
    <cellStyle name="Input [yellow] 2 18 11 8 4" xfId="38376"/>
    <cellStyle name="Input [yellow] 2 18 11 8 5" xfId="49569"/>
    <cellStyle name="Input [yellow] 2 18 11 9" xfId="5477"/>
    <cellStyle name="Input [yellow] 2 18 11 9 2" xfId="16674"/>
    <cellStyle name="Input [yellow] 2 18 11 9 3" xfId="27842"/>
    <cellStyle name="Input [yellow] 2 18 11 9 4" xfId="39007"/>
    <cellStyle name="Input [yellow] 2 18 11 9 5" xfId="50200"/>
    <cellStyle name="Input [yellow] 2 18 12" xfId="772"/>
    <cellStyle name="Input [yellow] 2 18 12 2" xfId="11969"/>
    <cellStyle name="Input [yellow] 2 18 12 3" xfId="23137"/>
    <cellStyle name="Input [yellow] 2 18 12 4" xfId="34302"/>
    <cellStyle name="Input [yellow] 2 18 12 5" xfId="45495"/>
    <cellStyle name="Input [yellow] 2 18 13" xfId="1543"/>
    <cellStyle name="Input [yellow] 2 18 13 2" xfId="12740"/>
    <cellStyle name="Input [yellow] 2 18 13 3" xfId="23908"/>
    <cellStyle name="Input [yellow] 2 18 13 4" xfId="35073"/>
    <cellStyle name="Input [yellow] 2 18 13 5" xfId="46266"/>
    <cellStyle name="Input [yellow] 2 18 14" xfId="2049"/>
    <cellStyle name="Input [yellow] 2 18 14 2" xfId="13246"/>
    <cellStyle name="Input [yellow] 2 18 14 3" xfId="24414"/>
    <cellStyle name="Input [yellow] 2 18 14 4" xfId="35579"/>
    <cellStyle name="Input [yellow] 2 18 14 5" xfId="46772"/>
    <cellStyle name="Input [yellow] 2 18 15" xfId="2130"/>
    <cellStyle name="Input [yellow] 2 18 15 2" xfId="13327"/>
    <cellStyle name="Input [yellow] 2 18 15 3" xfId="24495"/>
    <cellStyle name="Input [yellow] 2 18 15 4" xfId="35660"/>
    <cellStyle name="Input [yellow] 2 18 15 5" xfId="46853"/>
    <cellStyle name="Input [yellow] 2 18 16" xfId="3107"/>
    <cellStyle name="Input [yellow] 2 18 16 2" xfId="14304"/>
    <cellStyle name="Input [yellow] 2 18 16 3" xfId="25472"/>
    <cellStyle name="Input [yellow] 2 18 16 4" xfId="36637"/>
    <cellStyle name="Input [yellow] 2 18 16 5" xfId="47830"/>
    <cellStyle name="Input [yellow] 2 18 17" xfId="3741"/>
    <cellStyle name="Input [yellow] 2 18 17 2" xfId="14938"/>
    <cellStyle name="Input [yellow] 2 18 17 3" xfId="26106"/>
    <cellStyle name="Input [yellow] 2 18 17 4" xfId="37271"/>
    <cellStyle name="Input [yellow] 2 18 17 5" xfId="48464"/>
    <cellStyle name="Input [yellow] 2 18 18" xfId="4374"/>
    <cellStyle name="Input [yellow] 2 18 18 2" xfId="15571"/>
    <cellStyle name="Input [yellow] 2 18 18 3" xfId="26739"/>
    <cellStyle name="Input [yellow] 2 18 18 4" xfId="37904"/>
    <cellStyle name="Input [yellow] 2 18 18 5" xfId="49097"/>
    <cellStyle name="Input [yellow] 2 18 19" xfId="5005"/>
    <cellStyle name="Input [yellow] 2 18 19 2" xfId="16202"/>
    <cellStyle name="Input [yellow] 2 18 19 3" xfId="27370"/>
    <cellStyle name="Input [yellow] 2 18 19 4" xfId="38535"/>
    <cellStyle name="Input [yellow] 2 18 19 5" xfId="49728"/>
    <cellStyle name="Input [yellow] 2 18 2" xfId="186"/>
    <cellStyle name="Input [yellow] 2 18 2 10" xfId="5787"/>
    <cellStyle name="Input [yellow] 2 18 2 10 2" xfId="16984"/>
    <cellStyle name="Input [yellow] 2 18 2 10 3" xfId="28152"/>
    <cellStyle name="Input [yellow] 2 18 2 10 4" xfId="39317"/>
    <cellStyle name="Input [yellow] 2 18 2 10 5" xfId="50510"/>
    <cellStyle name="Input [yellow] 2 18 2 11" xfId="5975"/>
    <cellStyle name="Input [yellow] 2 18 2 11 2" xfId="17172"/>
    <cellStyle name="Input [yellow] 2 18 2 11 3" xfId="28340"/>
    <cellStyle name="Input [yellow] 2 18 2 11 4" xfId="39505"/>
    <cellStyle name="Input [yellow] 2 18 2 11 5" xfId="50698"/>
    <cellStyle name="Input [yellow] 2 18 2 12" xfId="6755"/>
    <cellStyle name="Input [yellow] 2 18 2 12 2" xfId="17952"/>
    <cellStyle name="Input [yellow] 2 18 2 12 3" xfId="29120"/>
    <cellStyle name="Input [yellow] 2 18 2 12 4" xfId="40285"/>
    <cellStyle name="Input [yellow] 2 18 2 12 5" xfId="51478"/>
    <cellStyle name="Input [yellow] 2 18 2 13" xfId="7389"/>
    <cellStyle name="Input [yellow] 2 18 2 13 2" xfId="18586"/>
    <cellStyle name="Input [yellow] 2 18 2 13 3" xfId="29754"/>
    <cellStyle name="Input [yellow] 2 18 2 13 4" xfId="40919"/>
    <cellStyle name="Input [yellow] 2 18 2 13 5" xfId="52112"/>
    <cellStyle name="Input [yellow] 2 18 2 14" xfId="8023"/>
    <cellStyle name="Input [yellow] 2 18 2 14 2" xfId="19220"/>
    <cellStyle name="Input [yellow] 2 18 2 14 3" xfId="30388"/>
    <cellStyle name="Input [yellow] 2 18 2 14 4" xfId="41553"/>
    <cellStyle name="Input [yellow] 2 18 2 14 5" xfId="52746"/>
    <cellStyle name="Input [yellow] 2 18 2 15" xfId="8654"/>
    <cellStyle name="Input [yellow] 2 18 2 15 2" xfId="19851"/>
    <cellStyle name="Input [yellow] 2 18 2 15 3" xfId="31019"/>
    <cellStyle name="Input [yellow] 2 18 2 15 4" xfId="42184"/>
    <cellStyle name="Input [yellow] 2 18 2 15 5" xfId="53377"/>
    <cellStyle name="Input [yellow] 2 18 2 16" xfId="8594"/>
    <cellStyle name="Input [yellow] 2 18 2 16 2" xfId="19791"/>
    <cellStyle name="Input [yellow] 2 18 2 16 3" xfId="30959"/>
    <cellStyle name="Input [yellow] 2 18 2 16 4" xfId="42124"/>
    <cellStyle name="Input [yellow] 2 18 2 16 5" xfId="53317"/>
    <cellStyle name="Input [yellow] 2 18 2 17" xfId="9706"/>
    <cellStyle name="Input [yellow] 2 18 2 17 2" xfId="20903"/>
    <cellStyle name="Input [yellow] 2 18 2 17 3" xfId="32071"/>
    <cellStyle name="Input [yellow] 2 18 2 17 4" xfId="43236"/>
    <cellStyle name="Input [yellow] 2 18 2 17 5" xfId="54429"/>
    <cellStyle name="Input [yellow] 2 18 2 18" xfId="10319"/>
    <cellStyle name="Input [yellow] 2 18 2 18 2" xfId="21516"/>
    <cellStyle name="Input [yellow] 2 18 2 18 3" xfId="32684"/>
    <cellStyle name="Input [yellow] 2 18 2 18 4" xfId="43849"/>
    <cellStyle name="Input [yellow] 2 18 2 18 5" xfId="55042"/>
    <cellStyle name="Input [yellow] 2 18 2 19" xfId="10739"/>
    <cellStyle name="Input [yellow] 2 18 2 19 2" xfId="21936"/>
    <cellStyle name="Input [yellow] 2 18 2 19 3" xfId="33104"/>
    <cellStyle name="Input [yellow] 2 18 2 19 4" xfId="44269"/>
    <cellStyle name="Input [yellow] 2 18 2 19 5" xfId="55462"/>
    <cellStyle name="Input [yellow] 2 18 2 2" xfId="835"/>
    <cellStyle name="Input [yellow] 2 18 2 2 2" xfId="12032"/>
    <cellStyle name="Input [yellow] 2 18 2 2 3" xfId="23200"/>
    <cellStyle name="Input [yellow] 2 18 2 2 4" xfId="34365"/>
    <cellStyle name="Input [yellow] 2 18 2 2 5" xfId="45558"/>
    <cellStyle name="Input [yellow] 2 18 2 20" xfId="11386"/>
    <cellStyle name="Input [yellow] 2 18 2 21" xfId="22556"/>
    <cellStyle name="Input [yellow] 2 18 2 22" xfId="33723"/>
    <cellStyle name="Input [yellow] 2 18 2 23" xfId="44909"/>
    <cellStyle name="Input [yellow] 2 18 2 3" xfId="1703"/>
    <cellStyle name="Input [yellow] 2 18 2 3 2" xfId="12900"/>
    <cellStyle name="Input [yellow] 2 18 2 3 3" xfId="24068"/>
    <cellStyle name="Input [yellow] 2 18 2 3 4" xfId="35233"/>
    <cellStyle name="Input [yellow] 2 18 2 3 5" xfId="46426"/>
    <cellStyle name="Input [yellow] 2 18 2 4" xfId="2112"/>
    <cellStyle name="Input [yellow] 2 18 2 4 2" xfId="13309"/>
    <cellStyle name="Input [yellow] 2 18 2 4 3" xfId="24477"/>
    <cellStyle name="Input [yellow] 2 18 2 4 4" xfId="35642"/>
    <cellStyle name="Input [yellow] 2 18 2 4 5" xfId="46835"/>
    <cellStyle name="Input [yellow] 2 18 2 5" xfId="2332"/>
    <cellStyle name="Input [yellow] 2 18 2 5 2" xfId="13529"/>
    <cellStyle name="Input [yellow] 2 18 2 5 3" xfId="24697"/>
    <cellStyle name="Input [yellow] 2 18 2 5 4" xfId="35862"/>
    <cellStyle name="Input [yellow] 2 18 2 5 5" xfId="47055"/>
    <cellStyle name="Input [yellow] 2 18 2 6" xfId="3170"/>
    <cellStyle name="Input [yellow] 2 18 2 6 2" xfId="14367"/>
    <cellStyle name="Input [yellow] 2 18 2 6 3" xfId="25535"/>
    <cellStyle name="Input [yellow] 2 18 2 6 4" xfId="36700"/>
    <cellStyle name="Input [yellow] 2 18 2 6 5" xfId="47893"/>
    <cellStyle name="Input [yellow] 2 18 2 7" xfId="3804"/>
    <cellStyle name="Input [yellow] 2 18 2 7 2" xfId="15001"/>
    <cellStyle name="Input [yellow] 2 18 2 7 3" xfId="26169"/>
    <cellStyle name="Input [yellow] 2 18 2 7 4" xfId="37334"/>
    <cellStyle name="Input [yellow] 2 18 2 7 5" xfId="48527"/>
    <cellStyle name="Input [yellow] 2 18 2 8" xfId="4437"/>
    <cellStyle name="Input [yellow] 2 18 2 8 2" xfId="15634"/>
    <cellStyle name="Input [yellow] 2 18 2 8 3" xfId="26802"/>
    <cellStyle name="Input [yellow] 2 18 2 8 4" xfId="37967"/>
    <cellStyle name="Input [yellow] 2 18 2 8 5" xfId="49160"/>
    <cellStyle name="Input [yellow] 2 18 2 9" xfId="5068"/>
    <cellStyle name="Input [yellow] 2 18 2 9 2" xfId="16265"/>
    <cellStyle name="Input [yellow] 2 18 2 9 3" xfId="27433"/>
    <cellStyle name="Input [yellow] 2 18 2 9 4" xfId="38598"/>
    <cellStyle name="Input [yellow] 2 18 2 9 5" xfId="49791"/>
    <cellStyle name="Input [yellow] 2 18 20" xfId="5952"/>
    <cellStyle name="Input [yellow] 2 18 20 2" xfId="17149"/>
    <cellStyle name="Input [yellow] 2 18 20 3" xfId="28317"/>
    <cellStyle name="Input [yellow] 2 18 20 4" xfId="39482"/>
    <cellStyle name="Input [yellow] 2 18 20 5" xfId="50675"/>
    <cellStyle name="Input [yellow] 2 18 21" xfId="5977"/>
    <cellStyle name="Input [yellow] 2 18 21 2" xfId="17174"/>
    <cellStyle name="Input [yellow] 2 18 21 3" xfId="28342"/>
    <cellStyle name="Input [yellow] 2 18 21 4" xfId="39507"/>
    <cellStyle name="Input [yellow] 2 18 21 5" xfId="50700"/>
    <cellStyle name="Input [yellow] 2 18 22" xfId="6692"/>
    <cellStyle name="Input [yellow] 2 18 22 2" xfId="17889"/>
    <cellStyle name="Input [yellow] 2 18 22 3" xfId="29057"/>
    <cellStyle name="Input [yellow] 2 18 22 4" xfId="40222"/>
    <cellStyle name="Input [yellow] 2 18 22 5" xfId="51415"/>
    <cellStyle name="Input [yellow] 2 18 23" xfId="7326"/>
    <cellStyle name="Input [yellow] 2 18 23 2" xfId="18523"/>
    <cellStyle name="Input [yellow] 2 18 23 3" xfId="29691"/>
    <cellStyle name="Input [yellow] 2 18 23 4" xfId="40856"/>
    <cellStyle name="Input [yellow] 2 18 23 5" xfId="52049"/>
    <cellStyle name="Input [yellow] 2 18 24" xfId="7960"/>
    <cellStyle name="Input [yellow] 2 18 24 2" xfId="19157"/>
    <cellStyle name="Input [yellow] 2 18 24 3" xfId="30325"/>
    <cellStyle name="Input [yellow] 2 18 24 4" xfId="41490"/>
    <cellStyle name="Input [yellow] 2 18 24 5" xfId="52683"/>
    <cellStyle name="Input [yellow] 2 18 25" xfId="8591"/>
    <cellStyle name="Input [yellow] 2 18 25 2" xfId="19788"/>
    <cellStyle name="Input [yellow] 2 18 25 3" xfId="30956"/>
    <cellStyle name="Input [yellow] 2 18 25 4" xfId="42121"/>
    <cellStyle name="Input [yellow] 2 18 25 5" xfId="53314"/>
    <cellStyle name="Input [yellow] 2 18 26" xfId="8845"/>
    <cellStyle name="Input [yellow] 2 18 26 2" xfId="20042"/>
    <cellStyle name="Input [yellow] 2 18 26 3" xfId="31210"/>
    <cellStyle name="Input [yellow] 2 18 26 4" xfId="42375"/>
    <cellStyle name="Input [yellow] 2 18 26 5" xfId="53568"/>
    <cellStyle name="Input [yellow] 2 18 27" xfId="9644"/>
    <cellStyle name="Input [yellow] 2 18 27 2" xfId="20841"/>
    <cellStyle name="Input [yellow] 2 18 27 3" xfId="32009"/>
    <cellStyle name="Input [yellow] 2 18 27 4" xfId="43174"/>
    <cellStyle name="Input [yellow] 2 18 27 5" xfId="54367"/>
    <cellStyle name="Input [yellow] 2 18 28" xfId="10284"/>
    <cellStyle name="Input [yellow] 2 18 28 2" xfId="21481"/>
    <cellStyle name="Input [yellow] 2 18 28 3" xfId="32649"/>
    <cellStyle name="Input [yellow] 2 18 28 4" xfId="43814"/>
    <cellStyle name="Input [yellow] 2 18 28 5" xfId="55007"/>
    <cellStyle name="Input [yellow] 2 18 29" xfId="10676"/>
    <cellStyle name="Input [yellow] 2 18 29 2" xfId="21873"/>
    <cellStyle name="Input [yellow] 2 18 29 3" xfId="33041"/>
    <cellStyle name="Input [yellow] 2 18 29 4" xfId="44206"/>
    <cellStyle name="Input [yellow] 2 18 29 5" xfId="55399"/>
    <cellStyle name="Input [yellow] 2 18 3" xfId="242"/>
    <cellStyle name="Input [yellow] 2 18 3 10" xfId="6099"/>
    <cellStyle name="Input [yellow] 2 18 3 10 2" xfId="17296"/>
    <cellStyle name="Input [yellow] 2 18 3 10 3" xfId="28464"/>
    <cellStyle name="Input [yellow] 2 18 3 10 4" xfId="39629"/>
    <cellStyle name="Input [yellow] 2 18 3 10 5" xfId="50822"/>
    <cellStyle name="Input [yellow] 2 18 3 11" xfId="6065"/>
    <cellStyle name="Input [yellow] 2 18 3 11 2" xfId="17262"/>
    <cellStyle name="Input [yellow] 2 18 3 11 3" xfId="28430"/>
    <cellStyle name="Input [yellow] 2 18 3 11 4" xfId="39595"/>
    <cellStyle name="Input [yellow] 2 18 3 11 5" xfId="50788"/>
    <cellStyle name="Input [yellow] 2 18 3 12" xfId="6811"/>
    <cellStyle name="Input [yellow] 2 18 3 12 2" xfId="18008"/>
    <cellStyle name="Input [yellow] 2 18 3 12 3" xfId="29176"/>
    <cellStyle name="Input [yellow] 2 18 3 12 4" xfId="40341"/>
    <cellStyle name="Input [yellow] 2 18 3 12 5" xfId="51534"/>
    <cellStyle name="Input [yellow] 2 18 3 13" xfId="7445"/>
    <cellStyle name="Input [yellow] 2 18 3 13 2" xfId="18642"/>
    <cellStyle name="Input [yellow] 2 18 3 13 3" xfId="29810"/>
    <cellStyle name="Input [yellow] 2 18 3 13 4" xfId="40975"/>
    <cellStyle name="Input [yellow] 2 18 3 13 5" xfId="52168"/>
    <cellStyle name="Input [yellow] 2 18 3 14" xfId="8079"/>
    <cellStyle name="Input [yellow] 2 18 3 14 2" xfId="19276"/>
    <cellStyle name="Input [yellow] 2 18 3 14 3" xfId="30444"/>
    <cellStyle name="Input [yellow] 2 18 3 14 4" xfId="41609"/>
    <cellStyle name="Input [yellow] 2 18 3 14 5" xfId="52802"/>
    <cellStyle name="Input [yellow] 2 18 3 15" xfId="8710"/>
    <cellStyle name="Input [yellow] 2 18 3 15 2" xfId="19907"/>
    <cellStyle name="Input [yellow] 2 18 3 15 3" xfId="31075"/>
    <cellStyle name="Input [yellow] 2 18 3 15 4" xfId="42240"/>
    <cellStyle name="Input [yellow] 2 18 3 15 5" xfId="53433"/>
    <cellStyle name="Input [yellow] 2 18 3 16" xfId="9035"/>
    <cellStyle name="Input [yellow] 2 18 3 16 2" xfId="20232"/>
    <cellStyle name="Input [yellow] 2 18 3 16 3" xfId="31400"/>
    <cellStyle name="Input [yellow] 2 18 3 16 4" xfId="42565"/>
    <cellStyle name="Input [yellow] 2 18 3 16 5" xfId="53758"/>
    <cellStyle name="Input [yellow] 2 18 3 17" xfId="9761"/>
    <cellStyle name="Input [yellow] 2 18 3 17 2" xfId="20958"/>
    <cellStyle name="Input [yellow] 2 18 3 17 3" xfId="32126"/>
    <cellStyle name="Input [yellow] 2 18 3 17 4" xfId="43291"/>
    <cellStyle name="Input [yellow] 2 18 3 17 5" xfId="54484"/>
    <cellStyle name="Input [yellow] 2 18 3 18" xfId="10325"/>
    <cellStyle name="Input [yellow] 2 18 3 18 2" xfId="21522"/>
    <cellStyle name="Input [yellow] 2 18 3 18 3" xfId="32690"/>
    <cellStyle name="Input [yellow] 2 18 3 18 4" xfId="43855"/>
    <cellStyle name="Input [yellow] 2 18 3 18 5" xfId="55048"/>
    <cellStyle name="Input [yellow] 2 18 3 19" xfId="10795"/>
    <cellStyle name="Input [yellow] 2 18 3 19 2" xfId="21992"/>
    <cellStyle name="Input [yellow] 2 18 3 19 3" xfId="33160"/>
    <cellStyle name="Input [yellow] 2 18 3 19 4" xfId="44325"/>
    <cellStyle name="Input [yellow] 2 18 3 19 5" xfId="55518"/>
    <cellStyle name="Input [yellow] 2 18 3 2" xfId="891"/>
    <cellStyle name="Input [yellow] 2 18 3 2 2" xfId="12088"/>
    <cellStyle name="Input [yellow] 2 18 3 2 3" xfId="23256"/>
    <cellStyle name="Input [yellow] 2 18 3 2 4" xfId="34421"/>
    <cellStyle name="Input [yellow] 2 18 3 2 5" xfId="45614"/>
    <cellStyle name="Input [yellow] 2 18 3 20" xfId="11442"/>
    <cellStyle name="Input [yellow] 2 18 3 21" xfId="22612"/>
    <cellStyle name="Input [yellow] 2 18 3 22" xfId="33779"/>
    <cellStyle name="Input [yellow] 2 18 3 23" xfId="44965"/>
    <cellStyle name="Input [yellow] 2 18 3 3" xfId="1633"/>
    <cellStyle name="Input [yellow] 2 18 3 3 2" xfId="12830"/>
    <cellStyle name="Input [yellow] 2 18 3 3 3" xfId="23998"/>
    <cellStyle name="Input [yellow] 2 18 3 3 4" xfId="35163"/>
    <cellStyle name="Input [yellow] 2 18 3 3 5" xfId="46356"/>
    <cellStyle name="Input [yellow] 2 18 3 4" xfId="2168"/>
    <cellStyle name="Input [yellow] 2 18 3 4 2" xfId="13365"/>
    <cellStyle name="Input [yellow] 2 18 3 4 3" xfId="24533"/>
    <cellStyle name="Input [yellow] 2 18 3 4 4" xfId="35698"/>
    <cellStyle name="Input [yellow] 2 18 3 4 5" xfId="46891"/>
    <cellStyle name="Input [yellow] 2 18 3 5" xfId="2262"/>
    <cellStyle name="Input [yellow] 2 18 3 5 2" xfId="13459"/>
    <cellStyle name="Input [yellow] 2 18 3 5 3" xfId="24627"/>
    <cellStyle name="Input [yellow] 2 18 3 5 4" xfId="35792"/>
    <cellStyle name="Input [yellow] 2 18 3 5 5" xfId="46985"/>
    <cellStyle name="Input [yellow] 2 18 3 6" xfId="3226"/>
    <cellStyle name="Input [yellow] 2 18 3 6 2" xfId="14423"/>
    <cellStyle name="Input [yellow] 2 18 3 6 3" xfId="25591"/>
    <cellStyle name="Input [yellow] 2 18 3 6 4" xfId="36756"/>
    <cellStyle name="Input [yellow] 2 18 3 6 5" xfId="47949"/>
    <cellStyle name="Input [yellow] 2 18 3 7" xfId="3860"/>
    <cellStyle name="Input [yellow] 2 18 3 7 2" xfId="15057"/>
    <cellStyle name="Input [yellow] 2 18 3 7 3" xfId="26225"/>
    <cellStyle name="Input [yellow] 2 18 3 7 4" xfId="37390"/>
    <cellStyle name="Input [yellow] 2 18 3 7 5" xfId="48583"/>
    <cellStyle name="Input [yellow] 2 18 3 8" xfId="4493"/>
    <cellStyle name="Input [yellow] 2 18 3 8 2" xfId="15690"/>
    <cellStyle name="Input [yellow] 2 18 3 8 3" xfId="26858"/>
    <cellStyle name="Input [yellow] 2 18 3 8 4" xfId="38023"/>
    <cellStyle name="Input [yellow] 2 18 3 8 5" xfId="49216"/>
    <cellStyle name="Input [yellow] 2 18 3 9" xfId="5124"/>
    <cellStyle name="Input [yellow] 2 18 3 9 2" xfId="16321"/>
    <cellStyle name="Input [yellow] 2 18 3 9 3" xfId="27489"/>
    <cellStyle name="Input [yellow] 2 18 3 9 4" xfId="38654"/>
    <cellStyle name="Input [yellow] 2 18 3 9 5" xfId="49847"/>
    <cellStyle name="Input [yellow] 2 18 30" xfId="11323"/>
    <cellStyle name="Input [yellow] 2 18 31" xfId="22493"/>
    <cellStyle name="Input [yellow] 2 18 32" xfId="33660"/>
    <cellStyle name="Input [yellow] 2 18 33" xfId="44846"/>
    <cellStyle name="Input [yellow] 2 18 4" xfId="253"/>
    <cellStyle name="Input [yellow] 2 18 4 10" xfId="5959"/>
    <cellStyle name="Input [yellow] 2 18 4 10 2" xfId="17156"/>
    <cellStyle name="Input [yellow] 2 18 4 10 3" xfId="28324"/>
    <cellStyle name="Input [yellow] 2 18 4 10 4" xfId="39489"/>
    <cellStyle name="Input [yellow] 2 18 4 10 5" xfId="50682"/>
    <cellStyle name="Input [yellow] 2 18 4 11" xfId="5596"/>
    <cellStyle name="Input [yellow] 2 18 4 11 2" xfId="16793"/>
    <cellStyle name="Input [yellow] 2 18 4 11 3" xfId="27961"/>
    <cellStyle name="Input [yellow] 2 18 4 11 4" xfId="39126"/>
    <cellStyle name="Input [yellow] 2 18 4 11 5" xfId="50319"/>
    <cellStyle name="Input [yellow] 2 18 4 12" xfId="6822"/>
    <cellStyle name="Input [yellow] 2 18 4 12 2" xfId="18019"/>
    <cellStyle name="Input [yellow] 2 18 4 12 3" xfId="29187"/>
    <cellStyle name="Input [yellow] 2 18 4 12 4" xfId="40352"/>
    <cellStyle name="Input [yellow] 2 18 4 12 5" xfId="51545"/>
    <cellStyle name="Input [yellow] 2 18 4 13" xfId="7456"/>
    <cellStyle name="Input [yellow] 2 18 4 13 2" xfId="18653"/>
    <cellStyle name="Input [yellow] 2 18 4 13 3" xfId="29821"/>
    <cellStyle name="Input [yellow] 2 18 4 13 4" xfId="40986"/>
    <cellStyle name="Input [yellow] 2 18 4 13 5" xfId="52179"/>
    <cellStyle name="Input [yellow] 2 18 4 14" xfId="8090"/>
    <cellStyle name="Input [yellow] 2 18 4 14 2" xfId="19287"/>
    <cellStyle name="Input [yellow] 2 18 4 14 3" xfId="30455"/>
    <cellStyle name="Input [yellow] 2 18 4 14 4" xfId="41620"/>
    <cellStyle name="Input [yellow] 2 18 4 14 5" xfId="52813"/>
    <cellStyle name="Input [yellow] 2 18 4 15" xfId="8721"/>
    <cellStyle name="Input [yellow] 2 18 4 15 2" xfId="19918"/>
    <cellStyle name="Input [yellow] 2 18 4 15 3" xfId="31086"/>
    <cellStyle name="Input [yellow] 2 18 4 15 4" xfId="42251"/>
    <cellStyle name="Input [yellow] 2 18 4 15 5" xfId="53444"/>
    <cellStyle name="Input [yellow] 2 18 4 16" xfId="9032"/>
    <cellStyle name="Input [yellow] 2 18 4 16 2" xfId="20229"/>
    <cellStyle name="Input [yellow] 2 18 4 16 3" xfId="31397"/>
    <cellStyle name="Input [yellow] 2 18 4 16 4" xfId="42562"/>
    <cellStyle name="Input [yellow] 2 18 4 16 5" xfId="53755"/>
    <cellStyle name="Input [yellow] 2 18 4 17" xfId="9772"/>
    <cellStyle name="Input [yellow] 2 18 4 17 2" xfId="20969"/>
    <cellStyle name="Input [yellow] 2 18 4 17 3" xfId="32137"/>
    <cellStyle name="Input [yellow] 2 18 4 17 4" xfId="43302"/>
    <cellStyle name="Input [yellow] 2 18 4 17 5" xfId="54495"/>
    <cellStyle name="Input [yellow] 2 18 4 18" xfId="10407"/>
    <cellStyle name="Input [yellow] 2 18 4 18 2" xfId="21604"/>
    <cellStyle name="Input [yellow] 2 18 4 18 3" xfId="32772"/>
    <cellStyle name="Input [yellow] 2 18 4 18 4" xfId="43937"/>
    <cellStyle name="Input [yellow] 2 18 4 18 5" xfId="55130"/>
    <cellStyle name="Input [yellow] 2 18 4 19" xfId="10806"/>
    <cellStyle name="Input [yellow] 2 18 4 19 2" xfId="22003"/>
    <cellStyle name="Input [yellow] 2 18 4 19 3" xfId="33171"/>
    <cellStyle name="Input [yellow] 2 18 4 19 4" xfId="44336"/>
    <cellStyle name="Input [yellow] 2 18 4 19 5" xfId="55529"/>
    <cellStyle name="Input [yellow] 2 18 4 2" xfId="902"/>
    <cellStyle name="Input [yellow] 2 18 4 2 2" xfId="12099"/>
    <cellStyle name="Input [yellow] 2 18 4 2 3" xfId="23267"/>
    <cellStyle name="Input [yellow] 2 18 4 2 4" xfId="34432"/>
    <cellStyle name="Input [yellow] 2 18 4 2 5" xfId="45625"/>
    <cellStyle name="Input [yellow] 2 18 4 20" xfId="11453"/>
    <cellStyle name="Input [yellow] 2 18 4 21" xfId="22623"/>
    <cellStyle name="Input [yellow] 2 18 4 22" xfId="33790"/>
    <cellStyle name="Input [yellow] 2 18 4 23" xfId="44976"/>
    <cellStyle name="Input [yellow] 2 18 4 3" xfId="1659"/>
    <cellStyle name="Input [yellow] 2 18 4 3 2" xfId="12856"/>
    <cellStyle name="Input [yellow] 2 18 4 3 3" xfId="24024"/>
    <cellStyle name="Input [yellow] 2 18 4 3 4" xfId="35189"/>
    <cellStyle name="Input [yellow] 2 18 4 3 5" xfId="46382"/>
    <cellStyle name="Input [yellow] 2 18 4 4" xfId="2179"/>
    <cellStyle name="Input [yellow] 2 18 4 4 2" xfId="13376"/>
    <cellStyle name="Input [yellow] 2 18 4 4 3" xfId="24544"/>
    <cellStyle name="Input [yellow] 2 18 4 4 4" xfId="35709"/>
    <cellStyle name="Input [yellow] 2 18 4 4 5" xfId="46902"/>
    <cellStyle name="Input [yellow] 2 18 4 5" xfId="2249"/>
    <cellStyle name="Input [yellow] 2 18 4 5 2" xfId="13446"/>
    <cellStyle name="Input [yellow] 2 18 4 5 3" xfId="24614"/>
    <cellStyle name="Input [yellow] 2 18 4 5 4" xfId="35779"/>
    <cellStyle name="Input [yellow] 2 18 4 5 5" xfId="46972"/>
    <cellStyle name="Input [yellow] 2 18 4 6" xfId="3237"/>
    <cellStyle name="Input [yellow] 2 18 4 6 2" xfId="14434"/>
    <cellStyle name="Input [yellow] 2 18 4 6 3" xfId="25602"/>
    <cellStyle name="Input [yellow] 2 18 4 6 4" xfId="36767"/>
    <cellStyle name="Input [yellow] 2 18 4 6 5" xfId="47960"/>
    <cellStyle name="Input [yellow] 2 18 4 7" xfId="3871"/>
    <cellStyle name="Input [yellow] 2 18 4 7 2" xfId="15068"/>
    <cellStyle name="Input [yellow] 2 18 4 7 3" xfId="26236"/>
    <cellStyle name="Input [yellow] 2 18 4 7 4" xfId="37401"/>
    <cellStyle name="Input [yellow] 2 18 4 7 5" xfId="48594"/>
    <cellStyle name="Input [yellow] 2 18 4 8" xfId="4504"/>
    <cellStyle name="Input [yellow] 2 18 4 8 2" xfId="15701"/>
    <cellStyle name="Input [yellow] 2 18 4 8 3" xfId="26869"/>
    <cellStyle name="Input [yellow] 2 18 4 8 4" xfId="38034"/>
    <cellStyle name="Input [yellow] 2 18 4 8 5" xfId="49227"/>
    <cellStyle name="Input [yellow] 2 18 4 9" xfId="5135"/>
    <cellStyle name="Input [yellow] 2 18 4 9 2" xfId="16332"/>
    <cellStyle name="Input [yellow] 2 18 4 9 3" xfId="27500"/>
    <cellStyle name="Input [yellow] 2 18 4 9 4" xfId="38665"/>
    <cellStyle name="Input [yellow] 2 18 4 9 5" xfId="49858"/>
    <cellStyle name="Input [yellow] 2 18 5" xfId="254"/>
    <cellStyle name="Input [yellow] 2 18 5 10" xfId="5867"/>
    <cellStyle name="Input [yellow] 2 18 5 10 2" xfId="17064"/>
    <cellStyle name="Input [yellow] 2 18 5 10 3" xfId="28232"/>
    <cellStyle name="Input [yellow] 2 18 5 10 4" xfId="39397"/>
    <cellStyle name="Input [yellow] 2 18 5 10 5" xfId="50590"/>
    <cellStyle name="Input [yellow] 2 18 5 11" xfId="5628"/>
    <cellStyle name="Input [yellow] 2 18 5 11 2" xfId="16825"/>
    <cellStyle name="Input [yellow] 2 18 5 11 3" xfId="27993"/>
    <cellStyle name="Input [yellow] 2 18 5 11 4" xfId="39158"/>
    <cellStyle name="Input [yellow] 2 18 5 11 5" xfId="50351"/>
    <cellStyle name="Input [yellow] 2 18 5 12" xfId="6823"/>
    <cellStyle name="Input [yellow] 2 18 5 12 2" xfId="18020"/>
    <cellStyle name="Input [yellow] 2 18 5 12 3" xfId="29188"/>
    <cellStyle name="Input [yellow] 2 18 5 12 4" xfId="40353"/>
    <cellStyle name="Input [yellow] 2 18 5 12 5" xfId="51546"/>
    <cellStyle name="Input [yellow] 2 18 5 13" xfId="7457"/>
    <cellStyle name="Input [yellow] 2 18 5 13 2" xfId="18654"/>
    <cellStyle name="Input [yellow] 2 18 5 13 3" xfId="29822"/>
    <cellStyle name="Input [yellow] 2 18 5 13 4" xfId="40987"/>
    <cellStyle name="Input [yellow] 2 18 5 13 5" xfId="52180"/>
    <cellStyle name="Input [yellow] 2 18 5 14" xfId="8091"/>
    <cellStyle name="Input [yellow] 2 18 5 14 2" xfId="19288"/>
    <cellStyle name="Input [yellow] 2 18 5 14 3" xfId="30456"/>
    <cellStyle name="Input [yellow] 2 18 5 14 4" xfId="41621"/>
    <cellStyle name="Input [yellow] 2 18 5 14 5" xfId="52814"/>
    <cellStyle name="Input [yellow] 2 18 5 15" xfId="8722"/>
    <cellStyle name="Input [yellow] 2 18 5 15 2" xfId="19919"/>
    <cellStyle name="Input [yellow] 2 18 5 15 3" xfId="31087"/>
    <cellStyle name="Input [yellow] 2 18 5 15 4" xfId="42252"/>
    <cellStyle name="Input [yellow] 2 18 5 15 5" xfId="53445"/>
    <cellStyle name="Input [yellow] 2 18 5 16" xfId="8974"/>
    <cellStyle name="Input [yellow] 2 18 5 16 2" xfId="20171"/>
    <cellStyle name="Input [yellow] 2 18 5 16 3" xfId="31339"/>
    <cellStyle name="Input [yellow] 2 18 5 16 4" xfId="42504"/>
    <cellStyle name="Input [yellow] 2 18 5 16 5" xfId="53697"/>
    <cellStyle name="Input [yellow] 2 18 5 17" xfId="9773"/>
    <cellStyle name="Input [yellow] 2 18 5 17 2" xfId="20970"/>
    <cellStyle name="Input [yellow] 2 18 5 17 3" xfId="32138"/>
    <cellStyle name="Input [yellow] 2 18 5 17 4" xfId="43303"/>
    <cellStyle name="Input [yellow] 2 18 5 17 5" xfId="54496"/>
    <cellStyle name="Input [yellow] 2 18 5 18" xfId="10307"/>
    <cellStyle name="Input [yellow] 2 18 5 18 2" xfId="21504"/>
    <cellStyle name="Input [yellow] 2 18 5 18 3" xfId="32672"/>
    <cellStyle name="Input [yellow] 2 18 5 18 4" xfId="43837"/>
    <cellStyle name="Input [yellow] 2 18 5 18 5" xfId="55030"/>
    <cellStyle name="Input [yellow] 2 18 5 19" xfId="10807"/>
    <cellStyle name="Input [yellow] 2 18 5 19 2" xfId="22004"/>
    <cellStyle name="Input [yellow] 2 18 5 19 3" xfId="33172"/>
    <cellStyle name="Input [yellow] 2 18 5 19 4" xfId="44337"/>
    <cellStyle name="Input [yellow] 2 18 5 19 5" xfId="55530"/>
    <cellStyle name="Input [yellow] 2 18 5 2" xfId="903"/>
    <cellStyle name="Input [yellow] 2 18 5 2 2" xfId="12100"/>
    <cellStyle name="Input [yellow] 2 18 5 2 3" xfId="23268"/>
    <cellStyle name="Input [yellow] 2 18 5 2 4" xfId="34433"/>
    <cellStyle name="Input [yellow] 2 18 5 2 5" xfId="45626"/>
    <cellStyle name="Input [yellow] 2 18 5 20" xfId="11454"/>
    <cellStyle name="Input [yellow] 2 18 5 21" xfId="22624"/>
    <cellStyle name="Input [yellow] 2 18 5 22" xfId="33791"/>
    <cellStyle name="Input [yellow] 2 18 5 23" xfId="44977"/>
    <cellStyle name="Input [yellow] 2 18 5 3" xfId="1638"/>
    <cellStyle name="Input [yellow] 2 18 5 3 2" xfId="12835"/>
    <cellStyle name="Input [yellow] 2 18 5 3 3" xfId="24003"/>
    <cellStyle name="Input [yellow] 2 18 5 3 4" xfId="35168"/>
    <cellStyle name="Input [yellow] 2 18 5 3 5" xfId="46361"/>
    <cellStyle name="Input [yellow] 2 18 5 4" xfId="2180"/>
    <cellStyle name="Input [yellow] 2 18 5 4 2" xfId="13377"/>
    <cellStyle name="Input [yellow] 2 18 5 4 3" xfId="24545"/>
    <cellStyle name="Input [yellow] 2 18 5 4 4" xfId="35710"/>
    <cellStyle name="Input [yellow] 2 18 5 4 5" xfId="46903"/>
    <cellStyle name="Input [yellow] 2 18 5 5" xfId="2222"/>
    <cellStyle name="Input [yellow] 2 18 5 5 2" xfId="13419"/>
    <cellStyle name="Input [yellow] 2 18 5 5 3" xfId="24587"/>
    <cellStyle name="Input [yellow] 2 18 5 5 4" xfId="35752"/>
    <cellStyle name="Input [yellow] 2 18 5 5 5" xfId="46945"/>
    <cellStyle name="Input [yellow] 2 18 5 6" xfId="3238"/>
    <cellStyle name="Input [yellow] 2 18 5 6 2" xfId="14435"/>
    <cellStyle name="Input [yellow] 2 18 5 6 3" xfId="25603"/>
    <cellStyle name="Input [yellow] 2 18 5 6 4" xfId="36768"/>
    <cellStyle name="Input [yellow] 2 18 5 6 5" xfId="47961"/>
    <cellStyle name="Input [yellow] 2 18 5 7" xfId="3872"/>
    <cellStyle name="Input [yellow] 2 18 5 7 2" xfId="15069"/>
    <cellStyle name="Input [yellow] 2 18 5 7 3" xfId="26237"/>
    <cellStyle name="Input [yellow] 2 18 5 7 4" xfId="37402"/>
    <cellStyle name="Input [yellow] 2 18 5 7 5" xfId="48595"/>
    <cellStyle name="Input [yellow] 2 18 5 8" xfId="4505"/>
    <cellStyle name="Input [yellow] 2 18 5 8 2" xfId="15702"/>
    <cellStyle name="Input [yellow] 2 18 5 8 3" xfId="26870"/>
    <cellStyle name="Input [yellow] 2 18 5 8 4" xfId="38035"/>
    <cellStyle name="Input [yellow] 2 18 5 8 5" xfId="49228"/>
    <cellStyle name="Input [yellow] 2 18 5 9" xfId="5136"/>
    <cellStyle name="Input [yellow] 2 18 5 9 2" xfId="16333"/>
    <cellStyle name="Input [yellow] 2 18 5 9 3" xfId="27501"/>
    <cellStyle name="Input [yellow] 2 18 5 9 4" xfId="38666"/>
    <cellStyle name="Input [yellow] 2 18 5 9 5" xfId="49859"/>
    <cellStyle name="Input [yellow] 2 18 6" xfId="351"/>
    <cellStyle name="Input [yellow] 2 18 6 10" xfId="6186"/>
    <cellStyle name="Input [yellow] 2 18 6 10 2" xfId="17383"/>
    <cellStyle name="Input [yellow] 2 18 6 10 3" xfId="28551"/>
    <cellStyle name="Input [yellow] 2 18 6 10 4" xfId="39716"/>
    <cellStyle name="Input [yellow] 2 18 6 10 5" xfId="50909"/>
    <cellStyle name="Input [yellow] 2 18 6 11" xfId="6287"/>
    <cellStyle name="Input [yellow] 2 18 6 11 2" xfId="17484"/>
    <cellStyle name="Input [yellow] 2 18 6 11 3" xfId="28652"/>
    <cellStyle name="Input [yellow] 2 18 6 11 4" xfId="39817"/>
    <cellStyle name="Input [yellow] 2 18 6 11 5" xfId="51010"/>
    <cellStyle name="Input [yellow] 2 18 6 12" xfId="6920"/>
    <cellStyle name="Input [yellow] 2 18 6 12 2" xfId="18117"/>
    <cellStyle name="Input [yellow] 2 18 6 12 3" xfId="29285"/>
    <cellStyle name="Input [yellow] 2 18 6 12 4" xfId="40450"/>
    <cellStyle name="Input [yellow] 2 18 6 12 5" xfId="51643"/>
    <cellStyle name="Input [yellow] 2 18 6 13" xfId="7554"/>
    <cellStyle name="Input [yellow] 2 18 6 13 2" xfId="18751"/>
    <cellStyle name="Input [yellow] 2 18 6 13 3" xfId="29919"/>
    <cellStyle name="Input [yellow] 2 18 6 13 4" xfId="41084"/>
    <cellStyle name="Input [yellow] 2 18 6 13 5" xfId="52277"/>
    <cellStyle name="Input [yellow] 2 18 6 14" xfId="8188"/>
    <cellStyle name="Input [yellow] 2 18 6 14 2" xfId="19385"/>
    <cellStyle name="Input [yellow] 2 18 6 14 3" xfId="30553"/>
    <cellStyle name="Input [yellow] 2 18 6 14 4" xfId="41718"/>
    <cellStyle name="Input [yellow] 2 18 6 14 5" xfId="52911"/>
    <cellStyle name="Input [yellow] 2 18 6 15" xfId="8817"/>
    <cellStyle name="Input [yellow] 2 18 6 15 2" xfId="20014"/>
    <cellStyle name="Input [yellow] 2 18 6 15 3" xfId="31182"/>
    <cellStyle name="Input [yellow] 2 18 6 15 4" xfId="42347"/>
    <cellStyle name="Input [yellow] 2 18 6 15 5" xfId="53540"/>
    <cellStyle name="Input [yellow] 2 18 6 16" xfId="9239"/>
    <cellStyle name="Input [yellow] 2 18 6 16 2" xfId="20436"/>
    <cellStyle name="Input [yellow] 2 18 6 16 3" xfId="31604"/>
    <cellStyle name="Input [yellow] 2 18 6 16 4" xfId="42769"/>
    <cellStyle name="Input [yellow] 2 18 6 16 5" xfId="53962"/>
    <cellStyle name="Input [yellow] 2 18 6 17" xfId="9866"/>
    <cellStyle name="Input [yellow] 2 18 6 17 2" xfId="21063"/>
    <cellStyle name="Input [yellow] 2 18 6 17 3" xfId="32231"/>
    <cellStyle name="Input [yellow] 2 18 6 17 4" xfId="43396"/>
    <cellStyle name="Input [yellow] 2 18 6 17 5" xfId="54589"/>
    <cellStyle name="Input [yellow] 2 18 6 18" xfId="10397"/>
    <cellStyle name="Input [yellow] 2 18 6 18 2" xfId="21594"/>
    <cellStyle name="Input [yellow] 2 18 6 18 3" xfId="32762"/>
    <cellStyle name="Input [yellow] 2 18 6 18 4" xfId="43927"/>
    <cellStyle name="Input [yellow] 2 18 6 18 5" xfId="55120"/>
    <cellStyle name="Input [yellow] 2 18 6 19" xfId="10904"/>
    <cellStyle name="Input [yellow] 2 18 6 19 2" xfId="22101"/>
    <cellStyle name="Input [yellow] 2 18 6 19 3" xfId="33269"/>
    <cellStyle name="Input [yellow] 2 18 6 19 4" xfId="44434"/>
    <cellStyle name="Input [yellow] 2 18 6 19 5" xfId="55627"/>
    <cellStyle name="Input [yellow] 2 18 6 2" xfId="1000"/>
    <cellStyle name="Input [yellow] 2 18 6 2 2" xfId="12197"/>
    <cellStyle name="Input [yellow] 2 18 6 2 3" xfId="23365"/>
    <cellStyle name="Input [yellow] 2 18 6 2 4" xfId="34530"/>
    <cellStyle name="Input [yellow] 2 18 6 2 5" xfId="45723"/>
    <cellStyle name="Input [yellow] 2 18 6 20" xfId="11551"/>
    <cellStyle name="Input [yellow] 2 18 6 21" xfId="22721"/>
    <cellStyle name="Input [yellow] 2 18 6 22" xfId="33888"/>
    <cellStyle name="Input [yellow] 2 18 6 23" xfId="45074"/>
    <cellStyle name="Input [yellow] 2 18 6 3" xfId="1720"/>
    <cellStyle name="Input [yellow] 2 18 6 3 2" xfId="12917"/>
    <cellStyle name="Input [yellow] 2 18 6 3 3" xfId="24085"/>
    <cellStyle name="Input [yellow] 2 18 6 3 4" xfId="35250"/>
    <cellStyle name="Input [yellow] 2 18 6 3 5" xfId="46443"/>
    <cellStyle name="Input [yellow] 2 18 6 4" xfId="2276"/>
    <cellStyle name="Input [yellow] 2 18 6 4 2" xfId="13473"/>
    <cellStyle name="Input [yellow] 2 18 6 4 3" xfId="24641"/>
    <cellStyle name="Input [yellow] 2 18 6 4 4" xfId="35806"/>
    <cellStyle name="Input [yellow] 2 18 6 4 5" xfId="46999"/>
    <cellStyle name="Input [yellow] 2 18 6 5" xfId="2701"/>
    <cellStyle name="Input [yellow] 2 18 6 5 2" xfId="13898"/>
    <cellStyle name="Input [yellow] 2 18 6 5 3" xfId="25066"/>
    <cellStyle name="Input [yellow] 2 18 6 5 4" xfId="36231"/>
    <cellStyle name="Input [yellow] 2 18 6 5 5" xfId="47424"/>
    <cellStyle name="Input [yellow] 2 18 6 6" xfId="3335"/>
    <cellStyle name="Input [yellow] 2 18 6 6 2" xfId="14532"/>
    <cellStyle name="Input [yellow] 2 18 6 6 3" xfId="25700"/>
    <cellStyle name="Input [yellow] 2 18 6 6 4" xfId="36865"/>
    <cellStyle name="Input [yellow] 2 18 6 6 5" xfId="48058"/>
    <cellStyle name="Input [yellow] 2 18 6 7" xfId="3969"/>
    <cellStyle name="Input [yellow] 2 18 6 7 2" xfId="15166"/>
    <cellStyle name="Input [yellow] 2 18 6 7 3" xfId="26334"/>
    <cellStyle name="Input [yellow] 2 18 6 7 4" xfId="37499"/>
    <cellStyle name="Input [yellow] 2 18 6 7 5" xfId="48692"/>
    <cellStyle name="Input [yellow] 2 18 6 8" xfId="4602"/>
    <cellStyle name="Input [yellow] 2 18 6 8 2" xfId="15799"/>
    <cellStyle name="Input [yellow] 2 18 6 8 3" xfId="26967"/>
    <cellStyle name="Input [yellow] 2 18 6 8 4" xfId="38132"/>
    <cellStyle name="Input [yellow] 2 18 6 8 5" xfId="49325"/>
    <cellStyle name="Input [yellow] 2 18 6 9" xfId="5233"/>
    <cellStyle name="Input [yellow] 2 18 6 9 2" xfId="16430"/>
    <cellStyle name="Input [yellow] 2 18 6 9 3" xfId="27598"/>
    <cellStyle name="Input [yellow] 2 18 6 9 4" xfId="38763"/>
    <cellStyle name="Input [yellow] 2 18 6 9 5" xfId="49956"/>
    <cellStyle name="Input [yellow] 2 18 7" xfId="434"/>
    <cellStyle name="Input [yellow] 2 18 7 10" xfId="5622"/>
    <cellStyle name="Input [yellow] 2 18 7 10 2" xfId="16819"/>
    <cellStyle name="Input [yellow] 2 18 7 10 3" xfId="27987"/>
    <cellStyle name="Input [yellow] 2 18 7 10 4" xfId="39152"/>
    <cellStyle name="Input [yellow] 2 18 7 10 5" xfId="50345"/>
    <cellStyle name="Input [yellow] 2 18 7 11" xfId="6370"/>
    <cellStyle name="Input [yellow] 2 18 7 11 2" xfId="17567"/>
    <cellStyle name="Input [yellow] 2 18 7 11 3" xfId="28735"/>
    <cellStyle name="Input [yellow] 2 18 7 11 4" xfId="39900"/>
    <cellStyle name="Input [yellow] 2 18 7 11 5" xfId="51093"/>
    <cellStyle name="Input [yellow] 2 18 7 12" xfId="7003"/>
    <cellStyle name="Input [yellow] 2 18 7 12 2" xfId="18200"/>
    <cellStyle name="Input [yellow] 2 18 7 12 3" xfId="29368"/>
    <cellStyle name="Input [yellow] 2 18 7 12 4" xfId="40533"/>
    <cellStyle name="Input [yellow] 2 18 7 12 5" xfId="51726"/>
    <cellStyle name="Input [yellow] 2 18 7 13" xfId="7637"/>
    <cellStyle name="Input [yellow] 2 18 7 13 2" xfId="18834"/>
    <cellStyle name="Input [yellow] 2 18 7 13 3" xfId="30002"/>
    <cellStyle name="Input [yellow] 2 18 7 13 4" xfId="41167"/>
    <cellStyle name="Input [yellow] 2 18 7 13 5" xfId="52360"/>
    <cellStyle name="Input [yellow] 2 18 7 14" xfId="8271"/>
    <cellStyle name="Input [yellow] 2 18 7 14 2" xfId="19468"/>
    <cellStyle name="Input [yellow] 2 18 7 14 3" xfId="30636"/>
    <cellStyle name="Input [yellow] 2 18 7 14 4" xfId="41801"/>
    <cellStyle name="Input [yellow] 2 18 7 14 5" xfId="52994"/>
    <cellStyle name="Input [yellow] 2 18 7 15" xfId="8899"/>
    <cellStyle name="Input [yellow] 2 18 7 15 2" xfId="20096"/>
    <cellStyle name="Input [yellow] 2 18 7 15 3" xfId="31264"/>
    <cellStyle name="Input [yellow] 2 18 7 15 4" xfId="42429"/>
    <cellStyle name="Input [yellow] 2 18 7 15 5" xfId="53622"/>
    <cellStyle name="Input [yellow] 2 18 7 16" xfId="9322"/>
    <cellStyle name="Input [yellow] 2 18 7 16 2" xfId="20519"/>
    <cellStyle name="Input [yellow] 2 18 7 16 3" xfId="31687"/>
    <cellStyle name="Input [yellow] 2 18 7 16 4" xfId="42852"/>
    <cellStyle name="Input [yellow] 2 18 7 16 5" xfId="54045"/>
    <cellStyle name="Input [yellow] 2 18 7 17" xfId="9948"/>
    <cellStyle name="Input [yellow] 2 18 7 17 2" xfId="21145"/>
    <cellStyle name="Input [yellow] 2 18 7 17 3" xfId="32313"/>
    <cellStyle name="Input [yellow] 2 18 7 17 4" xfId="43478"/>
    <cellStyle name="Input [yellow] 2 18 7 17 5" xfId="54671"/>
    <cellStyle name="Input [yellow] 2 18 7 18" xfId="9715"/>
    <cellStyle name="Input [yellow] 2 18 7 18 2" xfId="20912"/>
    <cellStyle name="Input [yellow] 2 18 7 18 3" xfId="32080"/>
    <cellStyle name="Input [yellow] 2 18 7 18 4" xfId="43245"/>
    <cellStyle name="Input [yellow] 2 18 7 18 5" xfId="54438"/>
    <cellStyle name="Input [yellow] 2 18 7 19" xfId="10987"/>
    <cellStyle name="Input [yellow] 2 18 7 19 2" xfId="22184"/>
    <cellStyle name="Input [yellow] 2 18 7 19 3" xfId="33352"/>
    <cellStyle name="Input [yellow] 2 18 7 19 4" xfId="44517"/>
    <cellStyle name="Input [yellow] 2 18 7 19 5" xfId="55710"/>
    <cellStyle name="Input [yellow] 2 18 7 2" xfId="1083"/>
    <cellStyle name="Input [yellow] 2 18 7 2 2" xfId="12280"/>
    <cellStyle name="Input [yellow] 2 18 7 2 3" xfId="23448"/>
    <cellStyle name="Input [yellow] 2 18 7 2 4" xfId="34613"/>
    <cellStyle name="Input [yellow] 2 18 7 2 5" xfId="45806"/>
    <cellStyle name="Input [yellow] 2 18 7 20" xfId="11634"/>
    <cellStyle name="Input [yellow] 2 18 7 21" xfId="22804"/>
    <cellStyle name="Input [yellow] 2 18 7 22" xfId="33971"/>
    <cellStyle name="Input [yellow] 2 18 7 23" xfId="45157"/>
    <cellStyle name="Input [yellow] 2 18 7 3" xfId="1457"/>
    <cellStyle name="Input [yellow] 2 18 7 3 2" xfId="12654"/>
    <cellStyle name="Input [yellow] 2 18 7 3 3" xfId="23822"/>
    <cellStyle name="Input [yellow] 2 18 7 3 4" xfId="34987"/>
    <cellStyle name="Input [yellow] 2 18 7 3 5" xfId="46180"/>
    <cellStyle name="Input [yellow] 2 18 7 4" xfId="2359"/>
    <cellStyle name="Input [yellow] 2 18 7 4 2" xfId="13556"/>
    <cellStyle name="Input [yellow] 2 18 7 4 3" xfId="24724"/>
    <cellStyle name="Input [yellow] 2 18 7 4 4" xfId="35889"/>
    <cellStyle name="Input [yellow] 2 18 7 4 5" xfId="47082"/>
    <cellStyle name="Input [yellow] 2 18 7 5" xfId="2784"/>
    <cellStyle name="Input [yellow] 2 18 7 5 2" xfId="13981"/>
    <cellStyle name="Input [yellow] 2 18 7 5 3" xfId="25149"/>
    <cellStyle name="Input [yellow] 2 18 7 5 4" xfId="36314"/>
    <cellStyle name="Input [yellow] 2 18 7 5 5" xfId="47507"/>
    <cellStyle name="Input [yellow] 2 18 7 6" xfId="3418"/>
    <cellStyle name="Input [yellow] 2 18 7 6 2" xfId="14615"/>
    <cellStyle name="Input [yellow] 2 18 7 6 3" xfId="25783"/>
    <cellStyle name="Input [yellow] 2 18 7 6 4" xfId="36948"/>
    <cellStyle name="Input [yellow] 2 18 7 6 5" xfId="48141"/>
    <cellStyle name="Input [yellow] 2 18 7 7" xfId="4052"/>
    <cellStyle name="Input [yellow] 2 18 7 7 2" xfId="15249"/>
    <cellStyle name="Input [yellow] 2 18 7 7 3" xfId="26417"/>
    <cellStyle name="Input [yellow] 2 18 7 7 4" xfId="37582"/>
    <cellStyle name="Input [yellow] 2 18 7 7 5" xfId="48775"/>
    <cellStyle name="Input [yellow] 2 18 7 8" xfId="4685"/>
    <cellStyle name="Input [yellow] 2 18 7 8 2" xfId="15882"/>
    <cellStyle name="Input [yellow] 2 18 7 8 3" xfId="27050"/>
    <cellStyle name="Input [yellow] 2 18 7 8 4" xfId="38215"/>
    <cellStyle name="Input [yellow] 2 18 7 8 5" xfId="49408"/>
    <cellStyle name="Input [yellow] 2 18 7 9" xfId="5316"/>
    <cellStyle name="Input [yellow] 2 18 7 9 2" xfId="16513"/>
    <cellStyle name="Input [yellow] 2 18 7 9 3" xfId="27681"/>
    <cellStyle name="Input [yellow] 2 18 7 9 4" xfId="38846"/>
    <cellStyle name="Input [yellow] 2 18 7 9 5" xfId="50039"/>
    <cellStyle name="Input [yellow] 2 18 8" xfId="532"/>
    <cellStyle name="Input [yellow] 2 18 8 10" xfId="6005"/>
    <cellStyle name="Input [yellow] 2 18 8 10 2" xfId="17202"/>
    <cellStyle name="Input [yellow] 2 18 8 10 3" xfId="28370"/>
    <cellStyle name="Input [yellow] 2 18 8 10 4" xfId="39535"/>
    <cellStyle name="Input [yellow] 2 18 8 10 5" xfId="50728"/>
    <cellStyle name="Input [yellow] 2 18 8 11" xfId="6468"/>
    <cellStyle name="Input [yellow] 2 18 8 11 2" xfId="17665"/>
    <cellStyle name="Input [yellow] 2 18 8 11 3" xfId="28833"/>
    <cellStyle name="Input [yellow] 2 18 8 11 4" xfId="39998"/>
    <cellStyle name="Input [yellow] 2 18 8 11 5" xfId="51191"/>
    <cellStyle name="Input [yellow] 2 18 8 12" xfId="7101"/>
    <cellStyle name="Input [yellow] 2 18 8 12 2" xfId="18298"/>
    <cellStyle name="Input [yellow] 2 18 8 12 3" xfId="29466"/>
    <cellStyle name="Input [yellow] 2 18 8 12 4" xfId="40631"/>
    <cellStyle name="Input [yellow] 2 18 8 12 5" xfId="51824"/>
    <cellStyle name="Input [yellow] 2 18 8 13" xfId="7735"/>
    <cellStyle name="Input [yellow] 2 18 8 13 2" xfId="18932"/>
    <cellStyle name="Input [yellow] 2 18 8 13 3" xfId="30100"/>
    <cellStyle name="Input [yellow] 2 18 8 13 4" xfId="41265"/>
    <cellStyle name="Input [yellow] 2 18 8 13 5" xfId="52458"/>
    <cellStyle name="Input [yellow] 2 18 8 14" xfId="8369"/>
    <cellStyle name="Input [yellow] 2 18 8 14 2" xfId="19566"/>
    <cellStyle name="Input [yellow] 2 18 8 14 3" xfId="30734"/>
    <cellStyle name="Input [yellow] 2 18 8 14 4" xfId="41899"/>
    <cellStyle name="Input [yellow] 2 18 8 14 5" xfId="53092"/>
    <cellStyle name="Input [yellow] 2 18 8 15" xfId="8997"/>
    <cellStyle name="Input [yellow] 2 18 8 15 2" xfId="20194"/>
    <cellStyle name="Input [yellow] 2 18 8 15 3" xfId="31362"/>
    <cellStyle name="Input [yellow] 2 18 8 15 4" xfId="42527"/>
    <cellStyle name="Input [yellow] 2 18 8 15 5" xfId="53720"/>
    <cellStyle name="Input [yellow] 2 18 8 16" xfId="9420"/>
    <cellStyle name="Input [yellow] 2 18 8 16 2" xfId="20617"/>
    <cellStyle name="Input [yellow] 2 18 8 16 3" xfId="31785"/>
    <cellStyle name="Input [yellow] 2 18 8 16 4" xfId="42950"/>
    <cellStyle name="Input [yellow] 2 18 8 16 5" xfId="54143"/>
    <cellStyle name="Input [yellow] 2 18 8 17" xfId="10045"/>
    <cellStyle name="Input [yellow] 2 18 8 17 2" xfId="21242"/>
    <cellStyle name="Input [yellow] 2 18 8 17 3" xfId="32410"/>
    <cellStyle name="Input [yellow] 2 18 8 17 4" xfId="43575"/>
    <cellStyle name="Input [yellow] 2 18 8 17 5" xfId="54768"/>
    <cellStyle name="Input [yellow] 2 18 8 18" xfId="10483"/>
    <cellStyle name="Input [yellow] 2 18 8 18 2" xfId="21680"/>
    <cellStyle name="Input [yellow] 2 18 8 18 3" xfId="32848"/>
    <cellStyle name="Input [yellow] 2 18 8 18 4" xfId="44013"/>
    <cellStyle name="Input [yellow] 2 18 8 18 5" xfId="55206"/>
    <cellStyle name="Input [yellow] 2 18 8 19" xfId="11085"/>
    <cellStyle name="Input [yellow] 2 18 8 19 2" xfId="22282"/>
    <cellStyle name="Input [yellow] 2 18 8 19 3" xfId="33450"/>
    <cellStyle name="Input [yellow] 2 18 8 19 4" xfId="44615"/>
    <cellStyle name="Input [yellow] 2 18 8 19 5" xfId="55808"/>
    <cellStyle name="Input [yellow] 2 18 8 2" xfId="1181"/>
    <cellStyle name="Input [yellow] 2 18 8 2 2" xfId="12378"/>
    <cellStyle name="Input [yellow] 2 18 8 2 3" xfId="23546"/>
    <cellStyle name="Input [yellow] 2 18 8 2 4" xfId="34711"/>
    <cellStyle name="Input [yellow] 2 18 8 2 5" xfId="45904"/>
    <cellStyle name="Input [yellow] 2 18 8 20" xfId="11732"/>
    <cellStyle name="Input [yellow] 2 18 8 21" xfId="22902"/>
    <cellStyle name="Input [yellow] 2 18 8 22" xfId="34069"/>
    <cellStyle name="Input [yellow] 2 18 8 23" xfId="45255"/>
    <cellStyle name="Input [yellow] 2 18 8 3" xfId="1779"/>
    <cellStyle name="Input [yellow] 2 18 8 3 2" xfId="12976"/>
    <cellStyle name="Input [yellow] 2 18 8 3 3" xfId="24144"/>
    <cellStyle name="Input [yellow] 2 18 8 3 4" xfId="35309"/>
    <cellStyle name="Input [yellow] 2 18 8 3 5" xfId="46502"/>
    <cellStyle name="Input [yellow] 2 18 8 4" xfId="2457"/>
    <cellStyle name="Input [yellow] 2 18 8 4 2" xfId="13654"/>
    <cellStyle name="Input [yellow] 2 18 8 4 3" xfId="24822"/>
    <cellStyle name="Input [yellow] 2 18 8 4 4" xfId="35987"/>
    <cellStyle name="Input [yellow] 2 18 8 4 5" xfId="47180"/>
    <cellStyle name="Input [yellow] 2 18 8 5" xfId="2882"/>
    <cellStyle name="Input [yellow] 2 18 8 5 2" xfId="14079"/>
    <cellStyle name="Input [yellow] 2 18 8 5 3" xfId="25247"/>
    <cellStyle name="Input [yellow] 2 18 8 5 4" xfId="36412"/>
    <cellStyle name="Input [yellow] 2 18 8 5 5" xfId="47605"/>
    <cellStyle name="Input [yellow] 2 18 8 6" xfId="3516"/>
    <cellStyle name="Input [yellow] 2 18 8 6 2" xfId="14713"/>
    <cellStyle name="Input [yellow] 2 18 8 6 3" xfId="25881"/>
    <cellStyle name="Input [yellow] 2 18 8 6 4" xfId="37046"/>
    <cellStyle name="Input [yellow] 2 18 8 6 5" xfId="48239"/>
    <cellStyle name="Input [yellow] 2 18 8 7" xfId="4150"/>
    <cellStyle name="Input [yellow] 2 18 8 7 2" xfId="15347"/>
    <cellStyle name="Input [yellow] 2 18 8 7 3" xfId="26515"/>
    <cellStyle name="Input [yellow] 2 18 8 7 4" xfId="37680"/>
    <cellStyle name="Input [yellow] 2 18 8 7 5" xfId="48873"/>
    <cellStyle name="Input [yellow] 2 18 8 8" xfId="4783"/>
    <cellStyle name="Input [yellow] 2 18 8 8 2" xfId="15980"/>
    <cellStyle name="Input [yellow] 2 18 8 8 3" xfId="27148"/>
    <cellStyle name="Input [yellow] 2 18 8 8 4" xfId="38313"/>
    <cellStyle name="Input [yellow] 2 18 8 8 5" xfId="49506"/>
    <cellStyle name="Input [yellow] 2 18 8 9" xfId="5414"/>
    <cellStyle name="Input [yellow] 2 18 8 9 2" xfId="16611"/>
    <cellStyle name="Input [yellow] 2 18 8 9 3" xfId="27779"/>
    <cellStyle name="Input [yellow] 2 18 8 9 4" xfId="38944"/>
    <cellStyle name="Input [yellow] 2 18 8 9 5" xfId="50137"/>
    <cellStyle name="Input [yellow] 2 18 9" xfId="590"/>
    <cellStyle name="Input [yellow] 2 18 9 10" xfId="5824"/>
    <cellStyle name="Input [yellow] 2 18 9 10 2" xfId="17021"/>
    <cellStyle name="Input [yellow] 2 18 9 10 3" xfId="28189"/>
    <cellStyle name="Input [yellow] 2 18 9 10 4" xfId="39354"/>
    <cellStyle name="Input [yellow] 2 18 9 10 5" xfId="50547"/>
    <cellStyle name="Input [yellow] 2 18 9 11" xfId="6526"/>
    <cellStyle name="Input [yellow] 2 18 9 11 2" xfId="17723"/>
    <cellStyle name="Input [yellow] 2 18 9 11 3" xfId="28891"/>
    <cellStyle name="Input [yellow] 2 18 9 11 4" xfId="40056"/>
    <cellStyle name="Input [yellow] 2 18 9 11 5" xfId="51249"/>
    <cellStyle name="Input [yellow] 2 18 9 12" xfId="7159"/>
    <cellStyle name="Input [yellow] 2 18 9 12 2" xfId="18356"/>
    <cellStyle name="Input [yellow] 2 18 9 12 3" xfId="29524"/>
    <cellStyle name="Input [yellow] 2 18 9 12 4" xfId="40689"/>
    <cellStyle name="Input [yellow] 2 18 9 12 5" xfId="51882"/>
    <cellStyle name="Input [yellow] 2 18 9 13" xfId="7793"/>
    <cellStyle name="Input [yellow] 2 18 9 13 2" xfId="18990"/>
    <cellStyle name="Input [yellow] 2 18 9 13 3" xfId="30158"/>
    <cellStyle name="Input [yellow] 2 18 9 13 4" xfId="41323"/>
    <cellStyle name="Input [yellow] 2 18 9 13 5" xfId="52516"/>
    <cellStyle name="Input [yellow] 2 18 9 14" xfId="8427"/>
    <cellStyle name="Input [yellow] 2 18 9 14 2" xfId="19624"/>
    <cellStyle name="Input [yellow] 2 18 9 14 3" xfId="30792"/>
    <cellStyle name="Input [yellow] 2 18 9 14 4" xfId="41957"/>
    <cellStyle name="Input [yellow] 2 18 9 14 5" xfId="53150"/>
    <cellStyle name="Input [yellow] 2 18 9 15" xfId="9055"/>
    <cellStyle name="Input [yellow] 2 18 9 15 2" xfId="20252"/>
    <cellStyle name="Input [yellow] 2 18 9 15 3" xfId="31420"/>
    <cellStyle name="Input [yellow] 2 18 9 15 4" xfId="42585"/>
    <cellStyle name="Input [yellow] 2 18 9 15 5" xfId="53778"/>
    <cellStyle name="Input [yellow] 2 18 9 16" xfId="9478"/>
    <cellStyle name="Input [yellow] 2 18 9 16 2" xfId="20675"/>
    <cellStyle name="Input [yellow] 2 18 9 16 3" xfId="31843"/>
    <cellStyle name="Input [yellow] 2 18 9 16 4" xfId="43008"/>
    <cellStyle name="Input [yellow] 2 18 9 16 5" xfId="54201"/>
    <cellStyle name="Input [yellow] 2 18 9 17" xfId="10103"/>
    <cellStyle name="Input [yellow] 2 18 9 17 2" xfId="21300"/>
    <cellStyle name="Input [yellow] 2 18 9 17 3" xfId="32468"/>
    <cellStyle name="Input [yellow] 2 18 9 17 4" xfId="43633"/>
    <cellStyle name="Input [yellow] 2 18 9 17 5" xfId="54826"/>
    <cellStyle name="Input [yellow] 2 18 9 18" xfId="10297"/>
    <cellStyle name="Input [yellow] 2 18 9 18 2" xfId="21494"/>
    <cellStyle name="Input [yellow] 2 18 9 18 3" xfId="32662"/>
    <cellStyle name="Input [yellow] 2 18 9 18 4" xfId="43827"/>
    <cellStyle name="Input [yellow] 2 18 9 18 5" xfId="55020"/>
    <cellStyle name="Input [yellow] 2 18 9 19" xfId="11143"/>
    <cellStyle name="Input [yellow] 2 18 9 19 2" xfId="22340"/>
    <cellStyle name="Input [yellow] 2 18 9 19 3" xfId="33508"/>
    <cellStyle name="Input [yellow] 2 18 9 19 4" xfId="44673"/>
    <cellStyle name="Input [yellow] 2 18 9 19 5" xfId="55866"/>
    <cellStyle name="Input [yellow] 2 18 9 2" xfId="1239"/>
    <cellStyle name="Input [yellow] 2 18 9 2 2" xfId="12436"/>
    <cellStyle name="Input [yellow] 2 18 9 2 3" xfId="23604"/>
    <cellStyle name="Input [yellow] 2 18 9 2 4" xfId="34769"/>
    <cellStyle name="Input [yellow] 2 18 9 2 5" xfId="45962"/>
    <cellStyle name="Input [yellow] 2 18 9 20" xfId="11790"/>
    <cellStyle name="Input [yellow] 2 18 9 21" xfId="22960"/>
    <cellStyle name="Input [yellow] 2 18 9 22" xfId="34127"/>
    <cellStyle name="Input [yellow] 2 18 9 23" xfId="45313"/>
    <cellStyle name="Input [yellow] 2 18 9 3" xfId="1565"/>
    <cellStyle name="Input [yellow] 2 18 9 3 2" xfId="12762"/>
    <cellStyle name="Input [yellow] 2 18 9 3 3" xfId="23930"/>
    <cellStyle name="Input [yellow] 2 18 9 3 4" xfId="35095"/>
    <cellStyle name="Input [yellow] 2 18 9 3 5" xfId="46288"/>
    <cellStyle name="Input [yellow] 2 18 9 4" xfId="2515"/>
    <cellStyle name="Input [yellow] 2 18 9 4 2" xfId="13712"/>
    <cellStyle name="Input [yellow] 2 18 9 4 3" xfId="24880"/>
    <cellStyle name="Input [yellow] 2 18 9 4 4" xfId="36045"/>
    <cellStyle name="Input [yellow] 2 18 9 4 5" xfId="47238"/>
    <cellStyle name="Input [yellow] 2 18 9 5" xfId="2940"/>
    <cellStyle name="Input [yellow] 2 18 9 5 2" xfId="14137"/>
    <cellStyle name="Input [yellow] 2 18 9 5 3" xfId="25305"/>
    <cellStyle name="Input [yellow] 2 18 9 5 4" xfId="36470"/>
    <cellStyle name="Input [yellow] 2 18 9 5 5" xfId="47663"/>
    <cellStyle name="Input [yellow] 2 18 9 6" xfId="3574"/>
    <cellStyle name="Input [yellow] 2 18 9 6 2" xfId="14771"/>
    <cellStyle name="Input [yellow] 2 18 9 6 3" xfId="25939"/>
    <cellStyle name="Input [yellow] 2 18 9 6 4" xfId="37104"/>
    <cellStyle name="Input [yellow] 2 18 9 6 5" xfId="48297"/>
    <cellStyle name="Input [yellow] 2 18 9 7" xfId="4208"/>
    <cellStyle name="Input [yellow] 2 18 9 7 2" xfId="15405"/>
    <cellStyle name="Input [yellow] 2 18 9 7 3" xfId="26573"/>
    <cellStyle name="Input [yellow] 2 18 9 7 4" xfId="37738"/>
    <cellStyle name="Input [yellow] 2 18 9 7 5" xfId="48931"/>
    <cellStyle name="Input [yellow] 2 18 9 8" xfId="4841"/>
    <cellStyle name="Input [yellow] 2 18 9 8 2" xfId="16038"/>
    <cellStyle name="Input [yellow] 2 18 9 8 3" xfId="27206"/>
    <cellStyle name="Input [yellow] 2 18 9 8 4" xfId="38371"/>
    <cellStyle name="Input [yellow] 2 18 9 8 5" xfId="49564"/>
    <cellStyle name="Input [yellow] 2 18 9 9" xfId="5472"/>
    <cellStyle name="Input [yellow] 2 18 9 9 2" xfId="16669"/>
    <cellStyle name="Input [yellow] 2 18 9 9 3" xfId="27837"/>
    <cellStyle name="Input [yellow] 2 18 9 9 4" xfId="39002"/>
    <cellStyle name="Input [yellow] 2 18 9 9 5" xfId="50195"/>
    <cellStyle name="Input [yellow] 2 19" xfId="124"/>
    <cellStyle name="Input [yellow] 2 19 10" xfId="646"/>
    <cellStyle name="Input [yellow] 2 19 10 10" xfId="6138"/>
    <cellStyle name="Input [yellow] 2 19 10 10 2" xfId="17335"/>
    <cellStyle name="Input [yellow] 2 19 10 10 3" xfId="28503"/>
    <cellStyle name="Input [yellow] 2 19 10 10 4" xfId="39668"/>
    <cellStyle name="Input [yellow] 2 19 10 10 5" xfId="50861"/>
    <cellStyle name="Input [yellow] 2 19 10 11" xfId="6582"/>
    <cellStyle name="Input [yellow] 2 19 10 11 2" xfId="17779"/>
    <cellStyle name="Input [yellow] 2 19 10 11 3" xfId="28947"/>
    <cellStyle name="Input [yellow] 2 19 10 11 4" xfId="40112"/>
    <cellStyle name="Input [yellow] 2 19 10 11 5" xfId="51305"/>
    <cellStyle name="Input [yellow] 2 19 10 12" xfId="7215"/>
    <cellStyle name="Input [yellow] 2 19 10 12 2" xfId="18412"/>
    <cellStyle name="Input [yellow] 2 19 10 12 3" xfId="29580"/>
    <cellStyle name="Input [yellow] 2 19 10 12 4" xfId="40745"/>
    <cellStyle name="Input [yellow] 2 19 10 12 5" xfId="51938"/>
    <cellStyle name="Input [yellow] 2 19 10 13" xfId="7849"/>
    <cellStyle name="Input [yellow] 2 19 10 13 2" xfId="19046"/>
    <cellStyle name="Input [yellow] 2 19 10 13 3" xfId="30214"/>
    <cellStyle name="Input [yellow] 2 19 10 13 4" xfId="41379"/>
    <cellStyle name="Input [yellow] 2 19 10 13 5" xfId="52572"/>
    <cellStyle name="Input [yellow] 2 19 10 14" xfId="8483"/>
    <cellStyle name="Input [yellow] 2 19 10 14 2" xfId="19680"/>
    <cellStyle name="Input [yellow] 2 19 10 14 3" xfId="30848"/>
    <cellStyle name="Input [yellow] 2 19 10 14 4" xfId="42013"/>
    <cellStyle name="Input [yellow] 2 19 10 14 5" xfId="53206"/>
    <cellStyle name="Input [yellow] 2 19 10 15" xfId="9111"/>
    <cellStyle name="Input [yellow] 2 19 10 15 2" xfId="20308"/>
    <cellStyle name="Input [yellow] 2 19 10 15 3" xfId="31476"/>
    <cellStyle name="Input [yellow] 2 19 10 15 4" xfId="42641"/>
    <cellStyle name="Input [yellow] 2 19 10 15 5" xfId="53834"/>
    <cellStyle name="Input [yellow] 2 19 10 16" xfId="9534"/>
    <cellStyle name="Input [yellow] 2 19 10 16 2" xfId="20731"/>
    <cellStyle name="Input [yellow] 2 19 10 16 3" xfId="31899"/>
    <cellStyle name="Input [yellow] 2 19 10 16 4" xfId="43064"/>
    <cellStyle name="Input [yellow] 2 19 10 16 5" xfId="54257"/>
    <cellStyle name="Input [yellow] 2 19 10 17" xfId="10159"/>
    <cellStyle name="Input [yellow] 2 19 10 17 2" xfId="21356"/>
    <cellStyle name="Input [yellow] 2 19 10 17 3" xfId="32524"/>
    <cellStyle name="Input [yellow] 2 19 10 17 4" xfId="43689"/>
    <cellStyle name="Input [yellow] 2 19 10 17 5" xfId="54882"/>
    <cellStyle name="Input [yellow] 2 19 10 18" xfId="10251"/>
    <cellStyle name="Input [yellow] 2 19 10 18 2" xfId="21448"/>
    <cellStyle name="Input [yellow] 2 19 10 18 3" xfId="32616"/>
    <cellStyle name="Input [yellow] 2 19 10 18 4" xfId="43781"/>
    <cellStyle name="Input [yellow] 2 19 10 18 5" xfId="54974"/>
    <cellStyle name="Input [yellow] 2 19 10 19" xfId="11199"/>
    <cellStyle name="Input [yellow] 2 19 10 19 2" xfId="22396"/>
    <cellStyle name="Input [yellow] 2 19 10 19 3" xfId="33564"/>
    <cellStyle name="Input [yellow] 2 19 10 19 4" xfId="44729"/>
    <cellStyle name="Input [yellow] 2 19 10 19 5" xfId="55922"/>
    <cellStyle name="Input [yellow] 2 19 10 2" xfId="1295"/>
    <cellStyle name="Input [yellow] 2 19 10 2 2" xfId="12492"/>
    <cellStyle name="Input [yellow] 2 19 10 2 3" xfId="23660"/>
    <cellStyle name="Input [yellow] 2 19 10 2 4" xfId="34825"/>
    <cellStyle name="Input [yellow] 2 19 10 2 5" xfId="46018"/>
    <cellStyle name="Input [yellow] 2 19 10 20" xfId="11846"/>
    <cellStyle name="Input [yellow] 2 19 10 21" xfId="23016"/>
    <cellStyle name="Input [yellow] 2 19 10 22" xfId="34183"/>
    <cellStyle name="Input [yellow] 2 19 10 23" xfId="45369"/>
    <cellStyle name="Input [yellow] 2 19 10 3" xfId="1637"/>
    <cellStyle name="Input [yellow] 2 19 10 3 2" xfId="12834"/>
    <cellStyle name="Input [yellow] 2 19 10 3 3" xfId="24002"/>
    <cellStyle name="Input [yellow] 2 19 10 3 4" xfId="35167"/>
    <cellStyle name="Input [yellow] 2 19 10 3 5" xfId="46360"/>
    <cellStyle name="Input [yellow] 2 19 10 4" xfId="2571"/>
    <cellStyle name="Input [yellow] 2 19 10 4 2" xfId="13768"/>
    <cellStyle name="Input [yellow] 2 19 10 4 3" xfId="24936"/>
    <cellStyle name="Input [yellow] 2 19 10 4 4" xfId="36101"/>
    <cellStyle name="Input [yellow] 2 19 10 4 5" xfId="47294"/>
    <cellStyle name="Input [yellow] 2 19 10 5" xfId="2996"/>
    <cellStyle name="Input [yellow] 2 19 10 5 2" xfId="14193"/>
    <cellStyle name="Input [yellow] 2 19 10 5 3" xfId="25361"/>
    <cellStyle name="Input [yellow] 2 19 10 5 4" xfId="36526"/>
    <cellStyle name="Input [yellow] 2 19 10 5 5" xfId="47719"/>
    <cellStyle name="Input [yellow] 2 19 10 6" xfId="3630"/>
    <cellStyle name="Input [yellow] 2 19 10 6 2" xfId="14827"/>
    <cellStyle name="Input [yellow] 2 19 10 6 3" xfId="25995"/>
    <cellStyle name="Input [yellow] 2 19 10 6 4" xfId="37160"/>
    <cellStyle name="Input [yellow] 2 19 10 6 5" xfId="48353"/>
    <cellStyle name="Input [yellow] 2 19 10 7" xfId="4264"/>
    <cellStyle name="Input [yellow] 2 19 10 7 2" xfId="15461"/>
    <cellStyle name="Input [yellow] 2 19 10 7 3" xfId="26629"/>
    <cellStyle name="Input [yellow] 2 19 10 7 4" xfId="37794"/>
    <cellStyle name="Input [yellow] 2 19 10 7 5" xfId="48987"/>
    <cellStyle name="Input [yellow] 2 19 10 8" xfId="4897"/>
    <cellStyle name="Input [yellow] 2 19 10 8 2" xfId="16094"/>
    <cellStyle name="Input [yellow] 2 19 10 8 3" xfId="27262"/>
    <cellStyle name="Input [yellow] 2 19 10 8 4" xfId="38427"/>
    <cellStyle name="Input [yellow] 2 19 10 8 5" xfId="49620"/>
    <cellStyle name="Input [yellow] 2 19 10 9" xfId="5528"/>
    <cellStyle name="Input [yellow] 2 19 10 9 2" xfId="16725"/>
    <cellStyle name="Input [yellow] 2 19 10 9 3" xfId="27893"/>
    <cellStyle name="Input [yellow] 2 19 10 9 4" xfId="39058"/>
    <cellStyle name="Input [yellow] 2 19 10 9 5" xfId="50251"/>
    <cellStyle name="Input [yellow] 2 19 11" xfId="626"/>
    <cellStyle name="Input [yellow] 2 19 11 10" xfId="4318"/>
    <cellStyle name="Input [yellow] 2 19 11 10 2" xfId="15515"/>
    <cellStyle name="Input [yellow] 2 19 11 10 3" xfId="26683"/>
    <cellStyle name="Input [yellow] 2 19 11 10 4" xfId="37848"/>
    <cellStyle name="Input [yellow] 2 19 11 10 5" xfId="49041"/>
    <cellStyle name="Input [yellow] 2 19 11 11" xfId="6562"/>
    <cellStyle name="Input [yellow] 2 19 11 11 2" xfId="17759"/>
    <cellStyle name="Input [yellow] 2 19 11 11 3" xfId="28927"/>
    <cellStyle name="Input [yellow] 2 19 11 11 4" xfId="40092"/>
    <cellStyle name="Input [yellow] 2 19 11 11 5" xfId="51285"/>
    <cellStyle name="Input [yellow] 2 19 11 12" xfId="7195"/>
    <cellStyle name="Input [yellow] 2 19 11 12 2" xfId="18392"/>
    <cellStyle name="Input [yellow] 2 19 11 12 3" xfId="29560"/>
    <cellStyle name="Input [yellow] 2 19 11 12 4" xfId="40725"/>
    <cellStyle name="Input [yellow] 2 19 11 12 5" xfId="51918"/>
    <cellStyle name="Input [yellow] 2 19 11 13" xfId="7829"/>
    <cellStyle name="Input [yellow] 2 19 11 13 2" xfId="19026"/>
    <cellStyle name="Input [yellow] 2 19 11 13 3" xfId="30194"/>
    <cellStyle name="Input [yellow] 2 19 11 13 4" xfId="41359"/>
    <cellStyle name="Input [yellow] 2 19 11 13 5" xfId="52552"/>
    <cellStyle name="Input [yellow] 2 19 11 14" xfId="8463"/>
    <cellStyle name="Input [yellow] 2 19 11 14 2" xfId="19660"/>
    <cellStyle name="Input [yellow] 2 19 11 14 3" xfId="30828"/>
    <cellStyle name="Input [yellow] 2 19 11 14 4" xfId="41993"/>
    <cellStyle name="Input [yellow] 2 19 11 14 5" xfId="53186"/>
    <cellStyle name="Input [yellow] 2 19 11 15" xfId="9091"/>
    <cellStyle name="Input [yellow] 2 19 11 15 2" xfId="20288"/>
    <cellStyle name="Input [yellow] 2 19 11 15 3" xfId="31456"/>
    <cellStyle name="Input [yellow] 2 19 11 15 4" xfId="42621"/>
    <cellStyle name="Input [yellow] 2 19 11 15 5" xfId="53814"/>
    <cellStyle name="Input [yellow] 2 19 11 16" xfId="9514"/>
    <cellStyle name="Input [yellow] 2 19 11 16 2" xfId="20711"/>
    <cellStyle name="Input [yellow] 2 19 11 16 3" xfId="31879"/>
    <cellStyle name="Input [yellow] 2 19 11 16 4" xfId="43044"/>
    <cellStyle name="Input [yellow] 2 19 11 16 5" xfId="54237"/>
    <cellStyle name="Input [yellow] 2 19 11 17" xfId="10139"/>
    <cellStyle name="Input [yellow] 2 19 11 17 2" xfId="21336"/>
    <cellStyle name="Input [yellow] 2 19 11 17 3" xfId="32504"/>
    <cellStyle name="Input [yellow] 2 19 11 17 4" xfId="43669"/>
    <cellStyle name="Input [yellow] 2 19 11 17 5" xfId="54862"/>
    <cellStyle name="Input [yellow] 2 19 11 18" xfId="7948"/>
    <cellStyle name="Input [yellow] 2 19 11 18 2" xfId="19145"/>
    <cellStyle name="Input [yellow] 2 19 11 18 3" xfId="30313"/>
    <cellStyle name="Input [yellow] 2 19 11 18 4" xfId="41478"/>
    <cellStyle name="Input [yellow] 2 19 11 18 5" xfId="52671"/>
    <cellStyle name="Input [yellow] 2 19 11 19" xfId="11179"/>
    <cellStyle name="Input [yellow] 2 19 11 19 2" xfId="22376"/>
    <cellStyle name="Input [yellow] 2 19 11 19 3" xfId="33544"/>
    <cellStyle name="Input [yellow] 2 19 11 19 4" xfId="44709"/>
    <cellStyle name="Input [yellow] 2 19 11 19 5" xfId="55902"/>
    <cellStyle name="Input [yellow] 2 19 11 2" xfId="1275"/>
    <cellStyle name="Input [yellow] 2 19 11 2 2" xfId="12472"/>
    <cellStyle name="Input [yellow] 2 19 11 2 3" xfId="23640"/>
    <cellStyle name="Input [yellow] 2 19 11 2 4" xfId="34805"/>
    <cellStyle name="Input [yellow] 2 19 11 2 5" xfId="45998"/>
    <cellStyle name="Input [yellow] 2 19 11 20" xfId="11826"/>
    <cellStyle name="Input [yellow] 2 19 11 21" xfId="22996"/>
    <cellStyle name="Input [yellow] 2 19 11 22" xfId="34163"/>
    <cellStyle name="Input [yellow] 2 19 11 23" xfId="45349"/>
    <cellStyle name="Input [yellow] 2 19 11 3" xfId="1526"/>
    <cellStyle name="Input [yellow] 2 19 11 3 2" xfId="12723"/>
    <cellStyle name="Input [yellow] 2 19 11 3 3" xfId="23891"/>
    <cellStyle name="Input [yellow] 2 19 11 3 4" xfId="35056"/>
    <cellStyle name="Input [yellow] 2 19 11 3 5" xfId="46249"/>
    <cellStyle name="Input [yellow] 2 19 11 4" xfId="2551"/>
    <cellStyle name="Input [yellow] 2 19 11 4 2" xfId="13748"/>
    <cellStyle name="Input [yellow] 2 19 11 4 3" xfId="24916"/>
    <cellStyle name="Input [yellow] 2 19 11 4 4" xfId="36081"/>
    <cellStyle name="Input [yellow] 2 19 11 4 5" xfId="47274"/>
    <cellStyle name="Input [yellow] 2 19 11 5" xfId="2976"/>
    <cellStyle name="Input [yellow] 2 19 11 5 2" xfId="14173"/>
    <cellStyle name="Input [yellow] 2 19 11 5 3" xfId="25341"/>
    <cellStyle name="Input [yellow] 2 19 11 5 4" xfId="36506"/>
    <cellStyle name="Input [yellow] 2 19 11 5 5" xfId="47699"/>
    <cellStyle name="Input [yellow] 2 19 11 6" xfId="3610"/>
    <cellStyle name="Input [yellow] 2 19 11 6 2" xfId="14807"/>
    <cellStyle name="Input [yellow] 2 19 11 6 3" xfId="25975"/>
    <cellStyle name="Input [yellow] 2 19 11 6 4" xfId="37140"/>
    <cellStyle name="Input [yellow] 2 19 11 6 5" xfId="48333"/>
    <cellStyle name="Input [yellow] 2 19 11 7" xfId="4244"/>
    <cellStyle name="Input [yellow] 2 19 11 7 2" xfId="15441"/>
    <cellStyle name="Input [yellow] 2 19 11 7 3" xfId="26609"/>
    <cellStyle name="Input [yellow] 2 19 11 7 4" xfId="37774"/>
    <cellStyle name="Input [yellow] 2 19 11 7 5" xfId="48967"/>
    <cellStyle name="Input [yellow] 2 19 11 8" xfId="4877"/>
    <cellStyle name="Input [yellow] 2 19 11 8 2" xfId="16074"/>
    <cellStyle name="Input [yellow] 2 19 11 8 3" xfId="27242"/>
    <cellStyle name="Input [yellow] 2 19 11 8 4" xfId="38407"/>
    <cellStyle name="Input [yellow] 2 19 11 8 5" xfId="49600"/>
    <cellStyle name="Input [yellow] 2 19 11 9" xfId="5508"/>
    <cellStyle name="Input [yellow] 2 19 11 9 2" xfId="16705"/>
    <cellStyle name="Input [yellow] 2 19 11 9 3" xfId="27873"/>
    <cellStyle name="Input [yellow] 2 19 11 9 4" xfId="39038"/>
    <cellStyle name="Input [yellow] 2 19 11 9 5" xfId="50231"/>
    <cellStyle name="Input [yellow] 2 19 12" xfId="773"/>
    <cellStyle name="Input [yellow] 2 19 12 2" xfId="11970"/>
    <cellStyle name="Input [yellow] 2 19 12 3" xfId="23138"/>
    <cellStyle name="Input [yellow] 2 19 12 4" xfId="34303"/>
    <cellStyle name="Input [yellow] 2 19 12 5" xfId="45496"/>
    <cellStyle name="Input [yellow] 2 19 13" xfId="1484"/>
    <cellStyle name="Input [yellow] 2 19 13 2" xfId="12681"/>
    <cellStyle name="Input [yellow] 2 19 13 3" xfId="23849"/>
    <cellStyle name="Input [yellow] 2 19 13 4" xfId="35014"/>
    <cellStyle name="Input [yellow] 2 19 13 5" xfId="46207"/>
    <cellStyle name="Input [yellow] 2 19 14" xfId="2050"/>
    <cellStyle name="Input [yellow] 2 19 14 2" xfId="13247"/>
    <cellStyle name="Input [yellow] 2 19 14 3" xfId="24415"/>
    <cellStyle name="Input [yellow] 2 19 14 4" xfId="35580"/>
    <cellStyle name="Input [yellow] 2 19 14 5" xfId="46773"/>
    <cellStyle name="Input [yellow] 2 19 15" xfId="2074"/>
    <cellStyle name="Input [yellow] 2 19 15 2" xfId="13271"/>
    <cellStyle name="Input [yellow] 2 19 15 3" xfId="24439"/>
    <cellStyle name="Input [yellow] 2 19 15 4" xfId="35604"/>
    <cellStyle name="Input [yellow] 2 19 15 5" xfId="46797"/>
    <cellStyle name="Input [yellow] 2 19 16" xfId="3108"/>
    <cellStyle name="Input [yellow] 2 19 16 2" xfId="14305"/>
    <cellStyle name="Input [yellow] 2 19 16 3" xfId="25473"/>
    <cellStyle name="Input [yellow] 2 19 16 4" xfId="36638"/>
    <cellStyle name="Input [yellow] 2 19 16 5" xfId="47831"/>
    <cellStyle name="Input [yellow] 2 19 17" xfId="3742"/>
    <cellStyle name="Input [yellow] 2 19 17 2" xfId="14939"/>
    <cellStyle name="Input [yellow] 2 19 17 3" xfId="26107"/>
    <cellStyle name="Input [yellow] 2 19 17 4" xfId="37272"/>
    <cellStyle name="Input [yellow] 2 19 17 5" xfId="48465"/>
    <cellStyle name="Input [yellow] 2 19 18" xfId="4375"/>
    <cellStyle name="Input [yellow] 2 19 18 2" xfId="15572"/>
    <cellStyle name="Input [yellow] 2 19 18 3" xfId="26740"/>
    <cellStyle name="Input [yellow] 2 19 18 4" xfId="37905"/>
    <cellStyle name="Input [yellow] 2 19 18 5" xfId="49098"/>
    <cellStyle name="Input [yellow] 2 19 19" xfId="5006"/>
    <cellStyle name="Input [yellow] 2 19 19 2" xfId="16203"/>
    <cellStyle name="Input [yellow] 2 19 19 3" xfId="27371"/>
    <cellStyle name="Input [yellow] 2 19 19 4" xfId="38536"/>
    <cellStyle name="Input [yellow] 2 19 19 5" xfId="49729"/>
    <cellStyle name="Input [yellow] 2 19 2" xfId="187"/>
    <cellStyle name="Input [yellow] 2 19 2 10" xfId="5875"/>
    <cellStyle name="Input [yellow] 2 19 2 10 2" xfId="17072"/>
    <cellStyle name="Input [yellow] 2 19 2 10 3" xfId="28240"/>
    <cellStyle name="Input [yellow] 2 19 2 10 4" xfId="39405"/>
    <cellStyle name="Input [yellow] 2 19 2 10 5" xfId="50598"/>
    <cellStyle name="Input [yellow] 2 19 2 11" xfId="5980"/>
    <cellStyle name="Input [yellow] 2 19 2 11 2" xfId="17177"/>
    <cellStyle name="Input [yellow] 2 19 2 11 3" xfId="28345"/>
    <cellStyle name="Input [yellow] 2 19 2 11 4" xfId="39510"/>
    <cellStyle name="Input [yellow] 2 19 2 11 5" xfId="50703"/>
    <cellStyle name="Input [yellow] 2 19 2 12" xfId="6756"/>
    <cellStyle name="Input [yellow] 2 19 2 12 2" xfId="17953"/>
    <cellStyle name="Input [yellow] 2 19 2 12 3" xfId="29121"/>
    <cellStyle name="Input [yellow] 2 19 2 12 4" xfId="40286"/>
    <cellStyle name="Input [yellow] 2 19 2 12 5" xfId="51479"/>
    <cellStyle name="Input [yellow] 2 19 2 13" xfId="7390"/>
    <cellStyle name="Input [yellow] 2 19 2 13 2" xfId="18587"/>
    <cellStyle name="Input [yellow] 2 19 2 13 3" xfId="29755"/>
    <cellStyle name="Input [yellow] 2 19 2 13 4" xfId="40920"/>
    <cellStyle name="Input [yellow] 2 19 2 13 5" xfId="52113"/>
    <cellStyle name="Input [yellow] 2 19 2 14" xfId="8024"/>
    <cellStyle name="Input [yellow] 2 19 2 14 2" xfId="19221"/>
    <cellStyle name="Input [yellow] 2 19 2 14 3" xfId="30389"/>
    <cellStyle name="Input [yellow] 2 19 2 14 4" xfId="41554"/>
    <cellStyle name="Input [yellow] 2 19 2 14 5" xfId="52747"/>
    <cellStyle name="Input [yellow] 2 19 2 15" xfId="8655"/>
    <cellStyle name="Input [yellow] 2 19 2 15 2" xfId="19852"/>
    <cellStyle name="Input [yellow] 2 19 2 15 3" xfId="31020"/>
    <cellStyle name="Input [yellow] 2 19 2 15 4" xfId="42185"/>
    <cellStyle name="Input [yellow] 2 19 2 15 5" xfId="53378"/>
    <cellStyle name="Input [yellow] 2 19 2 16" xfId="9054"/>
    <cellStyle name="Input [yellow] 2 19 2 16 2" xfId="20251"/>
    <cellStyle name="Input [yellow] 2 19 2 16 3" xfId="31419"/>
    <cellStyle name="Input [yellow] 2 19 2 16 4" xfId="42584"/>
    <cellStyle name="Input [yellow] 2 19 2 16 5" xfId="53777"/>
    <cellStyle name="Input [yellow] 2 19 2 17" xfId="9707"/>
    <cellStyle name="Input [yellow] 2 19 2 17 2" xfId="20904"/>
    <cellStyle name="Input [yellow] 2 19 2 17 3" xfId="32072"/>
    <cellStyle name="Input [yellow] 2 19 2 17 4" xfId="43237"/>
    <cellStyle name="Input [yellow] 2 19 2 17 5" xfId="54430"/>
    <cellStyle name="Input [yellow] 2 19 2 18" xfId="10350"/>
    <cellStyle name="Input [yellow] 2 19 2 18 2" xfId="21547"/>
    <cellStyle name="Input [yellow] 2 19 2 18 3" xfId="32715"/>
    <cellStyle name="Input [yellow] 2 19 2 18 4" xfId="43880"/>
    <cellStyle name="Input [yellow] 2 19 2 18 5" xfId="55073"/>
    <cellStyle name="Input [yellow] 2 19 2 19" xfId="10740"/>
    <cellStyle name="Input [yellow] 2 19 2 19 2" xfId="21937"/>
    <cellStyle name="Input [yellow] 2 19 2 19 3" xfId="33105"/>
    <cellStyle name="Input [yellow] 2 19 2 19 4" xfId="44270"/>
    <cellStyle name="Input [yellow] 2 19 2 19 5" xfId="55463"/>
    <cellStyle name="Input [yellow] 2 19 2 2" xfId="836"/>
    <cellStyle name="Input [yellow] 2 19 2 2 2" xfId="12033"/>
    <cellStyle name="Input [yellow] 2 19 2 2 3" xfId="23201"/>
    <cellStyle name="Input [yellow] 2 19 2 2 4" xfId="34366"/>
    <cellStyle name="Input [yellow] 2 19 2 2 5" xfId="45559"/>
    <cellStyle name="Input [yellow] 2 19 2 20" xfId="11387"/>
    <cellStyle name="Input [yellow] 2 19 2 21" xfId="22557"/>
    <cellStyle name="Input [yellow] 2 19 2 22" xfId="33724"/>
    <cellStyle name="Input [yellow] 2 19 2 23" xfId="44910"/>
    <cellStyle name="Input [yellow] 2 19 2 3" xfId="1584"/>
    <cellStyle name="Input [yellow] 2 19 2 3 2" xfId="12781"/>
    <cellStyle name="Input [yellow] 2 19 2 3 3" xfId="23949"/>
    <cellStyle name="Input [yellow] 2 19 2 3 4" xfId="35114"/>
    <cellStyle name="Input [yellow] 2 19 2 3 5" xfId="46307"/>
    <cellStyle name="Input [yellow] 2 19 2 4" xfId="2113"/>
    <cellStyle name="Input [yellow] 2 19 2 4 2" xfId="13310"/>
    <cellStyle name="Input [yellow] 2 19 2 4 3" xfId="24478"/>
    <cellStyle name="Input [yellow] 2 19 2 4 4" xfId="35643"/>
    <cellStyle name="Input [yellow] 2 19 2 4 5" xfId="46836"/>
    <cellStyle name="Input [yellow] 2 19 2 5" xfId="2338"/>
    <cellStyle name="Input [yellow] 2 19 2 5 2" xfId="13535"/>
    <cellStyle name="Input [yellow] 2 19 2 5 3" xfId="24703"/>
    <cellStyle name="Input [yellow] 2 19 2 5 4" xfId="35868"/>
    <cellStyle name="Input [yellow] 2 19 2 5 5" xfId="47061"/>
    <cellStyle name="Input [yellow] 2 19 2 6" xfId="3171"/>
    <cellStyle name="Input [yellow] 2 19 2 6 2" xfId="14368"/>
    <cellStyle name="Input [yellow] 2 19 2 6 3" xfId="25536"/>
    <cellStyle name="Input [yellow] 2 19 2 6 4" xfId="36701"/>
    <cellStyle name="Input [yellow] 2 19 2 6 5" xfId="47894"/>
    <cellStyle name="Input [yellow] 2 19 2 7" xfId="3805"/>
    <cellStyle name="Input [yellow] 2 19 2 7 2" xfId="15002"/>
    <cellStyle name="Input [yellow] 2 19 2 7 3" xfId="26170"/>
    <cellStyle name="Input [yellow] 2 19 2 7 4" xfId="37335"/>
    <cellStyle name="Input [yellow] 2 19 2 7 5" xfId="48528"/>
    <cellStyle name="Input [yellow] 2 19 2 8" xfId="4438"/>
    <cellStyle name="Input [yellow] 2 19 2 8 2" xfId="15635"/>
    <cellStyle name="Input [yellow] 2 19 2 8 3" xfId="26803"/>
    <cellStyle name="Input [yellow] 2 19 2 8 4" xfId="37968"/>
    <cellStyle name="Input [yellow] 2 19 2 8 5" xfId="49161"/>
    <cellStyle name="Input [yellow] 2 19 2 9" xfId="5069"/>
    <cellStyle name="Input [yellow] 2 19 2 9 2" xfId="16266"/>
    <cellStyle name="Input [yellow] 2 19 2 9 3" xfId="27434"/>
    <cellStyle name="Input [yellow] 2 19 2 9 4" xfId="38599"/>
    <cellStyle name="Input [yellow] 2 19 2 9 5" xfId="49792"/>
    <cellStyle name="Input [yellow] 2 19 20" xfId="5731"/>
    <cellStyle name="Input [yellow] 2 19 20 2" xfId="16928"/>
    <cellStyle name="Input [yellow] 2 19 20 3" xfId="28096"/>
    <cellStyle name="Input [yellow] 2 19 20 4" xfId="39261"/>
    <cellStyle name="Input [yellow] 2 19 20 5" xfId="50454"/>
    <cellStyle name="Input [yellow] 2 19 21" xfId="5732"/>
    <cellStyle name="Input [yellow] 2 19 21 2" xfId="16929"/>
    <cellStyle name="Input [yellow] 2 19 21 3" xfId="28097"/>
    <cellStyle name="Input [yellow] 2 19 21 4" xfId="39262"/>
    <cellStyle name="Input [yellow] 2 19 21 5" xfId="50455"/>
    <cellStyle name="Input [yellow] 2 19 22" xfId="6693"/>
    <cellStyle name="Input [yellow] 2 19 22 2" xfId="17890"/>
    <cellStyle name="Input [yellow] 2 19 22 3" xfId="29058"/>
    <cellStyle name="Input [yellow] 2 19 22 4" xfId="40223"/>
    <cellStyle name="Input [yellow] 2 19 22 5" xfId="51416"/>
    <cellStyle name="Input [yellow] 2 19 23" xfId="7327"/>
    <cellStyle name="Input [yellow] 2 19 23 2" xfId="18524"/>
    <cellStyle name="Input [yellow] 2 19 23 3" xfId="29692"/>
    <cellStyle name="Input [yellow] 2 19 23 4" xfId="40857"/>
    <cellStyle name="Input [yellow] 2 19 23 5" xfId="52050"/>
    <cellStyle name="Input [yellow] 2 19 24" xfId="7961"/>
    <cellStyle name="Input [yellow] 2 19 24 2" xfId="19158"/>
    <cellStyle name="Input [yellow] 2 19 24 3" xfId="30326"/>
    <cellStyle name="Input [yellow] 2 19 24 4" xfId="41491"/>
    <cellStyle name="Input [yellow] 2 19 24 5" xfId="52684"/>
    <cellStyle name="Input [yellow] 2 19 25" xfId="8592"/>
    <cellStyle name="Input [yellow] 2 19 25 2" xfId="19789"/>
    <cellStyle name="Input [yellow] 2 19 25 3" xfId="30957"/>
    <cellStyle name="Input [yellow] 2 19 25 4" xfId="42122"/>
    <cellStyle name="Input [yellow] 2 19 25 5" xfId="53315"/>
    <cellStyle name="Input [yellow] 2 19 26" xfId="8823"/>
    <cellStyle name="Input [yellow] 2 19 26 2" xfId="20020"/>
    <cellStyle name="Input [yellow] 2 19 26 3" xfId="31188"/>
    <cellStyle name="Input [yellow] 2 19 26 4" xfId="42353"/>
    <cellStyle name="Input [yellow] 2 19 26 5" xfId="53546"/>
    <cellStyle name="Input [yellow] 2 19 27" xfId="9645"/>
    <cellStyle name="Input [yellow] 2 19 27 2" xfId="20842"/>
    <cellStyle name="Input [yellow] 2 19 27 3" xfId="32010"/>
    <cellStyle name="Input [yellow] 2 19 27 4" xfId="43175"/>
    <cellStyle name="Input [yellow] 2 19 27 5" xfId="54368"/>
    <cellStyle name="Input [yellow] 2 19 28" xfId="9971"/>
    <cellStyle name="Input [yellow] 2 19 28 2" xfId="21168"/>
    <cellStyle name="Input [yellow] 2 19 28 3" xfId="32336"/>
    <cellStyle name="Input [yellow] 2 19 28 4" xfId="43501"/>
    <cellStyle name="Input [yellow] 2 19 28 5" xfId="54694"/>
    <cellStyle name="Input [yellow] 2 19 29" xfId="10677"/>
    <cellStyle name="Input [yellow] 2 19 29 2" xfId="21874"/>
    <cellStyle name="Input [yellow] 2 19 29 3" xfId="33042"/>
    <cellStyle name="Input [yellow] 2 19 29 4" xfId="44207"/>
    <cellStyle name="Input [yellow] 2 19 29 5" xfId="55400"/>
    <cellStyle name="Input [yellow] 2 19 3" xfId="243"/>
    <cellStyle name="Input [yellow] 2 19 3 10" xfId="6163"/>
    <cellStyle name="Input [yellow] 2 19 3 10 2" xfId="17360"/>
    <cellStyle name="Input [yellow] 2 19 3 10 3" xfId="28528"/>
    <cellStyle name="Input [yellow] 2 19 3 10 4" xfId="39693"/>
    <cellStyle name="Input [yellow] 2 19 3 10 5" xfId="50886"/>
    <cellStyle name="Input [yellow] 2 19 3 11" xfId="6035"/>
    <cellStyle name="Input [yellow] 2 19 3 11 2" xfId="17232"/>
    <cellStyle name="Input [yellow] 2 19 3 11 3" xfId="28400"/>
    <cellStyle name="Input [yellow] 2 19 3 11 4" xfId="39565"/>
    <cellStyle name="Input [yellow] 2 19 3 11 5" xfId="50758"/>
    <cellStyle name="Input [yellow] 2 19 3 12" xfId="6812"/>
    <cellStyle name="Input [yellow] 2 19 3 12 2" xfId="18009"/>
    <cellStyle name="Input [yellow] 2 19 3 12 3" xfId="29177"/>
    <cellStyle name="Input [yellow] 2 19 3 12 4" xfId="40342"/>
    <cellStyle name="Input [yellow] 2 19 3 12 5" xfId="51535"/>
    <cellStyle name="Input [yellow] 2 19 3 13" xfId="7446"/>
    <cellStyle name="Input [yellow] 2 19 3 13 2" xfId="18643"/>
    <cellStyle name="Input [yellow] 2 19 3 13 3" xfId="29811"/>
    <cellStyle name="Input [yellow] 2 19 3 13 4" xfId="40976"/>
    <cellStyle name="Input [yellow] 2 19 3 13 5" xfId="52169"/>
    <cellStyle name="Input [yellow] 2 19 3 14" xfId="8080"/>
    <cellStyle name="Input [yellow] 2 19 3 14 2" xfId="19277"/>
    <cellStyle name="Input [yellow] 2 19 3 14 3" xfId="30445"/>
    <cellStyle name="Input [yellow] 2 19 3 14 4" xfId="41610"/>
    <cellStyle name="Input [yellow] 2 19 3 14 5" xfId="52803"/>
    <cellStyle name="Input [yellow] 2 19 3 15" xfId="8711"/>
    <cellStyle name="Input [yellow] 2 19 3 15 2" xfId="19908"/>
    <cellStyle name="Input [yellow] 2 19 3 15 3" xfId="31076"/>
    <cellStyle name="Input [yellow] 2 19 3 15 4" xfId="42241"/>
    <cellStyle name="Input [yellow] 2 19 3 15 5" xfId="53434"/>
    <cellStyle name="Input [yellow] 2 19 3 16" xfId="8977"/>
    <cellStyle name="Input [yellow] 2 19 3 16 2" xfId="20174"/>
    <cellStyle name="Input [yellow] 2 19 3 16 3" xfId="31342"/>
    <cellStyle name="Input [yellow] 2 19 3 16 4" xfId="42507"/>
    <cellStyle name="Input [yellow] 2 19 3 16 5" xfId="53700"/>
    <cellStyle name="Input [yellow] 2 19 3 17" xfId="9762"/>
    <cellStyle name="Input [yellow] 2 19 3 17 2" xfId="20959"/>
    <cellStyle name="Input [yellow] 2 19 3 17 3" xfId="32127"/>
    <cellStyle name="Input [yellow] 2 19 3 17 4" xfId="43292"/>
    <cellStyle name="Input [yellow] 2 19 3 17 5" xfId="54485"/>
    <cellStyle name="Input [yellow] 2 19 3 18" xfId="10281"/>
    <cellStyle name="Input [yellow] 2 19 3 18 2" xfId="21478"/>
    <cellStyle name="Input [yellow] 2 19 3 18 3" xfId="32646"/>
    <cellStyle name="Input [yellow] 2 19 3 18 4" xfId="43811"/>
    <cellStyle name="Input [yellow] 2 19 3 18 5" xfId="55004"/>
    <cellStyle name="Input [yellow] 2 19 3 19" xfId="10796"/>
    <cellStyle name="Input [yellow] 2 19 3 19 2" xfId="21993"/>
    <cellStyle name="Input [yellow] 2 19 3 19 3" xfId="33161"/>
    <cellStyle name="Input [yellow] 2 19 3 19 4" xfId="44326"/>
    <cellStyle name="Input [yellow] 2 19 3 19 5" xfId="55519"/>
    <cellStyle name="Input [yellow] 2 19 3 2" xfId="892"/>
    <cellStyle name="Input [yellow] 2 19 3 2 2" xfId="12089"/>
    <cellStyle name="Input [yellow] 2 19 3 2 3" xfId="23257"/>
    <cellStyle name="Input [yellow] 2 19 3 2 4" xfId="34422"/>
    <cellStyle name="Input [yellow] 2 19 3 2 5" xfId="45615"/>
    <cellStyle name="Input [yellow] 2 19 3 20" xfId="11443"/>
    <cellStyle name="Input [yellow] 2 19 3 21" xfId="22613"/>
    <cellStyle name="Input [yellow] 2 19 3 22" xfId="33780"/>
    <cellStyle name="Input [yellow] 2 19 3 23" xfId="44966"/>
    <cellStyle name="Input [yellow] 2 19 3 3" xfId="1553"/>
    <cellStyle name="Input [yellow] 2 19 3 3 2" xfId="12750"/>
    <cellStyle name="Input [yellow] 2 19 3 3 3" xfId="23918"/>
    <cellStyle name="Input [yellow] 2 19 3 3 4" xfId="35083"/>
    <cellStyle name="Input [yellow] 2 19 3 3 5" xfId="46276"/>
    <cellStyle name="Input [yellow] 2 19 3 4" xfId="2169"/>
    <cellStyle name="Input [yellow] 2 19 3 4 2" xfId="13366"/>
    <cellStyle name="Input [yellow] 2 19 3 4 3" xfId="24534"/>
    <cellStyle name="Input [yellow] 2 19 3 4 4" xfId="35699"/>
    <cellStyle name="Input [yellow] 2 19 3 4 5" xfId="46892"/>
    <cellStyle name="Input [yellow] 2 19 3 5" xfId="2174"/>
    <cellStyle name="Input [yellow] 2 19 3 5 2" xfId="13371"/>
    <cellStyle name="Input [yellow] 2 19 3 5 3" xfId="24539"/>
    <cellStyle name="Input [yellow] 2 19 3 5 4" xfId="35704"/>
    <cellStyle name="Input [yellow] 2 19 3 5 5" xfId="46897"/>
    <cellStyle name="Input [yellow] 2 19 3 6" xfId="3227"/>
    <cellStyle name="Input [yellow] 2 19 3 6 2" xfId="14424"/>
    <cellStyle name="Input [yellow] 2 19 3 6 3" xfId="25592"/>
    <cellStyle name="Input [yellow] 2 19 3 6 4" xfId="36757"/>
    <cellStyle name="Input [yellow] 2 19 3 6 5" xfId="47950"/>
    <cellStyle name="Input [yellow] 2 19 3 7" xfId="3861"/>
    <cellStyle name="Input [yellow] 2 19 3 7 2" xfId="15058"/>
    <cellStyle name="Input [yellow] 2 19 3 7 3" xfId="26226"/>
    <cellStyle name="Input [yellow] 2 19 3 7 4" xfId="37391"/>
    <cellStyle name="Input [yellow] 2 19 3 7 5" xfId="48584"/>
    <cellStyle name="Input [yellow] 2 19 3 8" xfId="4494"/>
    <cellStyle name="Input [yellow] 2 19 3 8 2" xfId="15691"/>
    <cellStyle name="Input [yellow] 2 19 3 8 3" xfId="26859"/>
    <cellStyle name="Input [yellow] 2 19 3 8 4" xfId="38024"/>
    <cellStyle name="Input [yellow] 2 19 3 8 5" xfId="49217"/>
    <cellStyle name="Input [yellow] 2 19 3 9" xfId="5125"/>
    <cellStyle name="Input [yellow] 2 19 3 9 2" xfId="16322"/>
    <cellStyle name="Input [yellow] 2 19 3 9 3" xfId="27490"/>
    <cellStyle name="Input [yellow] 2 19 3 9 4" xfId="38655"/>
    <cellStyle name="Input [yellow] 2 19 3 9 5" xfId="49848"/>
    <cellStyle name="Input [yellow] 2 19 30" xfId="11324"/>
    <cellStyle name="Input [yellow] 2 19 31" xfId="22494"/>
    <cellStyle name="Input [yellow] 2 19 32" xfId="33661"/>
    <cellStyle name="Input [yellow] 2 19 33" xfId="44847"/>
    <cellStyle name="Input [yellow] 2 19 4" xfId="257"/>
    <cellStyle name="Input [yellow] 2 19 4 10" xfId="6088"/>
    <cellStyle name="Input [yellow] 2 19 4 10 2" xfId="17285"/>
    <cellStyle name="Input [yellow] 2 19 4 10 3" xfId="28453"/>
    <cellStyle name="Input [yellow] 2 19 4 10 4" xfId="39618"/>
    <cellStyle name="Input [yellow] 2 19 4 10 5" xfId="50811"/>
    <cellStyle name="Input [yellow] 2 19 4 11" xfId="5650"/>
    <cellStyle name="Input [yellow] 2 19 4 11 2" xfId="16847"/>
    <cellStyle name="Input [yellow] 2 19 4 11 3" xfId="28015"/>
    <cellStyle name="Input [yellow] 2 19 4 11 4" xfId="39180"/>
    <cellStyle name="Input [yellow] 2 19 4 11 5" xfId="50373"/>
    <cellStyle name="Input [yellow] 2 19 4 12" xfId="6826"/>
    <cellStyle name="Input [yellow] 2 19 4 12 2" xfId="18023"/>
    <cellStyle name="Input [yellow] 2 19 4 12 3" xfId="29191"/>
    <cellStyle name="Input [yellow] 2 19 4 12 4" xfId="40356"/>
    <cellStyle name="Input [yellow] 2 19 4 12 5" xfId="51549"/>
    <cellStyle name="Input [yellow] 2 19 4 13" xfId="7460"/>
    <cellStyle name="Input [yellow] 2 19 4 13 2" xfId="18657"/>
    <cellStyle name="Input [yellow] 2 19 4 13 3" xfId="29825"/>
    <cellStyle name="Input [yellow] 2 19 4 13 4" xfId="40990"/>
    <cellStyle name="Input [yellow] 2 19 4 13 5" xfId="52183"/>
    <cellStyle name="Input [yellow] 2 19 4 14" xfId="8094"/>
    <cellStyle name="Input [yellow] 2 19 4 14 2" xfId="19291"/>
    <cellStyle name="Input [yellow] 2 19 4 14 3" xfId="30459"/>
    <cellStyle name="Input [yellow] 2 19 4 14 4" xfId="41624"/>
    <cellStyle name="Input [yellow] 2 19 4 14 5" xfId="52817"/>
    <cellStyle name="Input [yellow] 2 19 4 15" xfId="8725"/>
    <cellStyle name="Input [yellow] 2 19 4 15 2" xfId="19922"/>
    <cellStyle name="Input [yellow] 2 19 4 15 3" xfId="31090"/>
    <cellStyle name="Input [yellow] 2 19 4 15 4" xfId="42255"/>
    <cellStyle name="Input [yellow] 2 19 4 15 5" xfId="53448"/>
    <cellStyle name="Input [yellow] 2 19 4 16" xfId="8763"/>
    <cellStyle name="Input [yellow] 2 19 4 16 2" xfId="19960"/>
    <cellStyle name="Input [yellow] 2 19 4 16 3" xfId="31128"/>
    <cellStyle name="Input [yellow] 2 19 4 16 4" xfId="42293"/>
    <cellStyle name="Input [yellow] 2 19 4 16 5" xfId="53486"/>
    <cellStyle name="Input [yellow] 2 19 4 17" xfId="9776"/>
    <cellStyle name="Input [yellow] 2 19 4 17 2" xfId="20973"/>
    <cellStyle name="Input [yellow] 2 19 4 17 3" xfId="32141"/>
    <cellStyle name="Input [yellow] 2 19 4 17 4" xfId="43306"/>
    <cellStyle name="Input [yellow] 2 19 4 17 5" xfId="54499"/>
    <cellStyle name="Input [yellow] 2 19 4 18" xfId="9754"/>
    <cellStyle name="Input [yellow] 2 19 4 18 2" xfId="20951"/>
    <cellStyle name="Input [yellow] 2 19 4 18 3" xfId="32119"/>
    <cellStyle name="Input [yellow] 2 19 4 18 4" xfId="43284"/>
    <cellStyle name="Input [yellow] 2 19 4 18 5" xfId="54477"/>
    <cellStyle name="Input [yellow] 2 19 4 19" xfId="10810"/>
    <cellStyle name="Input [yellow] 2 19 4 19 2" xfId="22007"/>
    <cellStyle name="Input [yellow] 2 19 4 19 3" xfId="33175"/>
    <cellStyle name="Input [yellow] 2 19 4 19 4" xfId="44340"/>
    <cellStyle name="Input [yellow] 2 19 4 19 5" xfId="55533"/>
    <cellStyle name="Input [yellow] 2 19 4 2" xfId="906"/>
    <cellStyle name="Input [yellow] 2 19 4 2 2" xfId="12103"/>
    <cellStyle name="Input [yellow] 2 19 4 2 3" xfId="23271"/>
    <cellStyle name="Input [yellow] 2 19 4 2 4" xfId="34436"/>
    <cellStyle name="Input [yellow] 2 19 4 2 5" xfId="45629"/>
    <cellStyle name="Input [yellow] 2 19 4 20" xfId="11457"/>
    <cellStyle name="Input [yellow] 2 19 4 21" xfId="22627"/>
    <cellStyle name="Input [yellow] 2 19 4 22" xfId="33794"/>
    <cellStyle name="Input [yellow] 2 19 4 23" xfId="44980"/>
    <cellStyle name="Input [yellow] 2 19 4 3" xfId="1448"/>
    <cellStyle name="Input [yellow] 2 19 4 3 2" xfId="12645"/>
    <cellStyle name="Input [yellow] 2 19 4 3 3" xfId="23813"/>
    <cellStyle name="Input [yellow] 2 19 4 3 4" xfId="34978"/>
    <cellStyle name="Input [yellow] 2 19 4 3 5" xfId="46171"/>
    <cellStyle name="Input [yellow] 2 19 4 4" xfId="2183"/>
    <cellStyle name="Input [yellow] 2 19 4 4 2" xfId="13380"/>
    <cellStyle name="Input [yellow] 2 19 4 4 3" xfId="24548"/>
    <cellStyle name="Input [yellow] 2 19 4 4 4" xfId="35713"/>
    <cellStyle name="Input [yellow] 2 19 4 4 5" xfId="46906"/>
    <cellStyle name="Input [yellow] 2 19 4 5" xfId="2090"/>
    <cellStyle name="Input [yellow] 2 19 4 5 2" xfId="13287"/>
    <cellStyle name="Input [yellow] 2 19 4 5 3" xfId="24455"/>
    <cellStyle name="Input [yellow] 2 19 4 5 4" xfId="35620"/>
    <cellStyle name="Input [yellow] 2 19 4 5 5" xfId="46813"/>
    <cellStyle name="Input [yellow] 2 19 4 6" xfId="3241"/>
    <cellStyle name="Input [yellow] 2 19 4 6 2" xfId="14438"/>
    <cellStyle name="Input [yellow] 2 19 4 6 3" xfId="25606"/>
    <cellStyle name="Input [yellow] 2 19 4 6 4" xfId="36771"/>
    <cellStyle name="Input [yellow] 2 19 4 6 5" xfId="47964"/>
    <cellStyle name="Input [yellow] 2 19 4 7" xfId="3875"/>
    <cellStyle name="Input [yellow] 2 19 4 7 2" xfId="15072"/>
    <cellStyle name="Input [yellow] 2 19 4 7 3" xfId="26240"/>
    <cellStyle name="Input [yellow] 2 19 4 7 4" xfId="37405"/>
    <cellStyle name="Input [yellow] 2 19 4 7 5" xfId="48598"/>
    <cellStyle name="Input [yellow] 2 19 4 8" xfId="4508"/>
    <cellStyle name="Input [yellow] 2 19 4 8 2" xfId="15705"/>
    <cellStyle name="Input [yellow] 2 19 4 8 3" xfId="26873"/>
    <cellStyle name="Input [yellow] 2 19 4 8 4" xfId="38038"/>
    <cellStyle name="Input [yellow] 2 19 4 8 5" xfId="49231"/>
    <cellStyle name="Input [yellow] 2 19 4 9" xfId="5139"/>
    <cellStyle name="Input [yellow] 2 19 4 9 2" xfId="16336"/>
    <cellStyle name="Input [yellow] 2 19 4 9 3" xfId="27504"/>
    <cellStyle name="Input [yellow] 2 19 4 9 4" xfId="38669"/>
    <cellStyle name="Input [yellow] 2 19 4 9 5" xfId="49862"/>
    <cellStyle name="Input [yellow] 2 19 5" xfId="308"/>
    <cellStyle name="Input [yellow] 2 19 5 10" xfId="5953"/>
    <cellStyle name="Input [yellow] 2 19 5 10 2" xfId="17150"/>
    <cellStyle name="Input [yellow] 2 19 5 10 3" xfId="28318"/>
    <cellStyle name="Input [yellow] 2 19 5 10 4" xfId="39483"/>
    <cellStyle name="Input [yellow] 2 19 5 10 5" xfId="50676"/>
    <cellStyle name="Input [yellow] 2 19 5 11" xfId="6244"/>
    <cellStyle name="Input [yellow] 2 19 5 11 2" xfId="17441"/>
    <cellStyle name="Input [yellow] 2 19 5 11 3" xfId="28609"/>
    <cellStyle name="Input [yellow] 2 19 5 11 4" xfId="39774"/>
    <cellStyle name="Input [yellow] 2 19 5 11 5" xfId="50967"/>
    <cellStyle name="Input [yellow] 2 19 5 12" xfId="6877"/>
    <cellStyle name="Input [yellow] 2 19 5 12 2" xfId="18074"/>
    <cellStyle name="Input [yellow] 2 19 5 12 3" xfId="29242"/>
    <cellStyle name="Input [yellow] 2 19 5 12 4" xfId="40407"/>
    <cellStyle name="Input [yellow] 2 19 5 12 5" xfId="51600"/>
    <cellStyle name="Input [yellow] 2 19 5 13" xfId="7511"/>
    <cellStyle name="Input [yellow] 2 19 5 13 2" xfId="18708"/>
    <cellStyle name="Input [yellow] 2 19 5 13 3" xfId="29876"/>
    <cellStyle name="Input [yellow] 2 19 5 13 4" xfId="41041"/>
    <cellStyle name="Input [yellow] 2 19 5 13 5" xfId="52234"/>
    <cellStyle name="Input [yellow] 2 19 5 14" xfId="8145"/>
    <cellStyle name="Input [yellow] 2 19 5 14 2" xfId="19342"/>
    <cellStyle name="Input [yellow] 2 19 5 14 3" xfId="30510"/>
    <cellStyle name="Input [yellow] 2 19 5 14 4" xfId="41675"/>
    <cellStyle name="Input [yellow] 2 19 5 14 5" xfId="52868"/>
    <cellStyle name="Input [yellow] 2 19 5 15" xfId="8774"/>
    <cellStyle name="Input [yellow] 2 19 5 15 2" xfId="19971"/>
    <cellStyle name="Input [yellow] 2 19 5 15 3" xfId="31139"/>
    <cellStyle name="Input [yellow] 2 19 5 15 4" xfId="42304"/>
    <cellStyle name="Input [yellow] 2 19 5 15 5" xfId="53497"/>
    <cellStyle name="Input [yellow] 2 19 5 16" xfId="9196"/>
    <cellStyle name="Input [yellow] 2 19 5 16 2" xfId="20393"/>
    <cellStyle name="Input [yellow] 2 19 5 16 3" xfId="31561"/>
    <cellStyle name="Input [yellow] 2 19 5 16 4" xfId="42726"/>
    <cellStyle name="Input [yellow] 2 19 5 16 5" xfId="53919"/>
    <cellStyle name="Input [yellow] 2 19 5 17" xfId="9823"/>
    <cellStyle name="Input [yellow] 2 19 5 17 2" xfId="21020"/>
    <cellStyle name="Input [yellow] 2 19 5 17 3" xfId="32188"/>
    <cellStyle name="Input [yellow] 2 19 5 17 4" xfId="43353"/>
    <cellStyle name="Input [yellow] 2 19 5 17 5" xfId="54546"/>
    <cellStyle name="Input [yellow] 2 19 5 18" xfId="10370"/>
    <cellStyle name="Input [yellow] 2 19 5 18 2" xfId="21567"/>
    <cellStyle name="Input [yellow] 2 19 5 18 3" xfId="32735"/>
    <cellStyle name="Input [yellow] 2 19 5 18 4" xfId="43900"/>
    <cellStyle name="Input [yellow] 2 19 5 18 5" xfId="55093"/>
    <cellStyle name="Input [yellow] 2 19 5 19" xfId="10861"/>
    <cellStyle name="Input [yellow] 2 19 5 19 2" xfId="22058"/>
    <cellStyle name="Input [yellow] 2 19 5 19 3" xfId="33226"/>
    <cellStyle name="Input [yellow] 2 19 5 19 4" xfId="44391"/>
    <cellStyle name="Input [yellow] 2 19 5 19 5" xfId="55584"/>
    <cellStyle name="Input [yellow] 2 19 5 2" xfId="957"/>
    <cellStyle name="Input [yellow] 2 19 5 2 2" xfId="12154"/>
    <cellStyle name="Input [yellow] 2 19 5 2 3" xfId="23322"/>
    <cellStyle name="Input [yellow] 2 19 5 2 4" xfId="34487"/>
    <cellStyle name="Input [yellow] 2 19 5 2 5" xfId="45680"/>
    <cellStyle name="Input [yellow] 2 19 5 20" xfId="11508"/>
    <cellStyle name="Input [yellow] 2 19 5 21" xfId="22678"/>
    <cellStyle name="Input [yellow] 2 19 5 22" xfId="33845"/>
    <cellStyle name="Input [yellow] 2 19 5 23" xfId="45031"/>
    <cellStyle name="Input [yellow] 2 19 5 3" xfId="1355"/>
    <cellStyle name="Input [yellow] 2 19 5 3 2" xfId="12552"/>
    <cellStyle name="Input [yellow] 2 19 5 3 3" xfId="23720"/>
    <cellStyle name="Input [yellow] 2 19 5 3 4" xfId="34885"/>
    <cellStyle name="Input [yellow] 2 19 5 3 5" xfId="46078"/>
    <cellStyle name="Input [yellow] 2 19 5 4" xfId="2233"/>
    <cellStyle name="Input [yellow] 2 19 5 4 2" xfId="13430"/>
    <cellStyle name="Input [yellow] 2 19 5 4 3" xfId="24598"/>
    <cellStyle name="Input [yellow] 2 19 5 4 4" xfId="35763"/>
    <cellStyle name="Input [yellow] 2 19 5 4 5" xfId="46956"/>
    <cellStyle name="Input [yellow] 2 19 5 5" xfId="2658"/>
    <cellStyle name="Input [yellow] 2 19 5 5 2" xfId="13855"/>
    <cellStyle name="Input [yellow] 2 19 5 5 3" xfId="25023"/>
    <cellStyle name="Input [yellow] 2 19 5 5 4" xfId="36188"/>
    <cellStyle name="Input [yellow] 2 19 5 5 5" xfId="47381"/>
    <cellStyle name="Input [yellow] 2 19 5 6" xfId="3292"/>
    <cellStyle name="Input [yellow] 2 19 5 6 2" xfId="14489"/>
    <cellStyle name="Input [yellow] 2 19 5 6 3" xfId="25657"/>
    <cellStyle name="Input [yellow] 2 19 5 6 4" xfId="36822"/>
    <cellStyle name="Input [yellow] 2 19 5 6 5" xfId="48015"/>
    <cellStyle name="Input [yellow] 2 19 5 7" xfId="3926"/>
    <cellStyle name="Input [yellow] 2 19 5 7 2" xfId="15123"/>
    <cellStyle name="Input [yellow] 2 19 5 7 3" xfId="26291"/>
    <cellStyle name="Input [yellow] 2 19 5 7 4" xfId="37456"/>
    <cellStyle name="Input [yellow] 2 19 5 7 5" xfId="48649"/>
    <cellStyle name="Input [yellow] 2 19 5 8" xfId="4559"/>
    <cellStyle name="Input [yellow] 2 19 5 8 2" xfId="15756"/>
    <cellStyle name="Input [yellow] 2 19 5 8 3" xfId="26924"/>
    <cellStyle name="Input [yellow] 2 19 5 8 4" xfId="38089"/>
    <cellStyle name="Input [yellow] 2 19 5 8 5" xfId="49282"/>
    <cellStyle name="Input [yellow] 2 19 5 9" xfId="5190"/>
    <cellStyle name="Input [yellow] 2 19 5 9 2" xfId="16387"/>
    <cellStyle name="Input [yellow] 2 19 5 9 3" xfId="27555"/>
    <cellStyle name="Input [yellow] 2 19 5 9 4" xfId="38720"/>
    <cellStyle name="Input [yellow] 2 19 5 9 5" xfId="49913"/>
    <cellStyle name="Input [yellow] 2 19 6" xfId="408"/>
    <cellStyle name="Input [yellow] 2 19 6 10" xfId="6032"/>
    <cellStyle name="Input [yellow] 2 19 6 10 2" xfId="17229"/>
    <cellStyle name="Input [yellow] 2 19 6 10 3" xfId="28397"/>
    <cellStyle name="Input [yellow] 2 19 6 10 4" xfId="39562"/>
    <cellStyle name="Input [yellow] 2 19 6 10 5" xfId="50755"/>
    <cellStyle name="Input [yellow] 2 19 6 11" xfId="6344"/>
    <cellStyle name="Input [yellow] 2 19 6 11 2" xfId="17541"/>
    <cellStyle name="Input [yellow] 2 19 6 11 3" xfId="28709"/>
    <cellStyle name="Input [yellow] 2 19 6 11 4" xfId="39874"/>
    <cellStyle name="Input [yellow] 2 19 6 11 5" xfId="51067"/>
    <cellStyle name="Input [yellow] 2 19 6 12" xfId="6977"/>
    <cellStyle name="Input [yellow] 2 19 6 12 2" xfId="18174"/>
    <cellStyle name="Input [yellow] 2 19 6 12 3" xfId="29342"/>
    <cellStyle name="Input [yellow] 2 19 6 12 4" xfId="40507"/>
    <cellStyle name="Input [yellow] 2 19 6 12 5" xfId="51700"/>
    <cellStyle name="Input [yellow] 2 19 6 13" xfId="7611"/>
    <cellStyle name="Input [yellow] 2 19 6 13 2" xfId="18808"/>
    <cellStyle name="Input [yellow] 2 19 6 13 3" xfId="29976"/>
    <cellStyle name="Input [yellow] 2 19 6 13 4" xfId="41141"/>
    <cellStyle name="Input [yellow] 2 19 6 13 5" xfId="52334"/>
    <cellStyle name="Input [yellow] 2 19 6 14" xfId="8245"/>
    <cellStyle name="Input [yellow] 2 19 6 14 2" xfId="19442"/>
    <cellStyle name="Input [yellow] 2 19 6 14 3" xfId="30610"/>
    <cellStyle name="Input [yellow] 2 19 6 14 4" xfId="41775"/>
    <cellStyle name="Input [yellow] 2 19 6 14 5" xfId="52968"/>
    <cellStyle name="Input [yellow] 2 19 6 15" xfId="8873"/>
    <cellStyle name="Input [yellow] 2 19 6 15 2" xfId="20070"/>
    <cellStyle name="Input [yellow] 2 19 6 15 3" xfId="31238"/>
    <cellStyle name="Input [yellow] 2 19 6 15 4" xfId="42403"/>
    <cellStyle name="Input [yellow] 2 19 6 15 5" xfId="53596"/>
    <cellStyle name="Input [yellow] 2 19 6 16" xfId="9296"/>
    <cellStyle name="Input [yellow] 2 19 6 16 2" xfId="20493"/>
    <cellStyle name="Input [yellow] 2 19 6 16 3" xfId="31661"/>
    <cellStyle name="Input [yellow] 2 19 6 16 4" xfId="42826"/>
    <cellStyle name="Input [yellow] 2 19 6 16 5" xfId="54019"/>
    <cellStyle name="Input [yellow] 2 19 6 17" xfId="9922"/>
    <cellStyle name="Input [yellow] 2 19 6 17 2" xfId="21119"/>
    <cellStyle name="Input [yellow] 2 19 6 17 3" xfId="32287"/>
    <cellStyle name="Input [yellow] 2 19 6 17 4" xfId="43452"/>
    <cellStyle name="Input [yellow] 2 19 6 17 5" xfId="54645"/>
    <cellStyle name="Input [yellow] 2 19 6 18" xfId="10347"/>
    <cellStyle name="Input [yellow] 2 19 6 18 2" xfId="21544"/>
    <cellStyle name="Input [yellow] 2 19 6 18 3" xfId="32712"/>
    <cellStyle name="Input [yellow] 2 19 6 18 4" xfId="43877"/>
    <cellStyle name="Input [yellow] 2 19 6 18 5" xfId="55070"/>
    <cellStyle name="Input [yellow] 2 19 6 19" xfId="10961"/>
    <cellStyle name="Input [yellow] 2 19 6 19 2" xfId="22158"/>
    <cellStyle name="Input [yellow] 2 19 6 19 3" xfId="33326"/>
    <cellStyle name="Input [yellow] 2 19 6 19 4" xfId="44491"/>
    <cellStyle name="Input [yellow] 2 19 6 19 5" xfId="55684"/>
    <cellStyle name="Input [yellow] 2 19 6 2" xfId="1057"/>
    <cellStyle name="Input [yellow] 2 19 6 2 2" xfId="12254"/>
    <cellStyle name="Input [yellow] 2 19 6 2 3" xfId="23422"/>
    <cellStyle name="Input [yellow] 2 19 6 2 4" xfId="34587"/>
    <cellStyle name="Input [yellow] 2 19 6 2 5" xfId="45780"/>
    <cellStyle name="Input [yellow] 2 19 6 20" xfId="11608"/>
    <cellStyle name="Input [yellow] 2 19 6 21" xfId="22778"/>
    <cellStyle name="Input [yellow] 2 19 6 22" xfId="33945"/>
    <cellStyle name="Input [yellow] 2 19 6 23" xfId="45131"/>
    <cellStyle name="Input [yellow] 2 19 6 3" xfId="1597"/>
    <cellStyle name="Input [yellow] 2 19 6 3 2" xfId="12794"/>
    <cellStyle name="Input [yellow] 2 19 6 3 3" xfId="23962"/>
    <cellStyle name="Input [yellow] 2 19 6 3 4" xfId="35127"/>
    <cellStyle name="Input [yellow] 2 19 6 3 5" xfId="46320"/>
    <cellStyle name="Input [yellow] 2 19 6 4" xfId="2333"/>
    <cellStyle name="Input [yellow] 2 19 6 4 2" xfId="13530"/>
    <cellStyle name="Input [yellow] 2 19 6 4 3" xfId="24698"/>
    <cellStyle name="Input [yellow] 2 19 6 4 4" xfId="35863"/>
    <cellStyle name="Input [yellow] 2 19 6 4 5" xfId="47056"/>
    <cellStyle name="Input [yellow] 2 19 6 5" xfId="2758"/>
    <cellStyle name="Input [yellow] 2 19 6 5 2" xfId="13955"/>
    <cellStyle name="Input [yellow] 2 19 6 5 3" xfId="25123"/>
    <cellStyle name="Input [yellow] 2 19 6 5 4" xfId="36288"/>
    <cellStyle name="Input [yellow] 2 19 6 5 5" xfId="47481"/>
    <cellStyle name="Input [yellow] 2 19 6 6" xfId="3392"/>
    <cellStyle name="Input [yellow] 2 19 6 6 2" xfId="14589"/>
    <cellStyle name="Input [yellow] 2 19 6 6 3" xfId="25757"/>
    <cellStyle name="Input [yellow] 2 19 6 6 4" xfId="36922"/>
    <cellStyle name="Input [yellow] 2 19 6 6 5" xfId="48115"/>
    <cellStyle name="Input [yellow] 2 19 6 7" xfId="4026"/>
    <cellStyle name="Input [yellow] 2 19 6 7 2" xfId="15223"/>
    <cellStyle name="Input [yellow] 2 19 6 7 3" xfId="26391"/>
    <cellStyle name="Input [yellow] 2 19 6 7 4" xfId="37556"/>
    <cellStyle name="Input [yellow] 2 19 6 7 5" xfId="48749"/>
    <cellStyle name="Input [yellow] 2 19 6 8" xfId="4659"/>
    <cellStyle name="Input [yellow] 2 19 6 8 2" xfId="15856"/>
    <cellStyle name="Input [yellow] 2 19 6 8 3" xfId="27024"/>
    <cellStyle name="Input [yellow] 2 19 6 8 4" xfId="38189"/>
    <cellStyle name="Input [yellow] 2 19 6 8 5" xfId="49382"/>
    <cellStyle name="Input [yellow] 2 19 6 9" xfId="5290"/>
    <cellStyle name="Input [yellow] 2 19 6 9 2" xfId="16487"/>
    <cellStyle name="Input [yellow] 2 19 6 9 3" xfId="27655"/>
    <cellStyle name="Input [yellow] 2 19 6 9 4" xfId="38820"/>
    <cellStyle name="Input [yellow] 2 19 6 9 5" xfId="50013"/>
    <cellStyle name="Input [yellow] 2 19 7" xfId="396"/>
    <cellStyle name="Input [yellow] 2 19 7 10" xfId="5670"/>
    <cellStyle name="Input [yellow] 2 19 7 10 2" xfId="16867"/>
    <cellStyle name="Input [yellow] 2 19 7 10 3" xfId="28035"/>
    <cellStyle name="Input [yellow] 2 19 7 10 4" xfId="39200"/>
    <cellStyle name="Input [yellow] 2 19 7 10 5" xfId="50393"/>
    <cellStyle name="Input [yellow] 2 19 7 11" xfId="6332"/>
    <cellStyle name="Input [yellow] 2 19 7 11 2" xfId="17529"/>
    <cellStyle name="Input [yellow] 2 19 7 11 3" xfId="28697"/>
    <cellStyle name="Input [yellow] 2 19 7 11 4" xfId="39862"/>
    <cellStyle name="Input [yellow] 2 19 7 11 5" xfId="51055"/>
    <cellStyle name="Input [yellow] 2 19 7 12" xfId="6965"/>
    <cellStyle name="Input [yellow] 2 19 7 12 2" xfId="18162"/>
    <cellStyle name="Input [yellow] 2 19 7 12 3" xfId="29330"/>
    <cellStyle name="Input [yellow] 2 19 7 12 4" xfId="40495"/>
    <cellStyle name="Input [yellow] 2 19 7 12 5" xfId="51688"/>
    <cellStyle name="Input [yellow] 2 19 7 13" xfId="7599"/>
    <cellStyle name="Input [yellow] 2 19 7 13 2" xfId="18796"/>
    <cellStyle name="Input [yellow] 2 19 7 13 3" xfId="29964"/>
    <cellStyle name="Input [yellow] 2 19 7 13 4" xfId="41129"/>
    <cellStyle name="Input [yellow] 2 19 7 13 5" xfId="52322"/>
    <cellStyle name="Input [yellow] 2 19 7 14" xfId="8233"/>
    <cellStyle name="Input [yellow] 2 19 7 14 2" xfId="19430"/>
    <cellStyle name="Input [yellow] 2 19 7 14 3" xfId="30598"/>
    <cellStyle name="Input [yellow] 2 19 7 14 4" xfId="41763"/>
    <cellStyle name="Input [yellow] 2 19 7 14 5" xfId="52956"/>
    <cellStyle name="Input [yellow] 2 19 7 15" xfId="8861"/>
    <cellStyle name="Input [yellow] 2 19 7 15 2" xfId="20058"/>
    <cellStyle name="Input [yellow] 2 19 7 15 3" xfId="31226"/>
    <cellStyle name="Input [yellow] 2 19 7 15 4" xfId="42391"/>
    <cellStyle name="Input [yellow] 2 19 7 15 5" xfId="53584"/>
    <cellStyle name="Input [yellow] 2 19 7 16" xfId="9284"/>
    <cellStyle name="Input [yellow] 2 19 7 16 2" xfId="20481"/>
    <cellStyle name="Input [yellow] 2 19 7 16 3" xfId="31649"/>
    <cellStyle name="Input [yellow] 2 19 7 16 4" xfId="42814"/>
    <cellStyle name="Input [yellow] 2 19 7 16 5" xfId="54007"/>
    <cellStyle name="Input [yellow] 2 19 7 17" xfId="9910"/>
    <cellStyle name="Input [yellow] 2 19 7 17 2" xfId="21107"/>
    <cellStyle name="Input [yellow] 2 19 7 17 3" xfId="32275"/>
    <cellStyle name="Input [yellow] 2 19 7 17 4" xfId="43440"/>
    <cellStyle name="Input [yellow] 2 19 7 17 5" xfId="54633"/>
    <cellStyle name="Input [yellow] 2 19 7 18" xfId="10456"/>
    <cellStyle name="Input [yellow] 2 19 7 18 2" xfId="21653"/>
    <cellStyle name="Input [yellow] 2 19 7 18 3" xfId="32821"/>
    <cellStyle name="Input [yellow] 2 19 7 18 4" xfId="43986"/>
    <cellStyle name="Input [yellow] 2 19 7 18 5" xfId="55179"/>
    <cellStyle name="Input [yellow] 2 19 7 19" xfId="10949"/>
    <cellStyle name="Input [yellow] 2 19 7 19 2" xfId="22146"/>
    <cellStyle name="Input [yellow] 2 19 7 19 3" xfId="33314"/>
    <cellStyle name="Input [yellow] 2 19 7 19 4" xfId="44479"/>
    <cellStyle name="Input [yellow] 2 19 7 19 5" xfId="55672"/>
    <cellStyle name="Input [yellow] 2 19 7 2" xfId="1045"/>
    <cellStyle name="Input [yellow] 2 19 7 2 2" xfId="12242"/>
    <cellStyle name="Input [yellow] 2 19 7 2 3" xfId="23410"/>
    <cellStyle name="Input [yellow] 2 19 7 2 4" xfId="34575"/>
    <cellStyle name="Input [yellow] 2 19 7 2 5" xfId="45768"/>
    <cellStyle name="Input [yellow] 2 19 7 20" xfId="11596"/>
    <cellStyle name="Input [yellow] 2 19 7 21" xfId="22766"/>
    <cellStyle name="Input [yellow] 2 19 7 22" xfId="33933"/>
    <cellStyle name="Input [yellow] 2 19 7 23" xfId="45119"/>
    <cellStyle name="Input [yellow] 2 19 7 3" xfId="1755"/>
    <cellStyle name="Input [yellow] 2 19 7 3 2" xfId="12952"/>
    <cellStyle name="Input [yellow] 2 19 7 3 3" xfId="24120"/>
    <cellStyle name="Input [yellow] 2 19 7 3 4" xfId="35285"/>
    <cellStyle name="Input [yellow] 2 19 7 3 5" xfId="46478"/>
    <cellStyle name="Input [yellow] 2 19 7 4" xfId="2321"/>
    <cellStyle name="Input [yellow] 2 19 7 4 2" xfId="13518"/>
    <cellStyle name="Input [yellow] 2 19 7 4 3" xfId="24686"/>
    <cellStyle name="Input [yellow] 2 19 7 4 4" xfId="35851"/>
    <cellStyle name="Input [yellow] 2 19 7 4 5" xfId="47044"/>
    <cellStyle name="Input [yellow] 2 19 7 5" xfId="2746"/>
    <cellStyle name="Input [yellow] 2 19 7 5 2" xfId="13943"/>
    <cellStyle name="Input [yellow] 2 19 7 5 3" xfId="25111"/>
    <cellStyle name="Input [yellow] 2 19 7 5 4" xfId="36276"/>
    <cellStyle name="Input [yellow] 2 19 7 5 5" xfId="47469"/>
    <cellStyle name="Input [yellow] 2 19 7 6" xfId="3380"/>
    <cellStyle name="Input [yellow] 2 19 7 6 2" xfId="14577"/>
    <cellStyle name="Input [yellow] 2 19 7 6 3" xfId="25745"/>
    <cellStyle name="Input [yellow] 2 19 7 6 4" xfId="36910"/>
    <cellStyle name="Input [yellow] 2 19 7 6 5" xfId="48103"/>
    <cellStyle name="Input [yellow] 2 19 7 7" xfId="4014"/>
    <cellStyle name="Input [yellow] 2 19 7 7 2" xfId="15211"/>
    <cellStyle name="Input [yellow] 2 19 7 7 3" xfId="26379"/>
    <cellStyle name="Input [yellow] 2 19 7 7 4" xfId="37544"/>
    <cellStyle name="Input [yellow] 2 19 7 7 5" xfId="48737"/>
    <cellStyle name="Input [yellow] 2 19 7 8" xfId="4647"/>
    <cellStyle name="Input [yellow] 2 19 7 8 2" xfId="15844"/>
    <cellStyle name="Input [yellow] 2 19 7 8 3" xfId="27012"/>
    <cellStyle name="Input [yellow] 2 19 7 8 4" xfId="38177"/>
    <cellStyle name="Input [yellow] 2 19 7 8 5" xfId="49370"/>
    <cellStyle name="Input [yellow] 2 19 7 9" xfId="5278"/>
    <cellStyle name="Input [yellow] 2 19 7 9 2" xfId="16475"/>
    <cellStyle name="Input [yellow] 2 19 7 9 3" xfId="27643"/>
    <cellStyle name="Input [yellow] 2 19 7 9 4" xfId="38808"/>
    <cellStyle name="Input [yellow] 2 19 7 9 5" xfId="50001"/>
    <cellStyle name="Input [yellow] 2 19 8" xfId="533"/>
    <cellStyle name="Input [yellow] 2 19 8 10" xfId="6150"/>
    <cellStyle name="Input [yellow] 2 19 8 10 2" xfId="17347"/>
    <cellStyle name="Input [yellow] 2 19 8 10 3" xfId="28515"/>
    <cellStyle name="Input [yellow] 2 19 8 10 4" xfId="39680"/>
    <cellStyle name="Input [yellow] 2 19 8 10 5" xfId="50873"/>
    <cellStyle name="Input [yellow] 2 19 8 11" xfId="6469"/>
    <cellStyle name="Input [yellow] 2 19 8 11 2" xfId="17666"/>
    <cellStyle name="Input [yellow] 2 19 8 11 3" xfId="28834"/>
    <cellStyle name="Input [yellow] 2 19 8 11 4" xfId="39999"/>
    <cellStyle name="Input [yellow] 2 19 8 11 5" xfId="51192"/>
    <cellStyle name="Input [yellow] 2 19 8 12" xfId="7102"/>
    <cellStyle name="Input [yellow] 2 19 8 12 2" xfId="18299"/>
    <cellStyle name="Input [yellow] 2 19 8 12 3" xfId="29467"/>
    <cellStyle name="Input [yellow] 2 19 8 12 4" xfId="40632"/>
    <cellStyle name="Input [yellow] 2 19 8 12 5" xfId="51825"/>
    <cellStyle name="Input [yellow] 2 19 8 13" xfId="7736"/>
    <cellStyle name="Input [yellow] 2 19 8 13 2" xfId="18933"/>
    <cellStyle name="Input [yellow] 2 19 8 13 3" xfId="30101"/>
    <cellStyle name="Input [yellow] 2 19 8 13 4" xfId="41266"/>
    <cellStyle name="Input [yellow] 2 19 8 13 5" xfId="52459"/>
    <cellStyle name="Input [yellow] 2 19 8 14" xfId="8370"/>
    <cellStyle name="Input [yellow] 2 19 8 14 2" xfId="19567"/>
    <cellStyle name="Input [yellow] 2 19 8 14 3" xfId="30735"/>
    <cellStyle name="Input [yellow] 2 19 8 14 4" xfId="41900"/>
    <cellStyle name="Input [yellow] 2 19 8 14 5" xfId="53093"/>
    <cellStyle name="Input [yellow] 2 19 8 15" xfId="8998"/>
    <cellStyle name="Input [yellow] 2 19 8 15 2" xfId="20195"/>
    <cellStyle name="Input [yellow] 2 19 8 15 3" xfId="31363"/>
    <cellStyle name="Input [yellow] 2 19 8 15 4" xfId="42528"/>
    <cellStyle name="Input [yellow] 2 19 8 15 5" xfId="53721"/>
    <cellStyle name="Input [yellow] 2 19 8 16" xfId="9421"/>
    <cellStyle name="Input [yellow] 2 19 8 16 2" xfId="20618"/>
    <cellStyle name="Input [yellow] 2 19 8 16 3" xfId="31786"/>
    <cellStyle name="Input [yellow] 2 19 8 16 4" xfId="42951"/>
    <cellStyle name="Input [yellow] 2 19 8 16 5" xfId="54144"/>
    <cellStyle name="Input [yellow] 2 19 8 17" xfId="10046"/>
    <cellStyle name="Input [yellow] 2 19 8 17 2" xfId="21243"/>
    <cellStyle name="Input [yellow] 2 19 8 17 3" xfId="32411"/>
    <cellStyle name="Input [yellow] 2 19 8 17 4" xfId="43576"/>
    <cellStyle name="Input [yellow] 2 19 8 17 5" xfId="54769"/>
    <cellStyle name="Input [yellow] 2 19 8 18" xfId="10425"/>
    <cellStyle name="Input [yellow] 2 19 8 18 2" xfId="21622"/>
    <cellStyle name="Input [yellow] 2 19 8 18 3" xfId="32790"/>
    <cellStyle name="Input [yellow] 2 19 8 18 4" xfId="43955"/>
    <cellStyle name="Input [yellow] 2 19 8 18 5" xfId="55148"/>
    <cellStyle name="Input [yellow] 2 19 8 19" xfId="11086"/>
    <cellStyle name="Input [yellow] 2 19 8 19 2" xfId="22283"/>
    <cellStyle name="Input [yellow] 2 19 8 19 3" xfId="33451"/>
    <cellStyle name="Input [yellow] 2 19 8 19 4" xfId="44616"/>
    <cellStyle name="Input [yellow] 2 19 8 19 5" xfId="55809"/>
    <cellStyle name="Input [yellow] 2 19 8 2" xfId="1182"/>
    <cellStyle name="Input [yellow] 2 19 8 2 2" xfId="12379"/>
    <cellStyle name="Input [yellow] 2 19 8 2 3" xfId="23547"/>
    <cellStyle name="Input [yellow] 2 19 8 2 4" xfId="34712"/>
    <cellStyle name="Input [yellow] 2 19 8 2 5" xfId="45905"/>
    <cellStyle name="Input [yellow] 2 19 8 20" xfId="11733"/>
    <cellStyle name="Input [yellow] 2 19 8 21" xfId="22903"/>
    <cellStyle name="Input [yellow] 2 19 8 22" xfId="34070"/>
    <cellStyle name="Input [yellow] 2 19 8 23" xfId="45256"/>
    <cellStyle name="Input [yellow] 2 19 8 3" xfId="1670"/>
    <cellStyle name="Input [yellow] 2 19 8 3 2" xfId="12867"/>
    <cellStyle name="Input [yellow] 2 19 8 3 3" xfId="24035"/>
    <cellStyle name="Input [yellow] 2 19 8 3 4" xfId="35200"/>
    <cellStyle name="Input [yellow] 2 19 8 3 5" xfId="46393"/>
    <cellStyle name="Input [yellow] 2 19 8 4" xfId="2458"/>
    <cellStyle name="Input [yellow] 2 19 8 4 2" xfId="13655"/>
    <cellStyle name="Input [yellow] 2 19 8 4 3" xfId="24823"/>
    <cellStyle name="Input [yellow] 2 19 8 4 4" xfId="35988"/>
    <cellStyle name="Input [yellow] 2 19 8 4 5" xfId="47181"/>
    <cellStyle name="Input [yellow] 2 19 8 5" xfId="2883"/>
    <cellStyle name="Input [yellow] 2 19 8 5 2" xfId="14080"/>
    <cellStyle name="Input [yellow] 2 19 8 5 3" xfId="25248"/>
    <cellStyle name="Input [yellow] 2 19 8 5 4" xfId="36413"/>
    <cellStyle name="Input [yellow] 2 19 8 5 5" xfId="47606"/>
    <cellStyle name="Input [yellow] 2 19 8 6" xfId="3517"/>
    <cellStyle name="Input [yellow] 2 19 8 6 2" xfId="14714"/>
    <cellStyle name="Input [yellow] 2 19 8 6 3" xfId="25882"/>
    <cellStyle name="Input [yellow] 2 19 8 6 4" xfId="37047"/>
    <cellStyle name="Input [yellow] 2 19 8 6 5" xfId="48240"/>
    <cellStyle name="Input [yellow] 2 19 8 7" xfId="4151"/>
    <cellStyle name="Input [yellow] 2 19 8 7 2" xfId="15348"/>
    <cellStyle name="Input [yellow] 2 19 8 7 3" xfId="26516"/>
    <cellStyle name="Input [yellow] 2 19 8 7 4" xfId="37681"/>
    <cellStyle name="Input [yellow] 2 19 8 7 5" xfId="48874"/>
    <cellStyle name="Input [yellow] 2 19 8 8" xfId="4784"/>
    <cellStyle name="Input [yellow] 2 19 8 8 2" xfId="15981"/>
    <cellStyle name="Input [yellow] 2 19 8 8 3" xfId="27149"/>
    <cellStyle name="Input [yellow] 2 19 8 8 4" xfId="38314"/>
    <cellStyle name="Input [yellow] 2 19 8 8 5" xfId="49507"/>
    <cellStyle name="Input [yellow] 2 19 8 9" xfId="5415"/>
    <cellStyle name="Input [yellow] 2 19 8 9 2" xfId="16612"/>
    <cellStyle name="Input [yellow] 2 19 8 9 3" xfId="27780"/>
    <cellStyle name="Input [yellow] 2 19 8 9 4" xfId="38945"/>
    <cellStyle name="Input [yellow] 2 19 8 9 5" xfId="50138"/>
    <cellStyle name="Input [yellow] 2 19 9" xfId="591"/>
    <cellStyle name="Input [yellow] 2 19 9 10" xfId="5668"/>
    <cellStyle name="Input [yellow] 2 19 9 10 2" xfId="16865"/>
    <cellStyle name="Input [yellow] 2 19 9 10 3" xfId="28033"/>
    <cellStyle name="Input [yellow] 2 19 9 10 4" xfId="39198"/>
    <cellStyle name="Input [yellow] 2 19 9 10 5" xfId="50391"/>
    <cellStyle name="Input [yellow] 2 19 9 11" xfId="6527"/>
    <cellStyle name="Input [yellow] 2 19 9 11 2" xfId="17724"/>
    <cellStyle name="Input [yellow] 2 19 9 11 3" xfId="28892"/>
    <cellStyle name="Input [yellow] 2 19 9 11 4" xfId="40057"/>
    <cellStyle name="Input [yellow] 2 19 9 11 5" xfId="51250"/>
    <cellStyle name="Input [yellow] 2 19 9 12" xfId="7160"/>
    <cellStyle name="Input [yellow] 2 19 9 12 2" xfId="18357"/>
    <cellStyle name="Input [yellow] 2 19 9 12 3" xfId="29525"/>
    <cellStyle name="Input [yellow] 2 19 9 12 4" xfId="40690"/>
    <cellStyle name="Input [yellow] 2 19 9 12 5" xfId="51883"/>
    <cellStyle name="Input [yellow] 2 19 9 13" xfId="7794"/>
    <cellStyle name="Input [yellow] 2 19 9 13 2" xfId="18991"/>
    <cellStyle name="Input [yellow] 2 19 9 13 3" xfId="30159"/>
    <cellStyle name="Input [yellow] 2 19 9 13 4" xfId="41324"/>
    <cellStyle name="Input [yellow] 2 19 9 13 5" xfId="52517"/>
    <cellStyle name="Input [yellow] 2 19 9 14" xfId="8428"/>
    <cellStyle name="Input [yellow] 2 19 9 14 2" xfId="19625"/>
    <cellStyle name="Input [yellow] 2 19 9 14 3" xfId="30793"/>
    <cellStyle name="Input [yellow] 2 19 9 14 4" xfId="41958"/>
    <cellStyle name="Input [yellow] 2 19 9 14 5" xfId="53151"/>
    <cellStyle name="Input [yellow] 2 19 9 15" xfId="9056"/>
    <cellStyle name="Input [yellow] 2 19 9 15 2" xfId="20253"/>
    <cellStyle name="Input [yellow] 2 19 9 15 3" xfId="31421"/>
    <cellStyle name="Input [yellow] 2 19 9 15 4" xfId="42586"/>
    <cellStyle name="Input [yellow] 2 19 9 15 5" xfId="53779"/>
    <cellStyle name="Input [yellow] 2 19 9 16" xfId="9479"/>
    <cellStyle name="Input [yellow] 2 19 9 16 2" xfId="20676"/>
    <cellStyle name="Input [yellow] 2 19 9 16 3" xfId="31844"/>
    <cellStyle name="Input [yellow] 2 19 9 16 4" xfId="43009"/>
    <cellStyle name="Input [yellow] 2 19 9 16 5" xfId="54202"/>
    <cellStyle name="Input [yellow] 2 19 9 17" xfId="10104"/>
    <cellStyle name="Input [yellow] 2 19 9 17 2" xfId="21301"/>
    <cellStyle name="Input [yellow] 2 19 9 17 3" xfId="32469"/>
    <cellStyle name="Input [yellow] 2 19 9 17 4" xfId="43634"/>
    <cellStyle name="Input [yellow] 2 19 9 17 5" xfId="54827"/>
    <cellStyle name="Input [yellow] 2 19 9 18" xfId="10213"/>
    <cellStyle name="Input [yellow] 2 19 9 18 2" xfId="21410"/>
    <cellStyle name="Input [yellow] 2 19 9 18 3" xfId="32578"/>
    <cellStyle name="Input [yellow] 2 19 9 18 4" xfId="43743"/>
    <cellStyle name="Input [yellow] 2 19 9 18 5" xfId="54936"/>
    <cellStyle name="Input [yellow] 2 19 9 19" xfId="11144"/>
    <cellStyle name="Input [yellow] 2 19 9 19 2" xfId="22341"/>
    <cellStyle name="Input [yellow] 2 19 9 19 3" xfId="33509"/>
    <cellStyle name="Input [yellow] 2 19 9 19 4" xfId="44674"/>
    <cellStyle name="Input [yellow] 2 19 9 19 5" xfId="55867"/>
    <cellStyle name="Input [yellow] 2 19 9 2" xfId="1240"/>
    <cellStyle name="Input [yellow] 2 19 9 2 2" xfId="12437"/>
    <cellStyle name="Input [yellow] 2 19 9 2 3" xfId="23605"/>
    <cellStyle name="Input [yellow] 2 19 9 2 4" xfId="34770"/>
    <cellStyle name="Input [yellow] 2 19 9 2 5" xfId="45963"/>
    <cellStyle name="Input [yellow] 2 19 9 20" xfId="11791"/>
    <cellStyle name="Input [yellow] 2 19 9 21" xfId="22961"/>
    <cellStyle name="Input [yellow] 2 19 9 22" xfId="34128"/>
    <cellStyle name="Input [yellow] 2 19 9 23" xfId="45314"/>
    <cellStyle name="Input [yellow] 2 19 9 3" xfId="1481"/>
    <cellStyle name="Input [yellow] 2 19 9 3 2" xfId="12678"/>
    <cellStyle name="Input [yellow] 2 19 9 3 3" xfId="23846"/>
    <cellStyle name="Input [yellow] 2 19 9 3 4" xfId="35011"/>
    <cellStyle name="Input [yellow] 2 19 9 3 5" xfId="46204"/>
    <cellStyle name="Input [yellow] 2 19 9 4" xfId="2516"/>
    <cellStyle name="Input [yellow] 2 19 9 4 2" xfId="13713"/>
    <cellStyle name="Input [yellow] 2 19 9 4 3" xfId="24881"/>
    <cellStyle name="Input [yellow] 2 19 9 4 4" xfId="36046"/>
    <cellStyle name="Input [yellow] 2 19 9 4 5" xfId="47239"/>
    <cellStyle name="Input [yellow] 2 19 9 5" xfId="2941"/>
    <cellStyle name="Input [yellow] 2 19 9 5 2" xfId="14138"/>
    <cellStyle name="Input [yellow] 2 19 9 5 3" xfId="25306"/>
    <cellStyle name="Input [yellow] 2 19 9 5 4" xfId="36471"/>
    <cellStyle name="Input [yellow] 2 19 9 5 5" xfId="47664"/>
    <cellStyle name="Input [yellow] 2 19 9 6" xfId="3575"/>
    <cellStyle name="Input [yellow] 2 19 9 6 2" xfId="14772"/>
    <cellStyle name="Input [yellow] 2 19 9 6 3" xfId="25940"/>
    <cellStyle name="Input [yellow] 2 19 9 6 4" xfId="37105"/>
    <cellStyle name="Input [yellow] 2 19 9 6 5" xfId="48298"/>
    <cellStyle name="Input [yellow] 2 19 9 7" xfId="4209"/>
    <cellStyle name="Input [yellow] 2 19 9 7 2" xfId="15406"/>
    <cellStyle name="Input [yellow] 2 19 9 7 3" xfId="26574"/>
    <cellStyle name="Input [yellow] 2 19 9 7 4" xfId="37739"/>
    <cellStyle name="Input [yellow] 2 19 9 7 5" xfId="48932"/>
    <cellStyle name="Input [yellow] 2 19 9 8" xfId="4842"/>
    <cellStyle name="Input [yellow] 2 19 9 8 2" xfId="16039"/>
    <cellStyle name="Input [yellow] 2 19 9 8 3" xfId="27207"/>
    <cellStyle name="Input [yellow] 2 19 9 8 4" xfId="38372"/>
    <cellStyle name="Input [yellow] 2 19 9 8 5" xfId="49565"/>
    <cellStyle name="Input [yellow] 2 19 9 9" xfId="5473"/>
    <cellStyle name="Input [yellow] 2 19 9 9 2" xfId="16670"/>
    <cellStyle name="Input [yellow] 2 19 9 9 3" xfId="27838"/>
    <cellStyle name="Input [yellow] 2 19 9 9 4" xfId="39003"/>
    <cellStyle name="Input [yellow] 2 19 9 9 5" xfId="50196"/>
    <cellStyle name="Input [yellow] 2 2" xfId="65"/>
    <cellStyle name="Input [yellow] 2 2 10" xfId="628"/>
    <cellStyle name="Input [yellow] 2 2 10 10" xfId="6097"/>
    <cellStyle name="Input [yellow] 2 2 10 10 2" xfId="17294"/>
    <cellStyle name="Input [yellow] 2 2 10 10 3" xfId="28462"/>
    <cellStyle name="Input [yellow] 2 2 10 10 4" xfId="39627"/>
    <cellStyle name="Input [yellow] 2 2 10 10 5" xfId="50820"/>
    <cellStyle name="Input [yellow] 2 2 10 11" xfId="6564"/>
    <cellStyle name="Input [yellow] 2 2 10 11 2" xfId="17761"/>
    <cellStyle name="Input [yellow] 2 2 10 11 3" xfId="28929"/>
    <cellStyle name="Input [yellow] 2 2 10 11 4" xfId="40094"/>
    <cellStyle name="Input [yellow] 2 2 10 11 5" xfId="51287"/>
    <cellStyle name="Input [yellow] 2 2 10 12" xfId="7197"/>
    <cellStyle name="Input [yellow] 2 2 10 12 2" xfId="18394"/>
    <cellStyle name="Input [yellow] 2 2 10 12 3" xfId="29562"/>
    <cellStyle name="Input [yellow] 2 2 10 12 4" xfId="40727"/>
    <cellStyle name="Input [yellow] 2 2 10 12 5" xfId="51920"/>
    <cellStyle name="Input [yellow] 2 2 10 13" xfId="7831"/>
    <cellStyle name="Input [yellow] 2 2 10 13 2" xfId="19028"/>
    <cellStyle name="Input [yellow] 2 2 10 13 3" xfId="30196"/>
    <cellStyle name="Input [yellow] 2 2 10 13 4" xfId="41361"/>
    <cellStyle name="Input [yellow] 2 2 10 13 5" xfId="52554"/>
    <cellStyle name="Input [yellow] 2 2 10 14" xfId="8465"/>
    <cellStyle name="Input [yellow] 2 2 10 14 2" xfId="19662"/>
    <cellStyle name="Input [yellow] 2 2 10 14 3" xfId="30830"/>
    <cellStyle name="Input [yellow] 2 2 10 14 4" xfId="41995"/>
    <cellStyle name="Input [yellow] 2 2 10 14 5" xfId="53188"/>
    <cellStyle name="Input [yellow] 2 2 10 15" xfId="9093"/>
    <cellStyle name="Input [yellow] 2 2 10 15 2" xfId="20290"/>
    <cellStyle name="Input [yellow] 2 2 10 15 3" xfId="31458"/>
    <cellStyle name="Input [yellow] 2 2 10 15 4" xfId="42623"/>
    <cellStyle name="Input [yellow] 2 2 10 15 5" xfId="53816"/>
    <cellStyle name="Input [yellow] 2 2 10 16" xfId="9516"/>
    <cellStyle name="Input [yellow] 2 2 10 16 2" xfId="20713"/>
    <cellStyle name="Input [yellow] 2 2 10 16 3" xfId="31881"/>
    <cellStyle name="Input [yellow] 2 2 10 16 4" xfId="43046"/>
    <cellStyle name="Input [yellow] 2 2 10 16 5" xfId="54239"/>
    <cellStyle name="Input [yellow] 2 2 10 17" xfId="10141"/>
    <cellStyle name="Input [yellow] 2 2 10 17 2" xfId="21338"/>
    <cellStyle name="Input [yellow] 2 2 10 17 3" xfId="32506"/>
    <cellStyle name="Input [yellow] 2 2 10 17 4" xfId="43671"/>
    <cellStyle name="Input [yellow] 2 2 10 17 5" xfId="54864"/>
    <cellStyle name="Input [yellow] 2 2 10 18" xfId="9764"/>
    <cellStyle name="Input [yellow] 2 2 10 18 2" xfId="20961"/>
    <cellStyle name="Input [yellow] 2 2 10 18 3" xfId="32129"/>
    <cellStyle name="Input [yellow] 2 2 10 18 4" xfId="43294"/>
    <cellStyle name="Input [yellow] 2 2 10 18 5" xfId="54487"/>
    <cellStyle name="Input [yellow] 2 2 10 19" xfId="11181"/>
    <cellStyle name="Input [yellow] 2 2 10 19 2" xfId="22378"/>
    <cellStyle name="Input [yellow] 2 2 10 19 3" xfId="33546"/>
    <cellStyle name="Input [yellow] 2 2 10 19 4" xfId="44711"/>
    <cellStyle name="Input [yellow] 2 2 10 19 5" xfId="55904"/>
    <cellStyle name="Input [yellow] 2 2 10 2" xfId="1277"/>
    <cellStyle name="Input [yellow] 2 2 10 2 2" xfId="12474"/>
    <cellStyle name="Input [yellow] 2 2 10 2 3" xfId="23642"/>
    <cellStyle name="Input [yellow] 2 2 10 2 4" xfId="34807"/>
    <cellStyle name="Input [yellow] 2 2 10 2 5" xfId="46000"/>
    <cellStyle name="Input [yellow] 2 2 10 20" xfId="11828"/>
    <cellStyle name="Input [yellow] 2 2 10 21" xfId="22998"/>
    <cellStyle name="Input [yellow] 2 2 10 22" xfId="34165"/>
    <cellStyle name="Input [yellow] 2 2 10 23" xfId="45351"/>
    <cellStyle name="Input [yellow] 2 2 10 3" xfId="1958"/>
    <cellStyle name="Input [yellow] 2 2 10 3 2" xfId="13155"/>
    <cellStyle name="Input [yellow] 2 2 10 3 3" xfId="24323"/>
    <cellStyle name="Input [yellow] 2 2 10 3 4" xfId="35488"/>
    <cellStyle name="Input [yellow] 2 2 10 3 5" xfId="46681"/>
    <cellStyle name="Input [yellow] 2 2 10 4" xfId="2553"/>
    <cellStyle name="Input [yellow] 2 2 10 4 2" xfId="13750"/>
    <cellStyle name="Input [yellow] 2 2 10 4 3" xfId="24918"/>
    <cellStyle name="Input [yellow] 2 2 10 4 4" xfId="36083"/>
    <cellStyle name="Input [yellow] 2 2 10 4 5" xfId="47276"/>
    <cellStyle name="Input [yellow] 2 2 10 5" xfId="2978"/>
    <cellStyle name="Input [yellow] 2 2 10 5 2" xfId="14175"/>
    <cellStyle name="Input [yellow] 2 2 10 5 3" xfId="25343"/>
    <cellStyle name="Input [yellow] 2 2 10 5 4" xfId="36508"/>
    <cellStyle name="Input [yellow] 2 2 10 5 5" xfId="47701"/>
    <cellStyle name="Input [yellow] 2 2 10 6" xfId="3612"/>
    <cellStyle name="Input [yellow] 2 2 10 6 2" xfId="14809"/>
    <cellStyle name="Input [yellow] 2 2 10 6 3" xfId="25977"/>
    <cellStyle name="Input [yellow] 2 2 10 6 4" xfId="37142"/>
    <cellStyle name="Input [yellow] 2 2 10 6 5" xfId="48335"/>
    <cellStyle name="Input [yellow] 2 2 10 7" xfId="4246"/>
    <cellStyle name="Input [yellow] 2 2 10 7 2" xfId="15443"/>
    <cellStyle name="Input [yellow] 2 2 10 7 3" xfId="26611"/>
    <cellStyle name="Input [yellow] 2 2 10 7 4" xfId="37776"/>
    <cellStyle name="Input [yellow] 2 2 10 7 5" xfId="48969"/>
    <cellStyle name="Input [yellow] 2 2 10 8" xfId="4879"/>
    <cellStyle name="Input [yellow] 2 2 10 8 2" xfId="16076"/>
    <cellStyle name="Input [yellow] 2 2 10 8 3" xfId="27244"/>
    <cellStyle name="Input [yellow] 2 2 10 8 4" xfId="38409"/>
    <cellStyle name="Input [yellow] 2 2 10 8 5" xfId="49602"/>
    <cellStyle name="Input [yellow] 2 2 10 9" xfId="5510"/>
    <cellStyle name="Input [yellow] 2 2 10 9 2" xfId="16707"/>
    <cellStyle name="Input [yellow] 2 2 10 9 3" xfId="27875"/>
    <cellStyle name="Input [yellow] 2 2 10 9 4" xfId="39040"/>
    <cellStyle name="Input [yellow] 2 2 10 9 5" xfId="50233"/>
    <cellStyle name="Input [yellow] 2 2 11" xfId="663"/>
    <cellStyle name="Input [yellow] 2 2 11 10" xfId="6095"/>
    <cellStyle name="Input [yellow] 2 2 11 10 2" xfId="17292"/>
    <cellStyle name="Input [yellow] 2 2 11 10 3" xfId="28460"/>
    <cellStyle name="Input [yellow] 2 2 11 10 4" xfId="39625"/>
    <cellStyle name="Input [yellow] 2 2 11 10 5" xfId="50818"/>
    <cellStyle name="Input [yellow] 2 2 11 11" xfId="6599"/>
    <cellStyle name="Input [yellow] 2 2 11 11 2" xfId="17796"/>
    <cellStyle name="Input [yellow] 2 2 11 11 3" xfId="28964"/>
    <cellStyle name="Input [yellow] 2 2 11 11 4" xfId="40129"/>
    <cellStyle name="Input [yellow] 2 2 11 11 5" xfId="51322"/>
    <cellStyle name="Input [yellow] 2 2 11 12" xfId="7232"/>
    <cellStyle name="Input [yellow] 2 2 11 12 2" xfId="18429"/>
    <cellStyle name="Input [yellow] 2 2 11 12 3" xfId="29597"/>
    <cellStyle name="Input [yellow] 2 2 11 12 4" xfId="40762"/>
    <cellStyle name="Input [yellow] 2 2 11 12 5" xfId="51955"/>
    <cellStyle name="Input [yellow] 2 2 11 13" xfId="7866"/>
    <cellStyle name="Input [yellow] 2 2 11 13 2" xfId="19063"/>
    <cellStyle name="Input [yellow] 2 2 11 13 3" xfId="30231"/>
    <cellStyle name="Input [yellow] 2 2 11 13 4" xfId="41396"/>
    <cellStyle name="Input [yellow] 2 2 11 13 5" xfId="52589"/>
    <cellStyle name="Input [yellow] 2 2 11 14" xfId="8500"/>
    <cellStyle name="Input [yellow] 2 2 11 14 2" xfId="19697"/>
    <cellStyle name="Input [yellow] 2 2 11 14 3" xfId="30865"/>
    <cellStyle name="Input [yellow] 2 2 11 14 4" xfId="42030"/>
    <cellStyle name="Input [yellow] 2 2 11 14 5" xfId="53223"/>
    <cellStyle name="Input [yellow] 2 2 11 15" xfId="9128"/>
    <cellStyle name="Input [yellow] 2 2 11 15 2" xfId="20325"/>
    <cellStyle name="Input [yellow] 2 2 11 15 3" xfId="31493"/>
    <cellStyle name="Input [yellow] 2 2 11 15 4" xfId="42658"/>
    <cellStyle name="Input [yellow] 2 2 11 15 5" xfId="53851"/>
    <cellStyle name="Input [yellow] 2 2 11 16" xfId="9551"/>
    <cellStyle name="Input [yellow] 2 2 11 16 2" xfId="20748"/>
    <cellStyle name="Input [yellow] 2 2 11 16 3" xfId="31916"/>
    <cellStyle name="Input [yellow] 2 2 11 16 4" xfId="43081"/>
    <cellStyle name="Input [yellow] 2 2 11 16 5" xfId="54274"/>
    <cellStyle name="Input [yellow] 2 2 11 17" xfId="10176"/>
    <cellStyle name="Input [yellow] 2 2 11 17 2" xfId="21373"/>
    <cellStyle name="Input [yellow] 2 2 11 17 3" xfId="32541"/>
    <cellStyle name="Input [yellow] 2 2 11 17 4" xfId="43706"/>
    <cellStyle name="Input [yellow] 2 2 11 17 5" xfId="54899"/>
    <cellStyle name="Input [yellow] 2 2 11 18" xfId="10570"/>
    <cellStyle name="Input [yellow] 2 2 11 18 2" xfId="21767"/>
    <cellStyle name="Input [yellow] 2 2 11 18 3" xfId="32935"/>
    <cellStyle name="Input [yellow] 2 2 11 18 4" xfId="44100"/>
    <cellStyle name="Input [yellow] 2 2 11 18 5" xfId="55293"/>
    <cellStyle name="Input [yellow] 2 2 11 19" xfId="11216"/>
    <cellStyle name="Input [yellow] 2 2 11 19 2" xfId="22413"/>
    <cellStyle name="Input [yellow] 2 2 11 19 3" xfId="33581"/>
    <cellStyle name="Input [yellow] 2 2 11 19 4" xfId="44746"/>
    <cellStyle name="Input [yellow] 2 2 11 19 5" xfId="55939"/>
    <cellStyle name="Input [yellow] 2 2 11 2" xfId="1312"/>
    <cellStyle name="Input [yellow] 2 2 11 2 2" xfId="12509"/>
    <cellStyle name="Input [yellow] 2 2 11 2 3" xfId="23677"/>
    <cellStyle name="Input [yellow] 2 2 11 2 4" xfId="34842"/>
    <cellStyle name="Input [yellow] 2 2 11 2 5" xfId="46035"/>
    <cellStyle name="Input [yellow] 2 2 11 20" xfId="11863"/>
    <cellStyle name="Input [yellow] 2 2 11 21" xfId="23033"/>
    <cellStyle name="Input [yellow] 2 2 11 22" xfId="34200"/>
    <cellStyle name="Input [yellow] 2 2 11 23" xfId="45386"/>
    <cellStyle name="Input [yellow] 2 2 11 3" xfId="1398"/>
    <cellStyle name="Input [yellow] 2 2 11 3 2" xfId="12595"/>
    <cellStyle name="Input [yellow] 2 2 11 3 3" xfId="23763"/>
    <cellStyle name="Input [yellow] 2 2 11 3 4" xfId="34928"/>
    <cellStyle name="Input [yellow] 2 2 11 3 5" xfId="46121"/>
    <cellStyle name="Input [yellow] 2 2 11 4" xfId="2588"/>
    <cellStyle name="Input [yellow] 2 2 11 4 2" xfId="13785"/>
    <cellStyle name="Input [yellow] 2 2 11 4 3" xfId="24953"/>
    <cellStyle name="Input [yellow] 2 2 11 4 4" xfId="36118"/>
    <cellStyle name="Input [yellow] 2 2 11 4 5" xfId="47311"/>
    <cellStyle name="Input [yellow] 2 2 11 5" xfId="3013"/>
    <cellStyle name="Input [yellow] 2 2 11 5 2" xfId="14210"/>
    <cellStyle name="Input [yellow] 2 2 11 5 3" xfId="25378"/>
    <cellStyle name="Input [yellow] 2 2 11 5 4" xfId="36543"/>
    <cellStyle name="Input [yellow] 2 2 11 5 5" xfId="47736"/>
    <cellStyle name="Input [yellow] 2 2 11 6" xfId="3647"/>
    <cellStyle name="Input [yellow] 2 2 11 6 2" xfId="14844"/>
    <cellStyle name="Input [yellow] 2 2 11 6 3" xfId="26012"/>
    <cellStyle name="Input [yellow] 2 2 11 6 4" xfId="37177"/>
    <cellStyle name="Input [yellow] 2 2 11 6 5" xfId="48370"/>
    <cellStyle name="Input [yellow] 2 2 11 7" xfId="4281"/>
    <cellStyle name="Input [yellow] 2 2 11 7 2" xfId="15478"/>
    <cellStyle name="Input [yellow] 2 2 11 7 3" xfId="26646"/>
    <cellStyle name="Input [yellow] 2 2 11 7 4" xfId="37811"/>
    <cellStyle name="Input [yellow] 2 2 11 7 5" xfId="49004"/>
    <cellStyle name="Input [yellow] 2 2 11 8" xfId="4914"/>
    <cellStyle name="Input [yellow] 2 2 11 8 2" xfId="16111"/>
    <cellStyle name="Input [yellow] 2 2 11 8 3" xfId="27279"/>
    <cellStyle name="Input [yellow] 2 2 11 8 4" xfId="38444"/>
    <cellStyle name="Input [yellow] 2 2 11 8 5" xfId="49637"/>
    <cellStyle name="Input [yellow] 2 2 11 9" xfId="5545"/>
    <cellStyle name="Input [yellow] 2 2 11 9 2" xfId="16742"/>
    <cellStyle name="Input [yellow] 2 2 11 9 3" xfId="27910"/>
    <cellStyle name="Input [yellow] 2 2 11 9 4" xfId="39075"/>
    <cellStyle name="Input [yellow] 2 2 11 9 5" xfId="50268"/>
    <cellStyle name="Input [yellow] 2 2 12" xfId="720"/>
    <cellStyle name="Input [yellow] 2 2 12 2" xfId="11918"/>
    <cellStyle name="Input [yellow] 2 2 12 3" xfId="23087"/>
    <cellStyle name="Input [yellow] 2 2 12 4" xfId="34253"/>
    <cellStyle name="Input [yellow] 2 2 12 5" xfId="45443"/>
    <cellStyle name="Input [yellow] 2 2 13" xfId="1740"/>
    <cellStyle name="Input [yellow] 2 2 13 2" xfId="12937"/>
    <cellStyle name="Input [yellow] 2 2 13 3" xfId="24105"/>
    <cellStyle name="Input [yellow] 2 2 13 4" xfId="35270"/>
    <cellStyle name="Input [yellow] 2 2 13 5" xfId="46463"/>
    <cellStyle name="Input [yellow] 2 2 14" xfId="1993"/>
    <cellStyle name="Input [yellow] 2 2 14 2" xfId="13190"/>
    <cellStyle name="Input [yellow] 2 2 14 3" xfId="24358"/>
    <cellStyle name="Input [yellow] 2 2 14 4" xfId="35523"/>
    <cellStyle name="Input [yellow] 2 2 14 5" xfId="46716"/>
    <cellStyle name="Input [yellow] 2 2 15" xfId="2295"/>
    <cellStyle name="Input [yellow] 2 2 15 2" xfId="13492"/>
    <cellStyle name="Input [yellow] 2 2 15 3" xfId="24660"/>
    <cellStyle name="Input [yellow] 2 2 15 4" xfId="35825"/>
    <cellStyle name="Input [yellow] 2 2 15 5" xfId="47018"/>
    <cellStyle name="Input [yellow] 2 2 16" xfId="3050"/>
    <cellStyle name="Input [yellow] 2 2 16 2" xfId="14247"/>
    <cellStyle name="Input [yellow] 2 2 16 3" xfId="25415"/>
    <cellStyle name="Input [yellow] 2 2 16 4" xfId="36580"/>
    <cellStyle name="Input [yellow] 2 2 16 5" xfId="47773"/>
    <cellStyle name="Input [yellow] 2 2 17" xfId="3684"/>
    <cellStyle name="Input [yellow] 2 2 17 2" xfId="14881"/>
    <cellStyle name="Input [yellow] 2 2 17 3" xfId="26049"/>
    <cellStyle name="Input [yellow] 2 2 17 4" xfId="37214"/>
    <cellStyle name="Input [yellow] 2 2 17 5" xfId="48407"/>
    <cellStyle name="Input [yellow] 2 2 18" xfId="4316"/>
    <cellStyle name="Input [yellow] 2 2 18 2" xfId="15513"/>
    <cellStyle name="Input [yellow] 2 2 18 3" xfId="26681"/>
    <cellStyle name="Input [yellow] 2 2 18 4" xfId="37846"/>
    <cellStyle name="Input [yellow] 2 2 18 5" xfId="49039"/>
    <cellStyle name="Input [yellow] 2 2 19" xfId="4949"/>
    <cellStyle name="Input [yellow] 2 2 19 2" xfId="16146"/>
    <cellStyle name="Input [yellow] 2 2 19 3" xfId="27314"/>
    <cellStyle name="Input [yellow] 2 2 19 4" xfId="38479"/>
    <cellStyle name="Input [yellow] 2 2 19 5" xfId="49672"/>
    <cellStyle name="Input [yellow] 2 2 2" xfId="132"/>
    <cellStyle name="Input [yellow] 2 2 2 10" xfId="6083"/>
    <cellStyle name="Input [yellow] 2 2 2 10 2" xfId="17280"/>
    <cellStyle name="Input [yellow] 2 2 2 10 3" xfId="28448"/>
    <cellStyle name="Input [yellow] 2 2 2 10 4" xfId="39613"/>
    <cellStyle name="Input [yellow] 2 2 2 10 5" xfId="50806"/>
    <cellStyle name="Input [yellow] 2 2 2 11" xfId="6089"/>
    <cellStyle name="Input [yellow] 2 2 2 11 2" xfId="17286"/>
    <cellStyle name="Input [yellow] 2 2 2 11 3" xfId="28454"/>
    <cellStyle name="Input [yellow] 2 2 2 11 4" xfId="39619"/>
    <cellStyle name="Input [yellow] 2 2 2 11 5" xfId="50812"/>
    <cellStyle name="Input [yellow] 2 2 2 12" xfId="6701"/>
    <cellStyle name="Input [yellow] 2 2 2 12 2" xfId="17898"/>
    <cellStyle name="Input [yellow] 2 2 2 12 3" xfId="29066"/>
    <cellStyle name="Input [yellow] 2 2 2 12 4" xfId="40231"/>
    <cellStyle name="Input [yellow] 2 2 2 12 5" xfId="51424"/>
    <cellStyle name="Input [yellow] 2 2 2 13" xfId="7335"/>
    <cellStyle name="Input [yellow] 2 2 2 13 2" xfId="18532"/>
    <cellStyle name="Input [yellow] 2 2 2 13 3" xfId="29700"/>
    <cellStyle name="Input [yellow] 2 2 2 13 4" xfId="40865"/>
    <cellStyle name="Input [yellow] 2 2 2 13 5" xfId="52058"/>
    <cellStyle name="Input [yellow] 2 2 2 14" xfId="7969"/>
    <cellStyle name="Input [yellow] 2 2 2 14 2" xfId="19166"/>
    <cellStyle name="Input [yellow] 2 2 2 14 3" xfId="30334"/>
    <cellStyle name="Input [yellow] 2 2 2 14 4" xfId="41499"/>
    <cellStyle name="Input [yellow] 2 2 2 14 5" xfId="52692"/>
    <cellStyle name="Input [yellow] 2 2 2 15" xfId="8600"/>
    <cellStyle name="Input [yellow] 2 2 2 15 2" xfId="19797"/>
    <cellStyle name="Input [yellow] 2 2 2 15 3" xfId="30965"/>
    <cellStyle name="Input [yellow] 2 2 2 15 4" xfId="42130"/>
    <cellStyle name="Input [yellow] 2 2 2 15 5" xfId="53323"/>
    <cellStyle name="Input [yellow] 2 2 2 16" xfId="8954"/>
    <cellStyle name="Input [yellow] 2 2 2 16 2" xfId="20151"/>
    <cellStyle name="Input [yellow] 2 2 2 16 3" xfId="31319"/>
    <cellStyle name="Input [yellow] 2 2 2 16 4" xfId="42484"/>
    <cellStyle name="Input [yellow] 2 2 2 16 5" xfId="53677"/>
    <cellStyle name="Input [yellow] 2 2 2 17" xfId="9653"/>
    <cellStyle name="Input [yellow] 2 2 2 17 2" xfId="20850"/>
    <cellStyle name="Input [yellow] 2 2 2 17 3" xfId="32018"/>
    <cellStyle name="Input [yellow] 2 2 2 17 4" xfId="43183"/>
    <cellStyle name="Input [yellow] 2 2 2 17 5" xfId="54376"/>
    <cellStyle name="Input [yellow] 2 2 2 18" xfId="10379"/>
    <cellStyle name="Input [yellow] 2 2 2 18 2" xfId="21576"/>
    <cellStyle name="Input [yellow] 2 2 2 18 3" xfId="32744"/>
    <cellStyle name="Input [yellow] 2 2 2 18 4" xfId="43909"/>
    <cellStyle name="Input [yellow] 2 2 2 18 5" xfId="55102"/>
    <cellStyle name="Input [yellow] 2 2 2 19" xfId="10685"/>
    <cellStyle name="Input [yellow] 2 2 2 19 2" xfId="21882"/>
    <cellStyle name="Input [yellow] 2 2 2 19 3" xfId="33050"/>
    <cellStyle name="Input [yellow] 2 2 2 19 4" xfId="44215"/>
    <cellStyle name="Input [yellow] 2 2 2 19 5" xfId="55408"/>
    <cellStyle name="Input [yellow] 2 2 2 2" xfId="781"/>
    <cellStyle name="Input [yellow] 2 2 2 2 2" xfId="11978"/>
    <cellStyle name="Input [yellow] 2 2 2 2 3" xfId="23146"/>
    <cellStyle name="Input [yellow] 2 2 2 2 4" xfId="34311"/>
    <cellStyle name="Input [yellow] 2 2 2 2 5" xfId="45504"/>
    <cellStyle name="Input [yellow] 2 2 2 20" xfId="11332"/>
    <cellStyle name="Input [yellow] 2 2 2 21" xfId="22502"/>
    <cellStyle name="Input [yellow] 2 2 2 22" xfId="33669"/>
    <cellStyle name="Input [yellow] 2 2 2 23" xfId="44855"/>
    <cellStyle name="Input [yellow] 2 2 2 3" xfId="1715"/>
    <cellStyle name="Input [yellow] 2 2 2 3 2" xfId="12912"/>
    <cellStyle name="Input [yellow] 2 2 2 3 3" xfId="24080"/>
    <cellStyle name="Input [yellow] 2 2 2 3 4" xfId="35245"/>
    <cellStyle name="Input [yellow] 2 2 2 3 5" xfId="46438"/>
    <cellStyle name="Input [yellow] 2 2 2 4" xfId="2058"/>
    <cellStyle name="Input [yellow] 2 2 2 4 2" xfId="13255"/>
    <cellStyle name="Input [yellow] 2 2 2 4 3" xfId="24423"/>
    <cellStyle name="Input [yellow] 2 2 2 4 4" xfId="35588"/>
    <cellStyle name="Input [yellow] 2 2 2 4 5" xfId="46781"/>
    <cellStyle name="Input [yellow] 2 2 2 5" xfId="2217"/>
    <cellStyle name="Input [yellow] 2 2 2 5 2" xfId="13414"/>
    <cellStyle name="Input [yellow] 2 2 2 5 3" xfId="24582"/>
    <cellStyle name="Input [yellow] 2 2 2 5 4" xfId="35747"/>
    <cellStyle name="Input [yellow] 2 2 2 5 5" xfId="46940"/>
    <cellStyle name="Input [yellow] 2 2 2 6" xfId="3116"/>
    <cellStyle name="Input [yellow] 2 2 2 6 2" xfId="14313"/>
    <cellStyle name="Input [yellow] 2 2 2 6 3" xfId="25481"/>
    <cellStyle name="Input [yellow] 2 2 2 6 4" xfId="36646"/>
    <cellStyle name="Input [yellow] 2 2 2 6 5" xfId="47839"/>
    <cellStyle name="Input [yellow] 2 2 2 7" xfId="3750"/>
    <cellStyle name="Input [yellow] 2 2 2 7 2" xfId="14947"/>
    <cellStyle name="Input [yellow] 2 2 2 7 3" xfId="26115"/>
    <cellStyle name="Input [yellow] 2 2 2 7 4" xfId="37280"/>
    <cellStyle name="Input [yellow] 2 2 2 7 5" xfId="48473"/>
    <cellStyle name="Input [yellow] 2 2 2 8" xfId="4383"/>
    <cellStyle name="Input [yellow] 2 2 2 8 2" xfId="15580"/>
    <cellStyle name="Input [yellow] 2 2 2 8 3" xfId="26748"/>
    <cellStyle name="Input [yellow] 2 2 2 8 4" xfId="37913"/>
    <cellStyle name="Input [yellow] 2 2 2 8 5" xfId="49106"/>
    <cellStyle name="Input [yellow] 2 2 2 9" xfId="5014"/>
    <cellStyle name="Input [yellow] 2 2 2 9 2" xfId="16211"/>
    <cellStyle name="Input [yellow] 2 2 2 9 3" xfId="27379"/>
    <cellStyle name="Input [yellow] 2 2 2 9 4" xfId="38544"/>
    <cellStyle name="Input [yellow] 2 2 2 9 5" xfId="49737"/>
    <cellStyle name="Input [yellow] 2 2 20" xfId="5804"/>
    <cellStyle name="Input [yellow] 2 2 20 2" xfId="17001"/>
    <cellStyle name="Input [yellow] 2 2 20 3" xfId="28169"/>
    <cellStyle name="Input [yellow] 2 2 20 4" xfId="39334"/>
    <cellStyle name="Input [yellow] 2 2 20 5" xfId="50527"/>
    <cellStyle name="Input [yellow] 2 2 21" xfId="5885"/>
    <cellStyle name="Input [yellow] 2 2 21 2" xfId="17082"/>
    <cellStyle name="Input [yellow] 2 2 21 3" xfId="28250"/>
    <cellStyle name="Input [yellow] 2 2 21 4" xfId="39415"/>
    <cellStyle name="Input [yellow] 2 2 21 5" xfId="50608"/>
    <cellStyle name="Input [yellow] 2 2 22" xfId="6636"/>
    <cellStyle name="Input [yellow] 2 2 22 2" xfId="17833"/>
    <cellStyle name="Input [yellow] 2 2 22 3" xfId="29001"/>
    <cellStyle name="Input [yellow] 2 2 22 4" xfId="40166"/>
    <cellStyle name="Input [yellow] 2 2 22 5" xfId="51359"/>
    <cellStyle name="Input [yellow] 2 2 23" xfId="7268"/>
    <cellStyle name="Input [yellow] 2 2 23 2" xfId="18465"/>
    <cellStyle name="Input [yellow] 2 2 23 3" xfId="29633"/>
    <cellStyle name="Input [yellow] 2 2 23 4" xfId="40798"/>
    <cellStyle name="Input [yellow] 2 2 23 5" xfId="51991"/>
    <cellStyle name="Input [yellow] 2 2 24" xfId="7902"/>
    <cellStyle name="Input [yellow] 2 2 24 2" xfId="19099"/>
    <cellStyle name="Input [yellow] 2 2 24 3" xfId="30267"/>
    <cellStyle name="Input [yellow] 2 2 24 4" xfId="41432"/>
    <cellStyle name="Input [yellow] 2 2 24 5" xfId="52625"/>
    <cellStyle name="Input [yellow] 2 2 25" xfId="8535"/>
    <cellStyle name="Input [yellow] 2 2 25 2" xfId="19732"/>
    <cellStyle name="Input [yellow] 2 2 25 3" xfId="30900"/>
    <cellStyle name="Input [yellow] 2 2 25 4" xfId="42065"/>
    <cellStyle name="Input [yellow] 2 2 25 5" xfId="53258"/>
    <cellStyle name="Input [yellow] 2 2 26" xfId="9023"/>
    <cellStyle name="Input [yellow] 2 2 26 2" xfId="20220"/>
    <cellStyle name="Input [yellow] 2 2 26 3" xfId="31388"/>
    <cellStyle name="Input [yellow] 2 2 26 4" xfId="42553"/>
    <cellStyle name="Input [yellow] 2 2 26 5" xfId="53746"/>
    <cellStyle name="Input [yellow] 2 2 27" xfId="9587"/>
    <cellStyle name="Input [yellow] 2 2 27 2" xfId="20784"/>
    <cellStyle name="Input [yellow] 2 2 27 3" xfId="31952"/>
    <cellStyle name="Input [yellow] 2 2 27 4" xfId="43117"/>
    <cellStyle name="Input [yellow] 2 2 27 5" xfId="54310"/>
    <cellStyle name="Input [yellow] 2 2 28" xfId="10432"/>
    <cellStyle name="Input [yellow] 2 2 28 2" xfId="21629"/>
    <cellStyle name="Input [yellow] 2 2 28 3" xfId="32797"/>
    <cellStyle name="Input [yellow] 2 2 28 4" xfId="43962"/>
    <cellStyle name="Input [yellow] 2 2 28 5" xfId="55155"/>
    <cellStyle name="Input [yellow] 2 2 29" xfId="10627"/>
    <cellStyle name="Input [yellow] 2 2 29 2" xfId="21824"/>
    <cellStyle name="Input [yellow] 2 2 29 3" xfId="32992"/>
    <cellStyle name="Input [yellow] 2 2 29 4" xfId="44157"/>
    <cellStyle name="Input [yellow] 2 2 29 5" xfId="55350"/>
    <cellStyle name="Input [yellow] 2 2 3" xfId="55"/>
    <cellStyle name="Input [yellow] 2 2 3 10" xfId="5792"/>
    <cellStyle name="Input [yellow] 2 2 3 10 2" xfId="16989"/>
    <cellStyle name="Input [yellow] 2 2 3 10 3" xfId="28157"/>
    <cellStyle name="Input [yellow] 2 2 3 10 4" xfId="39322"/>
    <cellStyle name="Input [yellow] 2 2 3 10 5" xfId="50515"/>
    <cellStyle name="Input [yellow] 2 2 3 11" xfId="5897"/>
    <cellStyle name="Input [yellow] 2 2 3 11 2" xfId="17094"/>
    <cellStyle name="Input [yellow] 2 2 3 11 3" xfId="28262"/>
    <cellStyle name="Input [yellow] 2 2 3 11 4" xfId="39427"/>
    <cellStyle name="Input [yellow] 2 2 3 11 5" xfId="50620"/>
    <cellStyle name="Input [yellow] 2 2 3 12" xfId="5876"/>
    <cellStyle name="Input [yellow] 2 2 3 12 2" xfId="17073"/>
    <cellStyle name="Input [yellow] 2 2 3 12 3" xfId="28241"/>
    <cellStyle name="Input [yellow] 2 2 3 12 4" xfId="39406"/>
    <cellStyle name="Input [yellow] 2 2 3 12 5" xfId="50599"/>
    <cellStyle name="Input [yellow] 2 2 3 13" xfId="5669"/>
    <cellStyle name="Input [yellow] 2 2 3 13 2" xfId="16866"/>
    <cellStyle name="Input [yellow] 2 2 3 13 3" xfId="28034"/>
    <cellStyle name="Input [yellow] 2 2 3 13 4" xfId="39199"/>
    <cellStyle name="Input [yellow] 2 2 3 13 5" xfId="50392"/>
    <cellStyle name="Input [yellow] 2 2 3 14" xfId="6649"/>
    <cellStyle name="Input [yellow] 2 2 3 14 2" xfId="17846"/>
    <cellStyle name="Input [yellow] 2 2 3 14 3" xfId="29014"/>
    <cellStyle name="Input [yellow] 2 2 3 14 4" xfId="40179"/>
    <cellStyle name="Input [yellow] 2 2 3 14 5" xfId="51372"/>
    <cellStyle name="Input [yellow] 2 2 3 15" xfId="7273"/>
    <cellStyle name="Input [yellow] 2 2 3 15 2" xfId="18470"/>
    <cellStyle name="Input [yellow] 2 2 3 15 3" xfId="29638"/>
    <cellStyle name="Input [yellow] 2 2 3 15 4" xfId="40803"/>
    <cellStyle name="Input [yellow] 2 2 3 15 5" xfId="51996"/>
    <cellStyle name="Input [yellow] 2 2 3 16" xfId="8984"/>
    <cellStyle name="Input [yellow] 2 2 3 16 2" xfId="20181"/>
    <cellStyle name="Input [yellow] 2 2 3 16 3" xfId="31349"/>
    <cellStyle name="Input [yellow] 2 2 3 16 4" xfId="42514"/>
    <cellStyle name="Input [yellow] 2 2 3 16 5" xfId="53707"/>
    <cellStyle name="Input [yellow] 2 2 3 17" xfId="8548"/>
    <cellStyle name="Input [yellow] 2 2 3 17 2" xfId="19745"/>
    <cellStyle name="Input [yellow] 2 2 3 17 3" xfId="30913"/>
    <cellStyle name="Input [yellow] 2 2 3 17 4" xfId="42078"/>
    <cellStyle name="Input [yellow] 2 2 3 17 5" xfId="53271"/>
    <cellStyle name="Input [yellow] 2 2 3 18" xfId="10373"/>
    <cellStyle name="Input [yellow] 2 2 3 18 2" xfId="21570"/>
    <cellStyle name="Input [yellow] 2 2 3 18 3" xfId="32738"/>
    <cellStyle name="Input [yellow] 2 2 3 18 4" xfId="43903"/>
    <cellStyle name="Input [yellow] 2 2 3 18 5" xfId="55096"/>
    <cellStyle name="Input [yellow] 2 2 3 19" xfId="9885"/>
    <cellStyle name="Input [yellow] 2 2 3 19 2" xfId="21082"/>
    <cellStyle name="Input [yellow] 2 2 3 19 3" xfId="32250"/>
    <cellStyle name="Input [yellow] 2 2 3 19 4" xfId="43415"/>
    <cellStyle name="Input [yellow] 2 2 3 19 5" xfId="54608"/>
    <cellStyle name="Input [yellow] 2 2 3 2" xfId="710"/>
    <cellStyle name="Input [yellow] 2 2 3 2 2" xfId="11909"/>
    <cellStyle name="Input [yellow] 2 2 3 2 3" xfId="23078"/>
    <cellStyle name="Input [yellow] 2 2 3 2 4" xfId="34245"/>
    <cellStyle name="Input [yellow] 2 2 3 2 5" xfId="45433"/>
    <cellStyle name="Input [yellow] 2 2 3 20" xfId="11257"/>
    <cellStyle name="Input [yellow] 2 2 3 21" xfId="11246"/>
    <cellStyle name="Input [yellow] 2 2 3 22" xfId="11247"/>
    <cellStyle name="Input [yellow] 2 2 3 23" xfId="44784"/>
    <cellStyle name="Input [yellow] 2 2 3 3" xfId="1666"/>
    <cellStyle name="Input [yellow] 2 2 3 3 2" xfId="12863"/>
    <cellStyle name="Input [yellow] 2 2 3 3 3" xfId="24031"/>
    <cellStyle name="Input [yellow] 2 2 3 3 4" xfId="35196"/>
    <cellStyle name="Input [yellow] 2 2 3 3 5" xfId="46389"/>
    <cellStyle name="Input [yellow] 2 2 3 4" xfId="1984"/>
    <cellStyle name="Input [yellow] 2 2 3 4 2" xfId="13181"/>
    <cellStyle name="Input [yellow] 2 2 3 4 3" xfId="24349"/>
    <cellStyle name="Input [yellow] 2 2 3 4 4" xfId="35514"/>
    <cellStyle name="Input [yellow] 2 2 3 4 5" xfId="46707"/>
    <cellStyle name="Input [yellow] 2 2 3 5" xfId="2244"/>
    <cellStyle name="Input [yellow] 2 2 3 5 2" xfId="13441"/>
    <cellStyle name="Input [yellow] 2 2 3 5 3" xfId="24609"/>
    <cellStyle name="Input [yellow] 2 2 3 5 4" xfId="35774"/>
    <cellStyle name="Input [yellow] 2 2 3 5 5" xfId="46967"/>
    <cellStyle name="Input [yellow] 2 2 3 6" xfId="1994"/>
    <cellStyle name="Input [yellow] 2 2 3 6 2" xfId="13191"/>
    <cellStyle name="Input [yellow] 2 2 3 6 3" xfId="24359"/>
    <cellStyle name="Input [yellow] 2 2 3 6 4" xfId="35524"/>
    <cellStyle name="Input [yellow] 2 2 3 6 5" xfId="46717"/>
    <cellStyle name="Input [yellow] 2 2 3 7" xfId="2214"/>
    <cellStyle name="Input [yellow] 2 2 3 7 2" xfId="13411"/>
    <cellStyle name="Input [yellow] 2 2 3 7 3" xfId="24579"/>
    <cellStyle name="Input [yellow] 2 2 3 7 4" xfId="35744"/>
    <cellStyle name="Input [yellow] 2 2 3 7 5" xfId="46937"/>
    <cellStyle name="Input [yellow] 2 2 3 8" xfId="3054"/>
    <cellStyle name="Input [yellow] 2 2 3 8 2" xfId="14251"/>
    <cellStyle name="Input [yellow] 2 2 3 8 3" xfId="25419"/>
    <cellStyle name="Input [yellow] 2 2 3 8 4" xfId="36584"/>
    <cellStyle name="Input [yellow] 2 2 3 8 5" xfId="47777"/>
    <cellStyle name="Input [yellow] 2 2 3 9" xfId="3697"/>
    <cellStyle name="Input [yellow] 2 2 3 9 2" xfId="14894"/>
    <cellStyle name="Input [yellow] 2 2 3 9 3" xfId="26062"/>
    <cellStyle name="Input [yellow] 2 2 3 9 4" xfId="37227"/>
    <cellStyle name="Input [yellow] 2 2 3 9 5" xfId="48420"/>
    <cellStyle name="Input [yellow] 2 2 30" xfId="11267"/>
    <cellStyle name="Input [yellow] 2 2 31" xfId="22443"/>
    <cellStyle name="Input [yellow] 2 2 32" xfId="33611"/>
    <cellStyle name="Input [yellow] 2 2 33" xfId="44794"/>
    <cellStyle name="Input [yellow] 2 2 4" xfId="252"/>
    <cellStyle name="Input [yellow] 2 2 4 10" xfId="5677"/>
    <cellStyle name="Input [yellow] 2 2 4 10 2" xfId="16874"/>
    <cellStyle name="Input [yellow] 2 2 4 10 3" xfId="28042"/>
    <cellStyle name="Input [yellow] 2 2 4 10 4" xfId="39207"/>
    <cellStyle name="Input [yellow] 2 2 4 10 5" xfId="50400"/>
    <cellStyle name="Input [yellow] 2 2 4 11" xfId="5740"/>
    <cellStyle name="Input [yellow] 2 2 4 11 2" xfId="16937"/>
    <cellStyle name="Input [yellow] 2 2 4 11 3" xfId="28105"/>
    <cellStyle name="Input [yellow] 2 2 4 11 4" xfId="39270"/>
    <cellStyle name="Input [yellow] 2 2 4 11 5" xfId="50463"/>
    <cellStyle name="Input [yellow] 2 2 4 12" xfId="6821"/>
    <cellStyle name="Input [yellow] 2 2 4 12 2" xfId="18018"/>
    <cellStyle name="Input [yellow] 2 2 4 12 3" xfId="29186"/>
    <cellStyle name="Input [yellow] 2 2 4 12 4" xfId="40351"/>
    <cellStyle name="Input [yellow] 2 2 4 12 5" xfId="51544"/>
    <cellStyle name="Input [yellow] 2 2 4 13" xfId="7455"/>
    <cellStyle name="Input [yellow] 2 2 4 13 2" xfId="18652"/>
    <cellStyle name="Input [yellow] 2 2 4 13 3" xfId="29820"/>
    <cellStyle name="Input [yellow] 2 2 4 13 4" xfId="40985"/>
    <cellStyle name="Input [yellow] 2 2 4 13 5" xfId="52178"/>
    <cellStyle name="Input [yellow] 2 2 4 14" xfId="8089"/>
    <cellStyle name="Input [yellow] 2 2 4 14 2" xfId="19286"/>
    <cellStyle name="Input [yellow] 2 2 4 14 3" xfId="30454"/>
    <cellStyle name="Input [yellow] 2 2 4 14 4" xfId="41619"/>
    <cellStyle name="Input [yellow] 2 2 4 14 5" xfId="52812"/>
    <cellStyle name="Input [yellow] 2 2 4 15" xfId="8720"/>
    <cellStyle name="Input [yellow] 2 2 4 15 2" xfId="19917"/>
    <cellStyle name="Input [yellow] 2 2 4 15 3" xfId="31085"/>
    <cellStyle name="Input [yellow] 2 2 4 15 4" xfId="42250"/>
    <cellStyle name="Input [yellow] 2 2 4 15 5" xfId="53443"/>
    <cellStyle name="Input [yellow] 2 2 4 16" xfId="8572"/>
    <cellStyle name="Input [yellow] 2 2 4 16 2" xfId="19769"/>
    <cellStyle name="Input [yellow] 2 2 4 16 3" xfId="30937"/>
    <cellStyle name="Input [yellow] 2 2 4 16 4" xfId="42102"/>
    <cellStyle name="Input [yellow] 2 2 4 16 5" xfId="53295"/>
    <cellStyle name="Input [yellow] 2 2 4 17" xfId="9771"/>
    <cellStyle name="Input [yellow] 2 2 4 17 2" xfId="20968"/>
    <cellStyle name="Input [yellow] 2 2 4 17 3" xfId="32136"/>
    <cellStyle name="Input [yellow] 2 2 4 17 4" xfId="43301"/>
    <cellStyle name="Input [yellow] 2 2 4 17 5" xfId="54494"/>
    <cellStyle name="Input [yellow] 2 2 4 18" xfId="10434"/>
    <cellStyle name="Input [yellow] 2 2 4 18 2" xfId="21631"/>
    <cellStyle name="Input [yellow] 2 2 4 18 3" xfId="32799"/>
    <cellStyle name="Input [yellow] 2 2 4 18 4" xfId="43964"/>
    <cellStyle name="Input [yellow] 2 2 4 18 5" xfId="55157"/>
    <cellStyle name="Input [yellow] 2 2 4 19" xfId="10805"/>
    <cellStyle name="Input [yellow] 2 2 4 19 2" xfId="22002"/>
    <cellStyle name="Input [yellow] 2 2 4 19 3" xfId="33170"/>
    <cellStyle name="Input [yellow] 2 2 4 19 4" xfId="44335"/>
    <cellStyle name="Input [yellow] 2 2 4 19 5" xfId="55528"/>
    <cellStyle name="Input [yellow] 2 2 4 2" xfId="901"/>
    <cellStyle name="Input [yellow] 2 2 4 2 2" xfId="12098"/>
    <cellStyle name="Input [yellow] 2 2 4 2 3" xfId="23266"/>
    <cellStyle name="Input [yellow] 2 2 4 2 4" xfId="34431"/>
    <cellStyle name="Input [yellow] 2 2 4 2 5" xfId="45624"/>
    <cellStyle name="Input [yellow] 2 2 4 20" xfId="11452"/>
    <cellStyle name="Input [yellow] 2 2 4 21" xfId="22622"/>
    <cellStyle name="Input [yellow] 2 2 4 22" xfId="33789"/>
    <cellStyle name="Input [yellow] 2 2 4 23" xfId="44975"/>
    <cellStyle name="Input [yellow] 2 2 4 3" xfId="1761"/>
    <cellStyle name="Input [yellow] 2 2 4 3 2" xfId="12958"/>
    <cellStyle name="Input [yellow] 2 2 4 3 3" xfId="24126"/>
    <cellStyle name="Input [yellow] 2 2 4 3 4" xfId="35291"/>
    <cellStyle name="Input [yellow] 2 2 4 3 5" xfId="46484"/>
    <cellStyle name="Input [yellow] 2 2 4 4" xfId="2178"/>
    <cellStyle name="Input [yellow] 2 2 4 4 2" xfId="13375"/>
    <cellStyle name="Input [yellow] 2 2 4 4 3" xfId="24543"/>
    <cellStyle name="Input [yellow] 2 2 4 4 4" xfId="35708"/>
    <cellStyle name="Input [yellow] 2 2 4 4 5" xfId="46901"/>
    <cellStyle name="Input [yellow] 2 2 4 5" xfId="2382"/>
    <cellStyle name="Input [yellow] 2 2 4 5 2" xfId="13579"/>
    <cellStyle name="Input [yellow] 2 2 4 5 3" xfId="24747"/>
    <cellStyle name="Input [yellow] 2 2 4 5 4" xfId="35912"/>
    <cellStyle name="Input [yellow] 2 2 4 5 5" xfId="47105"/>
    <cellStyle name="Input [yellow] 2 2 4 6" xfId="3236"/>
    <cellStyle name="Input [yellow] 2 2 4 6 2" xfId="14433"/>
    <cellStyle name="Input [yellow] 2 2 4 6 3" xfId="25601"/>
    <cellStyle name="Input [yellow] 2 2 4 6 4" xfId="36766"/>
    <cellStyle name="Input [yellow] 2 2 4 6 5" xfId="47959"/>
    <cellStyle name="Input [yellow] 2 2 4 7" xfId="3870"/>
    <cellStyle name="Input [yellow] 2 2 4 7 2" xfId="15067"/>
    <cellStyle name="Input [yellow] 2 2 4 7 3" xfId="26235"/>
    <cellStyle name="Input [yellow] 2 2 4 7 4" xfId="37400"/>
    <cellStyle name="Input [yellow] 2 2 4 7 5" xfId="48593"/>
    <cellStyle name="Input [yellow] 2 2 4 8" xfId="4503"/>
    <cellStyle name="Input [yellow] 2 2 4 8 2" xfId="15700"/>
    <cellStyle name="Input [yellow] 2 2 4 8 3" xfId="26868"/>
    <cellStyle name="Input [yellow] 2 2 4 8 4" xfId="38033"/>
    <cellStyle name="Input [yellow] 2 2 4 8 5" xfId="49226"/>
    <cellStyle name="Input [yellow] 2 2 4 9" xfId="5134"/>
    <cellStyle name="Input [yellow] 2 2 4 9 2" xfId="16331"/>
    <cellStyle name="Input [yellow] 2 2 4 9 3" xfId="27499"/>
    <cellStyle name="Input [yellow] 2 2 4 9 4" xfId="38664"/>
    <cellStyle name="Input [yellow] 2 2 4 9 5" xfId="49857"/>
    <cellStyle name="Input [yellow] 2 2 5" xfId="345"/>
    <cellStyle name="Input [yellow] 2 2 5 10" xfId="5955"/>
    <cellStyle name="Input [yellow] 2 2 5 10 2" xfId="17152"/>
    <cellStyle name="Input [yellow] 2 2 5 10 3" xfId="28320"/>
    <cellStyle name="Input [yellow] 2 2 5 10 4" xfId="39485"/>
    <cellStyle name="Input [yellow] 2 2 5 10 5" xfId="50678"/>
    <cellStyle name="Input [yellow] 2 2 5 11" xfId="6281"/>
    <cellStyle name="Input [yellow] 2 2 5 11 2" xfId="17478"/>
    <cellStyle name="Input [yellow] 2 2 5 11 3" xfId="28646"/>
    <cellStyle name="Input [yellow] 2 2 5 11 4" xfId="39811"/>
    <cellStyle name="Input [yellow] 2 2 5 11 5" xfId="51004"/>
    <cellStyle name="Input [yellow] 2 2 5 12" xfId="6914"/>
    <cellStyle name="Input [yellow] 2 2 5 12 2" xfId="18111"/>
    <cellStyle name="Input [yellow] 2 2 5 12 3" xfId="29279"/>
    <cellStyle name="Input [yellow] 2 2 5 12 4" xfId="40444"/>
    <cellStyle name="Input [yellow] 2 2 5 12 5" xfId="51637"/>
    <cellStyle name="Input [yellow] 2 2 5 13" xfId="7548"/>
    <cellStyle name="Input [yellow] 2 2 5 13 2" xfId="18745"/>
    <cellStyle name="Input [yellow] 2 2 5 13 3" xfId="29913"/>
    <cellStyle name="Input [yellow] 2 2 5 13 4" xfId="41078"/>
    <cellStyle name="Input [yellow] 2 2 5 13 5" xfId="52271"/>
    <cellStyle name="Input [yellow] 2 2 5 14" xfId="8182"/>
    <cellStyle name="Input [yellow] 2 2 5 14 2" xfId="19379"/>
    <cellStyle name="Input [yellow] 2 2 5 14 3" xfId="30547"/>
    <cellStyle name="Input [yellow] 2 2 5 14 4" xfId="41712"/>
    <cellStyle name="Input [yellow] 2 2 5 14 5" xfId="52905"/>
    <cellStyle name="Input [yellow] 2 2 5 15" xfId="8811"/>
    <cellStyle name="Input [yellow] 2 2 5 15 2" xfId="20008"/>
    <cellStyle name="Input [yellow] 2 2 5 15 3" xfId="31176"/>
    <cellStyle name="Input [yellow] 2 2 5 15 4" xfId="42341"/>
    <cellStyle name="Input [yellow] 2 2 5 15 5" xfId="53534"/>
    <cellStyle name="Input [yellow] 2 2 5 16" xfId="9233"/>
    <cellStyle name="Input [yellow] 2 2 5 16 2" xfId="20430"/>
    <cellStyle name="Input [yellow] 2 2 5 16 3" xfId="31598"/>
    <cellStyle name="Input [yellow] 2 2 5 16 4" xfId="42763"/>
    <cellStyle name="Input [yellow] 2 2 5 16 5" xfId="53956"/>
    <cellStyle name="Input [yellow] 2 2 5 17" xfId="9860"/>
    <cellStyle name="Input [yellow] 2 2 5 17 2" xfId="21057"/>
    <cellStyle name="Input [yellow] 2 2 5 17 3" xfId="32225"/>
    <cellStyle name="Input [yellow] 2 2 5 17 4" xfId="43390"/>
    <cellStyle name="Input [yellow] 2 2 5 17 5" xfId="54583"/>
    <cellStyle name="Input [yellow] 2 2 5 18" xfId="10240"/>
    <cellStyle name="Input [yellow] 2 2 5 18 2" xfId="21437"/>
    <cellStyle name="Input [yellow] 2 2 5 18 3" xfId="32605"/>
    <cellStyle name="Input [yellow] 2 2 5 18 4" xfId="43770"/>
    <cellStyle name="Input [yellow] 2 2 5 18 5" xfId="54963"/>
    <cellStyle name="Input [yellow] 2 2 5 19" xfId="10898"/>
    <cellStyle name="Input [yellow] 2 2 5 19 2" xfId="22095"/>
    <cellStyle name="Input [yellow] 2 2 5 19 3" xfId="33263"/>
    <cellStyle name="Input [yellow] 2 2 5 19 4" xfId="44428"/>
    <cellStyle name="Input [yellow] 2 2 5 19 5" xfId="55621"/>
    <cellStyle name="Input [yellow] 2 2 5 2" xfId="994"/>
    <cellStyle name="Input [yellow] 2 2 5 2 2" xfId="12191"/>
    <cellStyle name="Input [yellow] 2 2 5 2 3" xfId="23359"/>
    <cellStyle name="Input [yellow] 2 2 5 2 4" xfId="34524"/>
    <cellStyle name="Input [yellow] 2 2 5 2 5" xfId="45717"/>
    <cellStyle name="Input [yellow] 2 2 5 20" xfId="11545"/>
    <cellStyle name="Input [yellow] 2 2 5 21" xfId="22715"/>
    <cellStyle name="Input [yellow] 2 2 5 22" xfId="33882"/>
    <cellStyle name="Input [yellow] 2 2 5 23" xfId="45068"/>
    <cellStyle name="Input [yellow] 2 2 5 3" xfId="1534"/>
    <cellStyle name="Input [yellow] 2 2 5 3 2" xfId="12731"/>
    <cellStyle name="Input [yellow] 2 2 5 3 3" xfId="23899"/>
    <cellStyle name="Input [yellow] 2 2 5 3 4" xfId="35064"/>
    <cellStyle name="Input [yellow] 2 2 5 3 5" xfId="46257"/>
    <cellStyle name="Input [yellow] 2 2 5 4" xfId="2270"/>
    <cellStyle name="Input [yellow] 2 2 5 4 2" xfId="13467"/>
    <cellStyle name="Input [yellow] 2 2 5 4 3" xfId="24635"/>
    <cellStyle name="Input [yellow] 2 2 5 4 4" xfId="35800"/>
    <cellStyle name="Input [yellow] 2 2 5 4 5" xfId="46993"/>
    <cellStyle name="Input [yellow] 2 2 5 5" xfId="2695"/>
    <cellStyle name="Input [yellow] 2 2 5 5 2" xfId="13892"/>
    <cellStyle name="Input [yellow] 2 2 5 5 3" xfId="25060"/>
    <cellStyle name="Input [yellow] 2 2 5 5 4" xfId="36225"/>
    <cellStyle name="Input [yellow] 2 2 5 5 5" xfId="47418"/>
    <cellStyle name="Input [yellow] 2 2 5 6" xfId="3329"/>
    <cellStyle name="Input [yellow] 2 2 5 6 2" xfId="14526"/>
    <cellStyle name="Input [yellow] 2 2 5 6 3" xfId="25694"/>
    <cellStyle name="Input [yellow] 2 2 5 6 4" xfId="36859"/>
    <cellStyle name="Input [yellow] 2 2 5 6 5" xfId="48052"/>
    <cellStyle name="Input [yellow] 2 2 5 7" xfId="3963"/>
    <cellStyle name="Input [yellow] 2 2 5 7 2" xfId="15160"/>
    <cellStyle name="Input [yellow] 2 2 5 7 3" xfId="26328"/>
    <cellStyle name="Input [yellow] 2 2 5 7 4" xfId="37493"/>
    <cellStyle name="Input [yellow] 2 2 5 7 5" xfId="48686"/>
    <cellStyle name="Input [yellow] 2 2 5 8" xfId="4596"/>
    <cellStyle name="Input [yellow] 2 2 5 8 2" xfId="15793"/>
    <cellStyle name="Input [yellow] 2 2 5 8 3" xfId="26961"/>
    <cellStyle name="Input [yellow] 2 2 5 8 4" xfId="38126"/>
    <cellStyle name="Input [yellow] 2 2 5 8 5" xfId="49319"/>
    <cellStyle name="Input [yellow] 2 2 5 9" xfId="5227"/>
    <cellStyle name="Input [yellow] 2 2 5 9 2" xfId="16424"/>
    <cellStyle name="Input [yellow] 2 2 5 9 3" xfId="27592"/>
    <cellStyle name="Input [yellow] 2 2 5 9 4" xfId="38757"/>
    <cellStyle name="Input [yellow] 2 2 5 9 5" xfId="49950"/>
    <cellStyle name="Input [yellow] 2 2 6" xfId="313"/>
    <cellStyle name="Input [yellow] 2 2 6 10" xfId="5707"/>
    <cellStyle name="Input [yellow] 2 2 6 10 2" xfId="16904"/>
    <cellStyle name="Input [yellow] 2 2 6 10 3" xfId="28072"/>
    <cellStyle name="Input [yellow] 2 2 6 10 4" xfId="39237"/>
    <cellStyle name="Input [yellow] 2 2 6 10 5" xfId="50430"/>
    <cellStyle name="Input [yellow] 2 2 6 11" xfId="6249"/>
    <cellStyle name="Input [yellow] 2 2 6 11 2" xfId="17446"/>
    <cellStyle name="Input [yellow] 2 2 6 11 3" xfId="28614"/>
    <cellStyle name="Input [yellow] 2 2 6 11 4" xfId="39779"/>
    <cellStyle name="Input [yellow] 2 2 6 11 5" xfId="50972"/>
    <cellStyle name="Input [yellow] 2 2 6 12" xfId="6882"/>
    <cellStyle name="Input [yellow] 2 2 6 12 2" xfId="18079"/>
    <cellStyle name="Input [yellow] 2 2 6 12 3" xfId="29247"/>
    <cellStyle name="Input [yellow] 2 2 6 12 4" xfId="40412"/>
    <cellStyle name="Input [yellow] 2 2 6 12 5" xfId="51605"/>
    <cellStyle name="Input [yellow] 2 2 6 13" xfId="7516"/>
    <cellStyle name="Input [yellow] 2 2 6 13 2" xfId="18713"/>
    <cellStyle name="Input [yellow] 2 2 6 13 3" xfId="29881"/>
    <cellStyle name="Input [yellow] 2 2 6 13 4" xfId="41046"/>
    <cellStyle name="Input [yellow] 2 2 6 13 5" xfId="52239"/>
    <cellStyle name="Input [yellow] 2 2 6 14" xfId="8150"/>
    <cellStyle name="Input [yellow] 2 2 6 14 2" xfId="19347"/>
    <cellStyle name="Input [yellow] 2 2 6 14 3" xfId="30515"/>
    <cellStyle name="Input [yellow] 2 2 6 14 4" xfId="41680"/>
    <cellStyle name="Input [yellow] 2 2 6 14 5" xfId="52873"/>
    <cellStyle name="Input [yellow] 2 2 6 15" xfId="8779"/>
    <cellStyle name="Input [yellow] 2 2 6 15 2" xfId="19976"/>
    <cellStyle name="Input [yellow] 2 2 6 15 3" xfId="31144"/>
    <cellStyle name="Input [yellow] 2 2 6 15 4" xfId="42309"/>
    <cellStyle name="Input [yellow] 2 2 6 15 5" xfId="53502"/>
    <cellStyle name="Input [yellow] 2 2 6 16" xfId="9201"/>
    <cellStyle name="Input [yellow] 2 2 6 16 2" xfId="20398"/>
    <cellStyle name="Input [yellow] 2 2 6 16 3" xfId="31566"/>
    <cellStyle name="Input [yellow] 2 2 6 16 4" xfId="42731"/>
    <cellStyle name="Input [yellow] 2 2 6 16 5" xfId="53924"/>
    <cellStyle name="Input [yellow] 2 2 6 17" xfId="9828"/>
    <cellStyle name="Input [yellow] 2 2 6 17 2" xfId="21025"/>
    <cellStyle name="Input [yellow] 2 2 6 17 3" xfId="32193"/>
    <cellStyle name="Input [yellow] 2 2 6 17 4" xfId="43358"/>
    <cellStyle name="Input [yellow] 2 2 6 17 5" xfId="54551"/>
    <cellStyle name="Input [yellow] 2 2 6 18" xfId="10056"/>
    <cellStyle name="Input [yellow] 2 2 6 18 2" xfId="21253"/>
    <cellStyle name="Input [yellow] 2 2 6 18 3" xfId="32421"/>
    <cellStyle name="Input [yellow] 2 2 6 18 4" xfId="43586"/>
    <cellStyle name="Input [yellow] 2 2 6 18 5" xfId="54779"/>
    <cellStyle name="Input [yellow] 2 2 6 19" xfId="10866"/>
    <cellStyle name="Input [yellow] 2 2 6 19 2" xfId="22063"/>
    <cellStyle name="Input [yellow] 2 2 6 19 3" xfId="33231"/>
    <cellStyle name="Input [yellow] 2 2 6 19 4" xfId="44396"/>
    <cellStyle name="Input [yellow] 2 2 6 19 5" xfId="55589"/>
    <cellStyle name="Input [yellow] 2 2 6 2" xfId="962"/>
    <cellStyle name="Input [yellow] 2 2 6 2 2" xfId="12159"/>
    <cellStyle name="Input [yellow] 2 2 6 2 3" xfId="23327"/>
    <cellStyle name="Input [yellow] 2 2 6 2 4" xfId="34492"/>
    <cellStyle name="Input [yellow] 2 2 6 2 5" xfId="45685"/>
    <cellStyle name="Input [yellow] 2 2 6 20" xfId="11513"/>
    <cellStyle name="Input [yellow] 2 2 6 21" xfId="22683"/>
    <cellStyle name="Input [yellow] 2 2 6 22" xfId="33850"/>
    <cellStyle name="Input [yellow] 2 2 6 23" xfId="45036"/>
    <cellStyle name="Input [yellow] 2 2 6 3" xfId="1960"/>
    <cellStyle name="Input [yellow] 2 2 6 3 2" xfId="13157"/>
    <cellStyle name="Input [yellow] 2 2 6 3 3" xfId="24325"/>
    <cellStyle name="Input [yellow] 2 2 6 3 4" xfId="35490"/>
    <cellStyle name="Input [yellow] 2 2 6 3 5" xfId="46683"/>
    <cellStyle name="Input [yellow] 2 2 6 4" xfId="2238"/>
    <cellStyle name="Input [yellow] 2 2 6 4 2" xfId="13435"/>
    <cellStyle name="Input [yellow] 2 2 6 4 3" xfId="24603"/>
    <cellStyle name="Input [yellow] 2 2 6 4 4" xfId="35768"/>
    <cellStyle name="Input [yellow] 2 2 6 4 5" xfId="46961"/>
    <cellStyle name="Input [yellow] 2 2 6 5" xfId="2663"/>
    <cellStyle name="Input [yellow] 2 2 6 5 2" xfId="13860"/>
    <cellStyle name="Input [yellow] 2 2 6 5 3" xfId="25028"/>
    <cellStyle name="Input [yellow] 2 2 6 5 4" xfId="36193"/>
    <cellStyle name="Input [yellow] 2 2 6 5 5" xfId="47386"/>
    <cellStyle name="Input [yellow] 2 2 6 6" xfId="3297"/>
    <cellStyle name="Input [yellow] 2 2 6 6 2" xfId="14494"/>
    <cellStyle name="Input [yellow] 2 2 6 6 3" xfId="25662"/>
    <cellStyle name="Input [yellow] 2 2 6 6 4" xfId="36827"/>
    <cellStyle name="Input [yellow] 2 2 6 6 5" xfId="48020"/>
    <cellStyle name="Input [yellow] 2 2 6 7" xfId="3931"/>
    <cellStyle name="Input [yellow] 2 2 6 7 2" xfId="15128"/>
    <cellStyle name="Input [yellow] 2 2 6 7 3" xfId="26296"/>
    <cellStyle name="Input [yellow] 2 2 6 7 4" xfId="37461"/>
    <cellStyle name="Input [yellow] 2 2 6 7 5" xfId="48654"/>
    <cellStyle name="Input [yellow] 2 2 6 8" xfId="4564"/>
    <cellStyle name="Input [yellow] 2 2 6 8 2" xfId="15761"/>
    <cellStyle name="Input [yellow] 2 2 6 8 3" xfId="26929"/>
    <cellStyle name="Input [yellow] 2 2 6 8 4" xfId="38094"/>
    <cellStyle name="Input [yellow] 2 2 6 8 5" xfId="49287"/>
    <cellStyle name="Input [yellow] 2 2 6 9" xfId="5195"/>
    <cellStyle name="Input [yellow] 2 2 6 9 2" xfId="16392"/>
    <cellStyle name="Input [yellow] 2 2 6 9 3" xfId="27560"/>
    <cellStyle name="Input [yellow] 2 2 6 9 4" xfId="38725"/>
    <cellStyle name="Input [yellow] 2 2 6 9 5" xfId="49918"/>
    <cellStyle name="Input [yellow] 2 2 7" xfId="472"/>
    <cellStyle name="Input [yellow] 2 2 7 10" xfId="6018"/>
    <cellStyle name="Input [yellow] 2 2 7 10 2" xfId="17215"/>
    <cellStyle name="Input [yellow] 2 2 7 10 3" xfId="28383"/>
    <cellStyle name="Input [yellow] 2 2 7 10 4" xfId="39548"/>
    <cellStyle name="Input [yellow] 2 2 7 10 5" xfId="50741"/>
    <cellStyle name="Input [yellow] 2 2 7 11" xfId="6408"/>
    <cellStyle name="Input [yellow] 2 2 7 11 2" xfId="17605"/>
    <cellStyle name="Input [yellow] 2 2 7 11 3" xfId="28773"/>
    <cellStyle name="Input [yellow] 2 2 7 11 4" xfId="39938"/>
    <cellStyle name="Input [yellow] 2 2 7 11 5" xfId="51131"/>
    <cellStyle name="Input [yellow] 2 2 7 12" xfId="7041"/>
    <cellStyle name="Input [yellow] 2 2 7 12 2" xfId="18238"/>
    <cellStyle name="Input [yellow] 2 2 7 12 3" xfId="29406"/>
    <cellStyle name="Input [yellow] 2 2 7 12 4" xfId="40571"/>
    <cellStyle name="Input [yellow] 2 2 7 12 5" xfId="51764"/>
    <cellStyle name="Input [yellow] 2 2 7 13" xfId="7675"/>
    <cellStyle name="Input [yellow] 2 2 7 13 2" xfId="18872"/>
    <cellStyle name="Input [yellow] 2 2 7 13 3" xfId="30040"/>
    <cellStyle name="Input [yellow] 2 2 7 13 4" xfId="41205"/>
    <cellStyle name="Input [yellow] 2 2 7 13 5" xfId="52398"/>
    <cellStyle name="Input [yellow] 2 2 7 14" xfId="8309"/>
    <cellStyle name="Input [yellow] 2 2 7 14 2" xfId="19506"/>
    <cellStyle name="Input [yellow] 2 2 7 14 3" xfId="30674"/>
    <cellStyle name="Input [yellow] 2 2 7 14 4" xfId="41839"/>
    <cellStyle name="Input [yellow] 2 2 7 14 5" xfId="53032"/>
    <cellStyle name="Input [yellow] 2 2 7 15" xfId="8937"/>
    <cellStyle name="Input [yellow] 2 2 7 15 2" xfId="20134"/>
    <cellStyle name="Input [yellow] 2 2 7 15 3" xfId="31302"/>
    <cellStyle name="Input [yellow] 2 2 7 15 4" xfId="42467"/>
    <cellStyle name="Input [yellow] 2 2 7 15 5" xfId="53660"/>
    <cellStyle name="Input [yellow] 2 2 7 16" xfId="9360"/>
    <cellStyle name="Input [yellow] 2 2 7 16 2" xfId="20557"/>
    <cellStyle name="Input [yellow] 2 2 7 16 3" xfId="31725"/>
    <cellStyle name="Input [yellow] 2 2 7 16 4" xfId="42890"/>
    <cellStyle name="Input [yellow] 2 2 7 16 5" xfId="54083"/>
    <cellStyle name="Input [yellow] 2 2 7 17" xfId="9986"/>
    <cellStyle name="Input [yellow] 2 2 7 17 2" xfId="21183"/>
    <cellStyle name="Input [yellow] 2 2 7 17 3" xfId="32351"/>
    <cellStyle name="Input [yellow] 2 2 7 17 4" xfId="43516"/>
    <cellStyle name="Input [yellow] 2 2 7 17 5" xfId="54709"/>
    <cellStyle name="Input [yellow] 2 2 7 18" xfId="10156"/>
    <cellStyle name="Input [yellow] 2 2 7 18 2" xfId="21353"/>
    <cellStyle name="Input [yellow] 2 2 7 18 3" xfId="32521"/>
    <cellStyle name="Input [yellow] 2 2 7 18 4" xfId="43686"/>
    <cellStyle name="Input [yellow] 2 2 7 18 5" xfId="54879"/>
    <cellStyle name="Input [yellow] 2 2 7 19" xfId="11025"/>
    <cellStyle name="Input [yellow] 2 2 7 19 2" xfId="22222"/>
    <cellStyle name="Input [yellow] 2 2 7 19 3" xfId="33390"/>
    <cellStyle name="Input [yellow] 2 2 7 19 4" xfId="44555"/>
    <cellStyle name="Input [yellow] 2 2 7 19 5" xfId="55748"/>
    <cellStyle name="Input [yellow] 2 2 7 2" xfId="1121"/>
    <cellStyle name="Input [yellow] 2 2 7 2 2" xfId="12318"/>
    <cellStyle name="Input [yellow] 2 2 7 2 3" xfId="23486"/>
    <cellStyle name="Input [yellow] 2 2 7 2 4" xfId="34651"/>
    <cellStyle name="Input [yellow] 2 2 7 2 5" xfId="45844"/>
    <cellStyle name="Input [yellow] 2 2 7 20" xfId="11672"/>
    <cellStyle name="Input [yellow] 2 2 7 21" xfId="22842"/>
    <cellStyle name="Input [yellow] 2 2 7 22" xfId="34009"/>
    <cellStyle name="Input [yellow] 2 2 7 23" xfId="45195"/>
    <cellStyle name="Input [yellow] 2 2 7 3" xfId="695"/>
    <cellStyle name="Input [yellow] 2 2 7 3 2" xfId="11895"/>
    <cellStyle name="Input [yellow] 2 2 7 3 3" xfId="23065"/>
    <cellStyle name="Input [yellow] 2 2 7 3 4" xfId="34232"/>
    <cellStyle name="Input [yellow] 2 2 7 3 5" xfId="45418"/>
    <cellStyle name="Input [yellow] 2 2 7 4" xfId="2397"/>
    <cellStyle name="Input [yellow] 2 2 7 4 2" xfId="13594"/>
    <cellStyle name="Input [yellow] 2 2 7 4 3" xfId="24762"/>
    <cellStyle name="Input [yellow] 2 2 7 4 4" xfId="35927"/>
    <cellStyle name="Input [yellow] 2 2 7 4 5" xfId="47120"/>
    <cellStyle name="Input [yellow] 2 2 7 5" xfId="2822"/>
    <cellStyle name="Input [yellow] 2 2 7 5 2" xfId="14019"/>
    <cellStyle name="Input [yellow] 2 2 7 5 3" xfId="25187"/>
    <cellStyle name="Input [yellow] 2 2 7 5 4" xfId="36352"/>
    <cellStyle name="Input [yellow] 2 2 7 5 5" xfId="47545"/>
    <cellStyle name="Input [yellow] 2 2 7 6" xfId="3456"/>
    <cellStyle name="Input [yellow] 2 2 7 6 2" xfId="14653"/>
    <cellStyle name="Input [yellow] 2 2 7 6 3" xfId="25821"/>
    <cellStyle name="Input [yellow] 2 2 7 6 4" xfId="36986"/>
    <cellStyle name="Input [yellow] 2 2 7 6 5" xfId="48179"/>
    <cellStyle name="Input [yellow] 2 2 7 7" xfId="4090"/>
    <cellStyle name="Input [yellow] 2 2 7 7 2" xfId="15287"/>
    <cellStyle name="Input [yellow] 2 2 7 7 3" xfId="26455"/>
    <cellStyle name="Input [yellow] 2 2 7 7 4" xfId="37620"/>
    <cellStyle name="Input [yellow] 2 2 7 7 5" xfId="48813"/>
    <cellStyle name="Input [yellow] 2 2 7 8" xfId="4723"/>
    <cellStyle name="Input [yellow] 2 2 7 8 2" xfId="15920"/>
    <cellStyle name="Input [yellow] 2 2 7 8 3" xfId="27088"/>
    <cellStyle name="Input [yellow] 2 2 7 8 4" xfId="38253"/>
    <cellStyle name="Input [yellow] 2 2 7 8 5" xfId="49446"/>
    <cellStyle name="Input [yellow] 2 2 7 9" xfId="5354"/>
    <cellStyle name="Input [yellow] 2 2 7 9 2" xfId="16551"/>
    <cellStyle name="Input [yellow] 2 2 7 9 3" xfId="27719"/>
    <cellStyle name="Input [yellow] 2 2 7 9 4" xfId="38884"/>
    <cellStyle name="Input [yellow] 2 2 7 9 5" xfId="50077"/>
    <cellStyle name="Input [yellow] 2 2 8" xfId="436"/>
    <cellStyle name="Input [yellow] 2 2 8 10" xfId="5623"/>
    <cellStyle name="Input [yellow] 2 2 8 10 2" xfId="16820"/>
    <cellStyle name="Input [yellow] 2 2 8 10 3" xfId="27988"/>
    <cellStyle name="Input [yellow] 2 2 8 10 4" xfId="39153"/>
    <cellStyle name="Input [yellow] 2 2 8 10 5" xfId="50346"/>
    <cellStyle name="Input [yellow] 2 2 8 11" xfId="6372"/>
    <cellStyle name="Input [yellow] 2 2 8 11 2" xfId="17569"/>
    <cellStyle name="Input [yellow] 2 2 8 11 3" xfId="28737"/>
    <cellStyle name="Input [yellow] 2 2 8 11 4" xfId="39902"/>
    <cellStyle name="Input [yellow] 2 2 8 11 5" xfId="51095"/>
    <cellStyle name="Input [yellow] 2 2 8 12" xfId="7005"/>
    <cellStyle name="Input [yellow] 2 2 8 12 2" xfId="18202"/>
    <cellStyle name="Input [yellow] 2 2 8 12 3" xfId="29370"/>
    <cellStyle name="Input [yellow] 2 2 8 12 4" xfId="40535"/>
    <cellStyle name="Input [yellow] 2 2 8 12 5" xfId="51728"/>
    <cellStyle name="Input [yellow] 2 2 8 13" xfId="7639"/>
    <cellStyle name="Input [yellow] 2 2 8 13 2" xfId="18836"/>
    <cellStyle name="Input [yellow] 2 2 8 13 3" xfId="30004"/>
    <cellStyle name="Input [yellow] 2 2 8 13 4" xfId="41169"/>
    <cellStyle name="Input [yellow] 2 2 8 13 5" xfId="52362"/>
    <cellStyle name="Input [yellow] 2 2 8 14" xfId="8273"/>
    <cellStyle name="Input [yellow] 2 2 8 14 2" xfId="19470"/>
    <cellStyle name="Input [yellow] 2 2 8 14 3" xfId="30638"/>
    <cellStyle name="Input [yellow] 2 2 8 14 4" xfId="41803"/>
    <cellStyle name="Input [yellow] 2 2 8 14 5" xfId="52996"/>
    <cellStyle name="Input [yellow] 2 2 8 15" xfId="8901"/>
    <cellStyle name="Input [yellow] 2 2 8 15 2" xfId="20098"/>
    <cellStyle name="Input [yellow] 2 2 8 15 3" xfId="31266"/>
    <cellStyle name="Input [yellow] 2 2 8 15 4" xfId="42431"/>
    <cellStyle name="Input [yellow] 2 2 8 15 5" xfId="53624"/>
    <cellStyle name="Input [yellow] 2 2 8 16" xfId="9324"/>
    <cellStyle name="Input [yellow] 2 2 8 16 2" xfId="20521"/>
    <cellStyle name="Input [yellow] 2 2 8 16 3" xfId="31689"/>
    <cellStyle name="Input [yellow] 2 2 8 16 4" xfId="42854"/>
    <cellStyle name="Input [yellow] 2 2 8 16 5" xfId="54047"/>
    <cellStyle name="Input [yellow] 2 2 8 17" xfId="9950"/>
    <cellStyle name="Input [yellow] 2 2 8 17 2" xfId="21147"/>
    <cellStyle name="Input [yellow] 2 2 8 17 3" xfId="32315"/>
    <cellStyle name="Input [yellow] 2 2 8 17 4" xfId="43480"/>
    <cellStyle name="Input [yellow] 2 2 8 17 5" xfId="54673"/>
    <cellStyle name="Input [yellow] 2 2 8 18" xfId="10591"/>
    <cellStyle name="Input [yellow] 2 2 8 18 2" xfId="21788"/>
    <cellStyle name="Input [yellow] 2 2 8 18 3" xfId="32956"/>
    <cellStyle name="Input [yellow] 2 2 8 18 4" xfId="44121"/>
    <cellStyle name="Input [yellow] 2 2 8 18 5" xfId="55314"/>
    <cellStyle name="Input [yellow] 2 2 8 19" xfId="10989"/>
    <cellStyle name="Input [yellow] 2 2 8 19 2" xfId="22186"/>
    <cellStyle name="Input [yellow] 2 2 8 19 3" xfId="33354"/>
    <cellStyle name="Input [yellow] 2 2 8 19 4" xfId="44519"/>
    <cellStyle name="Input [yellow] 2 2 8 19 5" xfId="55712"/>
    <cellStyle name="Input [yellow] 2 2 8 2" xfId="1085"/>
    <cellStyle name="Input [yellow] 2 2 8 2 2" xfId="12282"/>
    <cellStyle name="Input [yellow] 2 2 8 2 3" xfId="23450"/>
    <cellStyle name="Input [yellow] 2 2 8 2 4" xfId="34615"/>
    <cellStyle name="Input [yellow] 2 2 8 2 5" xfId="45808"/>
    <cellStyle name="Input [yellow] 2 2 8 20" xfId="11636"/>
    <cellStyle name="Input [yellow] 2 2 8 21" xfId="22806"/>
    <cellStyle name="Input [yellow] 2 2 8 22" xfId="33973"/>
    <cellStyle name="Input [yellow] 2 2 8 23" xfId="45159"/>
    <cellStyle name="Input [yellow] 2 2 8 3" xfId="1904"/>
    <cellStyle name="Input [yellow] 2 2 8 3 2" xfId="13101"/>
    <cellStyle name="Input [yellow] 2 2 8 3 3" xfId="24269"/>
    <cellStyle name="Input [yellow] 2 2 8 3 4" xfId="35434"/>
    <cellStyle name="Input [yellow] 2 2 8 3 5" xfId="46627"/>
    <cellStyle name="Input [yellow] 2 2 8 4" xfId="2361"/>
    <cellStyle name="Input [yellow] 2 2 8 4 2" xfId="13558"/>
    <cellStyle name="Input [yellow] 2 2 8 4 3" xfId="24726"/>
    <cellStyle name="Input [yellow] 2 2 8 4 4" xfId="35891"/>
    <cellStyle name="Input [yellow] 2 2 8 4 5" xfId="47084"/>
    <cellStyle name="Input [yellow] 2 2 8 5" xfId="2786"/>
    <cellStyle name="Input [yellow] 2 2 8 5 2" xfId="13983"/>
    <cellStyle name="Input [yellow] 2 2 8 5 3" xfId="25151"/>
    <cellStyle name="Input [yellow] 2 2 8 5 4" xfId="36316"/>
    <cellStyle name="Input [yellow] 2 2 8 5 5" xfId="47509"/>
    <cellStyle name="Input [yellow] 2 2 8 6" xfId="3420"/>
    <cellStyle name="Input [yellow] 2 2 8 6 2" xfId="14617"/>
    <cellStyle name="Input [yellow] 2 2 8 6 3" xfId="25785"/>
    <cellStyle name="Input [yellow] 2 2 8 6 4" xfId="36950"/>
    <cellStyle name="Input [yellow] 2 2 8 6 5" xfId="48143"/>
    <cellStyle name="Input [yellow] 2 2 8 7" xfId="4054"/>
    <cellStyle name="Input [yellow] 2 2 8 7 2" xfId="15251"/>
    <cellStyle name="Input [yellow] 2 2 8 7 3" xfId="26419"/>
    <cellStyle name="Input [yellow] 2 2 8 7 4" xfId="37584"/>
    <cellStyle name="Input [yellow] 2 2 8 7 5" xfId="48777"/>
    <cellStyle name="Input [yellow] 2 2 8 8" xfId="4687"/>
    <cellStyle name="Input [yellow] 2 2 8 8 2" xfId="15884"/>
    <cellStyle name="Input [yellow] 2 2 8 8 3" xfId="27052"/>
    <cellStyle name="Input [yellow] 2 2 8 8 4" xfId="38217"/>
    <cellStyle name="Input [yellow] 2 2 8 8 5" xfId="49410"/>
    <cellStyle name="Input [yellow] 2 2 8 9" xfId="5318"/>
    <cellStyle name="Input [yellow] 2 2 8 9 2" xfId="16515"/>
    <cellStyle name="Input [yellow] 2 2 8 9 3" xfId="27683"/>
    <cellStyle name="Input [yellow] 2 2 8 9 4" xfId="38848"/>
    <cellStyle name="Input [yellow] 2 2 8 9 5" xfId="50041"/>
    <cellStyle name="Input [yellow] 2 2 9" xfId="467"/>
    <cellStyle name="Input [yellow] 2 2 9 10" xfId="5927"/>
    <cellStyle name="Input [yellow] 2 2 9 10 2" xfId="17124"/>
    <cellStyle name="Input [yellow] 2 2 9 10 3" xfId="28292"/>
    <cellStyle name="Input [yellow] 2 2 9 10 4" xfId="39457"/>
    <cellStyle name="Input [yellow] 2 2 9 10 5" xfId="50650"/>
    <cellStyle name="Input [yellow] 2 2 9 11" xfId="6403"/>
    <cellStyle name="Input [yellow] 2 2 9 11 2" xfId="17600"/>
    <cellStyle name="Input [yellow] 2 2 9 11 3" xfId="28768"/>
    <cellStyle name="Input [yellow] 2 2 9 11 4" xfId="39933"/>
    <cellStyle name="Input [yellow] 2 2 9 11 5" xfId="51126"/>
    <cellStyle name="Input [yellow] 2 2 9 12" xfId="7036"/>
    <cellStyle name="Input [yellow] 2 2 9 12 2" xfId="18233"/>
    <cellStyle name="Input [yellow] 2 2 9 12 3" xfId="29401"/>
    <cellStyle name="Input [yellow] 2 2 9 12 4" xfId="40566"/>
    <cellStyle name="Input [yellow] 2 2 9 12 5" xfId="51759"/>
    <cellStyle name="Input [yellow] 2 2 9 13" xfId="7670"/>
    <cellStyle name="Input [yellow] 2 2 9 13 2" xfId="18867"/>
    <cellStyle name="Input [yellow] 2 2 9 13 3" xfId="30035"/>
    <cellStyle name="Input [yellow] 2 2 9 13 4" xfId="41200"/>
    <cellStyle name="Input [yellow] 2 2 9 13 5" xfId="52393"/>
    <cellStyle name="Input [yellow] 2 2 9 14" xfId="8304"/>
    <cellStyle name="Input [yellow] 2 2 9 14 2" xfId="19501"/>
    <cellStyle name="Input [yellow] 2 2 9 14 3" xfId="30669"/>
    <cellStyle name="Input [yellow] 2 2 9 14 4" xfId="41834"/>
    <cellStyle name="Input [yellow] 2 2 9 14 5" xfId="53027"/>
    <cellStyle name="Input [yellow] 2 2 9 15" xfId="8932"/>
    <cellStyle name="Input [yellow] 2 2 9 15 2" xfId="20129"/>
    <cellStyle name="Input [yellow] 2 2 9 15 3" xfId="31297"/>
    <cellStyle name="Input [yellow] 2 2 9 15 4" xfId="42462"/>
    <cellStyle name="Input [yellow] 2 2 9 15 5" xfId="53655"/>
    <cellStyle name="Input [yellow] 2 2 9 16" xfId="9355"/>
    <cellStyle name="Input [yellow] 2 2 9 16 2" xfId="20552"/>
    <cellStyle name="Input [yellow] 2 2 9 16 3" xfId="31720"/>
    <cellStyle name="Input [yellow] 2 2 9 16 4" xfId="42885"/>
    <cellStyle name="Input [yellow] 2 2 9 16 5" xfId="54078"/>
    <cellStyle name="Input [yellow] 2 2 9 17" xfId="9981"/>
    <cellStyle name="Input [yellow] 2 2 9 17 2" xfId="21178"/>
    <cellStyle name="Input [yellow] 2 2 9 17 3" xfId="32346"/>
    <cellStyle name="Input [yellow] 2 2 9 17 4" xfId="43511"/>
    <cellStyle name="Input [yellow] 2 2 9 17 5" xfId="54704"/>
    <cellStyle name="Input [yellow] 2 2 9 18" xfId="10054"/>
    <cellStyle name="Input [yellow] 2 2 9 18 2" xfId="21251"/>
    <cellStyle name="Input [yellow] 2 2 9 18 3" xfId="32419"/>
    <cellStyle name="Input [yellow] 2 2 9 18 4" xfId="43584"/>
    <cellStyle name="Input [yellow] 2 2 9 18 5" xfId="54777"/>
    <cellStyle name="Input [yellow] 2 2 9 19" xfId="11020"/>
    <cellStyle name="Input [yellow] 2 2 9 19 2" xfId="22217"/>
    <cellStyle name="Input [yellow] 2 2 9 19 3" xfId="33385"/>
    <cellStyle name="Input [yellow] 2 2 9 19 4" xfId="44550"/>
    <cellStyle name="Input [yellow] 2 2 9 19 5" xfId="55743"/>
    <cellStyle name="Input [yellow] 2 2 9 2" xfId="1116"/>
    <cellStyle name="Input [yellow] 2 2 9 2 2" xfId="12313"/>
    <cellStyle name="Input [yellow] 2 2 9 2 3" xfId="23481"/>
    <cellStyle name="Input [yellow] 2 2 9 2 4" xfId="34646"/>
    <cellStyle name="Input [yellow] 2 2 9 2 5" xfId="45839"/>
    <cellStyle name="Input [yellow] 2 2 9 20" xfId="11667"/>
    <cellStyle name="Input [yellow] 2 2 9 21" xfId="22837"/>
    <cellStyle name="Input [yellow] 2 2 9 22" xfId="34004"/>
    <cellStyle name="Input [yellow] 2 2 9 23" xfId="45190"/>
    <cellStyle name="Input [yellow] 2 2 9 3" xfId="1450"/>
    <cellStyle name="Input [yellow] 2 2 9 3 2" xfId="12647"/>
    <cellStyle name="Input [yellow] 2 2 9 3 3" xfId="23815"/>
    <cellStyle name="Input [yellow] 2 2 9 3 4" xfId="34980"/>
    <cellStyle name="Input [yellow] 2 2 9 3 5" xfId="46173"/>
    <cellStyle name="Input [yellow] 2 2 9 4" xfId="2392"/>
    <cellStyle name="Input [yellow] 2 2 9 4 2" xfId="13589"/>
    <cellStyle name="Input [yellow] 2 2 9 4 3" xfId="24757"/>
    <cellStyle name="Input [yellow] 2 2 9 4 4" xfId="35922"/>
    <cellStyle name="Input [yellow] 2 2 9 4 5" xfId="47115"/>
    <cellStyle name="Input [yellow] 2 2 9 5" xfId="2817"/>
    <cellStyle name="Input [yellow] 2 2 9 5 2" xfId="14014"/>
    <cellStyle name="Input [yellow] 2 2 9 5 3" xfId="25182"/>
    <cellStyle name="Input [yellow] 2 2 9 5 4" xfId="36347"/>
    <cellStyle name="Input [yellow] 2 2 9 5 5" xfId="47540"/>
    <cellStyle name="Input [yellow] 2 2 9 6" xfId="3451"/>
    <cellStyle name="Input [yellow] 2 2 9 6 2" xfId="14648"/>
    <cellStyle name="Input [yellow] 2 2 9 6 3" xfId="25816"/>
    <cellStyle name="Input [yellow] 2 2 9 6 4" xfId="36981"/>
    <cellStyle name="Input [yellow] 2 2 9 6 5" xfId="48174"/>
    <cellStyle name="Input [yellow] 2 2 9 7" xfId="4085"/>
    <cellStyle name="Input [yellow] 2 2 9 7 2" xfId="15282"/>
    <cellStyle name="Input [yellow] 2 2 9 7 3" xfId="26450"/>
    <cellStyle name="Input [yellow] 2 2 9 7 4" xfId="37615"/>
    <cellStyle name="Input [yellow] 2 2 9 7 5" xfId="48808"/>
    <cellStyle name="Input [yellow] 2 2 9 8" xfId="4718"/>
    <cellStyle name="Input [yellow] 2 2 9 8 2" xfId="15915"/>
    <cellStyle name="Input [yellow] 2 2 9 8 3" xfId="27083"/>
    <cellStyle name="Input [yellow] 2 2 9 8 4" xfId="38248"/>
    <cellStyle name="Input [yellow] 2 2 9 8 5" xfId="49441"/>
    <cellStyle name="Input [yellow] 2 2 9 9" xfId="5349"/>
    <cellStyle name="Input [yellow] 2 2 9 9 2" xfId="16546"/>
    <cellStyle name="Input [yellow] 2 2 9 9 3" xfId="27714"/>
    <cellStyle name="Input [yellow] 2 2 9 9 4" xfId="38879"/>
    <cellStyle name="Input [yellow] 2 2 9 9 5" xfId="50072"/>
    <cellStyle name="Input [yellow] 2 20" xfId="127"/>
    <cellStyle name="Input [yellow] 2 20 10" xfId="649"/>
    <cellStyle name="Input [yellow] 2 20 10 10" xfId="5738"/>
    <cellStyle name="Input [yellow] 2 20 10 10 2" xfId="16935"/>
    <cellStyle name="Input [yellow] 2 20 10 10 3" xfId="28103"/>
    <cellStyle name="Input [yellow] 2 20 10 10 4" xfId="39268"/>
    <cellStyle name="Input [yellow] 2 20 10 10 5" xfId="50461"/>
    <cellStyle name="Input [yellow] 2 20 10 11" xfId="6585"/>
    <cellStyle name="Input [yellow] 2 20 10 11 2" xfId="17782"/>
    <cellStyle name="Input [yellow] 2 20 10 11 3" xfId="28950"/>
    <cellStyle name="Input [yellow] 2 20 10 11 4" xfId="40115"/>
    <cellStyle name="Input [yellow] 2 20 10 11 5" xfId="51308"/>
    <cellStyle name="Input [yellow] 2 20 10 12" xfId="7218"/>
    <cellStyle name="Input [yellow] 2 20 10 12 2" xfId="18415"/>
    <cellStyle name="Input [yellow] 2 20 10 12 3" xfId="29583"/>
    <cellStyle name="Input [yellow] 2 20 10 12 4" xfId="40748"/>
    <cellStyle name="Input [yellow] 2 20 10 12 5" xfId="51941"/>
    <cellStyle name="Input [yellow] 2 20 10 13" xfId="7852"/>
    <cellStyle name="Input [yellow] 2 20 10 13 2" xfId="19049"/>
    <cellStyle name="Input [yellow] 2 20 10 13 3" xfId="30217"/>
    <cellStyle name="Input [yellow] 2 20 10 13 4" xfId="41382"/>
    <cellStyle name="Input [yellow] 2 20 10 13 5" xfId="52575"/>
    <cellStyle name="Input [yellow] 2 20 10 14" xfId="8486"/>
    <cellStyle name="Input [yellow] 2 20 10 14 2" xfId="19683"/>
    <cellStyle name="Input [yellow] 2 20 10 14 3" xfId="30851"/>
    <cellStyle name="Input [yellow] 2 20 10 14 4" xfId="42016"/>
    <cellStyle name="Input [yellow] 2 20 10 14 5" xfId="53209"/>
    <cellStyle name="Input [yellow] 2 20 10 15" xfId="9114"/>
    <cellStyle name="Input [yellow] 2 20 10 15 2" xfId="20311"/>
    <cellStyle name="Input [yellow] 2 20 10 15 3" xfId="31479"/>
    <cellStyle name="Input [yellow] 2 20 10 15 4" xfId="42644"/>
    <cellStyle name="Input [yellow] 2 20 10 15 5" xfId="53837"/>
    <cellStyle name="Input [yellow] 2 20 10 16" xfId="9537"/>
    <cellStyle name="Input [yellow] 2 20 10 16 2" xfId="20734"/>
    <cellStyle name="Input [yellow] 2 20 10 16 3" xfId="31902"/>
    <cellStyle name="Input [yellow] 2 20 10 16 4" xfId="43067"/>
    <cellStyle name="Input [yellow] 2 20 10 16 5" xfId="54260"/>
    <cellStyle name="Input [yellow] 2 20 10 17" xfId="10162"/>
    <cellStyle name="Input [yellow] 2 20 10 17 2" xfId="21359"/>
    <cellStyle name="Input [yellow] 2 20 10 17 3" xfId="32527"/>
    <cellStyle name="Input [yellow] 2 20 10 17 4" xfId="43692"/>
    <cellStyle name="Input [yellow] 2 20 10 17 5" xfId="54885"/>
    <cellStyle name="Input [yellow] 2 20 10 18" xfId="10029"/>
    <cellStyle name="Input [yellow] 2 20 10 18 2" xfId="21226"/>
    <cellStyle name="Input [yellow] 2 20 10 18 3" xfId="32394"/>
    <cellStyle name="Input [yellow] 2 20 10 18 4" xfId="43559"/>
    <cellStyle name="Input [yellow] 2 20 10 18 5" xfId="54752"/>
    <cellStyle name="Input [yellow] 2 20 10 19" xfId="11202"/>
    <cellStyle name="Input [yellow] 2 20 10 19 2" xfId="22399"/>
    <cellStyle name="Input [yellow] 2 20 10 19 3" xfId="33567"/>
    <cellStyle name="Input [yellow] 2 20 10 19 4" xfId="44732"/>
    <cellStyle name="Input [yellow] 2 20 10 19 5" xfId="55925"/>
    <cellStyle name="Input [yellow] 2 20 10 2" xfId="1298"/>
    <cellStyle name="Input [yellow] 2 20 10 2 2" xfId="12495"/>
    <cellStyle name="Input [yellow] 2 20 10 2 3" xfId="23663"/>
    <cellStyle name="Input [yellow] 2 20 10 2 4" xfId="34828"/>
    <cellStyle name="Input [yellow] 2 20 10 2 5" xfId="46021"/>
    <cellStyle name="Input [yellow] 2 20 10 20" xfId="11849"/>
    <cellStyle name="Input [yellow] 2 20 10 21" xfId="23019"/>
    <cellStyle name="Input [yellow] 2 20 10 22" xfId="34186"/>
    <cellStyle name="Input [yellow] 2 20 10 23" xfId="45372"/>
    <cellStyle name="Input [yellow] 2 20 10 3" xfId="1464"/>
    <cellStyle name="Input [yellow] 2 20 10 3 2" xfId="12661"/>
    <cellStyle name="Input [yellow] 2 20 10 3 3" xfId="23829"/>
    <cellStyle name="Input [yellow] 2 20 10 3 4" xfId="34994"/>
    <cellStyle name="Input [yellow] 2 20 10 3 5" xfId="46187"/>
    <cellStyle name="Input [yellow] 2 20 10 4" xfId="2574"/>
    <cellStyle name="Input [yellow] 2 20 10 4 2" xfId="13771"/>
    <cellStyle name="Input [yellow] 2 20 10 4 3" xfId="24939"/>
    <cellStyle name="Input [yellow] 2 20 10 4 4" xfId="36104"/>
    <cellStyle name="Input [yellow] 2 20 10 4 5" xfId="47297"/>
    <cellStyle name="Input [yellow] 2 20 10 5" xfId="2999"/>
    <cellStyle name="Input [yellow] 2 20 10 5 2" xfId="14196"/>
    <cellStyle name="Input [yellow] 2 20 10 5 3" xfId="25364"/>
    <cellStyle name="Input [yellow] 2 20 10 5 4" xfId="36529"/>
    <cellStyle name="Input [yellow] 2 20 10 5 5" xfId="47722"/>
    <cellStyle name="Input [yellow] 2 20 10 6" xfId="3633"/>
    <cellStyle name="Input [yellow] 2 20 10 6 2" xfId="14830"/>
    <cellStyle name="Input [yellow] 2 20 10 6 3" xfId="25998"/>
    <cellStyle name="Input [yellow] 2 20 10 6 4" xfId="37163"/>
    <cellStyle name="Input [yellow] 2 20 10 6 5" xfId="48356"/>
    <cellStyle name="Input [yellow] 2 20 10 7" xfId="4267"/>
    <cellStyle name="Input [yellow] 2 20 10 7 2" xfId="15464"/>
    <cellStyle name="Input [yellow] 2 20 10 7 3" xfId="26632"/>
    <cellStyle name="Input [yellow] 2 20 10 7 4" xfId="37797"/>
    <cellStyle name="Input [yellow] 2 20 10 7 5" xfId="48990"/>
    <cellStyle name="Input [yellow] 2 20 10 8" xfId="4900"/>
    <cellStyle name="Input [yellow] 2 20 10 8 2" xfId="16097"/>
    <cellStyle name="Input [yellow] 2 20 10 8 3" xfId="27265"/>
    <cellStyle name="Input [yellow] 2 20 10 8 4" xfId="38430"/>
    <cellStyle name="Input [yellow] 2 20 10 8 5" xfId="49623"/>
    <cellStyle name="Input [yellow] 2 20 10 9" xfId="5531"/>
    <cellStyle name="Input [yellow] 2 20 10 9 2" xfId="16728"/>
    <cellStyle name="Input [yellow] 2 20 10 9 3" xfId="27896"/>
    <cellStyle name="Input [yellow] 2 20 10 9 4" xfId="39061"/>
    <cellStyle name="Input [yellow] 2 20 10 9 5" xfId="50254"/>
    <cellStyle name="Input [yellow] 2 20 11" xfId="604"/>
    <cellStyle name="Input [yellow] 2 20 11 10" xfId="6002"/>
    <cellStyle name="Input [yellow] 2 20 11 10 2" xfId="17199"/>
    <cellStyle name="Input [yellow] 2 20 11 10 3" xfId="28367"/>
    <cellStyle name="Input [yellow] 2 20 11 10 4" xfId="39532"/>
    <cellStyle name="Input [yellow] 2 20 11 10 5" xfId="50725"/>
    <cellStyle name="Input [yellow] 2 20 11 11" xfId="6540"/>
    <cellStyle name="Input [yellow] 2 20 11 11 2" xfId="17737"/>
    <cellStyle name="Input [yellow] 2 20 11 11 3" xfId="28905"/>
    <cellStyle name="Input [yellow] 2 20 11 11 4" xfId="40070"/>
    <cellStyle name="Input [yellow] 2 20 11 11 5" xfId="51263"/>
    <cellStyle name="Input [yellow] 2 20 11 12" xfId="7173"/>
    <cellStyle name="Input [yellow] 2 20 11 12 2" xfId="18370"/>
    <cellStyle name="Input [yellow] 2 20 11 12 3" xfId="29538"/>
    <cellStyle name="Input [yellow] 2 20 11 12 4" xfId="40703"/>
    <cellStyle name="Input [yellow] 2 20 11 12 5" xfId="51896"/>
    <cellStyle name="Input [yellow] 2 20 11 13" xfId="7807"/>
    <cellStyle name="Input [yellow] 2 20 11 13 2" xfId="19004"/>
    <cellStyle name="Input [yellow] 2 20 11 13 3" xfId="30172"/>
    <cellStyle name="Input [yellow] 2 20 11 13 4" xfId="41337"/>
    <cellStyle name="Input [yellow] 2 20 11 13 5" xfId="52530"/>
    <cellStyle name="Input [yellow] 2 20 11 14" xfId="8441"/>
    <cellStyle name="Input [yellow] 2 20 11 14 2" xfId="19638"/>
    <cellStyle name="Input [yellow] 2 20 11 14 3" xfId="30806"/>
    <cellStyle name="Input [yellow] 2 20 11 14 4" xfId="41971"/>
    <cellStyle name="Input [yellow] 2 20 11 14 5" xfId="53164"/>
    <cellStyle name="Input [yellow] 2 20 11 15" xfId="9069"/>
    <cellStyle name="Input [yellow] 2 20 11 15 2" xfId="20266"/>
    <cellStyle name="Input [yellow] 2 20 11 15 3" xfId="31434"/>
    <cellStyle name="Input [yellow] 2 20 11 15 4" xfId="42599"/>
    <cellStyle name="Input [yellow] 2 20 11 15 5" xfId="53792"/>
    <cellStyle name="Input [yellow] 2 20 11 16" xfId="9492"/>
    <cellStyle name="Input [yellow] 2 20 11 16 2" xfId="20689"/>
    <cellStyle name="Input [yellow] 2 20 11 16 3" xfId="31857"/>
    <cellStyle name="Input [yellow] 2 20 11 16 4" xfId="43022"/>
    <cellStyle name="Input [yellow] 2 20 11 16 5" xfId="54215"/>
    <cellStyle name="Input [yellow] 2 20 11 17" xfId="10117"/>
    <cellStyle name="Input [yellow] 2 20 11 17 2" xfId="21314"/>
    <cellStyle name="Input [yellow] 2 20 11 17 3" xfId="32482"/>
    <cellStyle name="Input [yellow] 2 20 11 17 4" xfId="43647"/>
    <cellStyle name="Input [yellow] 2 20 11 17 5" xfId="54840"/>
    <cellStyle name="Input [yellow] 2 20 11 18" xfId="10239"/>
    <cellStyle name="Input [yellow] 2 20 11 18 2" xfId="21436"/>
    <cellStyle name="Input [yellow] 2 20 11 18 3" xfId="32604"/>
    <cellStyle name="Input [yellow] 2 20 11 18 4" xfId="43769"/>
    <cellStyle name="Input [yellow] 2 20 11 18 5" xfId="54962"/>
    <cellStyle name="Input [yellow] 2 20 11 19" xfId="11157"/>
    <cellStyle name="Input [yellow] 2 20 11 19 2" xfId="22354"/>
    <cellStyle name="Input [yellow] 2 20 11 19 3" xfId="33522"/>
    <cellStyle name="Input [yellow] 2 20 11 19 4" xfId="44687"/>
    <cellStyle name="Input [yellow] 2 20 11 19 5" xfId="55880"/>
    <cellStyle name="Input [yellow] 2 20 11 2" xfId="1253"/>
    <cellStyle name="Input [yellow] 2 20 11 2 2" xfId="12450"/>
    <cellStyle name="Input [yellow] 2 20 11 2 3" xfId="23618"/>
    <cellStyle name="Input [yellow] 2 20 11 2 4" xfId="34783"/>
    <cellStyle name="Input [yellow] 2 20 11 2 5" xfId="45976"/>
    <cellStyle name="Input [yellow] 2 20 11 20" xfId="11804"/>
    <cellStyle name="Input [yellow] 2 20 11 21" xfId="22974"/>
    <cellStyle name="Input [yellow] 2 20 11 22" xfId="34141"/>
    <cellStyle name="Input [yellow] 2 20 11 23" xfId="45327"/>
    <cellStyle name="Input [yellow] 2 20 11 3" xfId="1533"/>
    <cellStyle name="Input [yellow] 2 20 11 3 2" xfId="12730"/>
    <cellStyle name="Input [yellow] 2 20 11 3 3" xfId="23898"/>
    <cellStyle name="Input [yellow] 2 20 11 3 4" xfId="35063"/>
    <cellStyle name="Input [yellow] 2 20 11 3 5" xfId="46256"/>
    <cellStyle name="Input [yellow] 2 20 11 4" xfId="2529"/>
    <cellStyle name="Input [yellow] 2 20 11 4 2" xfId="13726"/>
    <cellStyle name="Input [yellow] 2 20 11 4 3" xfId="24894"/>
    <cellStyle name="Input [yellow] 2 20 11 4 4" xfId="36059"/>
    <cellStyle name="Input [yellow] 2 20 11 4 5" xfId="47252"/>
    <cellStyle name="Input [yellow] 2 20 11 5" xfId="2954"/>
    <cellStyle name="Input [yellow] 2 20 11 5 2" xfId="14151"/>
    <cellStyle name="Input [yellow] 2 20 11 5 3" xfId="25319"/>
    <cellStyle name="Input [yellow] 2 20 11 5 4" xfId="36484"/>
    <cellStyle name="Input [yellow] 2 20 11 5 5" xfId="47677"/>
    <cellStyle name="Input [yellow] 2 20 11 6" xfId="3588"/>
    <cellStyle name="Input [yellow] 2 20 11 6 2" xfId="14785"/>
    <cellStyle name="Input [yellow] 2 20 11 6 3" xfId="25953"/>
    <cellStyle name="Input [yellow] 2 20 11 6 4" xfId="37118"/>
    <cellStyle name="Input [yellow] 2 20 11 6 5" xfId="48311"/>
    <cellStyle name="Input [yellow] 2 20 11 7" xfId="4222"/>
    <cellStyle name="Input [yellow] 2 20 11 7 2" xfId="15419"/>
    <cellStyle name="Input [yellow] 2 20 11 7 3" xfId="26587"/>
    <cellStyle name="Input [yellow] 2 20 11 7 4" xfId="37752"/>
    <cellStyle name="Input [yellow] 2 20 11 7 5" xfId="48945"/>
    <cellStyle name="Input [yellow] 2 20 11 8" xfId="4855"/>
    <cellStyle name="Input [yellow] 2 20 11 8 2" xfId="16052"/>
    <cellStyle name="Input [yellow] 2 20 11 8 3" xfId="27220"/>
    <cellStyle name="Input [yellow] 2 20 11 8 4" xfId="38385"/>
    <cellStyle name="Input [yellow] 2 20 11 8 5" xfId="49578"/>
    <cellStyle name="Input [yellow] 2 20 11 9" xfId="5486"/>
    <cellStyle name="Input [yellow] 2 20 11 9 2" xfId="16683"/>
    <cellStyle name="Input [yellow] 2 20 11 9 3" xfId="27851"/>
    <cellStyle name="Input [yellow] 2 20 11 9 4" xfId="39016"/>
    <cellStyle name="Input [yellow] 2 20 11 9 5" xfId="50209"/>
    <cellStyle name="Input [yellow] 2 20 12" xfId="776"/>
    <cellStyle name="Input [yellow] 2 20 12 2" xfId="11973"/>
    <cellStyle name="Input [yellow] 2 20 12 3" xfId="23141"/>
    <cellStyle name="Input [yellow] 2 20 12 4" xfId="34306"/>
    <cellStyle name="Input [yellow] 2 20 12 5" xfId="45499"/>
    <cellStyle name="Input [yellow] 2 20 13" xfId="1722"/>
    <cellStyle name="Input [yellow] 2 20 13 2" xfId="12919"/>
    <cellStyle name="Input [yellow] 2 20 13 3" xfId="24087"/>
    <cellStyle name="Input [yellow] 2 20 13 4" xfId="35252"/>
    <cellStyle name="Input [yellow] 2 20 13 5" xfId="46445"/>
    <cellStyle name="Input [yellow] 2 20 14" xfId="2053"/>
    <cellStyle name="Input [yellow] 2 20 14 2" xfId="13250"/>
    <cellStyle name="Input [yellow] 2 20 14 3" xfId="24418"/>
    <cellStyle name="Input [yellow] 2 20 14 4" xfId="35583"/>
    <cellStyle name="Input [yellow] 2 20 14 5" xfId="46776"/>
    <cellStyle name="Input [yellow] 2 20 15" xfId="2009"/>
    <cellStyle name="Input [yellow] 2 20 15 2" xfId="13206"/>
    <cellStyle name="Input [yellow] 2 20 15 3" xfId="24374"/>
    <cellStyle name="Input [yellow] 2 20 15 4" xfId="35539"/>
    <cellStyle name="Input [yellow] 2 20 15 5" xfId="46732"/>
    <cellStyle name="Input [yellow] 2 20 16" xfId="3111"/>
    <cellStyle name="Input [yellow] 2 20 16 2" xfId="14308"/>
    <cellStyle name="Input [yellow] 2 20 16 3" xfId="25476"/>
    <cellStyle name="Input [yellow] 2 20 16 4" xfId="36641"/>
    <cellStyle name="Input [yellow] 2 20 16 5" xfId="47834"/>
    <cellStyle name="Input [yellow] 2 20 17" xfId="3745"/>
    <cellStyle name="Input [yellow] 2 20 17 2" xfId="14942"/>
    <cellStyle name="Input [yellow] 2 20 17 3" xfId="26110"/>
    <cellStyle name="Input [yellow] 2 20 17 4" xfId="37275"/>
    <cellStyle name="Input [yellow] 2 20 17 5" xfId="48468"/>
    <cellStyle name="Input [yellow] 2 20 18" xfId="4378"/>
    <cellStyle name="Input [yellow] 2 20 18 2" xfId="15575"/>
    <cellStyle name="Input [yellow] 2 20 18 3" xfId="26743"/>
    <cellStyle name="Input [yellow] 2 20 18 4" xfId="37908"/>
    <cellStyle name="Input [yellow] 2 20 18 5" xfId="49101"/>
    <cellStyle name="Input [yellow] 2 20 19" xfId="5009"/>
    <cellStyle name="Input [yellow] 2 20 19 2" xfId="16206"/>
    <cellStyle name="Input [yellow] 2 20 19 3" xfId="27374"/>
    <cellStyle name="Input [yellow] 2 20 19 4" xfId="38539"/>
    <cellStyle name="Input [yellow] 2 20 19 5" xfId="49732"/>
    <cellStyle name="Input [yellow] 2 20 2" xfId="190"/>
    <cellStyle name="Input [yellow] 2 20 2 10" xfId="6123"/>
    <cellStyle name="Input [yellow] 2 20 2 10 2" xfId="17320"/>
    <cellStyle name="Input [yellow] 2 20 2 10 3" xfId="28488"/>
    <cellStyle name="Input [yellow] 2 20 2 10 4" xfId="39653"/>
    <cellStyle name="Input [yellow] 2 20 2 10 5" xfId="50846"/>
    <cellStyle name="Input [yellow] 2 20 2 11" xfId="5793"/>
    <cellStyle name="Input [yellow] 2 20 2 11 2" xfId="16990"/>
    <cellStyle name="Input [yellow] 2 20 2 11 3" xfId="28158"/>
    <cellStyle name="Input [yellow] 2 20 2 11 4" xfId="39323"/>
    <cellStyle name="Input [yellow] 2 20 2 11 5" xfId="50516"/>
    <cellStyle name="Input [yellow] 2 20 2 12" xfId="6759"/>
    <cellStyle name="Input [yellow] 2 20 2 12 2" xfId="17956"/>
    <cellStyle name="Input [yellow] 2 20 2 12 3" xfId="29124"/>
    <cellStyle name="Input [yellow] 2 20 2 12 4" xfId="40289"/>
    <cellStyle name="Input [yellow] 2 20 2 12 5" xfId="51482"/>
    <cellStyle name="Input [yellow] 2 20 2 13" xfId="7393"/>
    <cellStyle name="Input [yellow] 2 20 2 13 2" xfId="18590"/>
    <cellStyle name="Input [yellow] 2 20 2 13 3" xfId="29758"/>
    <cellStyle name="Input [yellow] 2 20 2 13 4" xfId="40923"/>
    <cellStyle name="Input [yellow] 2 20 2 13 5" xfId="52116"/>
    <cellStyle name="Input [yellow] 2 20 2 14" xfId="8027"/>
    <cellStyle name="Input [yellow] 2 20 2 14 2" xfId="19224"/>
    <cellStyle name="Input [yellow] 2 20 2 14 3" xfId="30392"/>
    <cellStyle name="Input [yellow] 2 20 2 14 4" xfId="41557"/>
    <cellStyle name="Input [yellow] 2 20 2 14 5" xfId="52750"/>
    <cellStyle name="Input [yellow] 2 20 2 15" xfId="8658"/>
    <cellStyle name="Input [yellow] 2 20 2 15 2" xfId="19855"/>
    <cellStyle name="Input [yellow] 2 20 2 15 3" xfId="31023"/>
    <cellStyle name="Input [yellow] 2 20 2 15 4" xfId="42188"/>
    <cellStyle name="Input [yellow] 2 20 2 15 5" xfId="53381"/>
    <cellStyle name="Input [yellow] 2 20 2 16" xfId="8878"/>
    <cellStyle name="Input [yellow] 2 20 2 16 2" xfId="20075"/>
    <cellStyle name="Input [yellow] 2 20 2 16 3" xfId="31243"/>
    <cellStyle name="Input [yellow] 2 20 2 16 4" xfId="42408"/>
    <cellStyle name="Input [yellow] 2 20 2 16 5" xfId="53601"/>
    <cellStyle name="Input [yellow] 2 20 2 17" xfId="9710"/>
    <cellStyle name="Input [yellow] 2 20 2 17 2" xfId="20907"/>
    <cellStyle name="Input [yellow] 2 20 2 17 3" xfId="32075"/>
    <cellStyle name="Input [yellow] 2 20 2 17 4" xfId="43240"/>
    <cellStyle name="Input [yellow] 2 20 2 17 5" xfId="54433"/>
    <cellStyle name="Input [yellow] 2 20 2 18" xfId="9920"/>
    <cellStyle name="Input [yellow] 2 20 2 18 2" xfId="21117"/>
    <cellStyle name="Input [yellow] 2 20 2 18 3" xfId="32285"/>
    <cellStyle name="Input [yellow] 2 20 2 18 4" xfId="43450"/>
    <cellStyle name="Input [yellow] 2 20 2 18 5" xfId="54643"/>
    <cellStyle name="Input [yellow] 2 20 2 19" xfId="10743"/>
    <cellStyle name="Input [yellow] 2 20 2 19 2" xfId="21940"/>
    <cellStyle name="Input [yellow] 2 20 2 19 3" xfId="33108"/>
    <cellStyle name="Input [yellow] 2 20 2 19 4" xfId="44273"/>
    <cellStyle name="Input [yellow] 2 20 2 19 5" xfId="55466"/>
    <cellStyle name="Input [yellow] 2 20 2 2" xfId="839"/>
    <cellStyle name="Input [yellow] 2 20 2 2 2" xfId="12036"/>
    <cellStyle name="Input [yellow] 2 20 2 2 3" xfId="23204"/>
    <cellStyle name="Input [yellow] 2 20 2 2 4" xfId="34369"/>
    <cellStyle name="Input [yellow] 2 20 2 2 5" xfId="45562"/>
    <cellStyle name="Input [yellow] 2 20 2 20" xfId="11390"/>
    <cellStyle name="Input [yellow] 2 20 2 21" xfId="22560"/>
    <cellStyle name="Input [yellow] 2 20 2 22" xfId="33727"/>
    <cellStyle name="Input [yellow] 2 20 2 23" xfId="44913"/>
    <cellStyle name="Input [yellow] 2 20 2 3" xfId="1466"/>
    <cellStyle name="Input [yellow] 2 20 2 3 2" xfId="12663"/>
    <cellStyle name="Input [yellow] 2 20 2 3 3" xfId="23831"/>
    <cellStyle name="Input [yellow] 2 20 2 3 4" xfId="34996"/>
    <cellStyle name="Input [yellow] 2 20 2 3 5" xfId="46189"/>
    <cellStyle name="Input [yellow] 2 20 2 4" xfId="2116"/>
    <cellStyle name="Input [yellow] 2 20 2 4 2" xfId="13313"/>
    <cellStyle name="Input [yellow] 2 20 2 4 3" xfId="24481"/>
    <cellStyle name="Input [yellow] 2 20 2 4 4" xfId="35646"/>
    <cellStyle name="Input [yellow] 2 20 2 4 5" xfId="46839"/>
    <cellStyle name="Input [yellow] 2 20 2 5" xfId="2167"/>
    <cellStyle name="Input [yellow] 2 20 2 5 2" xfId="13364"/>
    <cellStyle name="Input [yellow] 2 20 2 5 3" xfId="24532"/>
    <cellStyle name="Input [yellow] 2 20 2 5 4" xfId="35697"/>
    <cellStyle name="Input [yellow] 2 20 2 5 5" xfId="46890"/>
    <cellStyle name="Input [yellow] 2 20 2 6" xfId="3174"/>
    <cellStyle name="Input [yellow] 2 20 2 6 2" xfId="14371"/>
    <cellStyle name="Input [yellow] 2 20 2 6 3" xfId="25539"/>
    <cellStyle name="Input [yellow] 2 20 2 6 4" xfId="36704"/>
    <cellStyle name="Input [yellow] 2 20 2 6 5" xfId="47897"/>
    <cellStyle name="Input [yellow] 2 20 2 7" xfId="3808"/>
    <cellStyle name="Input [yellow] 2 20 2 7 2" xfId="15005"/>
    <cellStyle name="Input [yellow] 2 20 2 7 3" xfId="26173"/>
    <cellStyle name="Input [yellow] 2 20 2 7 4" xfId="37338"/>
    <cellStyle name="Input [yellow] 2 20 2 7 5" xfId="48531"/>
    <cellStyle name="Input [yellow] 2 20 2 8" xfId="4441"/>
    <cellStyle name="Input [yellow] 2 20 2 8 2" xfId="15638"/>
    <cellStyle name="Input [yellow] 2 20 2 8 3" xfId="26806"/>
    <cellStyle name="Input [yellow] 2 20 2 8 4" xfId="37971"/>
    <cellStyle name="Input [yellow] 2 20 2 8 5" xfId="49164"/>
    <cellStyle name="Input [yellow] 2 20 2 9" xfId="5072"/>
    <cellStyle name="Input [yellow] 2 20 2 9 2" xfId="16269"/>
    <cellStyle name="Input [yellow] 2 20 2 9 3" xfId="27437"/>
    <cellStyle name="Input [yellow] 2 20 2 9 4" xfId="38602"/>
    <cellStyle name="Input [yellow] 2 20 2 9 5" xfId="49795"/>
    <cellStyle name="Input [yellow] 2 20 20" xfId="6180"/>
    <cellStyle name="Input [yellow] 2 20 20 2" xfId="17377"/>
    <cellStyle name="Input [yellow] 2 20 20 3" xfId="28545"/>
    <cellStyle name="Input [yellow] 2 20 20 4" xfId="39710"/>
    <cellStyle name="Input [yellow] 2 20 20 5" xfId="50903"/>
    <cellStyle name="Input [yellow] 2 20 21" xfId="5671"/>
    <cellStyle name="Input [yellow] 2 20 21 2" xfId="16868"/>
    <cellStyle name="Input [yellow] 2 20 21 3" xfId="28036"/>
    <cellStyle name="Input [yellow] 2 20 21 4" xfId="39201"/>
    <cellStyle name="Input [yellow] 2 20 21 5" xfId="50394"/>
    <cellStyle name="Input [yellow] 2 20 22" xfId="6696"/>
    <cellStyle name="Input [yellow] 2 20 22 2" xfId="17893"/>
    <cellStyle name="Input [yellow] 2 20 22 3" xfId="29061"/>
    <cellStyle name="Input [yellow] 2 20 22 4" xfId="40226"/>
    <cellStyle name="Input [yellow] 2 20 22 5" xfId="51419"/>
    <cellStyle name="Input [yellow] 2 20 23" xfId="7330"/>
    <cellStyle name="Input [yellow] 2 20 23 2" xfId="18527"/>
    <cellStyle name="Input [yellow] 2 20 23 3" xfId="29695"/>
    <cellStyle name="Input [yellow] 2 20 23 4" xfId="40860"/>
    <cellStyle name="Input [yellow] 2 20 23 5" xfId="52053"/>
    <cellStyle name="Input [yellow] 2 20 24" xfId="7964"/>
    <cellStyle name="Input [yellow] 2 20 24 2" xfId="19161"/>
    <cellStyle name="Input [yellow] 2 20 24 3" xfId="30329"/>
    <cellStyle name="Input [yellow] 2 20 24 4" xfId="41494"/>
    <cellStyle name="Input [yellow] 2 20 24 5" xfId="52687"/>
    <cellStyle name="Input [yellow] 2 20 25" xfId="8595"/>
    <cellStyle name="Input [yellow] 2 20 25 2" xfId="19792"/>
    <cellStyle name="Input [yellow] 2 20 25 3" xfId="30960"/>
    <cellStyle name="Input [yellow] 2 20 25 4" xfId="42125"/>
    <cellStyle name="Input [yellow] 2 20 25 5" xfId="53318"/>
    <cellStyle name="Input [yellow] 2 20 26" xfId="8616"/>
    <cellStyle name="Input [yellow] 2 20 26 2" xfId="19813"/>
    <cellStyle name="Input [yellow] 2 20 26 3" xfId="30981"/>
    <cellStyle name="Input [yellow] 2 20 26 4" xfId="42146"/>
    <cellStyle name="Input [yellow] 2 20 26 5" xfId="53339"/>
    <cellStyle name="Input [yellow] 2 20 27" xfId="9648"/>
    <cellStyle name="Input [yellow] 2 20 27 2" xfId="20845"/>
    <cellStyle name="Input [yellow] 2 20 27 3" xfId="32013"/>
    <cellStyle name="Input [yellow] 2 20 27 4" xfId="43178"/>
    <cellStyle name="Input [yellow] 2 20 27 5" xfId="54371"/>
    <cellStyle name="Input [yellow] 2 20 28" xfId="10611"/>
    <cellStyle name="Input [yellow] 2 20 28 2" xfId="21808"/>
    <cellStyle name="Input [yellow] 2 20 28 3" xfId="32976"/>
    <cellStyle name="Input [yellow] 2 20 28 4" xfId="44141"/>
    <cellStyle name="Input [yellow] 2 20 28 5" xfId="55334"/>
    <cellStyle name="Input [yellow] 2 20 29" xfId="10680"/>
    <cellStyle name="Input [yellow] 2 20 29 2" xfId="21877"/>
    <cellStyle name="Input [yellow] 2 20 29 3" xfId="33045"/>
    <cellStyle name="Input [yellow] 2 20 29 4" xfId="44210"/>
    <cellStyle name="Input [yellow] 2 20 29 5" xfId="55403"/>
    <cellStyle name="Input [yellow] 2 20 3" xfId="246"/>
    <cellStyle name="Input [yellow] 2 20 3 10" xfId="5888"/>
    <cellStyle name="Input [yellow] 2 20 3 10 2" xfId="17085"/>
    <cellStyle name="Input [yellow] 2 20 3 10 3" xfId="28253"/>
    <cellStyle name="Input [yellow] 2 20 3 10 4" xfId="39418"/>
    <cellStyle name="Input [yellow] 2 20 3 10 5" xfId="50611"/>
    <cellStyle name="Input [yellow] 2 20 3 11" xfId="6092"/>
    <cellStyle name="Input [yellow] 2 20 3 11 2" xfId="17289"/>
    <cellStyle name="Input [yellow] 2 20 3 11 3" xfId="28457"/>
    <cellStyle name="Input [yellow] 2 20 3 11 4" xfId="39622"/>
    <cellStyle name="Input [yellow] 2 20 3 11 5" xfId="50815"/>
    <cellStyle name="Input [yellow] 2 20 3 12" xfId="6815"/>
    <cellStyle name="Input [yellow] 2 20 3 12 2" xfId="18012"/>
    <cellStyle name="Input [yellow] 2 20 3 12 3" xfId="29180"/>
    <cellStyle name="Input [yellow] 2 20 3 12 4" xfId="40345"/>
    <cellStyle name="Input [yellow] 2 20 3 12 5" xfId="51538"/>
    <cellStyle name="Input [yellow] 2 20 3 13" xfId="7449"/>
    <cellStyle name="Input [yellow] 2 20 3 13 2" xfId="18646"/>
    <cellStyle name="Input [yellow] 2 20 3 13 3" xfId="29814"/>
    <cellStyle name="Input [yellow] 2 20 3 13 4" xfId="40979"/>
    <cellStyle name="Input [yellow] 2 20 3 13 5" xfId="52172"/>
    <cellStyle name="Input [yellow] 2 20 3 14" xfId="8083"/>
    <cellStyle name="Input [yellow] 2 20 3 14 2" xfId="19280"/>
    <cellStyle name="Input [yellow] 2 20 3 14 3" xfId="30448"/>
    <cellStyle name="Input [yellow] 2 20 3 14 4" xfId="41613"/>
    <cellStyle name="Input [yellow] 2 20 3 14 5" xfId="52806"/>
    <cellStyle name="Input [yellow] 2 20 3 15" xfId="8714"/>
    <cellStyle name="Input [yellow] 2 20 3 15 2" xfId="19911"/>
    <cellStyle name="Input [yellow] 2 20 3 15 3" xfId="31079"/>
    <cellStyle name="Input [yellow] 2 20 3 15 4" xfId="42244"/>
    <cellStyle name="Input [yellow] 2 20 3 15 5" xfId="53437"/>
    <cellStyle name="Input [yellow] 2 20 3 16" xfId="8716"/>
    <cellStyle name="Input [yellow] 2 20 3 16 2" xfId="19913"/>
    <cellStyle name="Input [yellow] 2 20 3 16 3" xfId="31081"/>
    <cellStyle name="Input [yellow] 2 20 3 16 4" xfId="42246"/>
    <cellStyle name="Input [yellow] 2 20 3 16 5" xfId="53439"/>
    <cellStyle name="Input [yellow] 2 20 3 17" xfId="9765"/>
    <cellStyle name="Input [yellow] 2 20 3 17 2" xfId="20962"/>
    <cellStyle name="Input [yellow] 2 20 3 17 3" xfId="32130"/>
    <cellStyle name="Input [yellow] 2 20 3 17 4" xfId="43295"/>
    <cellStyle name="Input [yellow] 2 20 3 17 5" xfId="54488"/>
    <cellStyle name="Input [yellow] 2 20 3 18" xfId="10052"/>
    <cellStyle name="Input [yellow] 2 20 3 18 2" xfId="21249"/>
    <cellStyle name="Input [yellow] 2 20 3 18 3" xfId="32417"/>
    <cellStyle name="Input [yellow] 2 20 3 18 4" xfId="43582"/>
    <cellStyle name="Input [yellow] 2 20 3 18 5" xfId="54775"/>
    <cellStyle name="Input [yellow] 2 20 3 19" xfId="10799"/>
    <cellStyle name="Input [yellow] 2 20 3 19 2" xfId="21996"/>
    <cellStyle name="Input [yellow] 2 20 3 19 3" xfId="33164"/>
    <cellStyle name="Input [yellow] 2 20 3 19 4" xfId="44329"/>
    <cellStyle name="Input [yellow] 2 20 3 19 5" xfId="55522"/>
    <cellStyle name="Input [yellow] 2 20 3 2" xfId="895"/>
    <cellStyle name="Input [yellow] 2 20 3 2 2" xfId="12092"/>
    <cellStyle name="Input [yellow] 2 20 3 2 3" xfId="23260"/>
    <cellStyle name="Input [yellow] 2 20 3 2 4" xfId="34425"/>
    <cellStyle name="Input [yellow] 2 20 3 2 5" xfId="45618"/>
    <cellStyle name="Input [yellow] 2 20 3 20" xfId="11446"/>
    <cellStyle name="Input [yellow] 2 20 3 21" xfId="22616"/>
    <cellStyle name="Input [yellow] 2 20 3 22" xfId="33783"/>
    <cellStyle name="Input [yellow] 2 20 3 23" xfId="44969"/>
    <cellStyle name="Input [yellow] 2 20 3 3" xfId="1953"/>
    <cellStyle name="Input [yellow] 2 20 3 3 2" xfId="13150"/>
    <cellStyle name="Input [yellow] 2 20 3 3 3" xfId="24318"/>
    <cellStyle name="Input [yellow] 2 20 3 3 4" xfId="35483"/>
    <cellStyle name="Input [yellow] 2 20 3 3 5" xfId="46676"/>
    <cellStyle name="Input [yellow] 2 20 3 4" xfId="2172"/>
    <cellStyle name="Input [yellow] 2 20 3 4 2" xfId="13369"/>
    <cellStyle name="Input [yellow] 2 20 3 4 3" xfId="24537"/>
    <cellStyle name="Input [yellow] 2 20 3 4 4" xfId="35702"/>
    <cellStyle name="Input [yellow] 2 20 3 4 5" xfId="46895"/>
    <cellStyle name="Input [yellow] 2 20 3 5" xfId="2093"/>
    <cellStyle name="Input [yellow] 2 20 3 5 2" xfId="13290"/>
    <cellStyle name="Input [yellow] 2 20 3 5 3" xfId="24458"/>
    <cellStyle name="Input [yellow] 2 20 3 5 4" xfId="35623"/>
    <cellStyle name="Input [yellow] 2 20 3 5 5" xfId="46816"/>
    <cellStyle name="Input [yellow] 2 20 3 6" xfId="3230"/>
    <cellStyle name="Input [yellow] 2 20 3 6 2" xfId="14427"/>
    <cellStyle name="Input [yellow] 2 20 3 6 3" xfId="25595"/>
    <cellStyle name="Input [yellow] 2 20 3 6 4" xfId="36760"/>
    <cellStyle name="Input [yellow] 2 20 3 6 5" xfId="47953"/>
    <cellStyle name="Input [yellow] 2 20 3 7" xfId="3864"/>
    <cellStyle name="Input [yellow] 2 20 3 7 2" xfId="15061"/>
    <cellStyle name="Input [yellow] 2 20 3 7 3" xfId="26229"/>
    <cellStyle name="Input [yellow] 2 20 3 7 4" xfId="37394"/>
    <cellStyle name="Input [yellow] 2 20 3 7 5" xfId="48587"/>
    <cellStyle name="Input [yellow] 2 20 3 8" xfId="4497"/>
    <cellStyle name="Input [yellow] 2 20 3 8 2" xfId="15694"/>
    <cellStyle name="Input [yellow] 2 20 3 8 3" xfId="26862"/>
    <cellStyle name="Input [yellow] 2 20 3 8 4" xfId="38027"/>
    <cellStyle name="Input [yellow] 2 20 3 8 5" xfId="49220"/>
    <cellStyle name="Input [yellow] 2 20 3 9" xfId="5128"/>
    <cellStyle name="Input [yellow] 2 20 3 9 2" xfId="16325"/>
    <cellStyle name="Input [yellow] 2 20 3 9 3" xfId="27493"/>
    <cellStyle name="Input [yellow] 2 20 3 9 4" xfId="38658"/>
    <cellStyle name="Input [yellow] 2 20 3 9 5" xfId="49851"/>
    <cellStyle name="Input [yellow] 2 20 30" xfId="11327"/>
    <cellStyle name="Input [yellow] 2 20 31" xfId="22497"/>
    <cellStyle name="Input [yellow] 2 20 32" xfId="33664"/>
    <cellStyle name="Input [yellow] 2 20 33" xfId="44850"/>
    <cellStyle name="Input [yellow] 2 20 4" xfId="306"/>
    <cellStyle name="Input [yellow] 2 20 4 10" xfId="5895"/>
    <cellStyle name="Input [yellow] 2 20 4 10 2" xfId="17092"/>
    <cellStyle name="Input [yellow] 2 20 4 10 3" xfId="28260"/>
    <cellStyle name="Input [yellow] 2 20 4 10 4" xfId="39425"/>
    <cellStyle name="Input [yellow] 2 20 4 10 5" xfId="50618"/>
    <cellStyle name="Input [yellow] 2 20 4 11" xfId="6242"/>
    <cellStyle name="Input [yellow] 2 20 4 11 2" xfId="17439"/>
    <cellStyle name="Input [yellow] 2 20 4 11 3" xfId="28607"/>
    <cellStyle name="Input [yellow] 2 20 4 11 4" xfId="39772"/>
    <cellStyle name="Input [yellow] 2 20 4 11 5" xfId="50965"/>
    <cellStyle name="Input [yellow] 2 20 4 12" xfId="6875"/>
    <cellStyle name="Input [yellow] 2 20 4 12 2" xfId="18072"/>
    <cellStyle name="Input [yellow] 2 20 4 12 3" xfId="29240"/>
    <cellStyle name="Input [yellow] 2 20 4 12 4" xfId="40405"/>
    <cellStyle name="Input [yellow] 2 20 4 12 5" xfId="51598"/>
    <cellStyle name="Input [yellow] 2 20 4 13" xfId="7509"/>
    <cellStyle name="Input [yellow] 2 20 4 13 2" xfId="18706"/>
    <cellStyle name="Input [yellow] 2 20 4 13 3" xfId="29874"/>
    <cellStyle name="Input [yellow] 2 20 4 13 4" xfId="41039"/>
    <cellStyle name="Input [yellow] 2 20 4 13 5" xfId="52232"/>
    <cellStyle name="Input [yellow] 2 20 4 14" xfId="8143"/>
    <cellStyle name="Input [yellow] 2 20 4 14 2" xfId="19340"/>
    <cellStyle name="Input [yellow] 2 20 4 14 3" xfId="30508"/>
    <cellStyle name="Input [yellow] 2 20 4 14 4" xfId="41673"/>
    <cellStyle name="Input [yellow] 2 20 4 14 5" xfId="52866"/>
    <cellStyle name="Input [yellow] 2 20 4 15" xfId="8772"/>
    <cellStyle name="Input [yellow] 2 20 4 15 2" xfId="19969"/>
    <cellStyle name="Input [yellow] 2 20 4 15 3" xfId="31137"/>
    <cellStyle name="Input [yellow] 2 20 4 15 4" xfId="42302"/>
    <cellStyle name="Input [yellow] 2 20 4 15 5" xfId="53495"/>
    <cellStyle name="Input [yellow] 2 20 4 16" xfId="9194"/>
    <cellStyle name="Input [yellow] 2 20 4 16 2" xfId="20391"/>
    <cellStyle name="Input [yellow] 2 20 4 16 3" xfId="31559"/>
    <cellStyle name="Input [yellow] 2 20 4 16 4" xfId="42724"/>
    <cellStyle name="Input [yellow] 2 20 4 16 5" xfId="53917"/>
    <cellStyle name="Input [yellow] 2 20 4 17" xfId="9821"/>
    <cellStyle name="Input [yellow] 2 20 4 17 2" xfId="21018"/>
    <cellStyle name="Input [yellow] 2 20 4 17 3" xfId="32186"/>
    <cellStyle name="Input [yellow] 2 20 4 17 4" xfId="43351"/>
    <cellStyle name="Input [yellow] 2 20 4 17 5" xfId="54544"/>
    <cellStyle name="Input [yellow] 2 20 4 18" xfId="10474"/>
    <cellStyle name="Input [yellow] 2 20 4 18 2" xfId="21671"/>
    <cellStyle name="Input [yellow] 2 20 4 18 3" xfId="32839"/>
    <cellStyle name="Input [yellow] 2 20 4 18 4" xfId="44004"/>
    <cellStyle name="Input [yellow] 2 20 4 18 5" xfId="55197"/>
    <cellStyle name="Input [yellow] 2 20 4 19" xfId="10859"/>
    <cellStyle name="Input [yellow] 2 20 4 19 2" xfId="22056"/>
    <cellStyle name="Input [yellow] 2 20 4 19 3" xfId="33224"/>
    <cellStyle name="Input [yellow] 2 20 4 19 4" xfId="44389"/>
    <cellStyle name="Input [yellow] 2 20 4 19 5" xfId="55582"/>
    <cellStyle name="Input [yellow] 2 20 4 2" xfId="955"/>
    <cellStyle name="Input [yellow] 2 20 4 2 2" xfId="12152"/>
    <cellStyle name="Input [yellow] 2 20 4 2 3" xfId="23320"/>
    <cellStyle name="Input [yellow] 2 20 4 2 4" xfId="34485"/>
    <cellStyle name="Input [yellow] 2 20 4 2 5" xfId="45678"/>
    <cellStyle name="Input [yellow] 2 20 4 20" xfId="11506"/>
    <cellStyle name="Input [yellow] 2 20 4 21" xfId="22676"/>
    <cellStyle name="Input [yellow] 2 20 4 22" xfId="33843"/>
    <cellStyle name="Input [yellow] 2 20 4 23" xfId="45029"/>
    <cellStyle name="Input [yellow] 2 20 4 3" xfId="1770"/>
    <cellStyle name="Input [yellow] 2 20 4 3 2" xfId="12967"/>
    <cellStyle name="Input [yellow] 2 20 4 3 3" xfId="24135"/>
    <cellStyle name="Input [yellow] 2 20 4 3 4" xfId="35300"/>
    <cellStyle name="Input [yellow] 2 20 4 3 5" xfId="46493"/>
    <cellStyle name="Input [yellow] 2 20 4 4" xfId="2231"/>
    <cellStyle name="Input [yellow] 2 20 4 4 2" xfId="13428"/>
    <cellStyle name="Input [yellow] 2 20 4 4 3" xfId="24596"/>
    <cellStyle name="Input [yellow] 2 20 4 4 4" xfId="35761"/>
    <cellStyle name="Input [yellow] 2 20 4 4 5" xfId="46954"/>
    <cellStyle name="Input [yellow] 2 20 4 5" xfId="2656"/>
    <cellStyle name="Input [yellow] 2 20 4 5 2" xfId="13853"/>
    <cellStyle name="Input [yellow] 2 20 4 5 3" xfId="25021"/>
    <cellStyle name="Input [yellow] 2 20 4 5 4" xfId="36186"/>
    <cellStyle name="Input [yellow] 2 20 4 5 5" xfId="47379"/>
    <cellStyle name="Input [yellow] 2 20 4 6" xfId="3290"/>
    <cellStyle name="Input [yellow] 2 20 4 6 2" xfId="14487"/>
    <cellStyle name="Input [yellow] 2 20 4 6 3" xfId="25655"/>
    <cellStyle name="Input [yellow] 2 20 4 6 4" xfId="36820"/>
    <cellStyle name="Input [yellow] 2 20 4 6 5" xfId="48013"/>
    <cellStyle name="Input [yellow] 2 20 4 7" xfId="3924"/>
    <cellStyle name="Input [yellow] 2 20 4 7 2" xfId="15121"/>
    <cellStyle name="Input [yellow] 2 20 4 7 3" xfId="26289"/>
    <cellStyle name="Input [yellow] 2 20 4 7 4" xfId="37454"/>
    <cellStyle name="Input [yellow] 2 20 4 7 5" xfId="48647"/>
    <cellStyle name="Input [yellow] 2 20 4 8" xfId="4557"/>
    <cellStyle name="Input [yellow] 2 20 4 8 2" xfId="15754"/>
    <cellStyle name="Input [yellow] 2 20 4 8 3" xfId="26922"/>
    <cellStyle name="Input [yellow] 2 20 4 8 4" xfId="38087"/>
    <cellStyle name="Input [yellow] 2 20 4 8 5" xfId="49280"/>
    <cellStyle name="Input [yellow] 2 20 4 9" xfId="5188"/>
    <cellStyle name="Input [yellow] 2 20 4 9 2" xfId="16385"/>
    <cellStyle name="Input [yellow] 2 20 4 9 3" xfId="27553"/>
    <cellStyle name="Input [yellow] 2 20 4 9 4" xfId="38718"/>
    <cellStyle name="Input [yellow] 2 20 4 9 5" xfId="49911"/>
    <cellStyle name="Input [yellow] 2 20 5" xfId="250"/>
    <cellStyle name="Input [yellow] 2 20 5 10" xfId="5612"/>
    <cellStyle name="Input [yellow] 2 20 5 10 2" xfId="16809"/>
    <cellStyle name="Input [yellow] 2 20 5 10 3" xfId="27977"/>
    <cellStyle name="Input [yellow] 2 20 5 10 4" xfId="39142"/>
    <cellStyle name="Input [yellow] 2 20 5 10 5" xfId="50335"/>
    <cellStyle name="Input [yellow] 2 20 5 11" xfId="6084"/>
    <cellStyle name="Input [yellow] 2 20 5 11 2" xfId="17281"/>
    <cellStyle name="Input [yellow] 2 20 5 11 3" xfId="28449"/>
    <cellStyle name="Input [yellow] 2 20 5 11 4" xfId="39614"/>
    <cellStyle name="Input [yellow] 2 20 5 11 5" xfId="50807"/>
    <cellStyle name="Input [yellow] 2 20 5 12" xfId="6819"/>
    <cellStyle name="Input [yellow] 2 20 5 12 2" xfId="18016"/>
    <cellStyle name="Input [yellow] 2 20 5 12 3" xfId="29184"/>
    <cellStyle name="Input [yellow] 2 20 5 12 4" xfId="40349"/>
    <cellStyle name="Input [yellow] 2 20 5 12 5" xfId="51542"/>
    <cellStyle name="Input [yellow] 2 20 5 13" xfId="7453"/>
    <cellStyle name="Input [yellow] 2 20 5 13 2" xfId="18650"/>
    <cellStyle name="Input [yellow] 2 20 5 13 3" xfId="29818"/>
    <cellStyle name="Input [yellow] 2 20 5 13 4" xfId="40983"/>
    <cellStyle name="Input [yellow] 2 20 5 13 5" xfId="52176"/>
    <cellStyle name="Input [yellow] 2 20 5 14" xfId="8087"/>
    <cellStyle name="Input [yellow] 2 20 5 14 2" xfId="19284"/>
    <cellStyle name="Input [yellow] 2 20 5 14 3" xfId="30452"/>
    <cellStyle name="Input [yellow] 2 20 5 14 4" xfId="41617"/>
    <cellStyle name="Input [yellow] 2 20 5 14 5" xfId="52810"/>
    <cellStyle name="Input [yellow] 2 20 5 15" xfId="8718"/>
    <cellStyle name="Input [yellow] 2 20 5 15 2" xfId="19915"/>
    <cellStyle name="Input [yellow] 2 20 5 15 3" xfId="31083"/>
    <cellStyle name="Input [yellow] 2 20 5 15 4" xfId="42248"/>
    <cellStyle name="Input [yellow] 2 20 5 15 5" xfId="53441"/>
    <cellStyle name="Input [yellow] 2 20 5 16" xfId="8944"/>
    <cellStyle name="Input [yellow] 2 20 5 16 2" xfId="20141"/>
    <cellStyle name="Input [yellow] 2 20 5 16 3" xfId="31309"/>
    <cellStyle name="Input [yellow] 2 20 5 16 4" xfId="42474"/>
    <cellStyle name="Input [yellow] 2 20 5 16 5" xfId="53667"/>
    <cellStyle name="Input [yellow] 2 20 5 17" xfId="9769"/>
    <cellStyle name="Input [yellow] 2 20 5 17 2" xfId="20966"/>
    <cellStyle name="Input [yellow] 2 20 5 17 3" xfId="32134"/>
    <cellStyle name="Input [yellow] 2 20 5 17 4" xfId="43299"/>
    <cellStyle name="Input [yellow] 2 20 5 17 5" xfId="54492"/>
    <cellStyle name="Input [yellow] 2 20 5 18" xfId="9695"/>
    <cellStyle name="Input [yellow] 2 20 5 18 2" xfId="20892"/>
    <cellStyle name="Input [yellow] 2 20 5 18 3" xfId="32060"/>
    <cellStyle name="Input [yellow] 2 20 5 18 4" xfId="43225"/>
    <cellStyle name="Input [yellow] 2 20 5 18 5" xfId="54418"/>
    <cellStyle name="Input [yellow] 2 20 5 19" xfId="10803"/>
    <cellStyle name="Input [yellow] 2 20 5 19 2" xfId="22000"/>
    <cellStyle name="Input [yellow] 2 20 5 19 3" xfId="33168"/>
    <cellStyle name="Input [yellow] 2 20 5 19 4" xfId="44333"/>
    <cellStyle name="Input [yellow] 2 20 5 19 5" xfId="55526"/>
    <cellStyle name="Input [yellow] 2 20 5 2" xfId="899"/>
    <cellStyle name="Input [yellow] 2 20 5 2 2" xfId="12096"/>
    <cellStyle name="Input [yellow] 2 20 5 2 3" xfId="23264"/>
    <cellStyle name="Input [yellow] 2 20 5 2 4" xfId="34429"/>
    <cellStyle name="Input [yellow] 2 20 5 2 5" xfId="45622"/>
    <cellStyle name="Input [yellow] 2 20 5 20" xfId="11450"/>
    <cellStyle name="Input [yellow] 2 20 5 21" xfId="22620"/>
    <cellStyle name="Input [yellow] 2 20 5 22" xfId="33787"/>
    <cellStyle name="Input [yellow] 2 20 5 23" xfId="44973"/>
    <cellStyle name="Input [yellow] 2 20 5 3" xfId="1845"/>
    <cellStyle name="Input [yellow] 2 20 5 3 2" xfId="13042"/>
    <cellStyle name="Input [yellow] 2 20 5 3 3" xfId="24210"/>
    <cellStyle name="Input [yellow] 2 20 5 3 4" xfId="35375"/>
    <cellStyle name="Input [yellow] 2 20 5 3 5" xfId="46568"/>
    <cellStyle name="Input [yellow] 2 20 5 4" xfId="2176"/>
    <cellStyle name="Input [yellow] 2 20 5 4 2" xfId="13373"/>
    <cellStyle name="Input [yellow] 2 20 5 4 3" xfId="24541"/>
    <cellStyle name="Input [yellow] 2 20 5 4 4" xfId="35706"/>
    <cellStyle name="Input [yellow] 2 20 5 4 5" xfId="46899"/>
    <cellStyle name="Input [yellow] 2 20 5 5" xfId="2492"/>
    <cellStyle name="Input [yellow] 2 20 5 5 2" xfId="13689"/>
    <cellStyle name="Input [yellow] 2 20 5 5 3" xfId="24857"/>
    <cellStyle name="Input [yellow] 2 20 5 5 4" xfId="36022"/>
    <cellStyle name="Input [yellow] 2 20 5 5 5" xfId="47215"/>
    <cellStyle name="Input [yellow] 2 20 5 6" xfId="3234"/>
    <cellStyle name="Input [yellow] 2 20 5 6 2" xfId="14431"/>
    <cellStyle name="Input [yellow] 2 20 5 6 3" xfId="25599"/>
    <cellStyle name="Input [yellow] 2 20 5 6 4" xfId="36764"/>
    <cellStyle name="Input [yellow] 2 20 5 6 5" xfId="47957"/>
    <cellStyle name="Input [yellow] 2 20 5 7" xfId="3868"/>
    <cellStyle name="Input [yellow] 2 20 5 7 2" xfId="15065"/>
    <cellStyle name="Input [yellow] 2 20 5 7 3" xfId="26233"/>
    <cellStyle name="Input [yellow] 2 20 5 7 4" xfId="37398"/>
    <cellStyle name="Input [yellow] 2 20 5 7 5" xfId="48591"/>
    <cellStyle name="Input [yellow] 2 20 5 8" xfId="4501"/>
    <cellStyle name="Input [yellow] 2 20 5 8 2" xfId="15698"/>
    <cellStyle name="Input [yellow] 2 20 5 8 3" xfId="26866"/>
    <cellStyle name="Input [yellow] 2 20 5 8 4" xfId="38031"/>
    <cellStyle name="Input [yellow] 2 20 5 8 5" xfId="49224"/>
    <cellStyle name="Input [yellow] 2 20 5 9" xfId="5132"/>
    <cellStyle name="Input [yellow] 2 20 5 9 2" xfId="16329"/>
    <cellStyle name="Input [yellow] 2 20 5 9 3" xfId="27497"/>
    <cellStyle name="Input [yellow] 2 20 5 9 4" xfId="38662"/>
    <cellStyle name="Input [yellow] 2 20 5 9 5" xfId="49855"/>
    <cellStyle name="Input [yellow] 2 20 6" xfId="424"/>
    <cellStyle name="Input [yellow] 2 20 6 10" xfId="6042"/>
    <cellStyle name="Input [yellow] 2 20 6 10 2" xfId="17239"/>
    <cellStyle name="Input [yellow] 2 20 6 10 3" xfId="28407"/>
    <cellStyle name="Input [yellow] 2 20 6 10 4" xfId="39572"/>
    <cellStyle name="Input [yellow] 2 20 6 10 5" xfId="50765"/>
    <cellStyle name="Input [yellow] 2 20 6 11" xfId="6360"/>
    <cellStyle name="Input [yellow] 2 20 6 11 2" xfId="17557"/>
    <cellStyle name="Input [yellow] 2 20 6 11 3" xfId="28725"/>
    <cellStyle name="Input [yellow] 2 20 6 11 4" xfId="39890"/>
    <cellStyle name="Input [yellow] 2 20 6 11 5" xfId="51083"/>
    <cellStyle name="Input [yellow] 2 20 6 12" xfId="6993"/>
    <cellStyle name="Input [yellow] 2 20 6 12 2" xfId="18190"/>
    <cellStyle name="Input [yellow] 2 20 6 12 3" xfId="29358"/>
    <cellStyle name="Input [yellow] 2 20 6 12 4" xfId="40523"/>
    <cellStyle name="Input [yellow] 2 20 6 12 5" xfId="51716"/>
    <cellStyle name="Input [yellow] 2 20 6 13" xfId="7627"/>
    <cellStyle name="Input [yellow] 2 20 6 13 2" xfId="18824"/>
    <cellStyle name="Input [yellow] 2 20 6 13 3" xfId="29992"/>
    <cellStyle name="Input [yellow] 2 20 6 13 4" xfId="41157"/>
    <cellStyle name="Input [yellow] 2 20 6 13 5" xfId="52350"/>
    <cellStyle name="Input [yellow] 2 20 6 14" xfId="8261"/>
    <cellStyle name="Input [yellow] 2 20 6 14 2" xfId="19458"/>
    <cellStyle name="Input [yellow] 2 20 6 14 3" xfId="30626"/>
    <cellStyle name="Input [yellow] 2 20 6 14 4" xfId="41791"/>
    <cellStyle name="Input [yellow] 2 20 6 14 5" xfId="52984"/>
    <cellStyle name="Input [yellow] 2 20 6 15" xfId="8889"/>
    <cellStyle name="Input [yellow] 2 20 6 15 2" xfId="20086"/>
    <cellStyle name="Input [yellow] 2 20 6 15 3" xfId="31254"/>
    <cellStyle name="Input [yellow] 2 20 6 15 4" xfId="42419"/>
    <cellStyle name="Input [yellow] 2 20 6 15 5" xfId="53612"/>
    <cellStyle name="Input [yellow] 2 20 6 16" xfId="9312"/>
    <cellStyle name="Input [yellow] 2 20 6 16 2" xfId="20509"/>
    <cellStyle name="Input [yellow] 2 20 6 16 3" xfId="31677"/>
    <cellStyle name="Input [yellow] 2 20 6 16 4" xfId="42842"/>
    <cellStyle name="Input [yellow] 2 20 6 16 5" xfId="54035"/>
    <cellStyle name="Input [yellow] 2 20 6 17" xfId="9938"/>
    <cellStyle name="Input [yellow] 2 20 6 17 2" xfId="21135"/>
    <cellStyle name="Input [yellow] 2 20 6 17 3" xfId="32303"/>
    <cellStyle name="Input [yellow] 2 20 6 17 4" xfId="43468"/>
    <cellStyle name="Input [yellow] 2 20 6 17 5" xfId="54661"/>
    <cellStyle name="Input [yellow] 2 20 6 18" xfId="10140"/>
    <cellStyle name="Input [yellow] 2 20 6 18 2" xfId="21337"/>
    <cellStyle name="Input [yellow] 2 20 6 18 3" xfId="32505"/>
    <cellStyle name="Input [yellow] 2 20 6 18 4" xfId="43670"/>
    <cellStyle name="Input [yellow] 2 20 6 18 5" xfId="54863"/>
    <cellStyle name="Input [yellow] 2 20 6 19" xfId="10977"/>
    <cellStyle name="Input [yellow] 2 20 6 19 2" xfId="22174"/>
    <cellStyle name="Input [yellow] 2 20 6 19 3" xfId="33342"/>
    <cellStyle name="Input [yellow] 2 20 6 19 4" xfId="44507"/>
    <cellStyle name="Input [yellow] 2 20 6 19 5" xfId="55700"/>
    <cellStyle name="Input [yellow] 2 20 6 2" xfId="1073"/>
    <cellStyle name="Input [yellow] 2 20 6 2 2" xfId="12270"/>
    <cellStyle name="Input [yellow] 2 20 6 2 3" xfId="23438"/>
    <cellStyle name="Input [yellow] 2 20 6 2 4" xfId="34603"/>
    <cellStyle name="Input [yellow] 2 20 6 2 5" xfId="45796"/>
    <cellStyle name="Input [yellow] 2 20 6 20" xfId="11624"/>
    <cellStyle name="Input [yellow] 2 20 6 21" xfId="22794"/>
    <cellStyle name="Input [yellow] 2 20 6 22" xfId="33961"/>
    <cellStyle name="Input [yellow] 2 20 6 23" xfId="45147"/>
    <cellStyle name="Input [yellow] 2 20 6 3" xfId="1943"/>
    <cellStyle name="Input [yellow] 2 20 6 3 2" xfId="13140"/>
    <cellStyle name="Input [yellow] 2 20 6 3 3" xfId="24308"/>
    <cellStyle name="Input [yellow] 2 20 6 3 4" xfId="35473"/>
    <cellStyle name="Input [yellow] 2 20 6 3 5" xfId="46666"/>
    <cellStyle name="Input [yellow] 2 20 6 4" xfId="2349"/>
    <cellStyle name="Input [yellow] 2 20 6 4 2" xfId="13546"/>
    <cellStyle name="Input [yellow] 2 20 6 4 3" xfId="24714"/>
    <cellStyle name="Input [yellow] 2 20 6 4 4" xfId="35879"/>
    <cellStyle name="Input [yellow] 2 20 6 4 5" xfId="47072"/>
    <cellStyle name="Input [yellow] 2 20 6 5" xfId="2774"/>
    <cellStyle name="Input [yellow] 2 20 6 5 2" xfId="13971"/>
    <cellStyle name="Input [yellow] 2 20 6 5 3" xfId="25139"/>
    <cellStyle name="Input [yellow] 2 20 6 5 4" xfId="36304"/>
    <cellStyle name="Input [yellow] 2 20 6 5 5" xfId="47497"/>
    <cellStyle name="Input [yellow] 2 20 6 6" xfId="3408"/>
    <cellStyle name="Input [yellow] 2 20 6 6 2" xfId="14605"/>
    <cellStyle name="Input [yellow] 2 20 6 6 3" xfId="25773"/>
    <cellStyle name="Input [yellow] 2 20 6 6 4" xfId="36938"/>
    <cellStyle name="Input [yellow] 2 20 6 6 5" xfId="48131"/>
    <cellStyle name="Input [yellow] 2 20 6 7" xfId="4042"/>
    <cellStyle name="Input [yellow] 2 20 6 7 2" xfId="15239"/>
    <cellStyle name="Input [yellow] 2 20 6 7 3" xfId="26407"/>
    <cellStyle name="Input [yellow] 2 20 6 7 4" xfId="37572"/>
    <cellStyle name="Input [yellow] 2 20 6 7 5" xfId="48765"/>
    <cellStyle name="Input [yellow] 2 20 6 8" xfId="4675"/>
    <cellStyle name="Input [yellow] 2 20 6 8 2" xfId="15872"/>
    <cellStyle name="Input [yellow] 2 20 6 8 3" xfId="27040"/>
    <cellStyle name="Input [yellow] 2 20 6 8 4" xfId="38205"/>
    <cellStyle name="Input [yellow] 2 20 6 8 5" xfId="49398"/>
    <cellStyle name="Input [yellow] 2 20 6 9" xfId="5306"/>
    <cellStyle name="Input [yellow] 2 20 6 9 2" xfId="16503"/>
    <cellStyle name="Input [yellow] 2 20 6 9 3" xfId="27671"/>
    <cellStyle name="Input [yellow] 2 20 6 9 4" xfId="38836"/>
    <cellStyle name="Input [yellow] 2 20 6 9 5" xfId="50029"/>
    <cellStyle name="Input [yellow] 2 20 7" xfId="399"/>
    <cellStyle name="Input [yellow] 2 20 7 10" xfId="5762"/>
    <cellStyle name="Input [yellow] 2 20 7 10 2" xfId="16959"/>
    <cellStyle name="Input [yellow] 2 20 7 10 3" xfId="28127"/>
    <cellStyle name="Input [yellow] 2 20 7 10 4" xfId="39292"/>
    <cellStyle name="Input [yellow] 2 20 7 10 5" xfId="50485"/>
    <cellStyle name="Input [yellow] 2 20 7 11" xfId="6335"/>
    <cellStyle name="Input [yellow] 2 20 7 11 2" xfId="17532"/>
    <cellStyle name="Input [yellow] 2 20 7 11 3" xfId="28700"/>
    <cellStyle name="Input [yellow] 2 20 7 11 4" xfId="39865"/>
    <cellStyle name="Input [yellow] 2 20 7 11 5" xfId="51058"/>
    <cellStyle name="Input [yellow] 2 20 7 12" xfId="6968"/>
    <cellStyle name="Input [yellow] 2 20 7 12 2" xfId="18165"/>
    <cellStyle name="Input [yellow] 2 20 7 12 3" xfId="29333"/>
    <cellStyle name="Input [yellow] 2 20 7 12 4" xfId="40498"/>
    <cellStyle name="Input [yellow] 2 20 7 12 5" xfId="51691"/>
    <cellStyle name="Input [yellow] 2 20 7 13" xfId="7602"/>
    <cellStyle name="Input [yellow] 2 20 7 13 2" xfId="18799"/>
    <cellStyle name="Input [yellow] 2 20 7 13 3" xfId="29967"/>
    <cellStyle name="Input [yellow] 2 20 7 13 4" xfId="41132"/>
    <cellStyle name="Input [yellow] 2 20 7 13 5" xfId="52325"/>
    <cellStyle name="Input [yellow] 2 20 7 14" xfId="8236"/>
    <cellStyle name="Input [yellow] 2 20 7 14 2" xfId="19433"/>
    <cellStyle name="Input [yellow] 2 20 7 14 3" xfId="30601"/>
    <cellStyle name="Input [yellow] 2 20 7 14 4" xfId="41766"/>
    <cellStyle name="Input [yellow] 2 20 7 14 5" xfId="52959"/>
    <cellStyle name="Input [yellow] 2 20 7 15" xfId="8864"/>
    <cellStyle name="Input [yellow] 2 20 7 15 2" xfId="20061"/>
    <cellStyle name="Input [yellow] 2 20 7 15 3" xfId="31229"/>
    <cellStyle name="Input [yellow] 2 20 7 15 4" xfId="42394"/>
    <cellStyle name="Input [yellow] 2 20 7 15 5" xfId="53587"/>
    <cellStyle name="Input [yellow] 2 20 7 16" xfId="9287"/>
    <cellStyle name="Input [yellow] 2 20 7 16 2" xfId="20484"/>
    <cellStyle name="Input [yellow] 2 20 7 16 3" xfId="31652"/>
    <cellStyle name="Input [yellow] 2 20 7 16 4" xfId="42817"/>
    <cellStyle name="Input [yellow] 2 20 7 16 5" xfId="54010"/>
    <cellStyle name="Input [yellow] 2 20 7 17" xfId="9913"/>
    <cellStyle name="Input [yellow] 2 20 7 17 2" xfId="21110"/>
    <cellStyle name="Input [yellow] 2 20 7 17 3" xfId="32278"/>
    <cellStyle name="Input [yellow] 2 20 7 17 4" xfId="43443"/>
    <cellStyle name="Input [yellow] 2 20 7 17 5" xfId="54636"/>
    <cellStyle name="Input [yellow] 2 20 7 18" xfId="10278"/>
    <cellStyle name="Input [yellow] 2 20 7 18 2" xfId="21475"/>
    <cellStyle name="Input [yellow] 2 20 7 18 3" xfId="32643"/>
    <cellStyle name="Input [yellow] 2 20 7 18 4" xfId="43808"/>
    <cellStyle name="Input [yellow] 2 20 7 18 5" xfId="55001"/>
    <cellStyle name="Input [yellow] 2 20 7 19" xfId="10952"/>
    <cellStyle name="Input [yellow] 2 20 7 19 2" xfId="22149"/>
    <cellStyle name="Input [yellow] 2 20 7 19 3" xfId="33317"/>
    <cellStyle name="Input [yellow] 2 20 7 19 4" xfId="44482"/>
    <cellStyle name="Input [yellow] 2 20 7 19 5" xfId="55675"/>
    <cellStyle name="Input [yellow] 2 20 7 2" xfId="1048"/>
    <cellStyle name="Input [yellow] 2 20 7 2 2" xfId="12245"/>
    <cellStyle name="Input [yellow] 2 20 7 2 3" xfId="23413"/>
    <cellStyle name="Input [yellow] 2 20 7 2 4" xfId="34578"/>
    <cellStyle name="Input [yellow] 2 20 7 2 5" xfId="45771"/>
    <cellStyle name="Input [yellow] 2 20 7 20" xfId="11599"/>
    <cellStyle name="Input [yellow] 2 20 7 21" xfId="22769"/>
    <cellStyle name="Input [yellow] 2 20 7 22" xfId="33936"/>
    <cellStyle name="Input [yellow] 2 20 7 23" xfId="45122"/>
    <cellStyle name="Input [yellow] 2 20 7 3" xfId="1550"/>
    <cellStyle name="Input [yellow] 2 20 7 3 2" xfId="12747"/>
    <cellStyle name="Input [yellow] 2 20 7 3 3" xfId="23915"/>
    <cellStyle name="Input [yellow] 2 20 7 3 4" xfId="35080"/>
    <cellStyle name="Input [yellow] 2 20 7 3 5" xfId="46273"/>
    <cellStyle name="Input [yellow] 2 20 7 4" xfId="2324"/>
    <cellStyle name="Input [yellow] 2 20 7 4 2" xfId="13521"/>
    <cellStyle name="Input [yellow] 2 20 7 4 3" xfId="24689"/>
    <cellStyle name="Input [yellow] 2 20 7 4 4" xfId="35854"/>
    <cellStyle name="Input [yellow] 2 20 7 4 5" xfId="47047"/>
    <cellStyle name="Input [yellow] 2 20 7 5" xfId="2749"/>
    <cellStyle name="Input [yellow] 2 20 7 5 2" xfId="13946"/>
    <cellStyle name="Input [yellow] 2 20 7 5 3" xfId="25114"/>
    <cellStyle name="Input [yellow] 2 20 7 5 4" xfId="36279"/>
    <cellStyle name="Input [yellow] 2 20 7 5 5" xfId="47472"/>
    <cellStyle name="Input [yellow] 2 20 7 6" xfId="3383"/>
    <cellStyle name="Input [yellow] 2 20 7 6 2" xfId="14580"/>
    <cellStyle name="Input [yellow] 2 20 7 6 3" xfId="25748"/>
    <cellStyle name="Input [yellow] 2 20 7 6 4" xfId="36913"/>
    <cellStyle name="Input [yellow] 2 20 7 6 5" xfId="48106"/>
    <cellStyle name="Input [yellow] 2 20 7 7" xfId="4017"/>
    <cellStyle name="Input [yellow] 2 20 7 7 2" xfId="15214"/>
    <cellStyle name="Input [yellow] 2 20 7 7 3" xfId="26382"/>
    <cellStyle name="Input [yellow] 2 20 7 7 4" xfId="37547"/>
    <cellStyle name="Input [yellow] 2 20 7 7 5" xfId="48740"/>
    <cellStyle name="Input [yellow] 2 20 7 8" xfId="4650"/>
    <cellStyle name="Input [yellow] 2 20 7 8 2" xfId="15847"/>
    <cellStyle name="Input [yellow] 2 20 7 8 3" xfId="27015"/>
    <cellStyle name="Input [yellow] 2 20 7 8 4" xfId="38180"/>
    <cellStyle name="Input [yellow] 2 20 7 8 5" xfId="49373"/>
    <cellStyle name="Input [yellow] 2 20 7 9" xfId="5281"/>
    <cellStyle name="Input [yellow] 2 20 7 9 2" xfId="16478"/>
    <cellStyle name="Input [yellow] 2 20 7 9 3" xfId="27646"/>
    <cellStyle name="Input [yellow] 2 20 7 9 4" xfId="38811"/>
    <cellStyle name="Input [yellow] 2 20 7 9 5" xfId="50004"/>
    <cellStyle name="Input [yellow] 2 20 8" xfId="536"/>
    <cellStyle name="Input [yellow] 2 20 8 10" xfId="5655"/>
    <cellStyle name="Input [yellow] 2 20 8 10 2" xfId="16852"/>
    <cellStyle name="Input [yellow] 2 20 8 10 3" xfId="28020"/>
    <cellStyle name="Input [yellow] 2 20 8 10 4" xfId="39185"/>
    <cellStyle name="Input [yellow] 2 20 8 10 5" xfId="50378"/>
    <cellStyle name="Input [yellow] 2 20 8 11" xfId="6472"/>
    <cellStyle name="Input [yellow] 2 20 8 11 2" xfId="17669"/>
    <cellStyle name="Input [yellow] 2 20 8 11 3" xfId="28837"/>
    <cellStyle name="Input [yellow] 2 20 8 11 4" xfId="40002"/>
    <cellStyle name="Input [yellow] 2 20 8 11 5" xfId="51195"/>
    <cellStyle name="Input [yellow] 2 20 8 12" xfId="7105"/>
    <cellStyle name="Input [yellow] 2 20 8 12 2" xfId="18302"/>
    <cellStyle name="Input [yellow] 2 20 8 12 3" xfId="29470"/>
    <cellStyle name="Input [yellow] 2 20 8 12 4" xfId="40635"/>
    <cellStyle name="Input [yellow] 2 20 8 12 5" xfId="51828"/>
    <cellStyle name="Input [yellow] 2 20 8 13" xfId="7739"/>
    <cellStyle name="Input [yellow] 2 20 8 13 2" xfId="18936"/>
    <cellStyle name="Input [yellow] 2 20 8 13 3" xfId="30104"/>
    <cellStyle name="Input [yellow] 2 20 8 13 4" xfId="41269"/>
    <cellStyle name="Input [yellow] 2 20 8 13 5" xfId="52462"/>
    <cellStyle name="Input [yellow] 2 20 8 14" xfId="8373"/>
    <cellStyle name="Input [yellow] 2 20 8 14 2" xfId="19570"/>
    <cellStyle name="Input [yellow] 2 20 8 14 3" xfId="30738"/>
    <cellStyle name="Input [yellow] 2 20 8 14 4" xfId="41903"/>
    <cellStyle name="Input [yellow] 2 20 8 14 5" xfId="53096"/>
    <cellStyle name="Input [yellow] 2 20 8 15" xfId="9001"/>
    <cellStyle name="Input [yellow] 2 20 8 15 2" xfId="20198"/>
    <cellStyle name="Input [yellow] 2 20 8 15 3" xfId="31366"/>
    <cellStyle name="Input [yellow] 2 20 8 15 4" xfId="42531"/>
    <cellStyle name="Input [yellow] 2 20 8 15 5" xfId="53724"/>
    <cellStyle name="Input [yellow] 2 20 8 16" xfId="9424"/>
    <cellStyle name="Input [yellow] 2 20 8 16 2" xfId="20621"/>
    <cellStyle name="Input [yellow] 2 20 8 16 3" xfId="31789"/>
    <cellStyle name="Input [yellow] 2 20 8 16 4" xfId="42954"/>
    <cellStyle name="Input [yellow] 2 20 8 16 5" xfId="54147"/>
    <cellStyle name="Input [yellow] 2 20 8 17" xfId="10049"/>
    <cellStyle name="Input [yellow] 2 20 8 17 2" xfId="21246"/>
    <cellStyle name="Input [yellow] 2 20 8 17 3" xfId="32414"/>
    <cellStyle name="Input [yellow] 2 20 8 17 4" xfId="43579"/>
    <cellStyle name="Input [yellow] 2 20 8 17 5" xfId="54772"/>
    <cellStyle name="Input [yellow] 2 20 8 18" xfId="10259"/>
    <cellStyle name="Input [yellow] 2 20 8 18 2" xfId="21456"/>
    <cellStyle name="Input [yellow] 2 20 8 18 3" xfId="32624"/>
    <cellStyle name="Input [yellow] 2 20 8 18 4" xfId="43789"/>
    <cellStyle name="Input [yellow] 2 20 8 18 5" xfId="54982"/>
    <cellStyle name="Input [yellow] 2 20 8 19" xfId="11089"/>
    <cellStyle name="Input [yellow] 2 20 8 19 2" xfId="22286"/>
    <cellStyle name="Input [yellow] 2 20 8 19 3" xfId="33454"/>
    <cellStyle name="Input [yellow] 2 20 8 19 4" xfId="44619"/>
    <cellStyle name="Input [yellow] 2 20 8 19 5" xfId="55812"/>
    <cellStyle name="Input [yellow] 2 20 8 2" xfId="1185"/>
    <cellStyle name="Input [yellow] 2 20 8 2 2" xfId="12382"/>
    <cellStyle name="Input [yellow] 2 20 8 2 3" xfId="23550"/>
    <cellStyle name="Input [yellow] 2 20 8 2 4" xfId="34715"/>
    <cellStyle name="Input [yellow] 2 20 8 2 5" xfId="45908"/>
    <cellStyle name="Input [yellow] 2 20 8 20" xfId="11736"/>
    <cellStyle name="Input [yellow] 2 20 8 21" xfId="22906"/>
    <cellStyle name="Input [yellow] 2 20 8 22" xfId="34073"/>
    <cellStyle name="Input [yellow] 2 20 8 23" xfId="45259"/>
    <cellStyle name="Input [yellow] 2 20 8 3" xfId="1577"/>
    <cellStyle name="Input [yellow] 2 20 8 3 2" xfId="12774"/>
    <cellStyle name="Input [yellow] 2 20 8 3 3" xfId="23942"/>
    <cellStyle name="Input [yellow] 2 20 8 3 4" xfId="35107"/>
    <cellStyle name="Input [yellow] 2 20 8 3 5" xfId="46300"/>
    <cellStyle name="Input [yellow] 2 20 8 4" xfId="2461"/>
    <cellStyle name="Input [yellow] 2 20 8 4 2" xfId="13658"/>
    <cellStyle name="Input [yellow] 2 20 8 4 3" xfId="24826"/>
    <cellStyle name="Input [yellow] 2 20 8 4 4" xfId="35991"/>
    <cellStyle name="Input [yellow] 2 20 8 4 5" xfId="47184"/>
    <cellStyle name="Input [yellow] 2 20 8 5" xfId="2886"/>
    <cellStyle name="Input [yellow] 2 20 8 5 2" xfId="14083"/>
    <cellStyle name="Input [yellow] 2 20 8 5 3" xfId="25251"/>
    <cellStyle name="Input [yellow] 2 20 8 5 4" xfId="36416"/>
    <cellStyle name="Input [yellow] 2 20 8 5 5" xfId="47609"/>
    <cellStyle name="Input [yellow] 2 20 8 6" xfId="3520"/>
    <cellStyle name="Input [yellow] 2 20 8 6 2" xfId="14717"/>
    <cellStyle name="Input [yellow] 2 20 8 6 3" xfId="25885"/>
    <cellStyle name="Input [yellow] 2 20 8 6 4" xfId="37050"/>
    <cellStyle name="Input [yellow] 2 20 8 6 5" xfId="48243"/>
    <cellStyle name="Input [yellow] 2 20 8 7" xfId="4154"/>
    <cellStyle name="Input [yellow] 2 20 8 7 2" xfId="15351"/>
    <cellStyle name="Input [yellow] 2 20 8 7 3" xfId="26519"/>
    <cellStyle name="Input [yellow] 2 20 8 7 4" xfId="37684"/>
    <cellStyle name="Input [yellow] 2 20 8 7 5" xfId="48877"/>
    <cellStyle name="Input [yellow] 2 20 8 8" xfId="4787"/>
    <cellStyle name="Input [yellow] 2 20 8 8 2" xfId="15984"/>
    <cellStyle name="Input [yellow] 2 20 8 8 3" xfId="27152"/>
    <cellStyle name="Input [yellow] 2 20 8 8 4" xfId="38317"/>
    <cellStyle name="Input [yellow] 2 20 8 8 5" xfId="49510"/>
    <cellStyle name="Input [yellow] 2 20 8 9" xfId="5418"/>
    <cellStyle name="Input [yellow] 2 20 8 9 2" xfId="16615"/>
    <cellStyle name="Input [yellow] 2 20 8 9 3" xfId="27783"/>
    <cellStyle name="Input [yellow] 2 20 8 9 4" xfId="38948"/>
    <cellStyle name="Input [yellow] 2 20 8 9 5" xfId="50141"/>
    <cellStyle name="Input [yellow] 2 20 9" xfId="594"/>
    <cellStyle name="Input [yellow] 2 20 9 10" xfId="4952"/>
    <cellStyle name="Input [yellow] 2 20 9 10 2" xfId="16149"/>
    <cellStyle name="Input [yellow] 2 20 9 10 3" xfId="27317"/>
    <cellStyle name="Input [yellow] 2 20 9 10 4" xfId="38482"/>
    <cellStyle name="Input [yellow] 2 20 9 10 5" xfId="49675"/>
    <cellStyle name="Input [yellow] 2 20 9 11" xfId="6530"/>
    <cellStyle name="Input [yellow] 2 20 9 11 2" xfId="17727"/>
    <cellStyle name="Input [yellow] 2 20 9 11 3" xfId="28895"/>
    <cellStyle name="Input [yellow] 2 20 9 11 4" xfId="40060"/>
    <cellStyle name="Input [yellow] 2 20 9 11 5" xfId="51253"/>
    <cellStyle name="Input [yellow] 2 20 9 12" xfId="7163"/>
    <cellStyle name="Input [yellow] 2 20 9 12 2" xfId="18360"/>
    <cellStyle name="Input [yellow] 2 20 9 12 3" xfId="29528"/>
    <cellStyle name="Input [yellow] 2 20 9 12 4" xfId="40693"/>
    <cellStyle name="Input [yellow] 2 20 9 12 5" xfId="51886"/>
    <cellStyle name="Input [yellow] 2 20 9 13" xfId="7797"/>
    <cellStyle name="Input [yellow] 2 20 9 13 2" xfId="18994"/>
    <cellStyle name="Input [yellow] 2 20 9 13 3" xfId="30162"/>
    <cellStyle name="Input [yellow] 2 20 9 13 4" xfId="41327"/>
    <cellStyle name="Input [yellow] 2 20 9 13 5" xfId="52520"/>
    <cellStyle name="Input [yellow] 2 20 9 14" xfId="8431"/>
    <cellStyle name="Input [yellow] 2 20 9 14 2" xfId="19628"/>
    <cellStyle name="Input [yellow] 2 20 9 14 3" xfId="30796"/>
    <cellStyle name="Input [yellow] 2 20 9 14 4" xfId="41961"/>
    <cellStyle name="Input [yellow] 2 20 9 14 5" xfId="53154"/>
    <cellStyle name="Input [yellow] 2 20 9 15" xfId="9059"/>
    <cellStyle name="Input [yellow] 2 20 9 15 2" xfId="20256"/>
    <cellStyle name="Input [yellow] 2 20 9 15 3" xfId="31424"/>
    <cellStyle name="Input [yellow] 2 20 9 15 4" xfId="42589"/>
    <cellStyle name="Input [yellow] 2 20 9 15 5" xfId="53782"/>
    <cellStyle name="Input [yellow] 2 20 9 16" xfId="9482"/>
    <cellStyle name="Input [yellow] 2 20 9 16 2" xfId="20679"/>
    <cellStyle name="Input [yellow] 2 20 9 16 3" xfId="31847"/>
    <cellStyle name="Input [yellow] 2 20 9 16 4" xfId="43012"/>
    <cellStyle name="Input [yellow] 2 20 9 16 5" xfId="54205"/>
    <cellStyle name="Input [yellow] 2 20 9 17" xfId="10107"/>
    <cellStyle name="Input [yellow] 2 20 9 17 2" xfId="21304"/>
    <cellStyle name="Input [yellow] 2 20 9 17 3" xfId="32472"/>
    <cellStyle name="Input [yellow] 2 20 9 17 4" xfId="43637"/>
    <cellStyle name="Input [yellow] 2 20 9 17 5" xfId="54830"/>
    <cellStyle name="Input [yellow] 2 20 9 18" xfId="10619"/>
    <cellStyle name="Input [yellow] 2 20 9 18 2" xfId="21816"/>
    <cellStyle name="Input [yellow] 2 20 9 18 3" xfId="32984"/>
    <cellStyle name="Input [yellow] 2 20 9 18 4" xfId="44149"/>
    <cellStyle name="Input [yellow] 2 20 9 18 5" xfId="55342"/>
    <cellStyle name="Input [yellow] 2 20 9 19" xfId="11147"/>
    <cellStyle name="Input [yellow] 2 20 9 19 2" xfId="22344"/>
    <cellStyle name="Input [yellow] 2 20 9 19 3" xfId="33512"/>
    <cellStyle name="Input [yellow] 2 20 9 19 4" xfId="44677"/>
    <cellStyle name="Input [yellow] 2 20 9 19 5" xfId="55870"/>
    <cellStyle name="Input [yellow] 2 20 9 2" xfId="1243"/>
    <cellStyle name="Input [yellow] 2 20 9 2 2" xfId="12440"/>
    <cellStyle name="Input [yellow] 2 20 9 2 3" xfId="23608"/>
    <cellStyle name="Input [yellow] 2 20 9 2 4" xfId="34773"/>
    <cellStyle name="Input [yellow] 2 20 9 2 5" xfId="45966"/>
    <cellStyle name="Input [yellow] 2 20 9 20" xfId="11794"/>
    <cellStyle name="Input [yellow] 2 20 9 21" xfId="22964"/>
    <cellStyle name="Input [yellow] 2 20 9 22" xfId="34131"/>
    <cellStyle name="Input [yellow] 2 20 9 23" xfId="45317"/>
    <cellStyle name="Input [yellow] 2 20 9 3" xfId="1910"/>
    <cellStyle name="Input [yellow] 2 20 9 3 2" xfId="13107"/>
    <cellStyle name="Input [yellow] 2 20 9 3 3" xfId="24275"/>
    <cellStyle name="Input [yellow] 2 20 9 3 4" xfId="35440"/>
    <cellStyle name="Input [yellow] 2 20 9 3 5" xfId="46633"/>
    <cellStyle name="Input [yellow] 2 20 9 4" xfId="2519"/>
    <cellStyle name="Input [yellow] 2 20 9 4 2" xfId="13716"/>
    <cellStyle name="Input [yellow] 2 20 9 4 3" xfId="24884"/>
    <cellStyle name="Input [yellow] 2 20 9 4 4" xfId="36049"/>
    <cellStyle name="Input [yellow] 2 20 9 4 5" xfId="47242"/>
    <cellStyle name="Input [yellow] 2 20 9 5" xfId="2944"/>
    <cellStyle name="Input [yellow] 2 20 9 5 2" xfId="14141"/>
    <cellStyle name="Input [yellow] 2 20 9 5 3" xfId="25309"/>
    <cellStyle name="Input [yellow] 2 20 9 5 4" xfId="36474"/>
    <cellStyle name="Input [yellow] 2 20 9 5 5" xfId="47667"/>
    <cellStyle name="Input [yellow] 2 20 9 6" xfId="3578"/>
    <cellStyle name="Input [yellow] 2 20 9 6 2" xfId="14775"/>
    <cellStyle name="Input [yellow] 2 20 9 6 3" xfId="25943"/>
    <cellStyle name="Input [yellow] 2 20 9 6 4" xfId="37108"/>
    <cellStyle name="Input [yellow] 2 20 9 6 5" xfId="48301"/>
    <cellStyle name="Input [yellow] 2 20 9 7" xfId="4212"/>
    <cellStyle name="Input [yellow] 2 20 9 7 2" xfId="15409"/>
    <cellStyle name="Input [yellow] 2 20 9 7 3" xfId="26577"/>
    <cellStyle name="Input [yellow] 2 20 9 7 4" xfId="37742"/>
    <cellStyle name="Input [yellow] 2 20 9 7 5" xfId="48935"/>
    <cellStyle name="Input [yellow] 2 20 9 8" xfId="4845"/>
    <cellStyle name="Input [yellow] 2 20 9 8 2" xfId="16042"/>
    <cellStyle name="Input [yellow] 2 20 9 8 3" xfId="27210"/>
    <cellStyle name="Input [yellow] 2 20 9 8 4" xfId="38375"/>
    <cellStyle name="Input [yellow] 2 20 9 8 5" xfId="49568"/>
    <cellStyle name="Input [yellow] 2 20 9 9" xfId="5476"/>
    <cellStyle name="Input [yellow] 2 20 9 9 2" xfId="16673"/>
    <cellStyle name="Input [yellow] 2 20 9 9 3" xfId="27841"/>
    <cellStyle name="Input [yellow] 2 20 9 9 4" xfId="39006"/>
    <cellStyle name="Input [yellow] 2 20 9 9 5" xfId="50199"/>
    <cellStyle name="Input [yellow] 2 21" xfId="131"/>
    <cellStyle name="Input [yellow] 2 21 10" xfId="6162"/>
    <cellStyle name="Input [yellow] 2 21 10 2" xfId="17359"/>
    <cellStyle name="Input [yellow] 2 21 10 3" xfId="28527"/>
    <cellStyle name="Input [yellow] 2 21 10 4" xfId="39692"/>
    <cellStyle name="Input [yellow] 2 21 10 5" xfId="50885"/>
    <cellStyle name="Input [yellow] 2 21 11" xfId="6077"/>
    <cellStyle name="Input [yellow] 2 21 11 2" xfId="17274"/>
    <cellStyle name="Input [yellow] 2 21 11 3" xfId="28442"/>
    <cellStyle name="Input [yellow] 2 21 11 4" xfId="39607"/>
    <cellStyle name="Input [yellow] 2 21 11 5" xfId="50800"/>
    <cellStyle name="Input [yellow] 2 21 12" xfId="6700"/>
    <cellStyle name="Input [yellow] 2 21 12 2" xfId="17897"/>
    <cellStyle name="Input [yellow] 2 21 12 3" xfId="29065"/>
    <cellStyle name="Input [yellow] 2 21 12 4" xfId="40230"/>
    <cellStyle name="Input [yellow] 2 21 12 5" xfId="51423"/>
    <cellStyle name="Input [yellow] 2 21 13" xfId="7334"/>
    <cellStyle name="Input [yellow] 2 21 13 2" xfId="18531"/>
    <cellStyle name="Input [yellow] 2 21 13 3" xfId="29699"/>
    <cellStyle name="Input [yellow] 2 21 13 4" xfId="40864"/>
    <cellStyle name="Input [yellow] 2 21 13 5" xfId="52057"/>
    <cellStyle name="Input [yellow] 2 21 14" xfId="7968"/>
    <cellStyle name="Input [yellow] 2 21 14 2" xfId="19165"/>
    <cellStyle name="Input [yellow] 2 21 14 3" xfId="30333"/>
    <cellStyle name="Input [yellow] 2 21 14 4" xfId="41498"/>
    <cellStyle name="Input [yellow] 2 21 14 5" xfId="52691"/>
    <cellStyle name="Input [yellow] 2 21 15" xfId="8599"/>
    <cellStyle name="Input [yellow] 2 21 15 2" xfId="19796"/>
    <cellStyle name="Input [yellow] 2 21 15 3" xfId="30964"/>
    <cellStyle name="Input [yellow] 2 21 15 4" xfId="42129"/>
    <cellStyle name="Input [yellow] 2 21 15 5" xfId="53322"/>
    <cellStyle name="Input [yellow] 2 21 16" xfId="9012"/>
    <cellStyle name="Input [yellow] 2 21 16 2" xfId="20209"/>
    <cellStyle name="Input [yellow] 2 21 16 3" xfId="31377"/>
    <cellStyle name="Input [yellow] 2 21 16 4" xfId="42542"/>
    <cellStyle name="Input [yellow] 2 21 16 5" xfId="53735"/>
    <cellStyle name="Input [yellow] 2 21 17" xfId="9652"/>
    <cellStyle name="Input [yellow] 2 21 17 2" xfId="20849"/>
    <cellStyle name="Input [yellow] 2 21 17 3" xfId="32017"/>
    <cellStyle name="Input [yellow] 2 21 17 4" xfId="43182"/>
    <cellStyle name="Input [yellow] 2 21 17 5" xfId="54375"/>
    <cellStyle name="Input [yellow] 2 21 18" xfId="10535"/>
    <cellStyle name="Input [yellow] 2 21 18 2" xfId="21732"/>
    <cellStyle name="Input [yellow] 2 21 18 3" xfId="32900"/>
    <cellStyle name="Input [yellow] 2 21 18 4" xfId="44065"/>
    <cellStyle name="Input [yellow] 2 21 18 5" xfId="55258"/>
    <cellStyle name="Input [yellow] 2 21 19" xfId="10684"/>
    <cellStyle name="Input [yellow] 2 21 19 2" xfId="21881"/>
    <cellStyle name="Input [yellow] 2 21 19 3" xfId="33049"/>
    <cellStyle name="Input [yellow] 2 21 19 4" xfId="44214"/>
    <cellStyle name="Input [yellow] 2 21 19 5" xfId="55407"/>
    <cellStyle name="Input [yellow] 2 21 2" xfId="780"/>
    <cellStyle name="Input [yellow] 2 21 2 2" xfId="11977"/>
    <cellStyle name="Input [yellow] 2 21 2 3" xfId="23145"/>
    <cellStyle name="Input [yellow] 2 21 2 4" xfId="34310"/>
    <cellStyle name="Input [yellow] 2 21 2 5" xfId="45503"/>
    <cellStyle name="Input [yellow] 2 21 20" xfId="11331"/>
    <cellStyle name="Input [yellow] 2 21 21" xfId="22501"/>
    <cellStyle name="Input [yellow] 2 21 22" xfId="33668"/>
    <cellStyle name="Input [yellow] 2 21 23" xfId="44854"/>
    <cellStyle name="Input [yellow] 2 21 3" xfId="1732"/>
    <cellStyle name="Input [yellow] 2 21 3 2" xfId="12929"/>
    <cellStyle name="Input [yellow] 2 21 3 3" xfId="24097"/>
    <cellStyle name="Input [yellow] 2 21 3 4" xfId="35262"/>
    <cellStyle name="Input [yellow] 2 21 3 5" xfId="46455"/>
    <cellStyle name="Input [yellow] 2 21 4" xfId="2057"/>
    <cellStyle name="Input [yellow] 2 21 4 2" xfId="13254"/>
    <cellStyle name="Input [yellow] 2 21 4 3" xfId="24422"/>
    <cellStyle name="Input [yellow] 2 21 4 4" xfId="35587"/>
    <cellStyle name="Input [yellow] 2 21 4 5" xfId="46780"/>
    <cellStyle name="Input [yellow] 2 21 5" xfId="2296"/>
    <cellStyle name="Input [yellow] 2 21 5 2" xfId="13493"/>
    <cellStyle name="Input [yellow] 2 21 5 3" xfId="24661"/>
    <cellStyle name="Input [yellow] 2 21 5 4" xfId="35826"/>
    <cellStyle name="Input [yellow] 2 21 5 5" xfId="47019"/>
    <cellStyle name="Input [yellow] 2 21 6" xfId="3115"/>
    <cellStyle name="Input [yellow] 2 21 6 2" xfId="14312"/>
    <cellStyle name="Input [yellow] 2 21 6 3" xfId="25480"/>
    <cellStyle name="Input [yellow] 2 21 6 4" xfId="36645"/>
    <cellStyle name="Input [yellow] 2 21 6 5" xfId="47838"/>
    <cellStyle name="Input [yellow] 2 21 7" xfId="3749"/>
    <cellStyle name="Input [yellow] 2 21 7 2" xfId="14946"/>
    <cellStyle name="Input [yellow] 2 21 7 3" xfId="26114"/>
    <cellStyle name="Input [yellow] 2 21 7 4" xfId="37279"/>
    <cellStyle name="Input [yellow] 2 21 7 5" xfId="48472"/>
    <cellStyle name="Input [yellow] 2 21 8" xfId="4382"/>
    <cellStyle name="Input [yellow] 2 21 8 2" xfId="15579"/>
    <cellStyle name="Input [yellow] 2 21 8 3" xfId="26747"/>
    <cellStyle name="Input [yellow] 2 21 8 4" xfId="37912"/>
    <cellStyle name="Input [yellow] 2 21 8 5" xfId="49105"/>
    <cellStyle name="Input [yellow] 2 21 9" xfId="5013"/>
    <cellStyle name="Input [yellow] 2 21 9 2" xfId="16210"/>
    <cellStyle name="Input [yellow] 2 21 9 3" xfId="27378"/>
    <cellStyle name="Input [yellow] 2 21 9 4" xfId="38543"/>
    <cellStyle name="Input [yellow] 2 21 9 5" xfId="49736"/>
    <cellStyle name="Input [yellow] 2 22" xfId="53"/>
    <cellStyle name="Input [yellow] 2 22 10" xfId="6058"/>
    <cellStyle name="Input [yellow] 2 22 10 2" xfId="17255"/>
    <cellStyle name="Input [yellow] 2 22 10 3" xfId="28423"/>
    <cellStyle name="Input [yellow] 2 22 10 4" xfId="39588"/>
    <cellStyle name="Input [yellow] 2 22 10 5" xfId="50781"/>
    <cellStyle name="Input [yellow] 2 22 11" xfId="5972"/>
    <cellStyle name="Input [yellow] 2 22 11 2" xfId="17169"/>
    <cellStyle name="Input [yellow] 2 22 11 3" xfId="28337"/>
    <cellStyle name="Input [yellow] 2 22 11 4" xfId="39502"/>
    <cellStyle name="Input [yellow] 2 22 11 5" xfId="50695"/>
    <cellStyle name="Input [yellow] 2 22 12" xfId="6048"/>
    <cellStyle name="Input [yellow] 2 22 12 2" xfId="17245"/>
    <cellStyle name="Input [yellow] 2 22 12 3" xfId="28413"/>
    <cellStyle name="Input [yellow] 2 22 12 4" xfId="39578"/>
    <cellStyle name="Input [yellow] 2 22 12 5" xfId="50771"/>
    <cellStyle name="Input [yellow] 2 22 13" xfId="5698"/>
    <cellStyle name="Input [yellow] 2 22 13 2" xfId="16895"/>
    <cellStyle name="Input [yellow] 2 22 13 3" xfId="28063"/>
    <cellStyle name="Input [yellow] 2 22 13 4" xfId="39228"/>
    <cellStyle name="Input [yellow] 2 22 13 5" xfId="50421"/>
    <cellStyle name="Input [yellow] 2 22 14" xfId="6641"/>
    <cellStyle name="Input [yellow] 2 22 14 2" xfId="17838"/>
    <cellStyle name="Input [yellow] 2 22 14 3" xfId="29006"/>
    <cellStyle name="Input [yellow] 2 22 14 4" xfId="40171"/>
    <cellStyle name="Input [yellow] 2 22 14 5" xfId="51364"/>
    <cellStyle name="Input [yellow] 2 22 15" xfId="5614"/>
    <cellStyle name="Input [yellow] 2 22 15 2" xfId="16811"/>
    <cellStyle name="Input [yellow] 2 22 15 3" xfId="27979"/>
    <cellStyle name="Input [yellow] 2 22 15 4" xfId="39144"/>
    <cellStyle name="Input [yellow] 2 22 15 5" xfId="50337"/>
    <cellStyle name="Input [yellow] 2 22 16" xfId="5986"/>
    <cellStyle name="Input [yellow] 2 22 16 2" xfId="17183"/>
    <cellStyle name="Input [yellow] 2 22 16 3" xfId="28351"/>
    <cellStyle name="Input [yellow] 2 22 16 4" xfId="39516"/>
    <cellStyle name="Input [yellow] 2 22 16 5" xfId="50709"/>
    <cellStyle name="Input [yellow] 2 22 17" xfId="8540"/>
    <cellStyle name="Input [yellow] 2 22 17 2" xfId="19737"/>
    <cellStyle name="Input [yellow] 2 22 17 3" xfId="30905"/>
    <cellStyle name="Input [yellow] 2 22 17 4" xfId="42070"/>
    <cellStyle name="Input [yellow] 2 22 17 5" xfId="53263"/>
    <cellStyle name="Input [yellow] 2 22 18" xfId="10492"/>
    <cellStyle name="Input [yellow] 2 22 18 2" xfId="21689"/>
    <cellStyle name="Input [yellow] 2 22 18 3" xfId="32857"/>
    <cellStyle name="Input [yellow] 2 22 18 4" xfId="44022"/>
    <cellStyle name="Input [yellow] 2 22 18 5" xfId="55215"/>
    <cellStyle name="Input [yellow] 2 22 19" xfId="9958"/>
    <cellStyle name="Input [yellow] 2 22 19 2" xfId="21155"/>
    <cellStyle name="Input [yellow] 2 22 19 3" xfId="32323"/>
    <cellStyle name="Input [yellow] 2 22 19 4" xfId="43488"/>
    <cellStyle name="Input [yellow] 2 22 19 5" xfId="54681"/>
    <cellStyle name="Input [yellow] 2 22 2" xfId="708"/>
    <cellStyle name="Input [yellow] 2 22 2 2" xfId="11907"/>
    <cellStyle name="Input [yellow] 2 22 2 3" xfId="23076"/>
    <cellStyle name="Input [yellow] 2 22 2 4" xfId="34243"/>
    <cellStyle name="Input [yellow] 2 22 2 5" xfId="45431"/>
    <cellStyle name="Input [yellow] 2 22 20" xfId="11255"/>
    <cellStyle name="Input [yellow] 2 22 21" xfId="11266"/>
    <cellStyle name="Input [yellow] 2 22 22" xfId="11261"/>
    <cellStyle name="Input [yellow] 2 22 23" xfId="44782"/>
    <cellStyle name="Input [yellow] 2 22 3" xfId="1789"/>
    <cellStyle name="Input [yellow] 2 22 3 2" xfId="12986"/>
    <cellStyle name="Input [yellow] 2 22 3 3" xfId="24154"/>
    <cellStyle name="Input [yellow] 2 22 3 4" xfId="35319"/>
    <cellStyle name="Input [yellow] 2 22 3 5" xfId="46512"/>
    <cellStyle name="Input [yellow] 2 22 4" xfId="1982"/>
    <cellStyle name="Input [yellow] 2 22 4 2" xfId="13179"/>
    <cellStyle name="Input [yellow] 2 22 4 3" xfId="24347"/>
    <cellStyle name="Input [yellow] 2 22 4 4" xfId="35512"/>
    <cellStyle name="Input [yellow] 2 22 4 5" xfId="46705"/>
    <cellStyle name="Input [yellow] 2 22 5" xfId="2368"/>
    <cellStyle name="Input [yellow] 2 22 5 2" xfId="13565"/>
    <cellStyle name="Input [yellow] 2 22 5 3" xfId="24733"/>
    <cellStyle name="Input [yellow] 2 22 5 4" xfId="35898"/>
    <cellStyle name="Input [yellow] 2 22 5 5" xfId="47091"/>
    <cellStyle name="Input [yellow] 2 22 6" xfId="1363"/>
    <cellStyle name="Input [yellow] 2 22 6 2" xfId="12560"/>
    <cellStyle name="Input [yellow] 2 22 6 3" xfId="23728"/>
    <cellStyle name="Input [yellow] 2 22 6 4" xfId="34893"/>
    <cellStyle name="Input [yellow] 2 22 6 5" xfId="46086"/>
    <cellStyle name="Input [yellow] 2 22 7" xfId="2613"/>
    <cellStyle name="Input [yellow] 2 22 7 2" xfId="13810"/>
    <cellStyle name="Input [yellow] 2 22 7 3" xfId="24978"/>
    <cellStyle name="Input [yellow] 2 22 7 4" xfId="36143"/>
    <cellStyle name="Input [yellow] 2 22 7 5" xfId="47336"/>
    <cellStyle name="Input [yellow] 2 22 8" xfId="1614"/>
    <cellStyle name="Input [yellow] 2 22 8 2" xfId="12811"/>
    <cellStyle name="Input [yellow] 2 22 8 3" xfId="23979"/>
    <cellStyle name="Input [yellow] 2 22 8 4" xfId="35144"/>
    <cellStyle name="Input [yellow] 2 22 8 5" xfId="46337"/>
    <cellStyle name="Input [yellow] 2 22 9" xfId="3683"/>
    <cellStyle name="Input [yellow] 2 22 9 2" xfId="14880"/>
    <cellStyle name="Input [yellow] 2 22 9 3" xfId="26048"/>
    <cellStyle name="Input [yellow] 2 22 9 4" xfId="37213"/>
    <cellStyle name="Input [yellow] 2 22 9 5" xfId="48406"/>
    <cellStyle name="Input [yellow] 2 23" xfId="286"/>
    <cellStyle name="Input [yellow] 2 23 10" xfId="5685"/>
    <cellStyle name="Input [yellow] 2 23 10 2" xfId="16882"/>
    <cellStyle name="Input [yellow] 2 23 10 3" xfId="28050"/>
    <cellStyle name="Input [yellow] 2 23 10 4" xfId="39215"/>
    <cellStyle name="Input [yellow] 2 23 10 5" xfId="50408"/>
    <cellStyle name="Input [yellow] 2 23 11" xfId="6222"/>
    <cellStyle name="Input [yellow] 2 23 11 2" xfId="17419"/>
    <cellStyle name="Input [yellow] 2 23 11 3" xfId="28587"/>
    <cellStyle name="Input [yellow] 2 23 11 4" xfId="39752"/>
    <cellStyle name="Input [yellow] 2 23 11 5" xfId="50945"/>
    <cellStyle name="Input [yellow] 2 23 12" xfId="6855"/>
    <cellStyle name="Input [yellow] 2 23 12 2" xfId="18052"/>
    <cellStyle name="Input [yellow] 2 23 12 3" xfId="29220"/>
    <cellStyle name="Input [yellow] 2 23 12 4" xfId="40385"/>
    <cellStyle name="Input [yellow] 2 23 12 5" xfId="51578"/>
    <cellStyle name="Input [yellow] 2 23 13" xfId="7489"/>
    <cellStyle name="Input [yellow] 2 23 13 2" xfId="18686"/>
    <cellStyle name="Input [yellow] 2 23 13 3" xfId="29854"/>
    <cellStyle name="Input [yellow] 2 23 13 4" xfId="41019"/>
    <cellStyle name="Input [yellow] 2 23 13 5" xfId="52212"/>
    <cellStyle name="Input [yellow] 2 23 14" xfId="8123"/>
    <cellStyle name="Input [yellow] 2 23 14 2" xfId="19320"/>
    <cellStyle name="Input [yellow] 2 23 14 3" xfId="30488"/>
    <cellStyle name="Input [yellow] 2 23 14 4" xfId="41653"/>
    <cellStyle name="Input [yellow] 2 23 14 5" xfId="52846"/>
    <cellStyle name="Input [yellow] 2 23 15" xfId="8752"/>
    <cellStyle name="Input [yellow] 2 23 15 2" xfId="19949"/>
    <cellStyle name="Input [yellow] 2 23 15 3" xfId="31117"/>
    <cellStyle name="Input [yellow] 2 23 15 4" xfId="42282"/>
    <cellStyle name="Input [yellow] 2 23 15 5" xfId="53475"/>
    <cellStyle name="Input [yellow] 2 23 16" xfId="9174"/>
    <cellStyle name="Input [yellow] 2 23 16 2" xfId="20371"/>
    <cellStyle name="Input [yellow] 2 23 16 3" xfId="31539"/>
    <cellStyle name="Input [yellow] 2 23 16 4" xfId="42704"/>
    <cellStyle name="Input [yellow] 2 23 16 5" xfId="53897"/>
    <cellStyle name="Input [yellow] 2 23 17" xfId="9801"/>
    <cellStyle name="Input [yellow] 2 23 17 2" xfId="20998"/>
    <cellStyle name="Input [yellow] 2 23 17 3" xfId="32166"/>
    <cellStyle name="Input [yellow] 2 23 17 4" xfId="43331"/>
    <cellStyle name="Input [yellow] 2 23 17 5" xfId="54524"/>
    <cellStyle name="Input [yellow] 2 23 18" xfId="10364"/>
    <cellStyle name="Input [yellow] 2 23 18 2" xfId="21561"/>
    <cellStyle name="Input [yellow] 2 23 18 3" xfId="32729"/>
    <cellStyle name="Input [yellow] 2 23 18 4" xfId="43894"/>
    <cellStyle name="Input [yellow] 2 23 18 5" xfId="55087"/>
    <cellStyle name="Input [yellow] 2 23 19" xfId="10839"/>
    <cellStyle name="Input [yellow] 2 23 19 2" xfId="22036"/>
    <cellStyle name="Input [yellow] 2 23 19 3" xfId="33204"/>
    <cellStyle name="Input [yellow] 2 23 19 4" xfId="44369"/>
    <cellStyle name="Input [yellow] 2 23 19 5" xfId="55562"/>
    <cellStyle name="Input [yellow] 2 23 2" xfId="935"/>
    <cellStyle name="Input [yellow] 2 23 2 2" xfId="12132"/>
    <cellStyle name="Input [yellow] 2 23 2 3" xfId="23300"/>
    <cellStyle name="Input [yellow] 2 23 2 4" xfId="34465"/>
    <cellStyle name="Input [yellow] 2 23 2 5" xfId="45658"/>
    <cellStyle name="Input [yellow] 2 23 20" xfId="11486"/>
    <cellStyle name="Input [yellow] 2 23 21" xfId="22656"/>
    <cellStyle name="Input [yellow] 2 23 22" xfId="33823"/>
    <cellStyle name="Input [yellow] 2 23 23" xfId="45009"/>
    <cellStyle name="Input [yellow] 2 23 3" xfId="1571"/>
    <cellStyle name="Input [yellow] 2 23 3 2" xfId="12768"/>
    <cellStyle name="Input [yellow] 2 23 3 3" xfId="23936"/>
    <cellStyle name="Input [yellow] 2 23 3 4" xfId="35101"/>
    <cellStyle name="Input [yellow] 2 23 3 5" xfId="46294"/>
    <cellStyle name="Input [yellow] 2 23 4" xfId="2212"/>
    <cellStyle name="Input [yellow] 2 23 4 2" xfId="13409"/>
    <cellStyle name="Input [yellow] 2 23 4 3" xfId="24577"/>
    <cellStyle name="Input [yellow] 2 23 4 4" xfId="35742"/>
    <cellStyle name="Input [yellow] 2 23 4 5" xfId="46935"/>
    <cellStyle name="Input [yellow] 2 23 5" xfId="2636"/>
    <cellStyle name="Input [yellow] 2 23 5 2" xfId="13833"/>
    <cellStyle name="Input [yellow] 2 23 5 3" xfId="25001"/>
    <cellStyle name="Input [yellow] 2 23 5 4" xfId="36166"/>
    <cellStyle name="Input [yellow] 2 23 5 5" xfId="47359"/>
    <cellStyle name="Input [yellow] 2 23 6" xfId="3270"/>
    <cellStyle name="Input [yellow] 2 23 6 2" xfId="14467"/>
    <cellStyle name="Input [yellow] 2 23 6 3" xfId="25635"/>
    <cellStyle name="Input [yellow] 2 23 6 4" xfId="36800"/>
    <cellStyle name="Input [yellow] 2 23 6 5" xfId="47993"/>
    <cellStyle name="Input [yellow] 2 23 7" xfId="3904"/>
    <cellStyle name="Input [yellow] 2 23 7 2" xfId="15101"/>
    <cellStyle name="Input [yellow] 2 23 7 3" xfId="26269"/>
    <cellStyle name="Input [yellow] 2 23 7 4" xfId="37434"/>
    <cellStyle name="Input [yellow] 2 23 7 5" xfId="48627"/>
    <cellStyle name="Input [yellow] 2 23 8" xfId="4537"/>
    <cellStyle name="Input [yellow] 2 23 8 2" xfId="15734"/>
    <cellStyle name="Input [yellow] 2 23 8 3" xfId="26902"/>
    <cellStyle name="Input [yellow] 2 23 8 4" xfId="38067"/>
    <cellStyle name="Input [yellow] 2 23 8 5" xfId="49260"/>
    <cellStyle name="Input [yellow] 2 23 9" xfId="5168"/>
    <cellStyle name="Input [yellow] 2 23 9 2" xfId="16365"/>
    <cellStyle name="Input [yellow] 2 23 9 3" xfId="27533"/>
    <cellStyle name="Input [yellow] 2 23 9 4" xfId="38698"/>
    <cellStyle name="Input [yellow] 2 23 9 5" xfId="49891"/>
    <cellStyle name="Input [yellow] 2 24" xfId="307"/>
    <cellStyle name="Input [yellow] 2 24 10" xfId="6073"/>
    <cellStyle name="Input [yellow] 2 24 10 2" xfId="17270"/>
    <cellStyle name="Input [yellow] 2 24 10 3" xfId="28438"/>
    <cellStyle name="Input [yellow] 2 24 10 4" xfId="39603"/>
    <cellStyle name="Input [yellow] 2 24 10 5" xfId="50796"/>
    <cellStyle name="Input [yellow] 2 24 11" xfId="6243"/>
    <cellStyle name="Input [yellow] 2 24 11 2" xfId="17440"/>
    <cellStyle name="Input [yellow] 2 24 11 3" xfId="28608"/>
    <cellStyle name="Input [yellow] 2 24 11 4" xfId="39773"/>
    <cellStyle name="Input [yellow] 2 24 11 5" xfId="50966"/>
    <cellStyle name="Input [yellow] 2 24 12" xfId="6876"/>
    <cellStyle name="Input [yellow] 2 24 12 2" xfId="18073"/>
    <cellStyle name="Input [yellow] 2 24 12 3" xfId="29241"/>
    <cellStyle name="Input [yellow] 2 24 12 4" xfId="40406"/>
    <cellStyle name="Input [yellow] 2 24 12 5" xfId="51599"/>
    <cellStyle name="Input [yellow] 2 24 13" xfId="7510"/>
    <cellStyle name="Input [yellow] 2 24 13 2" xfId="18707"/>
    <cellStyle name="Input [yellow] 2 24 13 3" xfId="29875"/>
    <cellStyle name="Input [yellow] 2 24 13 4" xfId="41040"/>
    <cellStyle name="Input [yellow] 2 24 13 5" xfId="52233"/>
    <cellStyle name="Input [yellow] 2 24 14" xfId="8144"/>
    <cellStyle name="Input [yellow] 2 24 14 2" xfId="19341"/>
    <cellStyle name="Input [yellow] 2 24 14 3" xfId="30509"/>
    <cellStyle name="Input [yellow] 2 24 14 4" xfId="41674"/>
    <cellStyle name="Input [yellow] 2 24 14 5" xfId="52867"/>
    <cellStyle name="Input [yellow] 2 24 15" xfId="8773"/>
    <cellStyle name="Input [yellow] 2 24 15 2" xfId="19970"/>
    <cellStyle name="Input [yellow] 2 24 15 3" xfId="31138"/>
    <cellStyle name="Input [yellow] 2 24 15 4" xfId="42303"/>
    <cellStyle name="Input [yellow] 2 24 15 5" xfId="53496"/>
    <cellStyle name="Input [yellow] 2 24 16" xfId="9195"/>
    <cellStyle name="Input [yellow] 2 24 16 2" xfId="20392"/>
    <cellStyle name="Input [yellow] 2 24 16 3" xfId="31560"/>
    <cellStyle name="Input [yellow] 2 24 16 4" xfId="42725"/>
    <cellStyle name="Input [yellow] 2 24 16 5" xfId="53918"/>
    <cellStyle name="Input [yellow] 2 24 17" xfId="9822"/>
    <cellStyle name="Input [yellow] 2 24 17 2" xfId="21019"/>
    <cellStyle name="Input [yellow] 2 24 17 3" xfId="32187"/>
    <cellStyle name="Input [yellow] 2 24 17 4" xfId="43352"/>
    <cellStyle name="Input [yellow] 2 24 17 5" xfId="54545"/>
    <cellStyle name="Input [yellow] 2 24 18" xfId="10416"/>
    <cellStyle name="Input [yellow] 2 24 18 2" xfId="21613"/>
    <cellStyle name="Input [yellow] 2 24 18 3" xfId="32781"/>
    <cellStyle name="Input [yellow] 2 24 18 4" xfId="43946"/>
    <cellStyle name="Input [yellow] 2 24 18 5" xfId="55139"/>
    <cellStyle name="Input [yellow] 2 24 19" xfId="10860"/>
    <cellStyle name="Input [yellow] 2 24 19 2" xfId="22057"/>
    <cellStyle name="Input [yellow] 2 24 19 3" xfId="33225"/>
    <cellStyle name="Input [yellow] 2 24 19 4" xfId="44390"/>
    <cellStyle name="Input [yellow] 2 24 19 5" xfId="55583"/>
    <cellStyle name="Input [yellow] 2 24 2" xfId="956"/>
    <cellStyle name="Input [yellow] 2 24 2 2" xfId="12153"/>
    <cellStyle name="Input [yellow] 2 24 2 3" xfId="23321"/>
    <cellStyle name="Input [yellow] 2 24 2 4" xfId="34486"/>
    <cellStyle name="Input [yellow] 2 24 2 5" xfId="45679"/>
    <cellStyle name="Input [yellow] 2 24 20" xfId="11507"/>
    <cellStyle name="Input [yellow] 2 24 21" xfId="22677"/>
    <cellStyle name="Input [yellow] 2 24 22" xfId="33844"/>
    <cellStyle name="Input [yellow] 2 24 23" xfId="45030"/>
    <cellStyle name="Input [yellow] 2 24 3" xfId="1723"/>
    <cellStyle name="Input [yellow] 2 24 3 2" xfId="12920"/>
    <cellStyle name="Input [yellow] 2 24 3 3" xfId="24088"/>
    <cellStyle name="Input [yellow] 2 24 3 4" xfId="35253"/>
    <cellStyle name="Input [yellow] 2 24 3 5" xfId="46446"/>
    <cellStyle name="Input [yellow] 2 24 4" xfId="2232"/>
    <cellStyle name="Input [yellow] 2 24 4 2" xfId="13429"/>
    <cellStyle name="Input [yellow] 2 24 4 3" xfId="24597"/>
    <cellStyle name="Input [yellow] 2 24 4 4" xfId="35762"/>
    <cellStyle name="Input [yellow] 2 24 4 5" xfId="46955"/>
    <cellStyle name="Input [yellow] 2 24 5" xfId="2657"/>
    <cellStyle name="Input [yellow] 2 24 5 2" xfId="13854"/>
    <cellStyle name="Input [yellow] 2 24 5 3" xfId="25022"/>
    <cellStyle name="Input [yellow] 2 24 5 4" xfId="36187"/>
    <cellStyle name="Input [yellow] 2 24 5 5" xfId="47380"/>
    <cellStyle name="Input [yellow] 2 24 6" xfId="3291"/>
    <cellStyle name="Input [yellow] 2 24 6 2" xfId="14488"/>
    <cellStyle name="Input [yellow] 2 24 6 3" xfId="25656"/>
    <cellStyle name="Input [yellow] 2 24 6 4" xfId="36821"/>
    <cellStyle name="Input [yellow] 2 24 6 5" xfId="48014"/>
    <cellStyle name="Input [yellow] 2 24 7" xfId="3925"/>
    <cellStyle name="Input [yellow] 2 24 7 2" xfId="15122"/>
    <cellStyle name="Input [yellow] 2 24 7 3" xfId="26290"/>
    <cellStyle name="Input [yellow] 2 24 7 4" xfId="37455"/>
    <cellStyle name="Input [yellow] 2 24 7 5" xfId="48648"/>
    <cellStyle name="Input [yellow] 2 24 8" xfId="4558"/>
    <cellStyle name="Input [yellow] 2 24 8 2" xfId="15755"/>
    <cellStyle name="Input [yellow] 2 24 8 3" xfId="26923"/>
    <cellStyle name="Input [yellow] 2 24 8 4" xfId="38088"/>
    <cellStyle name="Input [yellow] 2 24 8 5" xfId="49281"/>
    <cellStyle name="Input [yellow] 2 24 9" xfId="5189"/>
    <cellStyle name="Input [yellow] 2 24 9 2" xfId="16386"/>
    <cellStyle name="Input [yellow] 2 24 9 3" xfId="27554"/>
    <cellStyle name="Input [yellow] 2 24 9 4" xfId="38719"/>
    <cellStyle name="Input [yellow] 2 24 9 5" xfId="49912"/>
    <cellStyle name="Input [yellow] 2 25" xfId="404"/>
    <cellStyle name="Input [yellow] 2 25 10" xfId="5939"/>
    <cellStyle name="Input [yellow] 2 25 10 2" xfId="17136"/>
    <cellStyle name="Input [yellow] 2 25 10 3" xfId="28304"/>
    <cellStyle name="Input [yellow] 2 25 10 4" xfId="39469"/>
    <cellStyle name="Input [yellow] 2 25 10 5" xfId="50662"/>
    <cellStyle name="Input [yellow] 2 25 11" xfId="6340"/>
    <cellStyle name="Input [yellow] 2 25 11 2" xfId="17537"/>
    <cellStyle name="Input [yellow] 2 25 11 3" xfId="28705"/>
    <cellStyle name="Input [yellow] 2 25 11 4" xfId="39870"/>
    <cellStyle name="Input [yellow] 2 25 11 5" xfId="51063"/>
    <cellStyle name="Input [yellow] 2 25 12" xfId="6973"/>
    <cellStyle name="Input [yellow] 2 25 12 2" xfId="18170"/>
    <cellStyle name="Input [yellow] 2 25 12 3" xfId="29338"/>
    <cellStyle name="Input [yellow] 2 25 12 4" xfId="40503"/>
    <cellStyle name="Input [yellow] 2 25 12 5" xfId="51696"/>
    <cellStyle name="Input [yellow] 2 25 13" xfId="7607"/>
    <cellStyle name="Input [yellow] 2 25 13 2" xfId="18804"/>
    <cellStyle name="Input [yellow] 2 25 13 3" xfId="29972"/>
    <cellStyle name="Input [yellow] 2 25 13 4" xfId="41137"/>
    <cellStyle name="Input [yellow] 2 25 13 5" xfId="52330"/>
    <cellStyle name="Input [yellow] 2 25 14" xfId="8241"/>
    <cellStyle name="Input [yellow] 2 25 14 2" xfId="19438"/>
    <cellStyle name="Input [yellow] 2 25 14 3" xfId="30606"/>
    <cellStyle name="Input [yellow] 2 25 14 4" xfId="41771"/>
    <cellStyle name="Input [yellow] 2 25 14 5" xfId="52964"/>
    <cellStyle name="Input [yellow] 2 25 15" xfId="8869"/>
    <cellStyle name="Input [yellow] 2 25 15 2" xfId="20066"/>
    <cellStyle name="Input [yellow] 2 25 15 3" xfId="31234"/>
    <cellStyle name="Input [yellow] 2 25 15 4" xfId="42399"/>
    <cellStyle name="Input [yellow] 2 25 15 5" xfId="53592"/>
    <cellStyle name="Input [yellow] 2 25 16" xfId="9292"/>
    <cellStyle name="Input [yellow] 2 25 16 2" xfId="20489"/>
    <cellStyle name="Input [yellow] 2 25 16 3" xfId="31657"/>
    <cellStyle name="Input [yellow] 2 25 16 4" xfId="42822"/>
    <cellStyle name="Input [yellow] 2 25 16 5" xfId="54015"/>
    <cellStyle name="Input [yellow] 2 25 17" xfId="9918"/>
    <cellStyle name="Input [yellow] 2 25 17 2" xfId="21115"/>
    <cellStyle name="Input [yellow] 2 25 17 3" xfId="32283"/>
    <cellStyle name="Input [yellow] 2 25 17 4" xfId="43448"/>
    <cellStyle name="Input [yellow] 2 25 17 5" xfId="54641"/>
    <cellStyle name="Input [yellow] 2 25 18" xfId="10529"/>
    <cellStyle name="Input [yellow] 2 25 18 2" xfId="21726"/>
    <cellStyle name="Input [yellow] 2 25 18 3" xfId="32894"/>
    <cellStyle name="Input [yellow] 2 25 18 4" xfId="44059"/>
    <cellStyle name="Input [yellow] 2 25 18 5" xfId="55252"/>
    <cellStyle name="Input [yellow] 2 25 19" xfId="10957"/>
    <cellStyle name="Input [yellow] 2 25 19 2" xfId="22154"/>
    <cellStyle name="Input [yellow] 2 25 19 3" xfId="33322"/>
    <cellStyle name="Input [yellow] 2 25 19 4" xfId="44487"/>
    <cellStyle name="Input [yellow] 2 25 19 5" xfId="55680"/>
    <cellStyle name="Input [yellow] 2 25 2" xfId="1053"/>
    <cellStyle name="Input [yellow] 2 25 2 2" xfId="12250"/>
    <cellStyle name="Input [yellow] 2 25 2 3" xfId="23418"/>
    <cellStyle name="Input [yellow] 2 25 2 4" xfId="34583"/>
    <cellStyle name="Input [yellow] 2 25 2 5" xfId="45776"/>
    <cellStyle name="Input [yellow] 2 25 20" xfId="11604"/>
    <cellStyle name="Input [yellow] 2 25 21" xfId="22774"/>
    <cellStyle name="Input [yellow] 2 25 22" xfId="33941"/>
    <cellStyle name="Input [yellow] 2 25 23" xfId="45127"/>
    <cellStyle name="Input [yellow] 2 25 3" xfId="1407"/>
    <cellStyle name="Input [yellow] 2 25 3 2" xfId="12604"/>
    <cellStyle name="Input [yellow] 2 25 3 3" xfId="23772"/>
    <cellStyle name="Input [yellow] 2 25 3 4" xfId="34937"/>
    <cellStyle name="Input [yellow] 2 25 3 5" xfId="46130"/>
    <cellStyle name="Input [yellow] 2 25 4" xfId="2329"/>
    <cellStyle name="Input [yellow] 2 25 4 2" xfId="13526"/>
    <cellStyle name="Input [yellow] 2 25 4 3" xfId="24694"/>
    <cellStyle name="Input [yellow] 2 25 4 4" xfId="35859"/>
    <cellStyle name="Input [yellow] 2 25 4 5" xfId="47052"/>
    <cellStyle name="Input [yellow] 2 25 5" xfId="2754"/>
    <cellStyle name="Input [yellow] 2 25 5 2" xfId="13951"/>
    <cellStyle name="Input [yellow] 2 25 5 3" xfId="25119"/>
    <cellStyle name="Input [yellow] 2 25 5 4" xfId="36284"/>
    <cellStyle name="Input [yellow] 2 25 5 5" xfId="47477"/>
    <cellStyle name="Input [yellow] 2 25 6" xfId="3388"/>
    <cellStyle name="Input [yellow] 2 25 6 2" xfId="14585"/>
    <cellStyle name="Input [yellow] 2 25 6 3" xfId="25753"/>
    <cellStyle name="Input [yellow] 2 25 6 4" xfId="36918"/>
    <cellStyle name="Input [yellow] 2 25 6 5" xfId="48111"/>
    <cellStyle name="Input [yellow] 2 25 7" xfId="4022"/>
    <cellStyle name="Input [yellow] 2 25 7 2" xfId="15219"/>
    <cellStyle name="Input [yellow] 2 25 7 3" xfId="26387"/>
    <cellStyle name="Input [yellow] 2 25 7 4" xfId="37552"/>
    <cellStyle name="Input [yellow] 2 25 7 5" xfId="48745"/>
    <cellStyle name="Input [yellow] 2 25 8" xfId="4655"/>
    <cellStyle name="Input [yellow] 2 25 8 2" xfId="15852"/>
    <cellStyle name="Input [yellow] 2 25 8 3" xfId="27020"/>
    <cellStyle name="Input [yellow] 2 25 8 4" xfId="38185"/>
    <cellStyle name="Input [yellow] 2 25 8 5" xfId="49378"/>
    <cellStyle name="Input [yellow] 2 25 9" xfId="5286"/>
    <cellStyle name="Input [yellow] 2 25 9 2" xfId="16483"/>
    <cellStyle name="Input [yellow] 2 25 9 3" xfId="27651"/>
    <cellStyle name="Input [yellow] 2 25 9 4" xfId="38816"/>
    <cellStyle name="Input [yellow] 2 25 9 5" xfId="50009"/>
    <cellStyle name="Input [yellow] 2 26" xfId="420"/>
    <cellStyle name="Input [yellow] 2 26 10" xfId="6141"/>
    <cellStyle name="Input [yellow] 2 26 10 2" xfId="17338"/>
    <cellStyle name="Input [yellow] 2 26 10 3" xfId="28506"/>
    <cellStyle name="Input [yellow] 2 26 10 4" xfId="39671"/>
    <cellStyle name="Input [yellow] 2 26 10 5" xfId="50864"/>
    <cellStyle name="Input [yellow] 2 26 11" xfId="6356"/>
    <cellStyle name="Input [yellow] 2 26 11 2" xfId="17553"/>
    <cellStyle name="Input [yellow] 2 26 11 3" xfId="28721"/>
    <cellStyle name="Input [yellow] 2 26 11 4" xfId="39886"/>
    <cellStyle name="Input [yellow] 2 26 11 5" xfId="51079"/>
    <cellStyle name="Input [yellow] 2 26 12" xfId="6989"/>
    <cellStyle name="Input [yellow] 2 26 12 2" xfId="18186"/>
    <cellStyle name="Input [yellow] 2 26 12 3" xfId="29354"/>
    <cellStyle name="Input [yellow] 2 26 12 4" xfId="40519"/>
    <cellStyle name="Input [yellow] 2 26 12 5" xfId="51712"/>
    <cellStyle name="Input [yellow] 2 26 13" xfId="7623"/>
    <cellStyle name="Input [yellow] 2 26 13 2" xfId="18820"/>
    <cellStyle name="Input [yellow] 2 26 13 3" xfId="29988"/>
    <cellStyle name="Input [yellow] 2 26 13 4" xfId="41153"/>
    <cellStyle name="Input [yellow] 2 26 13 5" xfId="52346"/>
    <cellStyle name="Input [yellow] 2 26 14" xfId="8257"/>
    <cellStyle name="Input [yellow] 2 26 14 2" xfId="19454"/>
    <cellStyle name="Input [yellow] 2 26 14 3" xfId="30622"/>
    <cellStyle name="Input [yellow] 2 26 14 4" xfId="41787"/>
    <cellStyle name="Input [yellow] 2 26 14 5" xfId="52980"/>
    <cellStyle name="Input [yellow] 2 26 15" xfId="8885"/>
    <cellStyle name="Input [yellow] 2 26 15 2" xfId="20082"/>
    <cellStyle name="Input [yellow] 2 26 15 3" xfId="31250"/>
    <cellStyle name="Input [yellow] 2 26 15 4" xfId="42415"/>
    <cellStyle name="Input [yellow] 2 26 15 5" xfId="53608"/>
    <cellStyle name="Input [yellow] 2 26 16" xfId="9308"/>
    <cellStyle name="Input [yellow] 2 26 16 2" xfId="20505"/>
    <cellStyle name="Input [yellow] 2 26 16 3" xfId="31673"/>
    <cellStyle name="Input [yellow] 2 26 16 4" xfId="42838"/>
    <cellStyle name="Input [yellow] 2 26 16 5" xfId="54031"/>
    <cellStyle name="Input [yellow] 2 26 17" xfId="9934"/>
    <cellStyle name="Input [yellow] 2 26 17 2" xfId="21131"/>
    <cellStyle name="Input [yellow] 2 26 17 3" xfId="32299"/>
    <cellStyle name="Input [yellow] 2 26 17 4" xfId="43464"/>
    <cellStyle name="Input [yellow] 2 26 17 5" xfId="54657"/>
    <cellStyle name="Input [yellow] 2 26 18" xfId="10301"/>
    <cellStyle name="Input [yellow] 2 26 18 2" xfId="21498"/>
    <cellStyle name="Input [yellow] 2 26 18 3" xfId="32666"/>
    <cellStyle name="Input [yellow] 2 26 18 4" xfId="43831"/>
    <cellStyle name="Input [yellow] 2 26 18 5" xfId="55024"/>
    <cellStyle name="Input [yellow] 2 26 19" xfId="10973"/>
    <cellStyle name="Input [yellow] 2 26 19 2" xfId="22170"/>
    <cellStyle name="Input [yellow] 2 26 19 3" xfId="33338"/>
    <cellStyle name="Input [yellow] 2 26 19 4" xfId="44503"/>
    <cellStyle name="Input [yellow] 2 26 19 5" xfId="55696"/>
    <cellStyle name="Input [yellow] 2 26 2" xfId="1069"/>
    <cellStyle name="Input [yellow] 2 26 2 2" xfId="12266"/>
    <cellStyle name="Input [yellow] 2 26 2 3" xfId="23434"/>
    <cellStyle name="Input [yellow] 2 26 2 4" xfId="34599"/>
    <cellStyle name="Input [yellow] 2 26 2 5" xfId="45792"/>
    <cellStyle name="Input [yellow] 2 26 20" xfId="11620"/>
    <cellStyle name="Input [yellow] 2 26 21" xfId="22790"/>
    <cellStyle name="Input [yellow] 2 26 22" xfId="33957"/>
    <cellStyle name="Input [yellow] 2 26 23" xfId="45143"/>
    <cellStyle name="Input [yellow] 2 26 3" xfId="1644"/>
    <cellStyle name="Input [yellow] 2 26 3 2" xfId="12841"/>
    <cellStyle name="Input [yellow] 2 26 3 3" xfId="24009"/>
    <cellStyle name="Input [yellow] 2 26 3 4" xfId="35174"/>
    <cellStyle name="Input [yellow] 2 26 3 5" xfId="46367"/>
    <cellStyle name="Input [yellow] 2 26 4" xfId="2345"/>
    <cellStyle name="Input [yellow] 2 26 4 2" xfId="13542"/>
    <cellStyle name="Input [yellow] 2 26 4 3" xfId="24710"/>
    <cellStyle name="Input [yellow] 2 26 4 4" xfId="35875"/>
    <cellStyle name="Input [yellow] 2 26 4 5" xfId="47068"/>
    <cellStyle name="Input [yellow] 2 26 5" xfId="2770"/>
    <cellStyle name="Input [yellow] 2 26 5 2" xfId="13967"/>
    <cellStyle name="Input [yellow] 2 26 5 3" xfId="25135"/>
    <cellStyle name="Input [yellow] 2 26 5 4" xfId="36300"/>
    <cellStyle name="Input [yellow] 2 26 5 5" xfId="47493"/>
    <cellStyle name="Input [yellow] 2 26 6" xfId="3404"/>
    <cellStyle name="Input [yellow] 2 26 6 2" xfId="14601"/>
    <cellStyle name="Input [yellow] 2 26 6 3" xfId="25769"/>
    <cellStyle name="Input [yellow] 2 26 6 4" xfId="36934"/>
    <cellStyle name="Input [yellow] 2 26 6 5" xfId="48127"/>
    <cellStyle name="Input [yellow] 2 26 7" xfId="4038"/>
    <cellStyle name="Input [yellow] 2 26 7 2" xfId="15235"/>
    <cellStyle name="Input [yellow] 2 26 7 3" xfId="26403"/>
    <cellStyle name="Input [yellow] 2 26 7 4" xfId="37568"/>
    <cellStyle name="Input [yellow] 2 26 7 5" xfId="48761"/>
    <cellStyle name="Input [yellow] 2 26 8" xfId="4671"/>
    <cellStyle name="Input [yellow] 2 26 8 2" xfId="15868"/>
    <cellStyle name="Input [yellow] 2 26 8 3" xfId="27036"/>
    <cellStyle name="Input [yellow] 2 26 8 4" xfId="38201"/>
    <cellStyle name="Input [yellow] 2 26 8 5" xfId="49394"/>
    <cellStyle name="Input [yellow] 2 26 9" xfId="5302"/>
    <cellStyle name="Input [yellow] 2 26 9 2" xfId="16499"/>
    <cellStyle name="Input [yellow] 2 26 9 3" xfId="27667"/>
    <cellStyle name="Input [yellow] 2 26 9 4" xfId="38832"/>
    <cellStyle name="Input [yellow] 2 26 9 5" xfId="50025"/>
    <cellStyle name="Input [yellow] 2 27" xfId="386"/>
    <cellStyle name="Input [yellow] 2 27 10" xfId="5699"/>
    <cellStyle name="Input [yellow] 2 27 10 2" xfId="16896"/>
    <cellStyle name="Input [yellow] 2 27 10 3" xfId="28064"/>
    <cellStyle name="Input [yellow] 2 27 10 4" xfId="39229"/>
    <cellStyle name="Input [yellow] 2 27 10 5" xfId="50422"/>
    <cellStyle name="Input [yellow] 2 27 11" xfId="6322"/>
    <cellStyle name="Input [yellow] 2 27 11 2" xfId="17519"/>
    <cellStyle name="Input [yellow] 2 27 11 3" xfId="28687"/>
    <cellStyle name="Input [yellow] 2 27 11 4" xfId="39852"/>
    <cellStyle name="Input [yellow] 2 27 11 5" xfId="51045"/>
    <cellStyle name="Input [yellow] 2 27 12" xfId="6955"/>
    <cellStyle name="Input [yellow] 2 27 12 2" xfId="18152"/>
    <cellStyle name="Input [yellow] 2 27 12 3" xfId="29320"/>
    <cellStyle name="Input [yellow] 2 27 12 4" xfId="40485"/>
    <cellStyle name="Input [yellow] 2 27 12 5" xfId="51678"/>
    <cellStyle name="Input [yellow] 2 27 13" xfId="7589"/>
    <cellStyle name="Input [yellow] 2 27 13 2" xfId="18786"/>
    <cellStyle name="Input [yellow] 2 27 13 3" xfId="29954"/>
    <cellStyle name="Input [yellow] 2 27 13 4" xfId="41119"/>
    <cellStyle name="Input [yellow] 2 27 13 5" xfId="52312"/>
    <cellStyle name="Input [yellow] 2 27 14" xfId="8223"/>
    <cellStyle name="Input [yellow] 2 27 14 2" xfId="19420"/>
    <cellStyle name="Input [yellow] 2 27 14 3" xfId="30588"/>
    <cellStyle name="Input [yellow] 2 27 14 4" xfId="41753"/>
    <cellStyle name="Input [yellow] 2 27 14 5" xfId="52946"/>
    <cellStyle name="Input [yellow] 2 27 15" xfId="8851"/>
    <cellStyle name="Input [yellow] 2 27 15 2" xfId="20048"/>
    <cellStyle name="Input [yellow] 2 27 15 3" xfId="31216"/>
    <cellStyle name="Input [yellow] 2 27 15 4" xfId="42381"/>
    <cellStyle name="Input [yellow] 2 27 15 5" xfId="53574"/>
    <cellStyle name="Input [yellow] 2 27 16" xfId="9274"/>
    <cellStyle name="Input [yellow] 2 27 16 2" xfId="20471"/>
    <cellStyle name="Input [yellow] 2 27 16 3" xfId="31639"/>
    <cellStyle name="Input [yellow] 2 27 16 4" xfId="42804"/>
    <cellStyle name="Input [yellow] 2 27 16 5" xfId="53997"/>
    <cellStyle name="Input [yellow] 2 27 17" xfId="9900"/>
    <cellStyle name="Input [yellow] 2 27 17 2" xfId="21097"/>
    <cellStyle name="Input [yellow] 2 27 17 3" xfId="32265"/>
    <cellStyle name="Input [yellow] 2 27 17 4" xfId="43430"/>
    <cellStyle name="Input [yellow] 2 27 17 5" xfId="54623"/>
    <cellStyle name="Input [yellow] 2 27 18" xfId="10321"/>
    <cellStyle name="Input [yellow] 2 27 18 2" xfId="21518"/>
    <cellStyle name="Input [yellow] 2 27 18 3" xfId="32686"/>
    <cellStyle name="Input [yellow] 2 27 18 4" xfId="43851"/>
    <cellStyle name="Input [yellow] 2 27 18 5" xfId="55044"/>
    <cellStyle name="Input [yellow] 2 27 19" xfId="10939"/>
    <cellStyle name="Input [yellow] 2 27 19 2" xfId="22136"/>
    <cellStyle name="Input [yellow] 2 27 19 3" xfId="33304"/>
    <cellStyle name="Input [yellow] 2 27 19 4" xfId="44469"/>
    <cellStyle name="Input [yellow] 2 27 19 5" xfId="55662"/>
    <cellStyle name="Input [yellow] 2 27 2" xfId="1035"/>
    <cellStyle name="Input [yellow] 2 27 2 2" xfId="12232"/>
    <cellStyle name="Input [yellow] 2 27 2 3" xfId="23400"/>
    <cellStyle name="Input [yellow] 2 27 2 4" xfId="34565"/>
    <cellStyle name="Input [yellow] 2 27 2 5" xfId="45758"/>
    <cellStyle name="Input [yellow] 2 27 20" xfId="11586"/>
    <cellStyle name="Input [yellow] 2 27 21" xfId="22756"/>
    <cellStyle name="Input [yellow] 2 27 22" xfId="33923"/>
    <cellStyle name="Input [yellow] 2 27 23" xfId="45109"/>
    <cellStyle name="Input [yellow] 2 27 3" xfId="1687"/>
    <cellStyle name="Input [yellow] 2 27 3 2" xfId="12884"/>
    <cellStyle name="Input [yellow] 2 27 3 3" xfId="24052"/>
    <cellStyle name="Input [yellow] 2 27 3 4" xfId="35217"/>
    <cellStyle name="Input [yellow] 2 27 3 5" xfId="46410"/>
    <cellStyle name="Input [yellow] 2 27 4" xfId="2311"/>
    <cellStyle name="Input [yellow] 2 27 4 2" xfId="13508"/>
    <cellStyle name="Input [yellow] 2 27 4 3" xfId="24676"/>
    <cellStyle name="Input [yellow] 2 27 4 4" xfId="35841"/>
    <cellStyle name="Input [yellow] 2 27 4 5" xfId="47034"/>
    <cellStyle name="Input [yellow] 2 27 5" xfId="2736"/>
    <cellStyle name="Input [yellow] 2 27 5 2" xfId="13933"/>
    <cellStyle name="Input [yellow] 2 27 5 3" xfId="25101"/>
    <cellStyle name="Input [yellow] 2 27 5 4" xfId="36266"/>
    <cellStyle name="Input [yellow] 2 27 5 5" xfId="47459"/>
    <cellStyle name="Input [yellow] 2 27 6" xfId="3370"/>
    <cellStyle name="Input [yellow] 2 27 6 2" xfId="14567"/>
    <cellStyle name="Input [yellow] 2 27 6 3" xfId="25735"/>
    <cellStyle name="Input [yellow] 2 27 6 4" xfId="36900"/>
    <cellStyle name="Input [yellow] 2 27 6 5" xfId="48093"/>
    <cellStyle name="Input [yellow] 2 27 7" xfId="4004"/>
    <cellStyle name="Input [yellow] 2 27 7 2" xfId="15201"/>
    <cellStyle name="Input [yellow] 2 27 7 3" xfId="26369"/>
    <cellStyle name="Input [yellow] 2 27 7 4" xfId="37534"/>
    <cellStyle name="Input [yellow] 2 27 7 5" xfId="48727"/>
    <cellStyle name="Input [yellow] 2 27 8" xfId="4637"/>
    <cellStyle name="Input [yellow] 2 27 8 2" xfId="15834"/>
    <cellStyle name="Input [yellow] 2 27 8 3" xfId="27002"/>
    <cellStyle name="Input [yellow] 2 27 8 4" xfId="38167"/>
    <cellStyle name="Input [yellow] 2 27 8 5" xfId="49360"/>
    <cellStyle name="Input [yellow] 2 27 9" xfId="5268"/>
    <cellStyle name="Input [yellow] 2 27 9 2" xfId="16465"/>
    <cellStyle name="Input [yellow] 2 27 9 3" xfId="27633"/>
    <cellStyle name="Input [yellow] 2 27 9 4" xfId="38798"/>
    <cellStyle name="Input [yellow] 2 27 9 5" xfId="49991"/>
    <cellStyle name="Input [yellow] 2 28" xfId="459"/>
    <cellStyle name="Input [yellow] 2 28 10" xfId="5734"/>
    <cellStyle name="Input [yellow] 2 28 10 2" xfId="16931"/>
    <cellStyle name="Input [yellow] 2 28 10 3" xfId="28099"/>
    <cellStyle name="Input [yellow] 2 28 10 4" xfId="39264"/>
    <cellStyle name="Input [yellow] 2 28 10 5" xfId="50457"/>
    <cellStyle name="Input [yellow] 2 28 11" xfId="6395"/>
    <cellStyle name="Input [yellow] 2 28 11 2" xfId="17592"/>
    <cellStyle name="Input [yellow] 2 28 11 3" xfId="28760"/>
    <cellStyle name="Input [yellow] 2 28 11 4" xfId="39925"/>
    <cellStyle name="Input [yellow] 2 28 11 5" xfId="51118"/>
    <cellStyle name="Input [yellow] 2 28 12" xfId="7028"/>
    <cellStyle name="Input [yellow] 2 28 12 2" xfId="18225"/>
    <cellStyle name="Input [yellow] 2 28 12 3" xfId="29393"/>
    <cellStyle name="Input [yellow] 2 28 12 4" xfId="40558"/>
    <cellStyle name="Input [yellow] 2 28 12 5" xfId="51751"/>
    <cellStyle name="Input [yellow] 2 28 13" xfId="7662"/>
    <cellStyle name="Input [yellow] 2 28 13 2" xfId="18859"/>
    <cellStyle name="Input [yellow] 2 28 13 3" xfId="30027"/>
    <cellStyle name="Input [yellow] 2 28 13 4" xfId="41192"/>
    <cellStyle name="Input [yellow] 2 28 13 5" xfId="52385"/>
    <cellStyle name="Input [yellow] 2 28 14" xfId="8296"/>
    <cellStyle name="Input [yellow] 2 28 14 2" xfId="19493"/>
    <cellStyle name="Input [yellow] 2 28 14 3" xfId="30661"/>
    <cellStyle name="Input [yellow] 2 28 14 4" xfId="41826"/>
    <cellStyle name="Input [yellow] 2 28 14 5" xfId="53019"/>
    <cellStyle name="Input [yellow] 2 28 15" xfId="8924"/>
    <cellStyle name="Input [yellow] 2 28 15 2" xfId="20121"/>
    <cellStyle name="Input [yellow] 2 28 15 3" xfId="31289"/>
    <cellStyle name="Input [yellow] 2 28 15 4" xfId="42454"/>
    <cellStyle name="Input [yellow] 2 28 15 5" xfId="53647"/>
    <cellStyle name="Input [yellow] 2 28 16" xfId="9347"/>
    <cellStyle name="Input [yellow] 2 28 16 2" xfId="20544"/>
    <cellStyle name="Input [yellow] 2 28 16 3" xfId="31712"/>
    <cellStyle name="Input [yellow] 2 28 16 4" xfId="42877"/>
    <cellStyle name="Input [yellow] 2 28 16 5" xfId="54070"/>
    <cellStyle name="Input [yellow] 2 28 17" xfId="9973"/>
    <cellStyle name="Input [yellow] 2 28 17 2" xfId="21170"/>
    <cellStyle name="Input [yellow] 2 28 17 3" xfId="32338"/>
    <cellStyle name="Input [yellow] 2 28 17 4" xfId="43503"/>
    <cellStyle name="Input [yellow] 2 28 17 5" xfId="54696"/>
    <cellStyle name="Input [yellow] 2 28 18" xfId="10395"/>
    <cellStyle name="Input [yellow] 2 28 18 2" xfId="21592"/>
    <cellStyle name="Input [yellow] 2 28 18 3" xfId="32760"/>
    <cellStyle name="Input [yellow] 2 28 18 4" xfId="43925"/>
    <cellStyle name="Input [yellow] 2 28 18 5" xfId="55118"/>
    <cellStyle name="Input [yellow] 2 28 19" xfId="11012"/>
    <cellStyle name="Input [yellow] 2 28 19 2" xfId="22209"/>
    <cellStyle name="Input [yellow] 2 28 19 3" xfId="33377"/>
    <cellStyle name="Input [yellow] 2 28 19 4" xfId="44542"/>
    <cellStyle name="Input [yellow] 2 28 19 5" xfId="55735"/>
    <cellStyle name="Input [yellow] 2 28 2" xfId="1108"/>
    <cellStyle name="Input [yellow] 2 28 2 2" xfId="12305"/>
    <cellStyle name="Input [yellow] 2 28 2 3" xfId="23473"/>
    <cellStyle name="Input [yellow] 2 28 2 4" xfId="34638"/>
    <cellStyle name="Input [yellow] 2 28 2 5" xfId="45831"/>
    <cellStyle name="Input [yellow] 2 28 20" xfId="11659"/>
    <cellStyle name="Input [yellow] 2 28 21" xfId="22829"/>
    <cellStyle name="Input [yellow] 2 28 22" xfId="33996"/>
    <cellStyle name="Input [yellow] 2 28 23" xfId="45182"/>
    <cellStyle name="Input [yellow] 2 28 3" xfId="1392"/>
    <cellStyle name="Input [yellow] 2 28 3 2" xfId="12589"/>
    <cellStyle name="Input [yellow] 2 28 3 3" xfId="23757"/>
    <cellStyle name="Input [yellow] 2 28 3 4" xfId="34922"/>
    <cellStyle name="Input [yellow] 2 28 3 5" xfId="46115"/>
    <cellStyle name="Input [yellow] 2 28 4" xfId="2384"/>
    <cellStyle name="Input [yellow] 2 28 4 2" xfId="13581"/>
    <cellStyle name="Input [yellow] 2 28 4 3" xfId="24749"/>
    <cellStyle name="Input [yellow] 2 28 4 4" xfId="35914"/>
    <cellStyle name="Input [yellow] 2 28 4 5" xfId="47107"/>
    <cellStyle name="Input [yellow] 2 28 5" xfId="2809"/>
    <cellStyle name="Input [yellow] 2 28 5 2" xfId="14006"/>
    <cellStyle name="Input [yellow] 2 28 5 3" xfId="25174"/>
    <cellStyle name="Input [yellow] 2 28 5 4" xfId="36339"/>
    <cellStyle name="Input [yellow] 2 28 5 5" xfId="47532"/>
    <cellStyle name="Input [yellow] 2 28 6" xfId="3443"/>
    <cellStyle name="Input [yellow] 2 28 6 2" xfId="14640"/>
    <cellStyle name="Input [yellow] 2 28 6 3" xfId="25808"/>
    <cellStyle name="Input [yellow] 2 28 6 4" xfId="36973"/>
    <cellStyle name="Input [yellow] 2 28 6 5" xfId="48166"/>
    <cellStyle name="Input [yellow] 2 28 7" xfId="4077"/>
    <cellStyle name="Input [yellow] 2 28 7 2" xfId="15274"/>
    <cellStyle name="Input [yellow] 2 28 7 3" xfId="26442"/>
    <cellStyle name="Input [yellow] 2 28 7 4" xfId="37607"/>
    <cellStyle name="Input [yellow] 2 28 7 5" xfId="48800"/>
    <cellStyle name="Input [yellow] 2 28 8" xfId="4710"/>
    <cellStyle name="Input [yellow] 2 28 8 2" xfId="15907"/>
    <cellStyle name="Input [yellow] 2 28 8 3" xfId="27075"/>
    <cellStyle name="Input [yellow] 2 28 8 4" xfId="38240"/>
    <cellStyle name="Input [yellow] 2 28 8 5" xfId="49433"/>
    <cellStyle name="Input [yellow] 2 28 9" xfId="5341"/>
    <cellStyle name="Input [yellow] 2 28 9 2" xfId="16538"/>
    <cellStyle name="Input [yellow] 2 28 9 3" xfId="27706"/>
    <cellStyle name="Input [yellow] 2 28 9 4" xfId="38871"/>
    <cellStyle name="Input [yellow] 2 28 9 5" xfId="50064"/>
    <cellStyle name="Input [yellow] 2 29" xfId="449"/>
    <cellStyle name="Input [yellow] 2 29 10" xfId="5957"/>
    <cellStyle name="Input [yellow] 2 29 10 2" xfId="17154"/>
    <cellStyle name="Input [yellow] 2 29 10 3" xfId="28322"/>
    <cellStyle name="Input [yellow] 2 29 10 4" xfId="39487"/>
    <cellStyle name="Input [yellow] 2 29 10 5" xfId="50680"/>
    <cellStyle name="Input [yellow] 2 29 11" xfId="6385"/>
    <cellStyle name="Input [yellow] 2 29 11 2" xfId="17582"/>
    <cellStyle name="Input [yellow] 2 29 11 3" xfId="28750"/>
    <cellStyle name="Input [yellow] 2 29 11 4" xfId="39915"/>
    <cellStyle name="Input [yellow] 2 29 11 5" xfId="51108"/>
    <cellStyle name="Input [yellow] 2 29 12" xfId="7018"/>
    <cellStyle name="Input [yellow] 2 29 12 2" xfId="18215"/>
    <cellStyle name="Input [yellow] 2 29 12 3" xfId="29383"/>
    <cellStyle name="Input [yellow] 2 29 12 4" xfId="40548"/>
    <cellStyle name="Input [yellow] 2 29 12 5" xfId="51741"/>
    <cellStyle name="Input [yellow] 2 29 13" xfId="7652"/>
    <cellStyle name="Input [yellow] 2 29 13 2" xfId="18849"/>
    <cellStyle name="Input [yellow] 2 29 13 3" xfId="30017"/>
    <cellStyle name="Input [yellow] 2 29 13 4" xfId="41182"/>
    <cellStyle name="Input [yellow] 2 29 13 5" xfId="52375"/>
    <cellStyle name="Input [yellow] 2 29 14" xfId="8286"/>
    <cellStyle name="Input [yellow] 2 29 14 2" xfId="19483"/>
    <cellStyle name="Input [yellow] 2 29 14 3" xfId="30651"/>
    <cellStyle name="Input [yellow] 2 29 14 4" xfId="41816"/>
    <cellStyle name="Input [yellow] 2 29 14 5" xfId="53009"/>
    <cellStyle name="Input [yellow] 2 29 15" xfId="8914"/>
    <cellStyle name="Input [yellow] 2 29 15 2" xfId="20111"/>
    <cellStyle name="Input [yellow] 2 29 15 3" xfId="31279"/>
    <cellStyle name="Input [yellow] 2 29 15 4" xfId="42444"/>
    <cellStyle name="Input [yellow] 2 29 15 5" xfId="53637"/>
    <cellStyle name="Input [yellow] 2 29 16" xfId="9337"/>
    <cellStyle name="Input [yellow] 2 29 16 2" xfId="20534"/>
    <cellStyle name="Input [yellow] 2 29 16 3" xfId="31702"/>
    <cellStyle name="Input [yellow] 2 29 16 4" xfId="42867"/>
    <cellStyle name="Input [yellow] 2 29 16 5" xfId="54060"/>
    <cellStyle name="Input [yellow] 2 29 17" xfId="9963"/>
    <cellStyle name="Input [yellow] 2 29 17 2" xfId="21160"/>
    <cellStyle name="Input [yellow] 2 29 17 3" xfId="32328"/>
    <cellStyle name="Input [yellow] 2 29 17 4" xfId="43493"/>
    <cellStyle name="Input [yellow] 2 29 17 5" xfId="54686"/>
    <cellStyle name="Input [yellow] 2 29 18" xfId="9730"/>
    <cellStyle name="Input [yellow] 2 29 18 2" xfId="20927"/>
    <cellStyle name="Input [yellow] 2 29 18 3" xfId="32095"/>
    <cellStyle name="Input [yellow] 2 29 18 4" xfId="43260"/>
    <cellStyle name="Input [yellow] 2 29 18 5" xfId="54453"/>
    <cellStyle name="Input [yellow] 2 29 19" xfId="11002"/>
    <cellStyle name="Input [yellow] 2 29 19 2" xfId="22199"/>
    <cellStyle name="Input [yellow] 2 29 19 3" xfId="33367"/>
    <cellStyle name="Input [yellow] 2 29 19 4" xfId="44532"/>
    <cellStyle name="Input [yellow] 2 29 19 5" xfId="55725"/>
    <cellStyle name="Input [yellow] 2 29 2" xfId="1098"/>
    <cellStyle name="Input [yellow] 2 29 2 2" xfId="12295"/>
    <cellStyle name="Input [yellow] 2 29 2 3" xfId="23463"/>
    <cellStyle name="Input [yellow] 2 29 2 4" xfId="34628"/>
    <cellStyle name="Input [yellow] 2 29 2 5" xfId="45821"/>
    <cellStyle name="Input [yellow] 2 29 20" xfId="11649"/>
    <cellStyle name="Input [yellow] 2 29 21" xfId="22819"/>
    <cellStyle name="Input [yellow] 2 29 22" xfId="33986"/>
    <cellStyle name="Input [yellow] 2 29 23" xfId="45172"/>
    <cellStyle name="Input [yellow] 2 29 3" xfId="1851"/>
    <cellStyle name="Input [yellow] 2 29 3 2" xfId="13048"/>
    <cellStyle name="Input [yellow] 2 29 3 3" xfId="24216"/>
    <cellStyle name="Input [yellow] 2 29 3 4" xfId="35381"/>
    <cellStyle name="Input [yellow] 2 29 3 5" xfId="46574"/>
    <cellStyle name="Input [yellow] 2 29 4" xfId="2374"/>
    <cellStyle name="Input [yellow] 2 29 4 2" xfId="13571"/>
    <cellStyle name="Input [yellow] 2 29 4 3" xfId="24739"/>
    <cellStyle name="Input [yellow] 2 29 4 4" xfId="35904"/>
    <cellStyle name="Input [yellow] 2 29 4 5" xfId="47097"/>
    <cellStyle name="Input [yellow] 2 29 5" xfId="2799"/>
    <cellStyle name="Input [yellow] 2 29 5 2" xfId="13996"/>
    <cellStyle name="Input [yellow] 2 29 5 3" xfId="25164"/>
    <cellStyle name="Input [yellow] 2 29 5 4" xfId="36329"/>
    <cellStyle name="Input [yellow] 2 29 5 5" xfId="47522"/>
    <cellStyle name="Input [yellow] 2 29 6" xfId="3433"/>
    <cellStyle name="Input [yellow] 2 29 6 2" xfId="14630"/>
    <cellStyle name="Input [yellow] 2 29 6 3" xfId="25798"/>
    <cellStyle name="Input [yellow] 2 29 6 4" xfId="36963"/>
    <cellStyle name="Input [yellow] 2 29 6 5" xfId="48156"/>
    <cellStyle name="Input [yellow] 2 29 7" xfId="4067"/>
    <cellStyle name="Input [yellow] 2 29 7 2" xfId="15264"/>
    <cellStyle name="Input [yellow] 2 29 7 3" xfId="26432"/>
    <cellStyle name="Input [yellow] 2 29 7 4" xfId="37597"/>
    <cellStyle name="Input [yellow] 2 29 7 5" xfId="48790"/>
    <cellStyle name="Input [yellow] 2 29 8" xfId="4700"/>
    <cellStyle name="Input [yellow] 2 29 8 2" xfId="15897"/>
    <cellStyle name="Input [yellow] 2 29 8 3" xfId="27065"/>
    <cellStyle name="Input [yellow] 2 29 8 4" xfId="38230"/>
    <cellStyle name="Input [yellow] 2 29 8 5" xfId="49423"/>
    <cellStyle name="Input [yellow] 2 29 9" xfId="5331"/>
    <cellStyle name="Input [yellow] 2 29 9 2" xfId="16528"/>
    <cellStyle name="Input [yellow] 2 29 9 3" xfId="27696"/>
    <cellStyle name="Input [yellow] 2 29 9 4" xfId="38861"/>
    <cellStyle name="Input [yellow] 2 29 9 5" xfId="50054"/>
    <cellStyle name="Input [yellow] 2 3" xfId="73"/>
    <cellStyle name="Input [yellow] 2 3 10" xfId="559"/>
    <cellStyle name="Input [yellow] 2 3 10 10" xfId="6066"/>
    <cellStyle name="Input [yellow] 2 3 10 10 2" xfId="17263"/>
    <cellStyle name="Input [yellow] 2 3 10 10 3" xfId="28431"/>
    <cellStyle name="Input [yellow] 2 3 10 10 4" xfId="39596"/>
    <cellStyle name="Input [yellow] 2 3 10 10 5" xfId="50789"/>
    <cellStyle name="Input [yellow] 2 3 10 11" xfId="6495"/>
    <cellStyle name="Input [yellow] 2 3 10 11 2" xfId="17692"/>
    <cellStyle name="Input [yellow] 2 3 10 11 3" xfId="28860"/>
    <cellStyle name="Input [yellow] 2 3 10 11 4" xfId="40025"/>
    <cellStyle name="Input [yellow] 2 3 10 11 5" xfId="51218"/>
    <cellStyle name="Input [yellow] 2 3 10 12" xfId="7128"/>
    <cellStyle name="Input [yellow] 2 3 10 12 2" xfId="18325"/>
    <cellStyle name="Input [yellow] 2 3 10 12 3" xfId="29493"/>
    <cellStyle name="Input [yellow] 2 3 10 12 4" xfId="40658"/>
    <cellStyle name="Input [yellow] 2 3 10 12 5" xfId="51851"/>
    <cellStyle name="Input [yellow] 2 3 10 13" xfId="7762"/>
    <cellStyle name="Input [yellow] 2 3 10 13 2" xfId="18959"/>
    <cellStyle name="Input [yellow] 2 3 10 13 3" xfId="30127"/>
    <cellStyle name="Input [yellow] 2 3 10 13 4" xfId="41292"/>
    <cellStyle name="Input [yellow] 2 3 10 13 5" xfId="52485"/>
    <cellStyle name="Input [yellow] 2 3 10 14" xfId="8396"/>
    <cellStyle name="Input [yellow] 2 3 10 14 2" xfId="19593"/>
    <cellStyle name="Input [yellow] 2 3 10 14 3" xfId="30761"/>
    <cellStyle name="Input [yellow] 2 3 10 14 4" xfId="41926"/>
    <cellStyle name="Input [yellow] 2 3 10 14 5" xfId="53119"/>
    <cellStyle name="Input [yellow] 2 3 10 15" xfId="9024"/>
    <cellStyle name="Input [yellow] 2 3 10 15 2" xfId="20221"/>
    <cellStyle name="Input [yellow] 2 3 10 15 3" xfId="31389"/>
    <cellStyle name="Input [yellow] 2 3 10 15 4" xfId="42554"/>
    <cellStyle name="Input [yellow] 2 3 10 15 5" xfId="53747"/>
    <cellStyle name="Input [yellow] 2 3 10 16" xfId="9447"/>
    <cellStyle name="Input [yellow] 2 3 10 16 2" xfId="20644"/>
    <cellStyle name="Input [yellow] 2 3 10 16 3" xfId="31812"/>
    <cellStyle name="Input [yellow] 2 3 10 16 4" xfId="42977"/>
    <cellStyle name="Input [yellow] 2 3 10 16 5" xfId="54170"/>
    <cellStyle name="Input [yellow] 2 3 10 17" xfId="10072"/>
    <cellStyle name="Input [yellow] 2 3 10 17 2" xfId="21269"/>
    <cellStyle name="Input [yellow] 2 3 10 17 3" xfId="32437"/>
    <cellStyle name="Input [yellow] 2 3 10 17 4" xfId="43602"/>
    <cellStyle name="Input [yellow] 2 3 10 17 5" xfId="54795"/>
    <cellStyle name="Input [yellow] 2 3 10 18" xfId="10217"/>
    <cellStyle name="Input [yellow] 2 3 10 18 2" xfId="21414"/>
    <cellStyle name="Input [yellow] 2 3 10 18 3" xfId="32582"/>
    <cellStyle name="Input [yellow] 2 3 10 18 4" xfId="43747"/>
    <cellStyle name="Input [yellow] 2 3 10 18 5" xfId="54940"/>
    <cellStyle name="Input [yellow] 2 3 10 19" xfId="11112"/>
    <cellStyle name="Input [yellow] 2 3 10 19 2" xfId="22309"/>
    <cellStyle name="Input [yellow] 2 3 10 19 3" xfId="33477"/>
    <cellStyle name="Input [yellow] 2 3 10 19 4" xfId="44642"/>
    <cellStyle name="Input [yellow] 2 3 10 19 5" xfId="55835"/>
    <cellStyle name="Input [yellow] 2 3 10 2" xfId="1208"/>
    <cellStyle name="Input [yellow] 2 3 10 2 2" xfId="12405"/>
    <cellStyle name="Input [yellow] 2 3 10 2 3" xfId="23573"/>
    <cellStyle name="Input [yellow] 2 3 10 2 4" xfId="34738"/>
    <cellStyle name="Input [yellow] 2 3 10 2 5" xfId="45931"/>
    <cellStyle name="Input [yellow] 2 3 10 20" xfId="11759"/>
    <cellStyle name="Input [yellow] 2 3 10 21" xfId="22929"/>
    <cellStyle name="Input [yellow] 2 3 10 22" xfId="34096"/>
    <cellStyle name="Input [yellow] 2 3 10 23" xfId="45282"/>
    <cellStyle name="Input [yellow] 2 3 10 3" xfId="1489"/>
    <cellStyle name="Input [yellow] 2 3 10 3 2" xfId="12686"/>
    <cellStyle name="Input [yellow] 2 3 10 3 3" xfId="23854"/>
    <cellStyle name="Input [yellow] 2 3 10 3 4" xfId="35019"/>
    <cellStyle name="Input [yellow] 2 3 10 3 5" xfId="46212"/>
    <cellStyle name="Input [yellow] 2 3 10 4" xfId="2484"/>
    <cellStyle name="Input [yellow] 2 3 10 4 2" xfId="13681"/>
    <cellStyle name="Input [yellow] 2 3 10 4 3" xfId="24849"/>
    <cellStyle name="Input [yellow] 2 3 10 4 4" xfId="36014"/>
    <cellStyle name="Input [yellow] 2 3 10 4 5" xfId="47207"/>
    <cellStyle name="Input [yellow] 2 3 10 5" xfId="2909"/>
    <cellStyle name="Input [yellow] 2 3 10 5 2" xfId="14106"/>
    <cellStyle name="Input [yellow] 2 3 10 5 3" xfId="25274"/>
    <cellStyle name="Input [yellow] 2 3 10 5 4" xfId="36439"/>
    <cellStyle name="Input [yellow] 2 3 10 5 5" xfId="47632"/>
    <cellStyle name="Input [yellow] 2 3 10 6" xfId="3543"/>
    <cellStyle name="Input [yellow] 2 3 10 6 2" xfId="14740"/>
    <cellStyle name="Input [yellow] 2 3 10 6 3" xfId="25908"/>
    <cellStyle name="Input [yellow] 2 3 10 6 4" xfId="37073"/>
    <cellStyle name="Input [yellow] 2 3 10 6 5" xfId="48266"/>
    <cellStyle name="Input [yellow] 2 3 10 7" xfId="4177"/>
    <cellStyle name="Input [yellow] 2 3 10 7 2" xfId="15374"/>
    <cellStyle name="Input [yellow] 2 3 10 7 3" xfId="26542"/>
    <cellStyle name="Input [yellow] 2 3 10 7 4" xfId="37707"/>
    <cellStyle name="Input [yellow] 2 3 10 7 5" xfId="48900"/>
    <cellStyle name="Input [yellow] 2 3 10 8" xfId="4810"/>
    <cellStyle name="Input [yellow] 2 3 10 8 2" xfId="16007"/>
    <cellStyle name="Input [yellow] 2 3 10 8 3" xfId="27175"/>
    <cellStyle name="Input [yellow] 2 3 10 8 4" xfId="38340"/>
    <cellStyle name="Input [yellow] 2 3 10 8 5" xfId="49533"/>
    <cellStyle name="Input [yellow] 2 3 10 9" xfId="5441"/>
    <cellStyle name="Input [yellow] 2 3 10 9 2" xfId="16638"/>
    <cellStyle name="Input [yellow] 2 3 10 9 3" xfId="27806"/>
    <cellStyle name="Input [yellow] 2 3 10 9 4" xfId="38971"/>
    <cellStyle name="Input [yellow] 2 3 10 9 5" xfId="50164"/>
    <cellStyle name="Input [yellow] 2 3 11" xfId="687"/>
    <cellStyle name="Input [yellow] 2 3 11 10" xfId="6075"/>
    <cellStyle name="Input [yellow] 2 3 11 10 2" xfId="17272"/>
    <cellStyle name="Input [yellow] 2 3 11 10 3" xfId="28440"/>
    <cellStyle name="Input [yellow] 2 3 11 10 4" xfId="39605"/>
    <cellStyle name="Input [yellow] 2 3 11 10 5" xfId="50798"/>
    <cellStyle name="Input [yellow] 2 3 11 11" xfId="6623"/>
    <cellStyle name="Input [yellow] 2 3 11 11 2" xfId="17820"/>
    <cellStyle name="Input [yellow] 2 3 11 11 3" xfId="28988"/>
    <cellStyle name="Input [yellow] 2 3 11 11 4" xfId="40153"/>
    <cellStyle name="Input [yellow] 2 3 11 11 5" xfId="51346"/>
    <cellStyle name="Input [yellow] 2 3 11 12" xfId="7256"/>
    <cellStyle name="Input [yellow] 2 3 11 12 2" xfId="18453"/>
    <cellStyle name="Input [yellow] 2 3 11 12 3" xfId="29621"/>
    <cellStyle name="Input [yellow] 2 3 11 12 4" xfId="40786"/>
    <cellStyle name="Input [yellow] 2 3 11 12 5" xfId="51979"/>
    <cellStyle name="Input [yellow] 2 3 11 13" xfId="7890"/>
    <cellStyle name="Input [yellow] 2 3 11 13 2" xfId="19087"/>
    <cellStyle name="Input [yellow] 2 3 11 13 3" xfId="30255"/>
    <cellStyle name="Input [yellow] 2 3 11 13 4" xfId="41420"/>
    <cellStyle name="Input [yellow] 2 3 11 13 5" xfId="52613"/>
    <cellStyle name="Input [yellow] 2 3 11 14" xfId="8524"/>
    <cellStyle name="Input [yellow] 2 3 11 14 2" xfId="19721"/>
    <cellStyle name="Input [yellow] 2 3 11 14 3" xfId="30889"/>
    <cellStyle name="Input [yellow] 2 3 11 14 4" xfId="42054"/>
    <cellStyle name="Input [yellow] 2 3 11 14 5" xfId="53247"/>
    <cellStyle name="Input [yellow] 2 3 11 15" xfId="9152"/>
    <cellStyle name="Input [yellow] 2 3 11 15 2" xfId="20349"/>
    <cellStyle name="Input [yellow] 2 3 11 15 3" xfId="31517"/>
    <cellStyle name="Input [yellow] 2 3 11 15 4" xfId="42682"/>
    <cellStyle name="Input [yellow] 2 3 11 15 5" xfId="53875"/>
    <cellStyle name="Input [yellow] 2 3 11 16" xfId="9575"/>
    <cellStyle name="Input [yellow] 2 3 11 16 2" xfId="20772"/>
    <cellStyle name="Input [yellow] 2 3 11 16 3" xfId="31940"/>
    <cellStyle name="Input [yellow] 2 3 11 16 4" xfId="43105"/>
    <cellStyle name="Input [yellow] 2 3 11 16 5" xfId="54298"/>
    <cellStyle name="Input [yellow] 2 3 11 17" xfId="10199"/>
    <cellStyle name="Input [yellow] 2 3 11 17 2" xfId="21396"/>
    <cellStyle name="Input [yellow] 2 3 11 17 3" xfId="32564"/>
    <cellStyle name="Input [yellow] 2 3 11 17 4" xfId="43729"/>
    <cellStyle name="Input [yellow] 2 3 11 17 5" xfId="54922"/>
    <cellStyle name="Input [yellow] 2 3 11 18" xfId="10169"/>
    <cellStyle name="Input [yellow] 2 3 11 18 2" xfId="21366"/>
    <cellStyle name="Input [yellow] 2 3 11 18 3" xfId="32534"/>
    <cellStyle name="Input [yellow] 2 3 11 18 4" xfId="43699"/>
    <cellStyle name="Input [yellow] 2 3 11 18 5" xfId="54892"/>
    <cellStyle name="Input [yellow] 2 3 11 19" xfId="11240"/>
    <cellStyle name="Input [yellow] 2 3 11 19 2" xfId="22437"/>
    <cellStyle name="Input [yellow] 2 3 11 19 3" xfId="33605"/>
    <cellStyle name="Input [yellow] 2 3 11 19 4" xfId="44770"/>
    <cellStyle name="Input [yellow] 2 3 11 19 5" xfId="55963"/>
    <cellStyle name="Input [yellow] 2 3 11 2" xfId="1336"/>
    <cellStyle name="Input [yellow] 2 3 11 2 2" xfId="12533"/>
    <cellStyle name="Input [yellow] 2 3 11 2 3" xfId="23701"/>
    <cellStyle name="Input [yellow] 2 3 11 2 4" xfId="34866"/>
    <cellStyle name="Input [yellow] 2 3 11 2 5" xfId="46059"/>
    <cellStyle name="Input [yellow] 2 3 11 20" xfId="11887"/>
    <cellStyle name="Input [yellow] 2 3 11 21" xfId="23057"/>
    <cellStyle name="Input [yellow] 2 3 11 22" xfId="34224"/>
    <cellStyle name="Input [yellow] 2 3 11 23" xfId="45410"/>
    <cellStyle name="Input [yellow] 2 3 11 3" xfId="697"/>
    <cellStyle name="Input [yellow] 2 3 11 3 2" xfId="11897"/>
    <cellStyle name="Input [yellow] 2 3 11 3 3" xfId="23067"/>
    <cellStyle name="Input [yellow] 2 3 11 3 4" xfId="34234"/>
    <cellStyle name="Input [yellow] 2 3 11 3 5" xfId="45420"/>
    <cellStyle name="Input [yellow] 2 3 11 4" xfId="2611"/>
    <cellStyle name="Input [yellow] 2 3 11 4 2" xfId="13808"/>
    <cellStyle name="Input [yellow] 2 3 11 4 3" xfId="24976"/>
    <cellStyle name="Input [yellow] 2 3 11 4 4" xfId="36141"/>
    <cellStyle name="Input [yellow] 2 3 11 4 5" xfId="47334"/>
    <cellStyle name="Input [yellow] 2 3 11 5" xfId="3037"/>
    <cellStyle name="Input [yellow] 2 3 11 5 2" xfId="14234"/>
    <cellStyle name="Input [yellow] 2 3 11 5 3" xfId="25402"/>
    <cellStyle name="Input [yellow] 2 3 11 5 4" xfId="36567"/>
    <cellStyle name="Input [yellow] 2 3 11 5 5" xfId="47760"/>
    <cellStyle name="Input [yellow] 2 3 11 6" xfId="3671"/>
    <cellStyle name="Input [yellow] 2 3 11 6 2" xfId="14868"/>
    <cellStyle name="Input [yellow] 2 3 11 6 3" xfId="26036"/>
    <cellStyle name="Input [yellow] 2 3 11 6 4" xfId="37201"/>
    <cellStyle name="Input [yellow] 2 3 11 6 5" xfId="48394"/>
    <cellStyle name="Input [yellow] 2 3 11 7" xfId="4305"/>
    <cellStyle name="Input [yellow] 2 3 11 7 2" xfId="15502"/>
    <cellStyle name="Input [yellow] 2 3 11 7 3" xfId="26670"/>
    <cellStyle name="Input [yellow] 2 3 11 7 4" xfId="37835"/>
    <cellStyle name="Input [yellow] 2 3 11 7 5" xfId="49028"/>
    <cellStyle name="Input [yellow] 2 3 11 8" xfId="4938"/>
    <cellStyle name="Input [yellow] 2 3 11 8 2" xfId="16135"/>
    <cellStyle name="Input [yellow] 2 3 11 8 3" xfId="27303"/>
    <cellStyle name="Input [yellow] 2 3 11 8 4" xfId="38468"/>
    <cellStyle name="Input [yellow] 2 3 11 8 5" xfId="49661"/>
    <cellStyle name="Input [yellow] 2 3 11 9" xfId="5569"/>
    <cellStyle name="Input [yellow] 2 3 11 9 2" xfId="16766"/>
    <cellStyle name="Input [yellow] 2 3 11 9 3" xfId="27934"/>
    <cellStyle name="Input [yellow] 2 3 11 9 4" xfId="39099"/>
    <cellStyle name="Input [yellow] 2 3 11 9 5" xfId="50292"/>
    <cellStyle name="Input [yellow] 2 3 12" xfId="724"/>
    <cellStyle name="Input [yellow] 2 3 12 2" xfId="11922"/>
    <cellStyle name="Input [yellow] 2 3 12 3" xfId="23091"/>
    <cellStyle name="Input [yellow] 2 3 12 4" xfId="34256"/>
    <cellStyle name="Input [yellow] 2 3 12 5" xfId="45447"/>
    <cellStyle name="Input [yellow] 2 3 13" xfId="1384"/>
    <cellStyle name="Input [yellow] 2 3 13 2" xfId="12581"/>
    <cellStyle name="Input [yellow] 2 3 13 3" xfId="23749"/>
    <cellStyle name="Input [yellow] 2 3 13 4" xfId="34914"/>
    <cellStyle name="Input [yellow] 2 3 13 5" xfId="46107"/>
    <cellStyle name="Input [yellow] 2 3 14" xfId="1999"/>
    <cellStyle name="Input [yellow] 2 3 14 2" xfId="13196"/>
    <cellStyle name="Input [yellow] 2 3 14 3" xfId="24364"/>
    <cellStyle name="Input [yellow] 2 3 14 4" xfId="35529"/>
    <cellStyle name="Input [yellow] 2 3 14 5" xfId="46722"/>
    <cellStyle name="Input [yellow] 2 3 15" xfId="2489"/>
    <cellStyle name="Input [yellow] 2 3 15 2" xfId="13686"/>
    <cellStyle name="Input [yellow] 2 3 15 3" xfId="24854"/>
    <cellStyle name="Input [yellow] 2 3 15 4" xfId="36019"/>
    <cellStyle name="Input [yellow] 2 3 15 5" xfId="47212"/>
    <cellStyle name="Input [yellow] 2 3 16" xfId="3057"/>
    <cellStyle name="Input [yellow] 2 3 16 2" xfId="14254"/>
    <cellStyle name="Input [yellow] 2 3 16 3" xfId="25422"/>
    <cellStyle name="Input [yellow] 2 3 16 4" xfId="36587"/>
    <cellStyle name="Input [yellow] 2 3 16 5" xfId="47780"/>
    <cellStyle name="Input [yellow] 2 3 17" xfId="3692"/>
    <cellStyle name="Input [yellow] 2 3 17 2" xfId="14889"/>
    <cellStyle name="Input [yellow] 2 3 17 3" xfId="26057"/>
    <cellStyle name="Input [yellow] 2 3 17 4" xfId="37222"/>
    <cellStyle name="Input [yellow] 2 3 17 5" xfId="48415"/>
    <cellStyle name="Input [yellow] 2 3 18" xfId="4324"/>
    <cellStyle name="Input [yellow] 2 3 18 2" xfId="15521"/>
    <cellStyle name="Input [yellow] 2 3 18 3" xfId="26689"/>
    <cellStyle name="Input [yellow] 2 3 18 4" xfId="37854"/>
    <cellStyle name="Input [yellow] 2 3 18 5" xfId="49047"/>
    <cellStyle name="Input [yellow] 2 3 19" xfId="4957"/>
    <cellStyle name="Input [yellow] 2 3 19 2" xfId="16154"/>
    <cellStyle name="Input [yellow] 2 3 19 3" xfId="27322"/>
    <cellStyle name="Input [yellow] 2 3 19 4" xfId="38487"/>
    <cellStyle name="Input [yellow] 2 3 19 5" xfId="49680"/>
    <cellStyle name="Input [yellow] 2 3 2" xfId="139"/>
    <cellStyle name="Input [yellow] 2 3 2 10" xfId="6169"/>
    <cellStyle name="Input [yellow] 2 3 2 10 2" xfId="17366"/>
    <cellStyle name="Input [yellow] 2 3 2 10 3" xfId="28534"/>
    <cellStyle name="Input [yellow] 2 3 2 10 4" xfId="39699"/>
    <cellStyle name="Input [yellow] 2 3 2 10 5" xfId="50892"/>
    <cellStyle name="Input [yellow] 2 3 2 11" xfId="5767"/>
    <cellStyle name="Input [yellow] 2 3 2 11 2" xfId="16964"/>
    <cellStyle name="Input [yellow] 2 3 2 11 3" xfId="28132"/>
    <cellStyle name="Input [yellow] 2 3 2 11 4" xfId="39297"/>
    <cellStyle name="Input [yellow] 2 3 2 11 5" xfId="50490"/>
    <cellStyle name="Input [yellow] 2 3 2 12" xfId="6708"/>
    <cellStyle name="Input [yellow] 2 3 2 12 2" xfId="17905"/>
    <cellStyle name="Input [yellow] 2 3 2 12 3" xfId="29073"/>
    <cellStyle name="Input [yellow] 2 3 2 12 4" xfId="40238"/>
    <cellStyle name="Input [yellow] 2 3 2 12 5" xfId="51431"/>
    <cellStyle name="Input [yellow] 2 3 2 13" xfId="7342"/>
    <cellStyle name="Input [yellow] 2 3 2 13 2" xfId="18539"/>
    <cellStyle name="Input [yellow] 2 3 2 13 3" xfId="29707"/>
    <cellStyle name="Input [yellow] 2 3 2 13 4" xfId="40872"/>
    <cellStyle name="Input [yellow] 2 3 2 13 5" xfId="52065"/>
    <cellStyle name="Input [yellow] 2 3 2 14" xfId="7976"/>
    <cellStyle name="Input [yellow] 2 3 2 14 2" xfId="19173"/>
    <cellStyle name="Input [yellow] 2 3 2 14 3" xfId="30341"/>
    <cellStyle name="Input [yellow] 2 3 2 14 4" xfId="41506"/>
    <cellStyle name="Input [yellow] 2 3 2 14 5" xfId="52699"/>
    <cellStyle name="Input [yellow] 2 3 2 15" xfId="8607"/>
    <cellStyle name="Input [yellow] 2 3 2 15 2" xfId="19804"/>
    <cellStyle name="Input [yellow] 2 3 2 15 3" xfId="30972"/>
    <cellStyle name="Input [yellow] 2 3 2 15 4" xfId="42137"/>
    <cellStyle name="Input [yellow] 2 3 2 15 5" xfId="53330"/>
    <cellStyle name="Input [yellow] 2 3 2 16" xfId="9133"/>
    <cellStyle name="Input [yellow] 2 3 2 16 2" xfId="20330"/>
    <cellStyle name="Input [yellow] 2 3 2 16 3" xfId="31498"/>
    <cellStyle name="Input [yellow] 2 3 2 16 4" xfId="42663"/>
    <cellStyle name="Input [yellow] 2 3 2 16 5" xfId="53856"/>
    <cellStyle name="Input [yellow] 2 3 2 17" xfId="9660"/>
    <cellStyle name="Input [yellow] 2 3 2 17 2" xfId="20857"/>
    <cellStyle name="Input [yellow] 2 3 2 17 3" xfId="32025"/>
    <cellStyle name="Input [yellow] 2 3 2 17 4" xfId="43190"/>
    <cellStyle name="Input [yellow] 2 3 2 17 5" xfId="54383"/>
    <cellStyle name="Input [yellow] 2 3 2 18" xfId="10468"/>
    <cellStyle name="Input [yellow] 2 3 2 18 2" xfId="21665"/>
    <cellStyle name="Input [yellow] 2 3 2 18 3" xfId="32833"/>
    <cellStyle name="Input [yellow] 2 3 2 18 4" xfId="43998"/>
    <cellStyle name="Input [yellow] 2 3 2 18 5" xfId="55191"/>
    <cellStyle name="Input [yellow] 2 3 2 19" xfId="10692"/>
    <cellStyle name="Input [yellow] 2 3 2 19 2" xfId="21889"/>
    <cellStyle name="Input [yellow] 2 3 2 19 3" xfId="33057"/>
    <cellStyle name="Input [yellow] 2 3 2 19 4" xfId="44222"/>
    <cellStyle name="Input [yellow] 2 3 2 19 5" xfId="55415"/>
    <cellStyle name="Input [yellow] 2 3 2 2" xfId="788"/>
    <cellStyle name="Input [yellow] 2 3 2 2 2" xfId="11985"/>
    <cellStyle name="Input [yellow] 2 3 2 2 3" xfId="23153"/>
    <cellStyle name="Input [yellow] 2 3 2 2 4" xfId="34318"/>
    <cellStyle name="Input [yellow] 2 3 2 2 5" xfId="45511"/>
    <cellStyle name="Input [yellow] 2 3 2 20" xfId="11339"/>
    <cellStyle name="Input [yellow] 2 3 2 21" xfId="22509"/>
    <cellStyle name="Input [yellow] 2 3 2 22" xfId="33676"/>
    <cellStyle name="Input [yellow] 2 3 2 23" xfId="44862"/>
    <cellStyle name="Input [yellow] 2 3 2 3" xfId="1764"/>
    <cellStyle name="Input [yellow] 2 3 2 3 2" xfId="12961"/>
    <cellStyle name="Input [yellow] 2 3 2 3 3" xfId="24129"/>
    <cellStyle name="Input [yellow] 2 3 2 3 4" xfId="35294"/>
    <cellStyle name="Input [yellow] 2 3 2 3 5" xfId="46487"/>
    <cellStyle name="Input [yellow] 2 3 2 4" xfId="2065"/>
    <cellStyle name="Input [yellow] 2 3 2 4 2" xfId="13262"/>
    <cellStyle name="Input [yellow] 2 3 2 4 3" xfId="24430"/>
    <cellStyle name="Input [yellow] 2 3 2 4 4" xfId="35595"/>
    <cellStyle name="Input [yellow] 2 3 2 4 5" xfId="46788"/>
    <cellStyle name="Input [yellow] 2 3 2 5" xfId="2468"/>
    <cellStyle name="Input [yellow] 2 3 2 5 2" xfId="13665"/>
    <cellStyle name="Input [yellow] 2 3 2 5 3" xfId="24833"/>
    <cellStyle name="Input [yellow] 2 3 2 5 4" xfId="35998"/>
    <cellStyle name="Input [yellow] 2 3 2 5 5" xfId="47191"/>
    <cellStyle name="Input [yellow] 2 3 2 6" xfId="3123"/>
    <cellStyle name="Input [yellow] 2 3 2 6 2" xfId="14320"/>
    <cellStyle name="Input [yellow] 2 3 2 6 3" xfId="25488"/>
    <cellStyle name="Input [yellow] 2 3 2 6 4" xfId="36653"/>
    <cellStyle name="Input [yellow] 2 3 2 6 5" xfId="47846"/>
    <cellStyle name="Input [yellow] 2 3 2 7" xfId="3757"/>
    <cellStyle name="Input [yellow] 2 3 2 7 2" xfId="14954"/>
    <cellStyle name="Input [yellow] 2 3 2 7 3" xfId="26122"/>
    <cellStyle name="Input [yellow] 2 3 2 7 4" xfId="37287"/>
    <cellStyle name="Input [yellow] 2 3 2 7 5" xfId="48480"/>
    <cellStyle name="Input [yellow] 2 3 2 8" xfId="4390"/>
    <cellStyle name="Input [yellow] 2 3 2 8 2" xfId="15587"/>
    <cellStyle name="Input [yellow] 2 3 2 8 3" xfId="26755"/>
    <cellStyle name="Input [yellow] 2 3 2 8 4" xfId="37920"/>
    <cellStyle name="Input [yellow] 2 3 2 8 5" xfId="49113"/>
    <cellStyle name="Input [yellow] 2 3 2 9" xfId="5021"/>
    <cellStyle name="Input [yellow] 2 3 2 9 2" xfId="16218"/>
    <cellStyle name="Input [yellow] 2 3 2 9 3" xfId="27386"/>
    <cellStyle name="Input [yellow] 2 3 2 9 4" xfId="38551"/>
    <cellStyle name="Input [yellow] 2 3 2 9 5" xfId="49744"/>
    <cellStyle name="Input [yellow] 2 3 20" xfId="6170"/>
    <cellStyle name="Input [yellow] 2 3 20 2" xfId="17367"/>
    <cellStyle name="Input [yellow] 2 3 20 3" xfId="28535"/>
    <cellStyle name="Input [yellow] 2 3 20 4" xfId="39700"/>
    <cellStyle name="Input [yellow] 2 3 20 5" xfId="50893"/>
    <cellStyle name="Input [yellow] 2 3 21" xfId="5891"/>
    <cellStyle name="Input [yellow] 2 3 21 2" xfId="17088"/>
    <cellStyle name="Input [yellow] 2 3 21 3" xfId="28256"/>
    <cellStyle name="Input [yellow] 2 3 21 4" xfId="39421"/>
    <cellStyle name="Input [yellow] 2 3 21 5" xfId="50614"/>
    <cellStyle name="Input [yellow] 2 3 22" xfId="6644"/>
    <cellStyle name="Input [yellow] 2 3 22 2" xfId="17841"/>
    <cellStyle name="Input [yellow] 2 3 22 3" xfId="29009"/>
    <cellStyle name="Input [yellow] 2 3 22 4" xfId="40174"/>
    <cellStyle name="Input [yellow] 2 3 22 5" xfId="51367"/>
    <cellStyle name="Input [yellow] 2 3 23" xfId="7276"/>
    <cellStyle name="Input [yellow] 2 3 23 2" xfId="18473"/>
    <cellStyle name="Input [yellow] 2 3 23 3" xfId="29641"/>
    <cellStyle name="Input [yellow] 2 3 23 4" xfId="40806"/>
    <cellStyle name="Input [yellow] 2 3 23 5" xfId="51999"/>
    <cellStyle name="Input [yellow] 2 3 24" xfId="7910"/>
    <cellStyle name="Input [yellow] 2 3 24 2" xfId="19107"/>
    <cellStyle name="Input [yellow] 2 3 24 3" xfId="30275"/>
    <cellStyle name="Input [yellow] 2 3 24 4" xfId="41440"/>
    <cellStyle name="Input [yellow] 2 3 24 5" xfId="52633"/>
    <cellStyle name="Input [yellow] 2 3 25" xfId="8543"/>
    <cellStyle name="Input [yellow] 2 3 25 2" xfId="19740"/>
    <cellStyle name="Input [yellow] 2 3 25 3" xfId="30908"/>
    <cellStyle name="Input [yellow] 2 3 25 4" xfId="42073"/>
    <cellStyle name="Input [yellow] 2 3 25 5" xfId="53266"/>
    <cellStyle name="Input [yellow] 2 3 26" xfId="9154"/>
    <cellStyle name="Input [yellow] 2 3 26 2" xfId="20351"/>
    <cellStyle name="Input [yellow] 2 3 26 3" xfId="31519"/>
    <cellStyle name="Input [yellow] 2 3 26 4" xfId="42684"/>
    <cellStyle name="Input [yellow] 2 3 26 5" xfId="53877"/>
    <cellStyle name="Input [yellow] 2 3 27" xfId="9595"/>
    <cellStyle name="Input [yellow] 2 3 27 2" xfId="20792"/>
    <cellStyle name="Input [yellow] 2 3 27 3" xfId="31960"/>
    <cellStyle name="Input [yellow] 2 3 27 4" xfId="43125"/>
    <cellStyle name="Input [yellow] 2 3 27 5" xfId="54318"/>
    <cellStyle name="Input [yellow] 2 3 28" xfId="10413"/>
    <cellStyle name="Input [yellow] 2 3 28 2" xfId="21610"/>
    <cellStyle name="Input [yellow] 2 3 28 3" xfId="32778"/>
    <cellStyle name="Input [yellow] 2 3 28 4" xfId="43943"/>
    <cellStyle name="Input [yellow] 2 3 28 5" xfId="55136"/>
    <cellStyle name="Input [yellow] 2 3 29" xfId="10630"/>
    <cellStyle name="Input [yellow] 2 3 29 2" xfId="21827"/>
    <cellStyle name="Input [yellow] 2 3 29 3" xfId="32995"/>
    <cellStyle name="Input [yellow] 2 3 29 4" xfId="44160"/>
    <cellStyle name="Input [yellow] 2 3 29 5" xfId="55353"/>
    <cellStyle name="Input [yellow] 2 3 3" xfId="194"/>
    <cellStyle name="Input [yellow] 2 3 3 10" xfId="6154"/>
    <cellStyle name="Input [yellow] 2 3 3 10 2" xfId="17351"/>
    <cellStyle name="Input [yellow] 2 3 3 10 3" xfId="28519"/>
    <cellStyle name="Input [yellow] 2 3 3 10 4" xfId="39684"/>
    <cellStyle name="Input [yellow] 2 3 3 10 5" xfId="50877"/>
    <cellStyle name="Input [yellow] 2 3 3 11" xfId="5857"/>
    <cellStyle name="Input [yellow] 2 3 3 11 2" xfId="17054"/>
    <cellStyle name="Input [yellow] 2 3 3 11 3" xfId="28222"/>
    <cellStyle name="Input [yellow] 2 3 3 11 4" xfId="39387"/>
    <cellStyle name="Input [yellow] 2 3 3 11 5" xfId="50580"/>
    <cellStyle name="Input [yellow] 2 3 3 12" xfId="6763"/>
    <cellStyle name="Input [yellow] 2 3 3 12 2" xfId="17960"/>
    <cellStyle name="Input [yellow] 2 3 3 12 3" xfId="29128"/>
    <cellStyle name="Input [yellow] 2 3 3 12 4" xfId="40293"/>
    <cellStyle name="Input [yellow] 2 3 3 12 5" xfId="51486"/>
    <cellStyle name="Input [yellow] 2 3 3 13" xfId="7397"/>
    <cellStyle name="Input [yellow] 2 3 3 13 2" xfId="18594"/>
    <cellStyle name="Input [yellow] 2 3 3 13 3" xfId="29762"/>
    <cellStyle name="Input [yellow] 2 3 3 13 4" xfId="40927"/>
    <cellStyle name="Input [yellow] 2 3 3 13 5" xfId="52120"/>
    <cellStyle name="Input [yellow] 2 3 3 14" xfId="8031"/>
    <cellStyle name="Input [yellow] 2 3 3 14 2" xfId="19228"/>
    <cellStyle name="Input [yellow] 2 3 3 14 3" xfId="30396"/>
    <cellStyle name="Input [yellow] 2 3 3 14 4" xfId="41561"/>
    <cellStyle name="Input [yellow] 2 3 3 14 5" xfId="52754"/>
    <cellStyle name="Input [yellow] 2 3 3 15" xfId="8662"/>
    <cellStyle name="Input [yellow] 2 3 3 15 2" xfId="19859"/>
    <cellStyle name="Input [yellow] 2 3 3 15 3" xfId="31027"/>
    <cellStyle name="Input [yellow] 2 3 3 15 4" xfId="42192"/>
    <cellStyle name="Input [yellow] 2 3 3 15 5" xfId="53385"/>
    <cellStyle name="Input [yellow] 2 3 3 16" xfId="8653"/>
    <cellStyle name="Input [yellow] 2 3 3 16 2" xfId="19850"/>
    <cellStyle name="Input [yellow] 2 3 3 16 3" xfId="31018"/>
    <cellStyle name="Input [yellow] 2 3 3 16 4" xfId="42183"/>
    <cellStyle name="Input [yellow] 2 3 3 16 5" xfId="53376"/>
    <cellStyle name="Input [yellow] 2 3 3 17" xfId="9714"/>
    <cellStyle name="Input [yellow] 2 3 3 17 2" xfId="20911"/>
    <cellStyle name="Input [yellow] 2 3 3 17 3" xfId="32079"/>
    <cellStyle name="Input [yellow] 2 3 3 17 4" xfId="43244"/>
    <cellStyle name="Input [yellow] 2 3 3 17 5" xfId="54437"/>
    <cellStyle name="Input [yellow] 2 3 3 18" xfId="9727"/>
    <cellStyle name="Input [yellow] 2 3 3 18 2" xfId="20924"/>
    <cellStyle name="Input [yellow] 2 3 3 18 3" xfId="32092"/>
    <cellStyle name="Input [yellow] 2 3 3 18 4" xfId="43257"/>
    <cellStyle name="Input [yellow] 2 3 3 18 5" xfId="54450"/>
    <cellStyle name="Input [yellow] 2 3 3 19" xfId="10747"/>
    <cellStyle name="Input [yellow] 2 3 3 19 2" xfId="21944"/>
    <cellStyle name="Input [yellow] 2 3 3 19 3" xfId="33112"/>
    <cellStyle name="Input [yellow] 2 3 3 19 4" xfId="44277"/>
    <cellStyle name="Input [yellow] 2 3 3 19 5" xfId="55470"/>
    <cellStyle name="Input [yellow] 2 3 3 2" xfId="843"/>
    <cellStyle name="Input [yellow] 2 3 3 2 2" xfId="12040"/>
    <cellStyle name="Input [yellow] 2 3 3 2 3" xfId="23208"/>
    <cellStyle name="Input [yellow] 2 3 3 2 4" xfId="34373"/>
    <cellStyle name="Input [yellow] 2 3 3 2 5" xfId="45566"/>
    <cellStyle name="Input [yellow] 2 3 3 20" xfId="11394"/>
    <cellStyle name="Input [yellow] 2 3 3 21" xfId="22564"/>
    <cellStyle name="Input [yellow] 2 3 3 22" xfId="33731"/>
    <cellStyle name="Input [yellow] 2 3 3 23" xfId="44917"/>
    <cellStyle name="Input [yellow] 2 3 3 3" xfId="1862"/>
    <cellStyle name="Input [yellow] 2 3 3 3 2" xfId="13059"/>
    <cellStyle name="Input [yellow] 2 3 3 3 3" xfId="24227"/>
    <cellStyle name="Input [yellow] 2 3 3 3 4" xfId="35392"/>
    <cellStyle name="Input [yellow] 2 3 3 3 5" xfId="46585"/>
    <cellStyle name="Input [yellow] 2 3 3 4" xfId="2120"/>
    <cellStyle name="Input [yellow] 2 3 3 4 2" xfId="13317"/>
    <cellStyle name="Input [yellow] 2 3 3 4 3" xfId="24485"/>
    <cellStyle name="Input [yellow] 2 3 3 4 4" xfId="35650"/>
    <cellStyle name="Input [yellow] 2 3 3 4 5" xfId="46843"/>
    <cellStyle name="Input [yellow] 2 3 3 5" xfId="2048"/>
    <cellStyle name="Input [yellow] 2 3 3 5 2" xfId="13245"/>
    <cellStyle name="Input [yellow] 2 3 3 5 3" xfId="24413"/>
    <cellStyle name="Input [yellow] 2 3 3 5 4" xfId="35578"/>
    <cellStyle name="Input [yellow] 2 3 3 5 5" xfId="46771"/>
    <cellStyle name="Input [yellow] 2 3 3 6" xfId="3178"/>
    <cellStyle name="Input [yellow] 2 3 3 6 2" xfId="14375"/>
    <cellStyle name="Input [yellow] 2 3 3 6 3" xfId="25543"/>
    <cellStyle name="Input [yellow] 2 3 3 6 4" xfId="36708"/>
    <cellStyle name="Input [yellow] 2 3 3 6 5" xfId="47901"/>
    <cellStyle name="Input [yellow] 2 3 3 7" xfId="3812"/>
    <cellStyle name="Input [yellow] 2 3 3 7 2" xfId="15009"/>
    <cellStyle name="Input [yellow] 2 3 3 7 3" xfId="26177"/>
    <cellStyle name="Input [yellow] 2 3 3 7 4" xfId="37342"/>
    <cellStyle name="Input [yellow] 2 3 3 7 5" xfId="48535"/>
    <cellStyle name="Input [yellow] 2 3 3 8" xfId="4445"/>
    <cellStyle name="Input [yellow] 2 3 3 8 2" xfId="15642"/>
    <cellStyle name="Input [yellow] 2 3 3 8 3" xfId="26810"/>
    <cellStyle name="Input [yellow] 2 3 3 8 4" xfId="37975"/>
    <cellStyle name="Input [yellow] 2 3 3 8 5" xfId="49168"/>
    <cellStyle name="Input [yellow] 2 3 3 9" xfId="5076"/>
    <cellStyle name="Input [yellow] 2 3 3 9 2" xfId="16273"/>
    <cellStyle name="Input [yellow] 2 3 3 9 3" xfId="27441"/>
    <cellStyle name="Input [yellow] 2 3 3 9 4" xfId="38606"/>
    <cellStyle name="Input [yellow] 2 3 3 9 5" xfId="49799"/>
    <cellStyle name="Input [yellow] 2 3 30" xfId="11274"/>
    <cellStyle name="Input [yellow] 2 3 31" xfId="22447"/>
    <cellStyle name="Input [yellow] 2 3 32" xfId="33614"/>
    <cellStyle name="Input [yellow] 2 3 33" xfId="44798"/>
    <cellStyle name="Input [yellow] 2 3 4" xfId="291"/>
    <cellStyle name="Input [yellow] 2 3 4 10" xfId="6107"/>
    <cellStyle name="Input [yellow] 2 3 4 10 2" xfId="17304"/>
    <cellStyle name="Input [yellow] 2 3 4 10 3" xfId="28472"/>
    <cellStyle name="Input [yellow] 2 3 4 10 4" xfId="39637"/>
    <cellStyle name="Input [yellow] 2 3 4 10 5" xfId="50830"/>
    <cellStyle name="Input [yellow] 2 3 4 11" xfId="6227"/>
    <cellStyle name="Input [yellow] 2 3 4 11 2" xfId="17424"/>
    <cellStyle name="Input [yellow] 2 3 4 11 3" xfId="28592"/>
    <cellStyle name="Input [yellow] 2 3 4 11 4" xfId="39757"/>
    <cellStyle name="Input [yellow] 2 3 4 11 5" xfId="50950"/>
    <cellStyle name="Input [yellow] 2 3 4 12" xfId="6860"/>
    <cellStyle name="Input [yellow] 2 3 4 12 2" xfId="18057"/>
    <cellStyle name="Input [yellow] 2 3 4 12 3" xfId="29225"/>
    <cellStyle name="Input [yellow] 2 3 4 12 4" xfId="40390"/>
    <cellStyle name="Input [yellow] 2 3 4 12 5" xfId="51583"/>
    <cellStyle name="Input [yellow] 2 3 4 13" xfId="7494"/>
    <cellStyle name="Input [yellow] 2 3 4 13 2" xfId="18691"/>
    <cellStyle name="Input [yellow] 2 3 4 13 3" xfId="29859"/>
    <cellStyle name="Input [yellow] 2 3 4 13 4" xfId="41024"/>
    <cellStyle name="Input [yellow] 2 3 4 13 5" xfId="52217"/>
    <cellStyle name="Input [yellow] 2 3 4 14" xfId="8128"/>
    <cellStyle name="Input [yellow] 2 3 4 14 2" xfId="19325"/>
    <cellStyle name="Input [yellow] 2 3 4 14 3" xfId="30493"/>
    <cellStyle name="Input [yellow] 2 3 4 14 4" xfId="41658"/>
    <cellStyle name="Input [yellow] 2 3 4 14 5" xfId="52851"/>
    <cellStyle name="Input [yellow] 2 3 4 15" xfId="8757"/>
    <cellStyle name="Input [yellow] 2 3 4 15 2" xfId="19954"/>
    <cellStyle name="Input [yellow] 2 3 4 15 3" xfId="31122"/>
    <cellStyle name="Input [yellow] 2 3 4 15 4" xfId="42287"/>
    <cellStyle name="Input [yellow] 2 3 4 15 5" xfId="53480"/>
    <cellStyle name="Input [yellow] 2 3 4 16" xfId="9179"/>
    <cellStyle name="Input [yellow] 2 3 4 16 2" xfId="20376"/>
    <cellStyle name="Input [yellow] 2 3 4 16 3" xfId="31544"/>
    <cellStyle name="Input [yellow] 2 3 4 16 4" xfId="42709"/>
    <cellStyle name="Input [yellow] 2 3 4 16 5" xfId="53902"/>
    <cellStyle name="Input [yellow] 2 3 4 17" xfId="9806"/>
    <cellStyle name="Input [yellow] 2 3 4 17 2" xfId="21003"/>
    <cellStyle name="Input [yellow] 2 3 4 17 3" xfId="32171"/>
    <cellStyle name="Input [yellow] 2 3 4 17 4" xfId="43336"/>
    <cellStyle name="Input [yellow] 2 3 4 17 5" xfId="54529"/>
    <cellStyle name="Input [yellow] 2 3 4 18" xfId="9662"/>
    <cellStyle name="Input [yellow] 2 3 4 18 2" xfId="20859"/>
    <cellStyle name="Input [yellow] 2 3 4 18 3" xfId="32027"/>
    <cellStyle name="Input [yellow] 2 3 4 18 4" xfId="43192"/>
    <cellStyle name="Input [yellow] 2 3 4 18 5" xfId="54385"/>
    <cellStyle name="Input [yellow] 2 3 4 19" xfId="10844"/>
    <cellStyle name="Input [yellow] 2 3 4 19 2" xfId="22041"/>
    <cellStyle name="Input [yellow] 2 3 4 19 3" xfId="33209"/>
    <cellStyle name="Input [yellow] 2 3 4 19 4" xfId="44374"/>
    <cellStyle name="Input [yellow] 2 3 4 19 5" xfId="55567"/>
    <cellStyle name="Input [yellow] 2 3 4 2" xfId="940"/>
    <cellStyle name="Input [yellow] 2 3 4 2 2" xfId="12137"/>
    <cellStyle name="Input [yellow] 2 3 4 2 3" xfId="23305"/>
    <cellStyle name="Input [yellow] 2 3 4 2 4" xfId="34470"/>
    <cellStyle name="Input [yellow] 2 3 4 2 5" xfId="45663"/>
    <cellStyle name="Input [yellow] 2 3 4 20" xfId="11491"/>
    <cellStyle name="Input [yellow] 2 3 4 21" xfId="22661"/>
    <cellStyle name="Input [yellow] 2 3 4 22" xfId="33828"/>
    <cellStyle name="Input [yellow] 2 3 4 23" xfId="45014"/>
    <cellStyle name="Input [yellow] 2 3 4 3" xfId="1942"/>
    <cellStyle name="Input [yellow] 2 3 4 3 2" xfId="13139"/>
    <cellStyle name="Input [yellow] 2 3 4 3 3" xfId="24307"/>
    <cellStyle name="Input [yellow] 2 3 4 3 4" xfId="35472"/>
    <cellStyle name="Input [yellow] 2 3 4 3 5" xfId="46665"/>
    <cellStyle name="Input [yellow] 2 3 4 4" xfId="2216"/>
    <cellStyle name="Input [yellow] 2 3 4 4 2" xfId="13413"/>
    <cellStyle name="Input [yellow] 2 3 4 4 3" xfId="24581"/>
    <cellStyle name="Input [yellow] 2 3 4 4 4" xfId="35746"/>
    <cellStyle name="Input [yellow] 2 3 4 4 5" xfId="46939"/>
    <cellStyle name="Input [yellow] 2 3 4 5" xfId="2641"/>
    <cellStyle name="Input [yellow] 2 3 4 5 2" xfId="13838"/>
    <cellStyle name="Input [yellow] 2 3 4 5 3" xfId="25006"/>
    <cellStyle name="Input [yellow] 2 3 4 5 4" xfId="36171"/>
    <cellStyle name="Input [yellow] 2 3 4 5 5" xfId="47364"/>
    <cellStyle name="Input [yellow] 2 3 4 6" xfId="3275"/>
    <cellStyle name="Input [yellow] 2 3 4 6 2" xfId="14472"/>
    <cellStyle name="Input [yellow] 2 3 4 6 3" xfId="25640"/>
    <cellStyle name="Input [yellow] 2 3 4 6 4" xfId="36805"/>
    <cellStyle name="Input [yellow] 2 3 4 6 5" xfId="47998"/>
    <cellStyle name="Input [yellow] 2 3 4 7" xfId="3909"/>
    <cellStyle name="Input [yellow] 2 3 4 7 2" xfId="15106"/>
    <cellStyle name="Input [yellow] 2 3 4 7 3" xfId="26274"/>
    <cellStyle name="Input [yellow] 2 3 4 7 4" xfId="37439"/>
    <cellStyle name="Input [yellow] 2 3 4 7 5" xfId="48632"/>
    <cellStyle name="Input [yellow] 2 3 4 8" xfId="4542"/>
    <cellStyle name="Input [yellow] 2 3 4 8 2" xfId="15739"/>
    <cellStyle name="Input [yellow] 2 3 4 8 3" xfId="26907"/>
    <cellStyle name="Input [yellow] 2 3 4 8 4" xfId="38072"/>
    <cellStyle name="Input [yellow] 2 3 4 8 5" xfId="49265"/>
    <cellStyle name="Input [yellow] 2 3 4 9" xfId="5173"/>
    <cellStyle name="Input [yellow] 2 3 4 9 2" xfId="16370"/>
    <cellStyle name="Input [yellow] 2 3 4 9 3" xfId="27538"/>
    <cellStyle name="Input [yellow] 2 3 4 9 4" xfId="38703"/>
    <cellStyle name="Input [yellow] 2 3 4 9 5" xfId="49896"/>
    <cellStyle name="Input [yellow] 2 3 5" xfId="302"/>
    <cellStyle name="Input [yellow] 2 3 5 10" xfId="6114"/>
    <cellStyle name="Input [yellow] 2 3 5 10 2" xfId="17311"/>
    <cellStyle name="Input [yellow] 2 3 5 10 3" xfId="28479"/>
    <cellStyle name="Input [yellow] 2 3 5 10 4" xfId="39644"/>
    <cellStyle name="Input [yellow] 2 3 5 10 5" xfId="50837"/>
    <cellStyle name="Input [yellow] 2 3 5 11" xfId="6238"/>
    <cellStyle name="Input [yellow] 2 3 5 11 2" xfId="17435"/>
    <cellStyle name="Input [yellow] 2 3 5 11 3" xfId="28603"/>
    <cellStyle name="Input [yellow] 2 3 5 11 4" xfId="39768"/>
    <cellStyle name="Input [yellow] 2 3 5 11 5" xfId="50961"/>
    <cellStyle name="Input [yellow] 2 3 5 12" xfId="6871"/>
    <cellStyle name="Input [yellow] 2 3 5 12 2" xfId="18068"/>
    <cellStyle name="Input [yellow] 2 3 5 12 3" xfId="29236"/>
    <cellStyle name="Input [yellow] 2 3 5 12 4" xfId="40401"/>
    <cellStyle name="Input [yellow] 2 3 5 12 5" xfId="51594"/>
    <cellStyle name="Input [yellow] 2 3 5 13" xfId="7505"/>
    <cellStyle name="Input [yellow] 2 3 5 13 2" xfId="18702"/>
    <cellStyle name="Input [yellow] 2 3 5 13 3" xfId="29870"/>
    <cellStyle name="Input [yellow] 2 3 5 13 4" xfId="41035"/>
    <cellStyle name="Input [yellow] 2 3 5 13 5" xfId="52228"/>
    <cellStyle name="Input [yellow] 2 3 5 14" xfId="8139"/>
    <cellStyle name="Input [yellow] 2 3 5 14 2" xfId="19336"/>
    <cellStyle name="Input [yellow] 2 3 5 14 3" xfId="30504"/>
    <cellStyle name="Input [yellow] 2 3 5 14 4" xfId="41669"/>
    <cellStyle name="Input [yellow] 2 3 5 14 5" xfId="52862"/>
    <cellStyle name="Input [yellow] 2 3 5 15" xfId="8768"/>
    <cellStyle name="Input [yellow] 2 3 5 15 2" xfId="19965"/>
    <cellStyle name="Input [yellow] 2 3 5 15 3" xfId="31133"/>
    <cellStyle name="Input [yellow] 2 3 5 15 4" xfId="42298"/>
    <cellStyle name="Input [yellow] 2 3 5 15 5" xfId="53491"/>
    <cellStyle name="Input [yellow] 2 3 5 16" xfId="9190"/>
    <cellStyle name="Input [yellow] 2 3 5 16 2" xfId="20387"/>
    <cellStyle name="Input [yellow] 2 3 5 16 3" xfId="31555"/>
    <cellStyle name="Input [yellow] 2 3 5 16 4" xfId="42720"/>
    <cellStyle name="Input [yellow] 2 3 5 16 5" xfId="53913"/>
    <cellStyle name="Input [yellow] 2 3 5 17" xfId="9817"/>
    <cellStyle name="Input [yellow] 2 3 5 17 2" xfId="21014"/>
    <cellStyle name="Input [yellow] 2 3 5 17 3" xfId="32182"/>
    <cellStyle name="Input [yellow] 2 3 5 17 4" xfId="43347"/>
    <cellStyle name="Input [yellow] 2 3 5 17 5" xfId="54540"/>
    <cellStyle name="Input [yellow] 2 3 5 18" xfId="9873"/>
    <cellStyle name="Input [yellow] 2 3 5 18 2" xfId="21070"/>
    <cellStyle name="Input [yellow] 2 3 5 18 3" xfId="32238"/>
    <cellStyle name="Input [yellow] 2 3 5 18 4" xfId="43403"/>
    <cellStyle name="Input [yellow] 2 3 5 18 5" xfId="54596"/>
    <cellStyle name="Input [yellow] 2 3 5 19" xfId="10855"/>
    <cellStyle name="Input [yellow] 2 3 5 19 2" xfId="22052"/>
    <cellStyle name="Input [yellow] 2 3 5 19 3" xfId="33220"/>
    <cellStyle name="Input [yellow] 2 3 5 19 4" xfId="44385"/>
    <cellStyle name="Input [yellow] 2 3 5 19 5" xfId="55578"/>
    <cellStyle name="Input [yellow] 2 3 5 2" xfId="951"/>
    <cellStyle name="Input [yellow] 2 3 5 2 2" xfId="12148"/>
    <cellStyle name="Input [yellow] 2 3 5 2 3" xfId="23316"/>
    <cellStyle name="Input [yellow] 2 3 5 2 4" xfId="34481"/>
    <cellStyle name="Input [yellow] 2 3 5 2 5" xfId="45674"/>
    <cellStyle name="Input [yellow] 2 3 5 20" xfId="11502"/>
    <cellStyle name="Input [yellow] 2 3 5 21" xfId="22672"/>
    <cellStyle name="Input [yellow] 2 3 5 22" xfId="33839"/>
    <cellStyle name="Input [yellow] 2 3 5 23" xfId="45025"/>
    <cellStyle name="Input [yellow] 2 3 5 3" xfId="1829"/>
    <cellStyle name="Input [yellow] 2 3 5 3 2" xfId="13026"/>
    <cellStyle name="Input [yellow] 2 3 5 3 3" xfId="24194"/>
    <cellStyle name="Input [yellow] 2 3 5 3 4" xfId="35359"/>
    <cellStyle name="Input [yellow] 2 3 5 3 5" xfId="46552"/>
    <cellStyle name="Input [yellow] 2 3 5 4" xfId="2227"/>
    <cellStyle name="Input [yellow] 2 3 5 4 2" xfId="13424"/>
    <cellStyle name="Input [yellow] 2 3 5 4 3" xfId="24592"/>
    <cellStyle name="Input [yellow] 2 3 5 4 4" xfId="35757"/>
    <cellStyle name="Input [yellow] 2 3 5 4 5" xfId="46950"/>
    <cellStyle name="Input [yellow] 2 3 5 5" xfId="2652"/>
    <cellStyle name="Input [yellow] 2 3 5 5 2" xfId="13849"/>
    <cellStyle name="Input [yellow] 2 3 5 5 3" xfId="25017"/>
    <cellStyle name="Input [yellow] 2 3 5 5 4" xfId="36182"/>
    <cellStyle name="Input [yellow] 2 3 5 5 5" xfId="47375"/>
    <cellStyle name="Input [yellow] 2 3 5 6" xfId="3286"/>
    <cellStyle name="Input [yellow] 2 3 5 6 2" xfId="14483"/>
    <cellStyle name="Input [yellow] 2 3 5 6 3" xfId="25651"/>
    <cellStyle name="Input [yellow] 2 3 5 6 4" xfId="36816"/>
    <cellStyle name="Input [yellow] 2 3 5 6 5" xfId="48009"/>
    <cellStyle name="Input [yellow] 2 3 5 7" xfId="3920"/>
    <cellStyle name="Input [yellow] 2 3 5 7 2" xfId="15117"/>
    <cellStyle name="Input [yellow] 2 3 5 7 3" xfId="26285"/>
    <cellStyle name="Input [yellow] 2 3 5 7 4" xfId="37450"/>
    <cellStyle name="Input [yellow] 2 3 5 7 5" xfId="48643"/>
    <cellStyle name="Input [yellow] 2 3 5 8" xfId="4553"/>
    <cellStyle name="Input [yellow] 2 3 5 8 2" xfId="15750"/>
    <cellStyle name="Input [yellow] 2 3 5 8 3" xfId="26918"/>
    <cellStyle name="Input [yellow] 2 3 5 8 4" xfId="38083"/>
    <cellStyle name="Input [yellow] 2 3 5 8 5" xfId="49276"/>
    <cellStyle name="Input [yellow] 2 3 5 9" xfId="5184"/>
    <cellStyle name="Input [yellow] 2 3 5 9 2" xfId="16381"/>
    <cellStyle name="Input [yellow] 2 3 5 9 3" xfId="27549"/>
    <cellStyle name="Input [yellow] 2 3 5 9 4" xfId="38714"/>
    <cellStyle name="Input [yellow] 2 3 5 9 5" xfId="49907"/>
    <cellStyle name="Input [yellow] 2 3 6" xfId="287"/>
    <cellStyle name="Input [yellow] 2 3 6 10" xfId="5949"/>
    <cellStyle name="Input [yellow] 2 3 6 10 2" xfId="17146"/>
    <cellStyle name="Input [yellow] 2 3 6 10 3" xfId="28314"/>
    <cellStyle name="Input [yellow] 2 3 6 10 4" xfId="39479"/>
    <cellStyle name="Input [yellow] 2 3 6 10 5" xfId="50672"/>
    <cellStyle name="Input [yellow] 2 3 6 11" xfId="6223"/>
    <cellStyle name="Input [yellow] 2 3 6 11 2" xfId="17420"/>
    <cellStyle name="Input [yellow] 2 3 6 11 3" xfId="28588"/>
    <cellStyle name="Input [yellow] 2 3 6 11 4" xfId="39753"/>
    <cellStyle name="Input [yellow] 2 3 6 11 5" xfId="50946"/>
    <cellStyle name="Input [yellow] 2 3 6 12" xfId="6856"/>
    <cellStyle name="Input [yellow] 2 3 6 12 2" xfId="18053"/>
    <cellStyle name="Input [yellow] 2 3 6 12 3" xfId="29221"/>
    <cellStyle name="Input [yellow] 2 3 6 12 4" xfId="40386"/>
    <cellStyle name="Input [yellow] 2 3 6 12 5" xfId="51579"/>
    <cellStyle name="Input [yellow] 2 3 6 13" xfId="7490"/>
    <cellStyle name="Input [yellow] 2 3 6 13 2" xfId="18687"/>
    <cellStyle name="Input [yellow] 2 3 6 13 3" xfId="29855"/>
    <cellStyle name="Input [yellow] 2 3 6 13 4" xfId="41020"/>
    <cellStyle name="Input [yellow] 2 3 6 13 5" xfId="52213"/>
    <cellStyle name="Input [yellow] 2 3 6 14" xfId="8124"/>
    <cellStyle name="Input [yellow] 2 3 6 14 2" xfId="19321"/>
    <cellStyle name="Input [yellow] 2 3 6 14 3" xfId="30489"/>
    <cellStyle name="Input [yellow] 2 3 6 14 4" xfId="41654"/>
    <cellStyle name="Input [yellow] 2 3 6 14 5" xfId="52847"/>
    <cellStyle name="Input [yellow] 2 3 6 15" xfId="8753"/>
    <cellStyle name="Input [yellow] 2 3 6 15 2" xfId="19950"/>
    <cellStyle name="Input [yellow] 2 3 6 15 3" xfId="31118"/>
    <cellStyle name="Input [yellow] 2 3 6 15 4" xfId="42283"/>
    <cellStyle name="Input [yellow] 2 3 6 15 5" xfId="53476"/>
    <cellStyle name="Input [yellow] 2 3 6 16" xfId="9175"/>
    <cellStyle name="Input [yellow] 2 3 6 16 2" xfId="20372"/>
    <cellStyle name="Input [yellow] 2 3 6 16 3" xfId="31540"/>
    <cellStyle name="Input [yellow] 2 3 6 16 4" xfId="42705"/>
    <cellStyle name="Input [yellow] 2 3 6 16 5" xfId="53898"/>
    <cellStyle name="Input [yellow] 2 3 6 17" xfId="9802"/>
    <cellStyle name="Input [yellow] 2 3 6 17 2" xfId="20999"/>
    <cellStyle name="Input [yellow] 2 3 6 17 3" xfId="32167"/>
    <cellStyle name="Input [yellow] 2 3 6 17 4" xfId="43332"/>
    <cellStyle name="Input [yellow] 2 3 6 17 5" xfId="54525"/>
    <cellStyle name="Input [yellow] 2 3 6 18" xfId="10219"/>
    <cellStyle name="Input [yellow] 2 3 6 18 2" xfId="21416"/>
    <cellStyle name="Input [yellow] 2 3 6 18 3" xfId="32584"/>
    <cellStyle name="Input [yellow] 2 3 6 18 4" xfId="43749"/>
    <cellStyle name="Input [yellow] 2 3 6 18 5" xfId="54942"/>
    <cellStyle name="Input [yellow] 2 3 6 19" xfId="10840"/>
    <cellStyle name="Input [yellow] 2 3 6 19 2" xfId="22037"/>
    <cellStyle name="Input [yellow] 2 3 6 19 3" xfId="33205"/>
    <cellStyle name="Input [yellow] 2 3 6 19 4" xfId="44370"/>
    <cellStyle name="Input [yellow] 2 3 6 19 5" xfId="55563"/>
    <cellStyle name="Input [yellow] 2 3 6 2" xfId="936"/>
    <cellStyle name="Input [yellow] 2 3 6 2 2" xfId="12133"/>
    <cellStyle name="Input [yellow] 2 3 6 2 3" xfId="23301"/>
    <cellStyle name="Input [yellow] 2 3 6 2 4" xfId="34466"/>
    <cellStyle name="Input [yellow] 2 3 6 2 5" xfId="45659"/>
    <cellStyle name="Input [yellow] 2 3 6 20" xfId="11487"/>
    <cellStyle name="Input [yellow] 2 3 6 21" xfId="22657"/>
    <cellStyle name="Input [yellow] 2 3 6 22" xfId="33824"/>
    <cellStyle name="Input [yellow] 2 3 6 23" xfId="45010"/>
    <cellStyle name="Input [yellow] 2 3 6 3" xfId="1418"/>
    <cellStyle name="Input [yellow] 2 3 6 3 2" xfId="12615"/>
    <cellStyle name="Input [yellow] 2 3 6 3 3" xfId="23783"/>
    <cellStyle name="Input [yellow] 2 3 6 3 4" xfId="34948"/>
    <cellStyle name="Input [yellow] 2 3 6 3 5" xfId="46141"/>
    <cellStyle name="Input [yellow] 2 3 6 4" xfId="2213"/>
    <cellStyle name="Input [yellow] 2 3 6 4 2" xfId="13410"/>
    <cellStyle name="Input [yellow] 2 3 6 4 3" xfId="24578"/>
    <cellStyle name="Input [yellow] 2 3 6 4 4" xfId="35743"/>
    <cellStyle name="Input [yellow] 2 3 6 4 5" xfId="46936"/>
    <cellStyle name="Input [yellow] 2 3 6 5" xfId="2637"/>
    <cellStyle name="Input [yellow] 2 3 6 5 2" xfId="13834"/>
    <cellStyle name="Input [yellow] 2 3 6 5 3" xfId="25002"/>
    <cellStyle name="Input [yellow] 2 3 6 5 4" xfId="36167"/>
    <cellStyle name="Input [yellow] 2 3 6 5 5" xfId="47360"/>
    <cellStyle name="Input [yellow] 2 3 6 6" xfId="3271"/>
    <cellStyle name="Input [yellow] 2 3 6 6 2" xfId="14468"/>
    <cellStyle name="Input [yellow] 2 3 6 6 3" xfId="25636"/>
    <cellStyle name="Input [yellow] 2 3 6 6 4" xfId="36801"/>
    <cellStyle name="Input [yellow] 2 3 6 6 5" xfId="47994"/>
    <cellStyle name="Input [yellow] 2 3 6 7" xfId="3905"/>
    <cellStyle name="Input [yellow] 2 3 6 7 2" xfId="15102"/>
    <cellStyle name="Input [yellow] 2 3 6 7 3" xfId="26270"/>
    <cellStyle name="Input [yellow] 2 3 6 7 4" xfId="37435"/>
    <cellStyle name="Input [yellow] 2 3 6 7 5" xfId="48628"/>
    <cellStyle name="Input [yellow] 2 3 6 8" xfId="4538"/>
    <cellStyle name="Input [yellow] 2 3 6 8 2" xfId="15735"/>
    <cellStyle name="Input [yellow] 2 3 6 8 3" xfId="26903"/>
    <cellStyle name="Input [yellow] 2 3 6 8 4" xfId="38068"/>
    <cellStyle name="Input [yellow] 2 3 6 8 5" xfId="49261"/>
    <cellStyle name="Input [yellow] 2 3 6 9" xfId="5169"/>
    <cellStyle name="Input [yellow] 2 3 6 9 2" xfId="16366"/>
    <cellStyle name="Input [yellow] 2 3 6 9 3" xfId="27534"/>
    <cellStyle name="Input [yellow] 2 3 6 9 4" xfId="38699"/>
    <cellStyle name="Input [yellow] 2 3 6 9 5" xfId="49892"/>
    <cellStyle name="Input [yellow] 2 3 7" xfId="453"/>
    <cellStyle name="Input [yellow] 2 3 7 10" xfId="5807"/>
    <cellStyle name="Input [yellow] 2 3 7 10 2" xfId="17004"/>
    <cellStyle name="Input [yellow] 2 3 7 10 3" xfId="28172"/>
    <cellStyle name="Input [yellow] 2 3 7 10 4" xfId="39337"/>
    <cellStyle name="Input [yellow] 2 3 7 10 5" xfId="50530"/>
    <cellStyle name="Input [yellow] 2 3 7 11" xfId="6389"/>
    <cellStyle name="Input [yellow] 2 3 7 11 2" xfId="17586"/>
    <cellStyle name="Input [yellow] 2 3 7 11 3" xfId="28754"/>
    <cellStyle name="Input [yellow] 2 3 7 11 4" xfId="39919"/>
    <cellStyle name="Input [yellow] 2 3 7 11 5" xfId="51112"/>
    <cellStyle name="Input [yellow] 2 3 7 12" xfId="7022"/>
    <cellStyle name="Input [yellow] 2 3 7 12 2" xfId="18219"/>
    <cellStyle name="Input [yellow] 2 3 7 12 3" xfId="29387"/>
    <cellStyle name="Input [yellow] 2 3 7 12 4" xfId="40552"/>
    <cellStyle name="Input [yellow] 2 3 7 12 5" xfId="51745"/>
    <cellStyle name="Input [yellow] 2 3 7 13" xfId="7656"/>
    <cellStyle name="Input [yellow] 2 3 7 13 2" xfId="18853"/>
    <cellStyle name="Input [yellow] 2 3 7 13 3" xfId="30021"/>
    <cellStyle name="Input [yellow] 2 3 7 13 4" xfId="41186"/>
    <cellStyle name="Input [yellow] 2 3 7 13 5" xfId="52379"/>
    <cellStyle name="Input [yellow] 2 3 7 14" xfId="8290"/>
    <cellStyle name="Input [yellow] 2 3 7 14 2" xfId="19487"/>
    <cellStyle name="Input [yellow] 2 3 7 14 3" xfId="30655"/>
    <cellStyle name="Input [yellow] 2 3 7 14 4" xfId="41820"/>
    <cellStyle name="Input [yellow] 2 3 7 14 5" xfId="53013"/>
    <cellStyle name="Input [yellow] 2 3 7 15" xfId="8918"/>
    <cellStyle name="Input [yellow] 2 3 7 15 2" xfId="20115"/>
    <cellStyle name="Input [yellow] 2 3 7 15 3" xfId="31283"/>
    <cellStyle name="Input [yellow] 2 3 7 15 4" xfId="42448"/>
    <cellStyle name="Input [yellow] 2 3 7 15 5" xfId="53641"/>
    <cellStyle name="Input [yellow] 2 3 7 16" xfId="9341"/>
    <cellStyle name="Input [yellow] 2 3 7 16 2" xfId="20538"/>
    <cellStyle name="Input [yellow] 2 3 7 16 3" xfId="31706"/>
    <cellStyle name="Input [yellow] 2 3 7 16 4" xfId="42871"/>
    <cellStyle name="Input [yellow] 2 3 7 16 5" xfId="54064"/>
    <cellStyle name="Input [yellow] 2 3 7 17" xfId="9967"/>
    <cellStyle name="Input [yellow] 2 3 7 17 2" xfId="21164"/>
    <cellStyle name="Input [yellow] 2 3 7 17 3" xfId="32332"/>
    <cellStyle name="Input [yellow] 2 3 7 17 4" xfId="43497"/>
    <cellStyle name="Input [yellow] 2 3 7 17 5" xfId="54690"/>
    <cellStyle name="Input [yellow] 2 3 7 18" xfId="10257"/>
    <cellStyle name="Input [yellow] 2 3 7 18 2" xfId="21454"/>
    <cellStyle name="Input [yellow] 2 3 7 18 3" xfId="32622"/>
    <cellStyle name="Input [yellow] 2 3 7 18 4" xfId="43787"/>
    <cellStyle name="Input [yellow] 2 3 7 18 5" xfId="54980"/>
    <cellStyle name="Input [yellow] 2 3 7 19" xfId="11006"/>
    <cellStyle name="Input [yellow] 2 3 7 19 2" xfId="22203"/>
    <cellStyle name="Input [yellow] 2 3 7 19 3" xfId="33371"/>
    <cellStyle name="Input [yellow] 2 3 7 19 4" xfId="44536"/>
    <cellStyle name="Input [yellow] 2 3 7 19 5" xfId="55729"/>
    <cellStyle name="Input [yellow] 2 3 7 2" xfId="1102"/>
    <cellStyle name="Input [yellow] 2 3 7 2 2" xfId="12299"/>
    <cellStyle name="Input [yellow] 2 3 7 2 3" xfId="23467"/>
    <cellStyle name="Input [yellow] 2 3 7 2 4" xfId="34632"/>
    <cellStyle name="Input [yellow] 2 3 7 2 5" xfId="45825"/>
    <cellStyle name="Input [yellow] 2 3 7 20" xfId="11653"/>
    <cellStyle name="Input [yellow] 2 3 7 21" xfId="22823"/>
    <cellStyle name="Input [yellow] 2 3 7 22" xfId="33990"/>
    <cellStyle name="Input [yellow] 2 3 7 23" xfId="45176"/>
    <cellStyle name="Input [yellow] 2 3 7 3" xfId="1612"/>
    <cellStyle name="Input [yellow] 2 3 7 3 2" xfId="12809"/>
    <cellStyle name="Input [yellow] 2 3 7 3 3" xfId="23977"/>
    <cellStyle name="Input [yellow] 2 3 7 3 4" xfId="35142"/>
    <cellStyle name="Input [yellow] 2 3 7 3 5" xfId="46335"/>
    <cellStyle name="Input [yellow] 2 3 7 4" xfId="2378"/>
    <cellStyle name="Input [yellow] 2 3 7 4 2" xfId="13575"/>
    <cellStyle name="Input [yellow] 2 3 7 4 3" xfId="24743"/>
    <cellStyle name="Input [yellow] 2 3 7 4 4" xfId="35908"/>
    <cellStyle name="Input [yellow] 2 3 7 4 5" xfId="47101"/>
    <cellStyle name="Input [yellow] 2 3 7 5" xfId="2803"/>
    <cellStyle name="Input [yellow] 2 3 7 5 2" xfId="14000"/>
    <cellStyle name="Input [yellow] 2 3 7 5 3" xfId="25168"/>
    <cellStyle name="Input [yellow] 2 3 7 5 4" xfId="36333"/>
    <cellStyle name="Input [yellow] 2 3 7 5 5" xfId="47526"/>
    <cellStyle name="Input [yellow] 2 3 7 6" xfId="3437"/>
    <cellStyle name="Input [yellow] 2 3 7 6 2" xfId="14634"/>
    <cellStyle name="Input [yellow] 2 3 7 6 3" xfId="25802"/>
    <cellStyle name="Input [yellow] 2 3 7 6 4" xfId="36967"/>
    <cellStyle name="Input [yellow] 2 3 7 6 5" xfId="48160"/>
    <cellStyle name="Input [yellow] 2 3 7 7" xfId="4071"/>
    <cellStyle name="Input [yellow] 2 3 7 7 2" xfId="15268"/>
    <cellStyle name="Input [yellow] 2 3 7 7 3" xfId="26436"/>
    <cellStyle name="Input [yellow] 2 3 7 7 4" xfId="37601"/>
    <cellStyle name="Input [yellow] 2 3 7 7 5" xfId="48794"/>
    <cellStyle name="Input [yellow] 2 3 7 8" xfId="4704"/>
    <cellStyle name="Input [yellow] 2 3 7 8 2" xfId="15901"/>
    <cellStyle name="Input [yellow] 2 3 7 8 3" xfId="27069"/>
    <cellStyle name="Input [yellow] 2 3 7 8 4" xfId="38234"/>
    <cellStyle name="Input [yellow] 2 3 7 8 5" xfId="49427"/>
    <cellStyle name="Input [yellow] 2 3 7 9" xfId="5335"/>
    <cellStyle name="Input [yellow] 2 3 7 9 2" xfId="16532"/>
    <cellStyle name="Input [yellow] 2 3 7 9 3" xfId="27700"/>
    <cellStyle name="Input [yellow] 2 3 7 9 4" xfId="38865"/>
    <cellStyle name="Input [yellow] 2 3 7 9 5" xfId="50058"/>
    <cellStyle name="Input [yellow] 2 3 8" xfId="482"/>
    <cellStyle name="Input [yellow] 2 3 8 10" xfId="6124"/>
    <cellStyle name="Input [yellow] 2 3 8 10 2" xfId="17321"/>
    <cellStyle name="Input [yellow] 2 3 8 10 3" xfId="28489"/>
    <cellStyle name="Input [yellow] 2 3 8 10 4" xfId="39654"/>
    <cellStyle name="Input [yellow] 2 3 8 10 5" xfId="50847"/>
    <cellStyle name="Input [yellow] 2 3 8 11" xfId="6418"/>
    <cellStyle name="Input [yellow] 2 3 8 11 2" xfId="17615"/>
    <cellStyle name="Input [yellow] 2 3 8 11 3" xfId="28783"/>
    <cellStyle name="Input [yellow] 2 3 8 11 4" xfId="39948"/>
    <cellStyle name="Input [yellow] 2 3 8 11 5" xfId="51141"/>
    <cellStyle name="Input [yellow] 2 3 8 12" xfId="7051"/>
    <cellStyle name="Input [yellow] 2 3 8 12 2" xfId="18248"/>
    <cellStyle name="Input [yellow] 2 3 8 12 3" xfId="29416"/>
    <cellStyle name="Input [yellow] 2 3 8 12 4" xfId="40581"/>
    <cellStyle name="Input [yellow] 2 3 8 12 5" xfId="51774"/>
    <cellStyle name="Input [yellow] 2 3 8 13" xfId="7685"/>
    <cellStyle name="Input [yellow] 2 3 8 13 2" xfId="18882"/>
    <cellStyle name="Input [yellow] 2 3 8 13 3" xfId="30050"/>
    <cellStyle name="Input [yellow] 2 3 8 13 4" xfId="41215"/>
    <cellStyle name="Input [yellow] 2 3 8 13 5" xfId="52408"/>
    <cellStyle name="Input [yellow] 2 3 8 14" xfId="8319"/>
    <cellStyle name="Input [yellow] 2 3 8 14 2" xfId="19516"/>
    <cellStyle name="Input [yellow] 2 3 8 14 3" xfId="30684"/>
    <cellStyle name="Input [yellow] 2 3 8 14 4" xfId="41849"/>
    <cellStyle name="Input [yellow] 2 3 8 14 5" xfId="53042"/>
    <cellStyle name="Input [yellow] 2 3 8 15" xfId="8947"/>
    <cellStyle name="Input [yellow] 2 3 8 15 2" xfId="20144"/>
    <cellStyle name="Input [yellow] 2 3 8 15 3" xfId="31312"/>
    <cellStyle name="Input [yellow] 2 3 8 15 4" xfId="42477"/>
    <cellStyle name="Input [yellow] 2 3 8 15 5" xfId="53670"/>
    <cellStyle name="Input [yellow] 2 3 8 16" xfId="9370"/>
    <cellStyle name="Input [yellow] 2 3 8 16 2" xfId="20567"/>
    <cellStyle name="Input [yellow] 2 3 8 16 3" xfId="31735"/>
    <cellStyle name="Input [yellow] 2 3 8 16 4" xfId="42900"/>
    <cellStyle name="Input [yellow] 2 3 8 16 5" xfId="54093"/>
    <cellStyle name="Input [yellow] 2 3 8 17" xfId="9996"/>
    <cellStyle name="Input [yellow] 2 3 8 17 2" xfId="21193"/>
    <cellStyle name="Input [yellow] 2 3 8 17 3" xfId="32361"/>
    <cellStyle name="Input [yellow] 2 3 8 17 4" xfId="43526"/>
    <cellStyle name="Input [yellow] 2 3 8 17 5" xfId="54719"/>
    <cellStyle name="Input [yellow] 2 3 8 18" xfId="10215"/>
    <cellStyle name="Input [yellow] 2 3 8 18 2" xfId="21412"/>
    <cellStyle name="Input [yellow] 2 3 8 18 3" xfId="32580"/>
    <cellStyle name="Input [yellow] 2 3 8 18 4" xfId="43745"/>
    <cellStyle name="Input [yellow] 2 3 8 18 5" xfId="54938"/>
    <cellStyle name="Input [yellow] 2 3 8 19" xfId="11035"/>
    <cellStyle name="Input [yellow] 2 3 8 19 2" xfId="22232"/>
    <cellStyle name="Input [yellow] 2 3 8 19 3" xfId="33400"/>
    <cellStyle name="Input [yellow] 2 3 8 19 4" xfId="44565"/>
    <cellStyle name="Input [yellow] 2 3 8 19 5" xfId="55758"/>
    <cellStyle name="Input [yellow] 2 3 8 2" xfId="1131"/>
    <cellStyle name="Input [yellow] 2 3 8 2 2" xfId="12328"/>
    <cellStyle name="Input [yellow] 2 3 8 2 3" xfId="23496"/>
    <cellStyle name="Input [yellow] 2 3 8 2 4" xfId="34661"/>
    <cellStyle name="Input [yellow] 2 3 8 2 5" xfId="45854"/>
    <cellStyle name="Input [yellow] 2 3 8 20" xfId="11682"/>
    <cellStyle name="Input [yellow] 2 3 8 21" xfId="22852"/>
    <cellStyle name="Input [yellow] 2 3 8 22" xfId="34019"/>
    <cellStyle name="Input [yellow] 2 3 8 23" xfId="45205"/>
    <cellStyle name="Input [yellow] 2 3 8 3" xfId="1518"/>
    <cellStyle name="Input [yellow] 2 3 8 3 2" xfId="12715"/>
    <cellStyle name="Input [yellow] 2 3 8 3 3" xfId="23883"/>
    <cellStyle name="Input [yellow] 2 3 8 3 4" xfId="35048"/>
    <cellStyle name="Input [yellow] 2 3 8 3 5" xfId="46241"/>
    <cellStyle name="Input [yellow] 2 3 8 4" xfId="2407"/>
    <cellStyle name="Input [yellow] 2 3 8 4 2" xfId="13604"/>
    <cellStyle name="Input [yellow] 2 3 8 4 3" xfId="24772"/>
    <cellStyle name="Input [yellow] 2 3 8 4 4" xfId="35937"/>
    <cellStyle name="Input [yellow] 2 3 8 4 5" xfId="47130"/>
    <cellStyle name="Input [yellow] 2 3 8 5" xfId="2832"/>
    <cellStyle name="Input [yellow] 2 3 8 5 2" xfId="14029"/>
    <cellStyle name="Input [yellow] 2 3 8 5 3" xfId="25197"/>
    <cellStyle name="Input [yellow] 2 3 8 5 4" xfId="36362"/>
    <cellStyle name="Input [yellow] 2 3 8 5 5" xfId="47555"/>
    <cellStyle name="Input [yellow] 2 3 8 6" xfId="3466"/>
    <cellStyle name="Input [yellow] 2 3 8 6 2" xfId="14663"/>
    <cellStyle name="Input [yellow] 2 3 8 6 3" xfId="25831"/>
    <cellStyle name="Input [yellow] 2 3 8 6 4" xfId="36996"/>
    <cellStyle name="Input [yellow] 2 3 8 6 5" xfId="48189"/>
    <cellStyle name="Input [yellow] 2 3 8 7" xfId="4100"/>
    <cellStyle name="Input [yellow] 2 3 8 7 2" xfId="15297"/>
    <cellStyle name="Input [yellow] 2 3 8 7 3" xfId="26465"/>
    <cellStyle name="Input [yellow] 2 3 8 7 4" xfId="37630"/>
    <cellStyle name="Input [yellow] 2 3 8 7 5" xfId="48823"/>
    <cellStyle name="Input [yellow] 2 3 8 8" xfId="4733"/>
    <cellStyle name="Input [yellow] 2 3 8 8 2" xfId="15930"/>
    <cellStyle name="Input [yellow] 2 3 8 8 3" xfId="27098"/>
    <cellStyle name="Input [yellow] 2 3 8 8 4" xfId="38263"/>
    <cellStyle name="Input [yellow] 2 3 8 8 5" xfId="49456"/>
    <cellStyle name="Input [yellow] 2 3 8 9" xfId="5364"/>
    <cellStyle name="Input [yellow] 2 3 8 9 2" xfId="16561"/>
    <cellStyle name="Input [yellow] 2 3 8 9 3" xfId="27729"/>
    <cellStyle name="Input [yellow] 2 3 8 9 4" xfId="38894"/>
    <cellStyle name="Input [yellow] 2 3 8 9 5" xfId="50087"/>
    <cellStyle name="Input [yellow] 2 3 9" xfId="540"/>
    <cellStyle name="Input [yellow] 2 3 9 10" xfId="5922"/>
    <cellStyle name="Input [yellow] 2 3 9 10 2" xfId="17119"/>
    <cellStyle name="Input [yellow] 2 3 9 10 3" xfId="28287"/>
    <cellStyle name="Input [yellow] 2 3 9 10 4" xfId="39452"/>
    <cellStyle name="Input [yellow] 2 3 9 10 5" xfId="50645"/>
    <cellStyle name="Input [yellow] 2 3 9 11" xfId="6476"/>
    <cellStyle name="Input [yellow] 2 3 9 11 2" xfId="17673"/>
    <cellStyle name="Input [yellow] 2 3 9 11 3" xfId="28841"/>
    <cellStyle name="Input [yellow] 2 3 9 11 4" xfId="40006"/>
    <cellStyle name="Input [yellow] 2 3 9 11 5" xfId="51199"/>
    <cellStyle name="Input [yellow] 2 3 9 12" xfId="7109"/>
    <cellStyle name="Input [yellow] 2 3 9 12 2" xfId="18306"/>
    <cellStyle name="Input [yellow] 2 3 9 12 3" xfId="29474"/>
    <cellStyle name="Input [yellow] 2 3 9 12 4" xfId="40639"/>
    <cellStyle name="Input [yellow] 2 3 9 12 5" xfId="51832"/>
    <cellStyle name="Input [yellow] 2 3 9 13" xfId="7743"/>
    <cellStyle name="Input [yellow] 2 3 9 13 2" xfId="18940"/>
    <cellStyle name="Input [yellow] 2 3 9 13 3" xfId="30108"/>
    <cellStyle name="Input [yellow] 2 3 9 13 4" xfId="41273"/>
    <cellStyle name="Input [yellow] 2 3 9 13 5" xfId="52466"/>
    <cellStyle name="Input [yellow] 2 3 9 14" xfId="8377"/>
    <cellStyle name="Input [yellow] 2 3 9 14 2" xfId="19574"/>
    <cellStyle name="Input [yellow] 2 3 9 14 3" xfId="30742"/>
    <cellStyle name="Input [yellow] 2 3 9 14 4" xfId="41907"/>
    <cellStyle name="Input [yellow] 2 3 9 14 5" xfId="53100"/>
    <cellStyle name="Input [yellow] 2 3 9 15" xfId="9005"/>
    <cellStyle name="Input [yellow] 2 3 9 15 2" xfId="20202"/>
    <cellStyle name="Input [yellow] 2 3 9 15 3" xfId="31370"/>
    <cellStyle name="Input [yellow] 2 3 9 15 4" xfId="42535"/>
    <cellStyle name="Input [yellow] 2 3 9 15 5" xfId="53728"/>
    <cellStyle name="Input [yellow] 2 3 9 16" xfId="9428"/>
    <cellStyle name="Input [yellow] 2 3 9 16 2" xfId="20625"/>
    <cellStyle name="Input [yellow] 2 3 9 16 3" xfId="31793"/>
    <cellStyle name="Input [yellow] 2 3 9 16 4" xfId="42958"/>
    <cellStyle name="Input [yellow] 2 3 9 16 5" xfId="54151"/>
    <cellStyle name="Input [yellow] 2 3 9 17" xfId="10053"/>
    <cellStyle name="Input [yellow] 2 3 9 17 2" xfId="21250"/>
    <cellStyle name="Input [yellow] 2 3 9 17 3" xfId="32418"/>
    <cellStyle name="Input [yellow] 2 3 9 17 4" xfId="43583"/>
    <cellStyle name="Input [yellow] 2 3 9 17 5" xfId="54776"/>
    <cellStyle name="Input [yellow] 2 3 9 18" xfId="10584"/>
    <cellStyle name="Input [yellow] 2 3 9 18 2" xfId="21781"/>
    <cellStyle name="Input [yellow] 2 3 9 18 3" xfId="32949"/>
    <cellStyle name="Input [yellow] 2 3 9 18 4" xfId="44114"/>
    <cellStyle name="Input [yellow] 2 3 9 18 5" xfId="55307"/>
    <cellStyle name="Input [yellow] 2 3 9 19" xfId="11093"/>
    <cellStyle name="Input [yellow] 2 3 9 19 2" xfId="22290"/>
    <cellStyle name="Input [yellow] 2 3 9 19 3" xfId="33458"/>
    <cellStyle name="Input [yellow] 2 3 9 19 4" xfId="44623"/>
    <cellStyle name="Input [yellow] 2 3 9 19 5" xfId="55816"/>
    <cellStyle name="Input [yellow] 2 3 9 2" xfId="1189"/>
    <cellStyle name="Input [yellow] 2 3 9 2 2" xfId="12386"/>
    <cellStyle name="Input [yellow] 2 3 9 2 3" xfId="23554"/>
    <cellStyle name="Input [yellow] 2 3 9 2 4" xfId="34719"/>
    <cellStyle name="Input [yellow] 2 3 9 2 5" xfId="45912"/>
    <cellStyle name="Input [yellow] 2 3 9 20" xfId="11740"/>
    <cellStyle name="Input [yellow] 2 3 9 21" xfId="22910"/>
    <cellStyle name="Input [yellow] 2 3 9 22" xfId="34077"/>
    <cellStyle name="Input [yellow] 2 3 9 23" xfId="45263"/>
    <cellStyle name="Input [yellow] 2 3 9 3" xfId="1927"/>
    <cellStyle name="Input [yellow] 2 3 9 3 2" xfId="13124"/>
    <cellStyle name="Input [yellow] 2 3 9 3 3" xfId="24292"/>
    <cellStyle name="Input [yellow] 2 3 9 3 4" xfId="35457"/>
    <cellStyle name="Input [yellow] 2 3 9 3 5" xfId="46650"/>
    <cellStyle name="Input [yellow] 2 3 9 4" xfId="2465"/>
    <cellStyle name="Input [yellow] 2 3 9 4 2" xfId="13662"/>
    <cellStyle name="Input [yellow] 2 3 9 4 3" xfId="24830"/>
    <cellStyle name="Input [yellow] 2 3 9 4 4" xfId="35995"/>
    <cellStyle name="Input [yellow] 2 3 9 4 5" xfId="47188"/>
    <cellStyle name="Input [yellow] 2 3 9 5" xfId="2890"/>
    <cellStyle name="Input [yellow] 2 3 9 5 2" xfId="14087"/>
    <cellStyle name="Input [yellow] 2 3 9 5 3" xfId="25255"/>
    <cellStyle name="Input [yellow] 2 3 9 5 4" xfId="36420"/>
    <cellStyle name="Input [yellow] 2 3 9 5 5" xfId="47613"/>
    <cellStyle name="Input [yellow] 2 3 9 6" xfId="3524"/>
    <cellStyle name="Input [yellow] 2 3 9 6 2" xfId="14721"/>
    <cellStyle name="Input [yellow] 2 3 9 6 3" xfId="25889"/>
    <cellStyle name="Input [yellow] 2 3 9 6 4" xfId="37054"/>
    <cellStyle name="Input [yellow] 2 3 9 6 5" xfId="48247"/>
    <cellStyle name="Input [yellow] 2 3 9 7" xfId="4158"/>
    <cellStyle name="Input [yellow] 2 3 9 7 2" xfId="15355"/>
    <cellStyle name="Input [yellow] 2 3 9 7 3" xfId="26523"/>
    <cellStyle name="Input [yellow] 2 3 9 7 4" xfId="37688"/>
    <cellStyle name="Input [yellow] 2 3 9 7 5" xfId="48881"/>
    <cellStyle name="Input [yellow] 2 3 9 8" xfId="4791"/>
    <cellStyle name="Input [yellow] 2 3 9 8 2" xfId="15988"/>
    <cellStyle name="Input [yellow] 2 3 9 8 3" xfId="27156"/>
    <cellStyle name="Input [yellow] 2 3 9 8 4" xfId="38321"/>
    <cellStyle name="Input [yellow] 2 3 9 8 5" xfId="49514"/>
    <cellStyle name="Input [yellow] 2 3 9 9" xfId="5422"/>
    <cellStyle name="Input [yellow] 2 3 9 9 2" xfId="16619"/>
    <cellStyle name="Input [yellow] 2 3 9 9 3" xfId="27787"/>
    <cellStyle name="Input [yellow] 2 3 9 9 4" xfId="38952"/>
    <cellStyle name="Input [yellow] 2 3 9 9 5" xfId="50145"/>
    <cellStyle name="Input [yellow] 2 30" xfId="623"/>
    <cellStyle name="Input [yellow] 2 30 10" xfId="5620"/>
    <cellStyle name="Input [yellow] 2 30 10 2" xfId="16817"/>
    <cellStyle name="Input [yellow] 2 30 10 3" xfId="27985"/>
    <cellStyle name="Input [yellow] 2 30 10 4" xfId="39150"/>
    <cellStyle name="Input [yellow] 2 30 10 5" xfId="50343"/>
    <cellStyle name="Input [yellow] 2 30 11" xfId="6559"/>
    <cellStyle name="Input [yellow] 2 30 11 2" xfId="17756"/>
    <cellStyle name="Input [yellow] 2 30 11 3" xfId="28924"/>
    <cellStyle name="Input [yellow] 2 30 11 4" xfId="40089"/>
    <cellStyle name="Input [yellow] 2 30 11 5" xfId="51282"/>
    <cellStyle name="Input [yellow] 2 30 12" xfId="7192"/>
    <cellStyle name="Input [yellow] 2 30 12 2" xfId="18389"/>
    <cellStyle name="Input [yellow] 2 30 12 3" xfId="29557"/>
    <cellStyle name="Input [yellow] 2 30 12 4" xfId="40722"/>
    <cellStyle name="Input [yellow] 2 30 12 5" xfId="51915"/>
    <cellStyle name="Input [yellow] 2 30 13" xfId="7826"/>
    <cellStyle name="Input [yellow] 2 30 13 2" xfId="19023"/>
    <cellStyle name="Input [yellow] 2 30 13 3" xfId="30191"/>
    <cellStyle name="Input [yellow] 2 30 13 4" xfId="41356"/>
    <cellStyle name="Input [yellow] 2 30 13 5" xfId="52549"/>
    <cellStyle name="Input [yellow] 2 30 14" xfId="8460"/>
    <cellStyle name="Input [yellow] 2 30 14 2" xfId="19657"/>
    <cellStyle name="Input [yellow] 2 30 14 3" xfId="30825"/>
    <cellStyle name="Input [yellow] 2 30 14 4" xfId="41990"/>
    <cellStyle name="Input [yellow] 2 30 14 5" xfId="53183"/>
    <cellStyle name="Input [yellow] 2 30 15" xfId="9088"/>
    <cellStyle name="Input [yellow] 2 30 15 2" xfId="20285"/>
    <cellStyle name="Input [yellow] 2 30 15 3" xfId="31453"/>
    <cellStyle name="Input [yellow] 2 30 15 4" xfId="42618"/>
    <cellStyle name="Input [yellow] 2 30 15 5" xfId="53811"/>
    <cellStyle name="Input [yellow] 2 30 16" xfId="9511"/>
    <cellStyle name="Input [yellow] 2 30 16 2" xfId="20708"/>
    <cellStyle name="Input [yellow] 2 30 16 3" xfId="31876"/>
    <cellStyle name="Input [yellow] 2 30 16 4" xfId="43041"/>
    <cellStyle name="Input [yellow] 2 30 16 5" xfId="54234"/>
    <cellStyle name="Input [yellow] 2 30 17" xfId="10136"/>
    <cellStyle name="Input [yellow] 2 30 17 2" xfId="21333"/>
    <cellStyle name="Input [yellow] 2 30 17 3" xfId="32501"/>
    <cellStyle name="Input [yellow] 2 30 17 4" xfId="43666"/>
    <cellStyle name="Input [yellow] 2 30 17 5" xfId="54859"/>
    <cellStyle name="Input [yellow] 2 30 18" xfId="10378"/>
    <cellStyle name="Input [yellow] 2 30 18 2" xfId="21575"/>
    <cellStyle name="Input [yellow] 2 30 18 3" xfId="32743"/>
    <cellStyle name="Input [yellow] 2 30 18 4" xfId="43908"/>
    <cellStyle name="Input [yellow] 2 30 18 5" xfId="55101"/>
    <cellStyle name="Input [yellow] 2 30 19" xfId="11176"/>
    <cellStyle name="Input [yellow] 2 30 19 2" xfId="22373"/>
    <cellStyle name="Input [yellow] 2 30 19 3" xfId="33541"/>
    <cellStyle name="Input [yellow] 2 30 19 4" xfId="44706"/>
    <cellStyle name="Input [yellow] 2 30 19 5" xfId="55899"/>
    <cellStyle name="Input [yellow] 2 30 2" xfId="1272"/>
    <cellStyle name="Input [yellow] 2 30 2 2" xfId="12469"/>
    <cellStyle name="Input [yellow] 2 30 2 3" xfId="23637"/>
    <cellStyle name="Input [yellow] 2 30 2 4" xfId="34802"/>
    <cellStyle name="Input [yellow] 2 30 2 5" xfId="45995"/>
    <cellStyle name="Input [yellow] 2 30 20" xfId="11823"/>
    <cellStyle name="Input [yellow] 2 30 21" xfId="22993"/>
    <cellStyle name="Input [yellow] 2 30 22" xfId="34160"/>
    <cellStyle name="Input [yellow] 2 30 23" xfId="45346"/>
    <cellStyle name="Input [yellow] 2 30 3" xfId="1652"/>
    <cellStyle name="Input [yellow] 2 30 3 2" xfId="12849"/>
    <cellStyle name="Input [yellow] 2 30 3 3" xfId="24017"/>
    <cellStyle name="Input [yellow] 2 30 3 4" xfId="35182"/>
    <cellStyle name="Input [yellow] 2 30 3 5" xfId="46375"/>
    <cellStyle name="Input [yellow] 2 30 4" xfId="2548"/>
    <cellStyle name="Input [yellow] 2 30 4 2" xfId="13745"/>
    <cellStyle name="Input [yellow] 2 30 4 3" xfId="24913"/>
    <cellStyle name="Input [yellow] 2 30 4 4" xfId="36078"/>
    <cellStyle name="Input [yellow] 2 30 4 5" xfId="47271"/>
    <cellStyle name="Input [yellow] 2 30 5" xfId="2973"/>
    <cellStyle name="Input [yellow] 2 30 5 2" xfId="14170"/>
    <cellStyle name="Input [yellow] 2 30 5 3" xfId="25338"/>
    <cellStyle name="Input [yellow] 2 30 5 4" xfId="36503"/>
    <cellStyle name="Input [yellow] 2 30 5 5" xfId="47696"/>
    <cellStyle name="Input [yellow] 2 30 6" xfId="3607"/>
    <cellStyle name="Input [yellow] 2 30 6 2" xfId="14804"/>
    <cellStyle name="Input [yellow] 2 30 6 3" xfId="25972"/>
    <cellStyle name="Input [yellow] 2 30 6 4" xfId="37137"/>
    <cellStyle name="Input [yellow] 2 30 6 5" xfId="48330"/>
    <cellStyle name="Input [yellow] 2 30 7" xfId="4241"/>
    <cellStyle name="Input [yellow] 2 30 7 2" xfId="15438"/>
    <cellStyle name="Input [yellow] 2 30 7 3" xfId="26606"/>
    <cellStyle name="Input [yellow] 2 30 7 4" xfId="37771"/>
    <cellStyle name="Input [yellow] 2 30 7 5" xfId="48964"/>
    <cellStyle name="Input [yellow] 2 30 8" xfId="4874"/>
    <cellStyle name="Input [yellow] 2 30 8 2" xfId="16071"/>
    <cellStyle name="Input [yellow] 2 30 8 3" xfId="27239"/>
    <cellStyle name="Input [yellow] 2 30 8 4" xfId="38404"/>
    <cellStyle name="Input [yellow] 2 30 8 5" xfId="49597"/>
    <cellStyle name="Input [yellow] 2 30 9" xfId="5505"/>
    <cellStyle name="Input [yellow] 2 30 9 2" xfId="16702"/>
    <cellStyle name="Input [yellow] 2 30 9 3" xfId="27870"/>
    <cellStyle name="Input [yellow] 2 30 9 4" xfId="39035"/>
    <cellStyle name="Input [yellow] 2 30 9 5" xfId="50228"/>
    <cellStyle name="Input [yellow] 2 31" xfId="638"/>
    <cellStyle name="Input [yellow] 2 31 10" xfId="6017"/>
    <cellStyle name="Input [yellow] 2 31 10 2" xfId="17214"/>
    <cellStyle name="Input [yellow] 2 31 10 3" xfId="28382"/>
    <cellStyle name="Input [yellow] 2 31 10 4" xfId="39547"/>
    <cellStyle name="Input [yellow] 2 31 10 5" xfId="50740"/>
    <cellStyle name="Input [yellow] 2 31 11" xfId="6574"/>
    <cellStyle name="Input [yellow] 2 31 11 2" xfId="17771"/>
    <cellStyle name="Input [yellow] 2 31 11 3" xfId="28939"/>
    <cellStyle name="Input [yellow] 2 31 11 4" xfId="40104"/>
    <cellStyle name="Input [yellow] 2 31 11 5" xfId="51297"/>
    <cellStyle name="Input [yellow] 2 31 12" xfId="7207"/>
    <cellStyle name="Input [yellow] 2 31 12 2" xfId="18404"/>
    <cellStyle name="Input [yellow] 2 31 12 3" xfId="29572"/>
    <cellStyle name="Input [yellow] 2 31 12 4" xfId="40737"/>
    <cellStyle name="Input [yellow] 2 31 12 5" xfId="51930"/>
    <cellStyle name="Input [yellow] 2 31 13" xfId="7841"/>
    <cellStyle name="Input [yellow] 2 31 13 2" xfId="19038"/>
    <cellStyle name="Input [yellow] 2 31 13 3" xfId="30206"/>
    <cellStyle name="Input [yellow] 2 31 13 4" xfId="41371"/>
    <cellStyle name="Input [yellow] 2 31 13 5" xfId="52564"/>
    <cellStyle name="Input [yellow] 2 31 14" xfId="8475"/>
    <cellStyle name="Input [yellow] 2 31 14 2" xfId="19672"/>
    <cellStyle name="Input [yellow] 2 31 14 3" xfId="30840"/>
    <cellStyle name="Input [yellow] 2 31 14 4" xfId="42005"/>
    <cellStyle name="Input [yellow] 2 31 14 5" xfId="53198"/>
    <cellStyle name="Input [yellow] 2 31 15" xfId="9103"/>
    <cellStyle name="Input [yellow] 2 31 15 2" xfId="20300"/>
    <cellStyle name="Input [yellow] 2 31 15 3" xfId="31468"/>
    <cellStyle name="Input [yellow] 2 31 15 4" xfId="42633"/>
    <cellStyle name="Input [yellow] 2 31 15 5" xfId="53826"/>
    <cellStyle name="Input [yellow] 2 31 16" xfId="9526"/>
    <cellStyle name="Input [yellow] 2 31 16 2" xfId="20723"/>
    <cellStyle name="Input [yellow] 2 31 16 3" xfId="31891"/>
    <cellStyle name="Input [yellow] 2 31 16 4" xfId="43056"/>
    <cellStyle name="Input [yellow] 2 31 16 5" xfId="54249"/>
    <cellStyle name="Input [yellow] 2 31 17" xfId="10151"/>
    <cellStyle name="Input [yellow] 2 31 17 2" xfId="21348"/>
    <cellStyle name="Input [yellow] 2 31 17 3" xfId="32516"/>
    <cellStyle name="Input [yellow] 2 31 17 4" xfId="43681"/>
    <cellStyle name="Input [yellow] 2 31 17 5" xfId="54874"/>
    <cellStyle name="Input [yellow] 2 31 18" xfId="9857"/>
    <cellStyle name="Input [yellow] 2 31 18 2" xfId="21054"/>
    <cellStyle name="Input [yellow] 2 31 18 3" xfId="32222"/>
    <cellStyle name="Input [yellow] 2 31 18 4" xfId="43387"/>
    <cellStyle name="Input [yellow] 2 31 18 5" xfId="54580"/>
    <cellStyle name="Input [yellow] 2 31 19" xfId="11191"/>
    <cellStyle name="Input [yellow] 2 31 19 2" xfId="22388"/>
    <cellStyle name="Input [yellow] 2 31 19 3" xfId="33556"/>
    <cellStyle name="Input [yellow] 2 31 19 4" xfId="44721"/>
    <cellStyle name="Input [yellow] 2 31 19 5" xfId="55914"/>
    <cellStyle name="Input [yellow] 2 31 2" xfId="1287"/>
    <cellStyle name="Input [yellow] 2 31 2 2" xfId="12484"/>
    <cellStyle name="Input [yellow] 2 31 2 3" xfId="23652"/>
    <cellStyle name="Input [yellow] 2 31 2 4" xfId="34817"/>
    <cellStyle name="Input [yellow] 2 31 2 5" xfId="46010"/>
    <cellStyle name="Input [yellow] 2 31 20" xfId="11838"/>
    <cellStyle name="Input [yellow] 2 31 21" xfId="23008"/>
    <cellStyle name="Input [yellow] 2 31 22" xfId="34175"/>
    <cellStyle name="Input [yellow] 2 31 23" xfId="45361"/>
    <cellStyle name="Input [yellow] 2 31 3" xfId="1467"/>
    <cellStyle name="Input [yellow] 2 31 3 2" xfId="12664"/>
    <cellStyle name="Input [yellow] 2 31 3 3" xfId="23832"/>
    <cellStyle name="Input [yellow] 2 31 3 4" xfId="34997"/>
    <cellStyle name="Input [yellow] 2 31 3 5" xfId="46190"/>
    <cellStyle name="Input [yellow] 2 31 4" xfId="2563"/>
    <cellStyle name="Input [yellow] 2 31 4 2" xfId="13760"/>
    <cellStyle name="Input [yellow] 2 31 4 3" xfId="24928"/>
    <cellStyle name="Input [yellow] 2 31 4 4" xfId="36093"/>
    <cellStyle name="Input [yellow] 2 31 4 5" xfId="47286"/>
    <cellStyle name="Input [yellow] 2 31 5" xfId="2988"/>
    <cellStyle name="Input [yellow] 2 31 5 2" xfId="14185"/>
    <cellStyle name="Input [yellow] 2 31 5 3" xfId="25353"/>
    <cellStyle name="Input [yellow] 2 31 5 4" xfId="36518"/>
    <cellStyle name="Input [yellow] 2 31 5 5" xfId="47711"/>
    <cellStyle name="Input [yellow] 2 31 6" xfId="3622"/>
    <cellStyle name="Input [yellow] 2 31 6 2" xfId="14819"/>
    <cellStyle name="Input [yellow] 2 31 6 3" xfId="25987"/>
    <cellStyle name="Input [yellow] 2 31 6 4" xfId="37152"/>
    <cellStyle name="Input [yellow] 2 31 6 5" xfId="48345"/>
    <cellStyle name="Input [yellow] 2 31 7" xfId="4256"/>
    <cellStyle name="Input [yellow] 2 31 7 2" xfId="15453"/>
    <cellStyle name="Input [yellow] 2 31 7 3" xfId="26621"/>
    <cellStyle name="Input [yellow] 2 31 7 4" xfId="37786"/>
    <cellStyle name="Input [yellow] 2 31 7 5" xfId="48979"/>
    <cellStyle name="Input [yellow] 2 31 8" xfId="4889"/>
    <cellStyle name="Input [yellow] 2 31 8 2" xfId="16086"/>
    <cellStyle name="Input [yellow] 2 31 8 3" xfId="27254"/>
    <cellStyle name="Input [yellow] 2 31 8 4" xfId="38419"/>
    <cellStyle name="Input [yellow] 2 31 8 5" xfId="49612"/>
    <cellStyle name="Input [yellow] 2 31 9" xfId="5520"/>
    <cellStyle name="Input [yellow] 2 31 9 2" xfId="16717"/>
    <cellStyle name="Input [yellow] 2 31 9 3" xfId="27885"/>
    <cellStyle name="Input [yellow] 2 31 9 4" xfId="39050"/>
    <cellStyle name="Input [yellow] 2 31 9 5" xfId="50243"/>
    <cellStyle name="Input [yellow] 2 32" xfId="620"/>
    <cellStyle name="Input [yellow] 2 32 10" xfId="5771"/>
    <cellStyle name="Input [yellow] 2 32 10 2" xfId="16968"/>
    <cellStyle name="Input [yellow] 2 32 10 3" xfId="28136"/>
    <cellStyle name="Input [yellow] 2 32 10 4" xfId="39301"/>
    <cellStyle name="Input [yellow] 2 32 10 5" xfId="50494"/>
    <cellStyle name="Input [yellow] 2 32 11" xfId="6556"/>
    <cellStyle name="Input [yellow] 2 32 11 2" xfId="17753"/>
    <cellStyle name="Input [yellow] 2 32 11 3" xfId="28921"/>
    <cellStyle name="Input [yellow] 2 32 11 4" xfId="40086"/>
    <cellStyle name="Input [yellow] 2 32 11 5" xfId="51279"/>
    <cellStyle name="Input [yellow] 2 32 12" xfId="7189"/>
    <cellStyle name="Input [yellow] 2 32 12 2" xfId="18386"/>
    <cellStyle name="Input [yellow] 2 32 12 3" xfId="29554"/>
    <cellStyle name="Input [yellow] 2 32 12 4" xfId="40719"/>
    <cellStyle name="Input [yellow] 2 32 12 5" xfId="51912"/>
    <cellStyle name="Input [yellow] 2 32 13" xfId="7823"/>
    <cellStyle name="Input [yellow] 2 32 13 2" xfId="19020"/>
    <cellStyle name="Input [yellow] 2 32 13 3" xfId="30188"/>
    <cellStyle name="Input [yellow] 2 32 13 4" xfId="41353"/>
    <cellStyle name="Input [yellow] 2 32 13 5" xfId="52546"/>
    <cellStyle name="Input [yellow] 2 32 14" xfId="8457"/>
    <cellStyle name="Input [yellow] 2 32 14 2" xfId="19654"/>
    <cellStyle name="Input [yellow] 2 32 14 3" xfId="30822"/>
    <cellStyle name="Input [yellow] 2 32 14 4" xfId="41987"/>
    <cellStyle name="Input [yellow] 2 32 14 5" xfId="53180"/>
    <cellStyle name="Input [yellow] 2 32 15" xfId="9085"/>
    <cellStyle name="Input [yellow] 2 32 15 2" xfId="20282"/>
    <cellStyle name="Input [yellow] 2 32 15 3" xfId="31450"/>
    <cellStyle name="Input [yellow] 2 32 15 4" xfId="42615"/>
    <cellStyle name="Input [yellow] 2 32 15 5" xfId="53808"/>
    <cellStyle name="Input [yellow] 2 32 16" xfId="9508"/>
    <cellStyle name="Input [yellow] 2 32 16 2" xfId="20705"/>
    <cellStyle name="Input [yellow] 2 32 16 3" xfId="31873"/>
    <cellStyle name="Input [yellow] 2 32 16 4" xfId="43038"/>
    <cellStyle name="Input [yellow] 2 32 16 5" xfId="54231"/>
    <cellStyle name="Input [yellow] 2 32 17" xfId="10133"/>
    <cellStyle name="Input [yellow] 2 32 17 2" xfId="21330"/>
    <cellStyle name="Input [yellow] 2 32 17 3" xfId="32498"/>
    <cellStyle name="Input [yellow] 2 32 17 4" xfId="43663"/>
    <cellStyle name="Input [yellow] 2 32 17 5" xfId="54856"/>
    <cellStyle name="Input [yellow] 2 32 18" xfId="9824"/>
    <cellStyle name="Input [yellow] 2 32 18 2" xfId="21021"/>
    <cellStyle name="Input [yellow] 2 32 18 3" xfId="32189"/>
    <cellStyle name="Input [yellow] 2 32 18 4" xfId="43354"/>
    <cellStyle name="Input [yellow] 2 32 18 5" xfId="54547"/>
    <cellStyle name="Input [yellow] 2 32 19" xfId="11173"/>
    <cellStyle name="Input [yellow] 2 32 19 2" xfId="22370"/>
    <cellStyle name="Input [yellow] 2 32 19 3" xfId="33538"/>
    <cellStyle name="Input [yellow] 2 32 19 4" xfId="44703"/>
    <cellStyle name="Input [yellow] 2 32 19 5" xfId="55896"/>
    <cellStyle name="Input [yellow] 2 32 2" xfId="1269"/>
    <cellStyle name="Input [yellow] 2 32 2 2" xfId="12466"/>
    <cellStyle name="Input [yellow] 2 32 2 3" xfId="23634"/>
    <cellStyle name="Input [yellow] 2 32 2 4" xfId="34799"/>
    <cellStyle name="Input [yellow] 2 32 2 5" xfId="45992"/>
    <cellStyle name="Input [yellow] 2 32 20" xfId="11820"/>
    <cellStyle name="Input [yellow] 2 32 21" xfId="22990"/>
    <cellStyle name="Input [yellow] 2 32 22" xfId="34157"/>
    <cellStyle name="Input [yellow] 2 32 23" xfId="45343"/>
    <cellStyle name="Input [yellow] 2 32 3" xfId="1869"/>
    <cellStyle name="Input [yellow] 2 32 3 2" xfId="13066"/>
    <cellStyle name="Input [yellow] 2 32 3 3" xfId="24234"/>
    <cellStyle name="Input [yellow] 2 32 3 4" xfId="35399"/>
    <cellStyle name="Input [yellow] 2 32 3 5" xfId="46592"/>
    <cellStyle name="Input [yellow] 2 32 4" xfId="2545"/>
    <cellStyle name="Input [yellow] 2 32 4 2" xfId="13742"/>
    <cellStyle name="Input [yellow] 2 32 4 3" xfId="24910"/>
    <cellStyle name="Input [yellow] 2 32 4 4" xfId="36075"/>
    <cellStyle name="Input [yellow] 2 32 4 5" xfId="47268"/>
    <cellStyle name="Input [yellow] 2 32 5" xfId="2970"/>
    <cellStyle name="Input [yellow] 2 32 5 2" xfId="14167"/>
    <cellStyle name="Input [yellow] 2 32 5 3" xfId="25335"/>
    <cellStyle name="Input [yellow] 2 32 5 4" xfId="36500"/>
    <cellStyle name="Input [yellow] 2 32 5 5" xfId="47693"/>
    <cellStyle name="Input [yellow] 2 32 6" xfId="3604"/>
    <cellStyle name="Input [yellow] 2 32 6 2" xfId="14801"/>
    <cellStyle name="Input [yellow] 2 32 6 3" xfId="25969"/>
    <cellStyle name="Input [yellow] 2 32 6 4" xfId="37134"/>
    <cellStyle name="Input [yellow] 2 32 6 5" xfId="48327"/>
    <cellStyle name="Input [yellow] 2 32 7" xfId="4238"/>
    <cellStyle name="Input [yellow] 2 32 7 2" xfId="15435"/>
    <cellStyle name="Input [yellow] 2 32 7 3" xfId="26603"/>
    <cellStyle name="Input [yellow] 2 32 7 4" xfId="37768"/>
    <cellStyle name="Input [yellow] 2 32 7 5" xfId="48961"/>
    <cellStyle name="Input [yellow] 2 32 8" xfId="4871"/>
    <cellStyle name="Input [yellow] 2 32 8 2" xfId="16068"/>
    <cellStyle name="Input [yellow] 2 32 8 3" xfId="27236"/>
    <cellStyle name="Input [yellow] 2 32 8 4" xfId="38401"/>
    <cellStyle name="Input [yellow] 2 32 8 5" xfId="49594"/>
    <cellStyle name="Input [yellow] 2 32 9" xfId="5502"/>
    <cellStyle name="Input [yellow] 2 32 9 2" xfId="16699"/>
    <cellStyle name="Input [yellow] 2 32 9 3" xfId="27867"/>
    <cellStyle name="Input [yellow] 2 32 9 4" xfId="39032"/>
    <cellStyle name="Input [yellow] 2 32 9 5" xfId="50225"/>
    <cellStyle name="Input [yellow] 2 33" xfId="718"/>
    <cellStyle name="Input [yellow] 2 33 2" xfId="11916"/>
    <cellStyle name="Input [yellow] 2 33 3" xfId="23085"/>
    <cellStyle name="Input [yellow] 2 33 4" xfId="34252"/>
    <cellStyle name="Input [yellow] 2 33 5" xfId="45441"/>
    <cellStyle name="Input [yellow] 2 34" xfId="1843"/>
    <cellStyle name="Input [yellow] 2 34 2" xfId="13040"/>
    <cellStyle name="Input [yellow] 2 34 3" xfId="24208"/>
    <cellStyle name="Input [yellow] 2 34 4" xfId="35373"/>
    <cellStyle name="Input [yellow] 2 34 5" xfId="46566"/>
    <cellStyle name="Input [yellow] 2 35" xfId="1992"/>
    <cellStyle name="Input [yellow] 2 35 2" xfId="13189"/>
    <cellStyle name="Input [yellow] 2 35 3" xfId="24357"/>
    <cellStyle name="Input [yellow] 2 35 4" xfId="35522"/>
    <cellStyle name="Input [yellow] 2 35 5" xfId="46715"/>
    <cellStyle name="Input [yellow] 2 36" xfId="2425"/>
    <cellStyle name="Input [yellow] 2 36 2" xfId="13622"/>
    <cellStyle name="Input [yellow] 2 36 3" xfId="24790"/>
    <cellStyle name="Input [yellow] 2 36 4" xfId="35955"/>
    <cellStyle name="Input [yellow] 2 36 5" xfId="47148"/>
    <cellStyle name="Input [yellow] 2 37" xfId="3048"/>
    <cellStyle name="Input [yellow] 2 37 2" xfId="14245"/>
    <cellStyle name="Input [yellow] 2 37 3" xfId="25413"/>
    <cellStyle name="Input [yellow] 2 37 4" xfId="36578"/>
    <cellStyle name="Input [yellow] 2 37 5" xfId="47771"/>
    <cellStyle name="Input [yellow] 2 38" xfId="3682"/>
    <cellStyle name="Input [yellow] 2 38 2" xfId="14879"/>
    <cellStyle name="Input [yellow] 2 38 3" xfId="26047"/>
    <cellStyle name="Input [yellow] 2 38 4" xfId="37212"/>
    <cellStyle name="Input [yellow] 2 38 5" xfId="48405"/>
    <cellStyle name="Input [yellow] 2 39" xfId="4314"/>
    <cellStyle name="Input [yellow] 2 39 2" xfId="15511"/>
    <cellStyle name="Input [yellow] 2 39 3" xfId="26679"/>
    <cellStyle name="Input [yellow] 2 39 4" xfId="37844"/>
    <cellStyle name="Input [yellow] 2 39 5" xfId="49037"/>
    <cellStyle name="Input [yellow] 2 4" xfId="77"/>
    <cellStyle name="Input [yellow] 2 4 10" xfId="429"/>
    <cellStyle name="Input [yellow] 2 4 10 10" xfId="5730"/>
    <cellStyle name="Input [yellow] 2 4 10 10 2" xfId="16927"/>
    <cellStyle name="Input [yellow] 2 4 10 10 3" xfId="28095"/>
    <cellStyle name="Input [yellow] 2 4 10 10 4" xfId="39260"/>
    <cellStyle name="Input [yellow] 2 4 10 10 5" xfId="50453"/>
    <cellStyle name="Input [yellow] 2 4 10 11" xfId="6365"/>
    <cellStyle name="Input [yellow] 2 4 10 11 2" xfId="17562"/>
    <cellStyle name="Input [yellow] 2 4 10 11 3" xfId="28730"/>
    <cellStyle name="Input [yellow] 2 4 10 11 4" xfId="39895"/>
    <cellStyle name="Input [yellow] 2 4 10 11 5" xfId="51088"/>
    <cellStyle name="Input [yellow] 2 4 10 12" xfId="6998"/>
    <cellStyle name="Input [yellow] 2 4 10 12 2" xfId="18195"/>
    <cellStyle name="Input [yellow] 2 4 10 12 3" xfId="29363"/>
    <cellStyle name="Input [yellow] 2 4 10 12 4" xfId="40528"/>
    <cellStyle name="Input [yellow] 2 4 10 12 5" xfId="51721"/>
    <cellStyle name="Input [yellow] 2 4 10 13" xfId="7632"/>
    <cellStyle name="Input [yellow] 2 4 10 13 2" xfId="18829"/>
    <cellStyle name="Input [yellow] 2 4 10 13 3" xfId="29997"/>
    <cellStyle name="Input [yellow] 2 4 10 13 4" xfId="41162"/>
    <cellStyle name="Input [yellow] 2 4 10 13 5" xfId="52355"/>
    <cellStyle name="Input [yellow] 2 4 10 14" xfId="8266"/>
    <cellStyle name="Input [yellow] 2 4 10 14 2" xfId="19463"/>
    <cellStyle name="Input [yellow] 2 4 10 14 3" xfId="30631"/>
    <cellStyle name="Input [yellow] 2 4 10 14 4" xfId="41796"/>
    <cellStyle name="Input [yellow] 2 4 10 14 5" xfId="52989"/>
    <cellStyle name="Input [yellow] 2 4 10 15" xfId="8894"/>
    <cellStyle name="Input [yellow] 2 4 10 15 2" xfId="20091"/>
    <cellStyle name="Input [yellow] 2 4 10 15 3" xfId="31259"/>
    <cellStyle name="Input [yellow] 2 4 10 15 4" xfId="42424"/>
    <cellStyle name="Input [yellow] 2 4 10 15 5" xfId="53617"/>
    <cellStyle name="Input [yellow] 2 4 10 16" xfId="9317"/>
    <cellStyle name="Input [yellow] 2 4 10 16 2" xfId="20514"/>
    <cellStyle name="Input [yellow] 2 4 10 16 3" xfId="31682"/>
    <cellStyle name="Input [yellow] 2 4 10 16 4" xfId="42847"/>
    <cellStyle name="Input [yellow] 2 4 10 16 5" xfId="54040"/>
    <cellStyle name="Input [yellow] 2 4 10 17" xfId="9943"/>
    <cellStyle name="Input [yellow] 2 4 10 17 2" xfId="21140"/>
    <cellStyle name="Input [yellow] 2 4 10 17 3" xfId="32308"/>
    <cellStyle name="Input [yellow] 2 4 10 17 4" xfId="43473"/>
    <cellStyle name="Input [yellow] 2 4 10 17 5" xfId="54666"/>
    <cellStyle name="Input [yellow] 2 4 10 18" xfId="10444"/>
    <cellStyle name="Input [yellow] 2 4 10 18 2" xfId="21641"/>
    <cellStyle name="Input [yellow] 2 4 10 18 3" xfId="32809"/>
    <cellStyle name="Input [yellow] 2 4 10 18 4" xfId="43974"/>
    <cellStyle name="Input [yellow] 2 4 10 18 5" xfId="55167"/>
    <cellStyle name="Input [yellow] 2 4 10 19" xfId="10982"/>
    <cellStyle name="Input [yellow] 2 4 10 19 2" xfId="22179"/>
    <cellStyle name="Input [yellow] 2 4 10 19 3" xfId="33347"/>
    <cellStyle name="Input [yellow] 2 4 10 19 4" xfId="44512"/>
    <cellStyle name="Input [yellow] 2 4 10 19 5" xfId="55705"/>
    <cellStyle name="Input [yellow] 2 4 10 2" xfId="1078"/>
    <cellStyle name="Input [yellow] 2 4 10 2 2" xfId="12275"/>
    <cellStyle name="Input [yellow] 2 4 10 2 3" xfId="23443"/>
    <cellStyle name="Input [yellow] 2 4 10 2 4" xfId="34608"/>
    <cellStyle name="Input [yellow] 2 4 10 2 5" xfId="45801"/>
    <cellStyle name="Input [yellow] 2 4 10 20" xfId="11629"/>
    <cellStyle name="Input [yellow] 2 4 10 21" xfId="22799"/>
    <cellStyle name="Input [yellow] 2 4 10 22" xfId="33966"/>
    <cellStyle name="Input [yellow] 2 4 10 23" xfId="45152"/>
    <cellStyle name="Input [yellow] 2 4 10 3" xfId="1759"/>
    <cellStyle name="Input [yellow] 2 4 10 3 2" xfId="12956"/>
    <cellStyle name="Input [yellow] 2 4 10 3 3" xfId="24124"/>
    <cellStyle name="Input [yellow] 2 4 10 3 4" xfId="35289"/>
    <cellStyle name="Input [yellow] 2 4 10 3 5" xfId="46482"/>
    <cellStyle name="Input [yellow] 2 4 10 4" xfId="2354"/>
    <cellStyle name="Input [yellow] 2 4 10 4 2" xfId="13551"/>
    <cellStyle name="Input [yellow] 2 4 10 4 3" xfId="24719"/>
    <cellStyle name="Input [yellow] 2 4 10 4 4" xfId="35884"/>
    <cellStyle name="Input [yellow] 2 4 10 4 5" xfId="47077"/>
    <cellStyle name="Input [yellow] 2 4 10 5" xfId="2779"/>
    <cellStyle name="Input [yellow] 2 4 10 5 2" xfId="13976"/>
    <cellStyle name="Input [yellow] 2 4 10 5 3" xfId="25144"/>
    <cellStyle name="Input [yellow] 2 4 10 5 4" xfId="36309"/>
    <cellStyle name="Input [yellow] 2 4 10 5 5" xfId="47502"/>
    <cellStyle name="Input [yellow] 2 4 10 6" xfId="3413"/>
    <cellStyle name="Input [yellow] 2 4 10 6 2" xfId="14610"/>
    <cellStyle name="Input [yellow] 2 4 10 6 3" xfId="25778"/>
    <cellStyle name="Input [yellow] 2 4 10 6 4" xfId="36943"/>
    <cellStyle name="Input [yellow] 2 4 10 6 5" xfId="48136"/>
    <cellStyle name="Input [yellow] 2 4 10 7" xfId="4047"/>
    <cellStyle name="Input [yellow] 2 4 10 7 2" xfId="15244"/>
    <cellStyle name="Input [yellow] 2 4 10 7 3" xfId="26412"/>
    <cellStyle name="Input [yellow] 2 4 10 7 4" xfId="37577"/>
    <cellStyle name="Input [yellow] 2 4 10 7 5" xfId="48770"/>
    <cellStyle name="Input [yellow] 2 4 10 8" xfId="4680"/>
    <cellStyle name="Input [yellow] 2 4 10 8 2" xfId="15877"/>
    <cellStyle name="Input [yellow] 2 4 10 8 3" xfId="27045"/>
    <cellStyle name="Input [yellow] 2 4 10 8 4" xfId="38210"/>
    <cellStyle name="Input [yellow] 2 4 10 8 5" xfId="49403"/>
    <cellStyle name="Input [yellow] 2 4 10 9" xfId="5311"/>
    <cellStyle name="Input [yellow] 2 4 10 9 2" xfId="16508"/>
    <cellStyle name="Input [yellow] 2 4 10 9 3" xfId="27676"/>
    <cellStyle name="Input [yellow] 2 4 10 9 4" xfId="38841"/>
    <cellStyle name="Input [yellow] 2 4 10 9 5" xfId="50034"/>
    <cellStyle name="Input [yellow] 2 4 11" xfId="677"/>
    <cellStyle name="Input [yellow] 2 4 11 10" xfId="6019"/>
    <cellStyle name="Input [yellow] 2 4 11 10 2" xfId="17216"/>
    <cellStyle name="Input [yellow] 2 4 11 10 3" xfId="28384"/>
    <cellStyle name="Input [yellow] 2 4 11 10 4" xfId="39549"/>
    <cellStyle name="Input [yellow] 2 4 11 10 5" xfId="50742"/>
    <cellStyle name="Input [yellow] 2 4 11 11" xfId="6613"/>
    <cellStyle name="Input [yellow] 2 4 11 11 2" xfId="17810"/>
    <cellStyle name="Input [yellow] 2 4 11 11 3" xfId="28978"/>
    <cellStyle name="Input [yellow] 2 4 11 11 4" xfId="40143"/>
    <cellStyle name="Input [yellow] 2 4 11 11 5" xfId="51336"/>
    <cellStyle name="Input [yellow] 2 4 11 12" xfId="7246"/>
    <cellStyle name="Input [yellow] 2 4 11 12 2" xfId="18443"/>
    <cellStyle name="Input [yellow] 2 4 11 12 3" xfId="29611"/>
    <cellStyle name="Input [yellow] 2 4 11 12 4" xfId="40776"/>
    <cellStyle name="Input [yellow] 2 4 11 12 5" xfId="51969"/>
    <cellStyle name="Input [yellow] 2 4 11 13" xfId="7880"/>
    <cellStyle name="Input [yellow] 2 4 11 13 2" xfId="19077"/>
    <cellStyle name="Input [yellow] 2 4 11 13 3" xfId="30245"/>
    <cellStyle name="Input [yellow] 2 4 11 13 4" xfId="41410"/>
    <cellStyle name="Input [yellow] 2 4 11 13 5" xfId="52603"/>
    <cellStyle name="Input [yellow] 2 4 11 14" xfId="8514"/>
    <cellStyle name="Input [yellow] 2 4 11 14 2" xfId="19711"/>
    <cellStyle name="Input [yellow] 2 4 11 14 3" xfId="30879"/>
    <cellStyle name="Input [yellow] 2 4 11 14 4" xfId="42044"/>
    <cellStyle name="Input [yellow] 2 4 11 14 5" xfId="53237"/>
    <cellStyle name="Input [yellow] 2 4 11 15" xfId="9142"/>
    <cellStyle name="Input [yellow] 2 4 11 15 2" xfId="20339"/>
    <cellStyle name="Input [yellow] 2 4 11 15 3" xfId="31507"/>
    <cellStyle name="Input [yellow] 2 4 11 15 4" xfId="42672"/>
    <cellStyle name="Input [yellow] 2 4 11 15 5" xfId="53865"/>
    <cellStyle name="Input [yellow] 2 4 11 16" xfId="9565"/>
    <cellStyle name="Input [yellow] 2 4 11 16 2" xfId="20762"/>
    <cellStyle name="Input [yellow] 2 4 11 16 3" xfId="31930"/>
    <cellStyle name="Input [yellow] 2 4 11 16 4" xfId="43095"/>
    <cellStyle name="Input [yellow] 2 4 11 16 5" xfId="54288"/>
    <cellStyle name="Input [yellow] 2 4 11 17" xfId="10189"/>
    <cellStyle name="Input [yellow] 2 4 11 17 2" xfId="21386"/>
    <cellStyle name="Input [yellow] 2 4 11 17 3" xfId="32554"/>
    <cellStyle name="Input [yellow] 2 4 11 17 4" xfId="43719"/>
    <cellStyle name="Input [yellow] 2 4 11 17 5" xfId="54912"/>
    <cellStyle name="Input [yellow] 2 4 11 18" xfId="10439"/>
    <cellStyle name="Input [yellow] 2 4 11 18 2" xfId="21636"/>
    <cellStyle name="Input [yellow] 2 4 11 18 3" xfId="32804"/>
    <cellStyle name="Input [yellow] 2 4 11 18 4" xfId="43969"/>
    <cellStyle name="Input [yellow] 2 4 11 18 5" xfId="55162"/>
    <cellStyle name="Input [yellow] 2 4 11 19" xfId="11230"/>
    <cellStyle name="Input [yellow] 2 4 11 19 2" xfId="22427"/>
    <cellStyle name="Input [yellow] 2 4 11 19 3" xfId="33595"/>
    <cellStyle name="Input [yellow] 2 4 11 19 4" xfId="44760"/>
    <cellStyle name="Input [yellow] 2 4 11 19 5" xfId="55953"/>
    <cellStyle name="Input [yellow] 2 4 11 2" xfId="1326"/>
    <cellStyle name="Input [yellow] 2 4 11 2 2" xfId="12523"/>
    <cellStyle name="Input [yellow] 2 4 11 2 3" xfId="23691"/>
    <cellStyle name="Input [yellow] 2 4 11 2 4" xfId="34856"/>
    <cellStyle name="Input [yellow] 2 4 11 2 5" xfId="46049"/>
    <cellStyle name="Input [yellow] 2 4 11 20" xfId="11877"/>
    <cellStyle name="Input [yellow] 2 4 11 21" xfId="23047"/>
    <cellStyle name="Input [yellow] 2 4 11 22" xfId="34214"/>
    <cellStyle name="Input [yellow] 2 4 11 23" xfId="45400"/>
    <cellStyle name="Input [yellow] 2 4 11 3" xfId="1741"/>
    <cellStyle name="Input [yellow] 2 4 11 3 2" xfId="12938"/>
    <cellStyle name="Input [yellow] 2 4 11 3 3" xfId="24106"/>
    <cellStyle name="Input [yellow] 2 4 11 3 4" xfId="35271"/>
    <cellStyle name="Input [yellow] 2 4 11 3 5" xfId="46464"/>
    <cellStyle name="Input [yellow] 2 4 11 4" xfId="2602"/>
    <cellStyle name="Input [yellow] 2 4 11 4 2" xfId="13799"/>
    <cellStyle name="Input [yellow] 2 4 11 4 3" xfId="24967"/>
    <cellStyle name="Input [yellow] 2 4 11 4 4" xfId="36132"/>
    <cellStyle name="Input [yellow] 2 4 11 4 5" xfId="47325"/>
    <cellStyle name="Input [yellow] 2 4 11 5" xfId="3027"/>
    <cellStyle name="Input [yellow] 2 4 11 5 2" xfId="14224"/>
    <cellStyle name="Input [yellow] 2 4 11 5 3" xfId="25392"/>
    <cellStyle name="Input [yellow] 2 4 11 5 4" xfId="36557"/>
    <cellStyle name="Input [yellow] 2 4 11 5 5" xfId="47750"/>
    <cellStyle name="Input [yellow] 2 4 11 6" xfId="3661"/>
    <cellStyle name="Input [yellow] 2 4 11 6 2" xfId="14858"/>
    <cellStyle name="Input [yellow] 2 4 11 6 3" xfId="26026"/>
    <cellStyle name="Input [yellow] 2 4 11 6 4" xfId="37191"/>
    <cellStyle name="Input [yellow] 2 4 11 6 5" xfId="48384"/>
    <cellStyle name="Input [yellow] 2 4 11 7" xfId="4295"/>
    <cellStyle name="Input [yellow] 2 4 11 7 2" xfId="15492"/>
    <cellStyle name="Input [yellow] 2 4 11 7 3" xfId="26660"/>
    <cellStyle name="Input [yellow] 2 4 11 7 4" xfId="37825"/>
    <cellStyle name="Input [yellow] 2 4 11 7 5" xfId="49018"/>
    <cellStyle name="Input [yellow] 2 4 11 8" xfId="4928"/>
    <cellStyle name="Input [yellow] 2 4 11 8 2" xfId="16125"/>
    <cellStyle name="Input [yellow] 2 4 11 8 3" xfId="27293"/>
    <cellStyle name="Input [yellow] 2 4 11 8 4" xfId="38458"/>
    <cellStyle name="Input [yellow] 2 4 11 8 5" xfId="49651"/>
    <cellStyle name="Input [yellow] 2 4 11 9" xfId="5559"/>
    <cellStyle name="Input [yellow] 2 4 11 9 2" xfId="16756"/>
    <cellStyle name="Input [yellow] 2 4 11 9 3" xfId="27924"/>
    <cellStyle name="Input [yellow] 2 4 11 9 4" xfId="39089"/>
    <cellStyle name="Input [yellow] 2 4 11 9 5" xfId="50282"/>
    <cellStyle name="Input [yellow] 2 4 12" xfId="727"/>
    <cellStyle name="Input [yellow] 2 4 12 2" xfId="11925"/>
    <cellStyle name="Input [yellow] 2 4 12 3" xfId="23094"/>
    <cellStyle name="Input [yellow] 2 4 12 4" xfId="34259"/>
    <cellStyle name="Input [yellow] 2 4 12 5" xfId="45450"/>
    <cellStyle name="Input [yellow] 2 4 13" xfId="1646"/>
    <cellStyle name="Input [yellow] 2 4 13 2" xfId="12843"/>
    <cellStyle name="Input [yellow] 2 4 13 3" xfId="24011"/>
    <cellStyle name="Input [yellow] 2 4 13 4" xfId="35176"/>
    <cellStyle name="Input [yellow] 2 4 13 5" xfId="46369"/>
    <cellStyle name="Input [yellow] 2 4 14" xfId="2003"/>
    <cellStyle name="Input [yellow] 2 4 14 2" xfId="13200"/>
    <cellStyle name="Input [yellow] 2 4 14 3" xfId="24368"/>
    <cellStyle name="Input [yellow] 2 4 14 4" xfId="35533"/>
    <cellStyle name="Input [yellow] 2 4 14 5" xfId="46726"/>
    <cellStyle name="Input [yellow] 2 4 15" xfId="2252"/>
    <cellStyle name="Input [yellow] 2 4 15 2" xfId="13449"/>
    <cellStyle name="Input [yellow] 2 4 15 3" xfId="24617"/>
    <cellStyle name="Input [yellow] 2 4 15 4" xfId="35782"/>
    <cellStyle name="Input [yellow] 2 4 15 5" xfId="46975"/>
    <cellStyle name="Input [yellow] 2 4 16" xfId="3061"/>
    <cellStyle name="Input [yellow] 2 4 16 2" xfId="14258"/>
    <cellStyle name="Input [yellow] 2 4 16 3" xfId="25426"/>
    <cellStyle name="Input [yellow] 2 4 16 4" xfId="36591"/>
    <cellStyle name="Input [yellow] 2 4 16 5" xfId="47784"/>
    <cellStyle name="Input [yellow] 2 4 17" xfId="3696"/>
    <cellStyle name="Input [yellow] 2 4 17 2" xfId="14893"/>
    <cellStyle name="Input [yellow] 2 4 17 3" xfId="26061"/>
    <cellStyle name="Input [yellow] 2 4 17 4" xfId="37226"/>
    <cellStyle name="Input [yellow] 2 4 17 5" xfId="48419"/>
    <cellStyle name="Input [yellow] 2 4 18" xfId="4328"/>
    <cellStyle name="Input [yellow] 2 4 18 2" xfId="15525"/>
    <cellStyle name="Input [yellow] 2 4 18 3" xfId="26693"/>
    <cellStyle name="Input [yellow] 2 4 18 4" xfId="37858"/>
    <cellStyle name="Input [yellow] 2 4 18 5" xfId="49051"/>
    <cellStyle name="Input [yellow] 2 4 19" xfId="4961"/>
    <cellStyle name="Input [yellow] 2 4 19 2" xfId="16158"/>
    <cellStyle name="Input [yellow] 2 4 19 3" xfId="27326"/>
    <cellStyle name="Input [yellow] 2 4 19 4" xfId="38491"/>
    <cellStyle name="Input [yellow] 2 4 19 5" xfId="49684"/>
    <cellStyle name="Input [yellow] 2 4 2" xfId="142"/>
    <cellStyle name="Input [yellow] 2 4 2 10" xfId="6038"/>
    <cellStyle name="Input [yellow] 2 4 2 10 2" xfId="17235"/>
    <cellStyle name="Input [yellow] 2 4 2 10 3" xfId="28403"/>
    <cellStyle name="Input [yellow] 2 4 2 10 4" xfId="39568"/>
    <cellStyle name="Input [yellow] 2 4 2 10 5" xfId="50761"/>
    <cellStyle name="Input [yellow] 2 4 2 11" xfId="6153"/>
    <cellStyle name="Input [yellow] 2 4 2 11 2" xfId="17350"/>
    <cellStyle name="Input [yellow] 2 4 2 11 3" xfId="28518"/>
    <cellStyle name="Input [yellow] 2 4 2 11 4" xfId="39683"/>
    <cellStyle name="Input [yellow] 2 4 2 11 5" xfId="50876"/>
    <cellStyle name="Input [yellow] 2 4 2 12" xfId="6711"/>
    <cellStyle name="Input [yellow] 2 4 2 12 2" xfId="17908"/>
    <cellStyle name="Input [yellow] 2 4 2 12 3" xfId="29076"/>
    <cellStyle name="Input [yellow] 2 4 2 12 4" xfId="40241"/>
    <cellStyle name="Input [yellow] 2 4 2 12 5" xfId="51434"/>
    <cellStyle name="Input [yellow] 2 4 2 13" xfId="7345"/>
    <cellStyle name="Input [yellow] 2 4 2 13 2" xfId="18542"/>
    <cellStyle name="Input [yellow] 2 4 2 13 3" xfId="29710"/>
    <cellStyle name="Input [yellow] 2 4 2 13 4" xfId="40875"/>
    <cellStyle name="Input [yellow] 2 4 2 13 5" xfId="52068"/>
    <cellStyle name="Input [yellow] 2 4 2 14" xfId="7979"/>
    <cellStyle name="Input [yellow] 2 4 2 14 2" xfId="19176"/>
    <cellStyle name="Input [yellow] 2 4 2 14 3" xfId="30344"/>
    <cellStyle name="Input [yellow] 2 4 2 14 4" xfId="41509"/>
    <cellStyle name="Input [yellow] 2 4 2 14 5" xfId="52702"/>
    <cellStyle name="Input [yellow] 2 4 2 15" xfId="8610"/>
    <cellStyle name="Input [yellow] 2 4 2 15 2" xfId="19807"/>
    <cellStyle name="Input [yellow] 2 4 2 15 3" xfId="30975"/>
    <cellStyle name="Input [yellow] 2 4 2 15 4" xfId="42140"/>
    <cellStyle name="Input [yellow] 2 4 2 15 5" xfId="53333"/>
    <cellStyle name="Input [yellow] 2 4 2 16" xfId="9008"/>
    <cellStyle name="Input [yellow] 2 4 2 16 2" xfId="20205"/>
    <cellStyle name="Input [yellow] 2 4 2 16 3" xfId="31373"/>
    <cellStyle name="Input [yellow] 2 4 2 16 4" xfId="42538"/>
    <cellStyle name="Input [yellow] 2 4 2 16 5" xfId="53731"/>
    <cellStyle name="Input [yellow] 2 4 2 17" xfId="9663"/>
    <cellStyle name="Input [yellow] 2 4 2 17 2" xfId="20860"/>
    <cellStyle name="Input [yellow] 2 4 2 17 3" xfId="32028"/>
    <cellStyle name="Input [yellow] 2 4 2 17 4" xfId="43193"/>
    <cellStyle name="Input [yellow] 2 4 2 17 5" xfId="54386"/>
    <cellStyle name="Input [yellow] 2 4 2 18" xfId="10336"/>
    <cellStyle name="Input [yellow] 2 4 2 18 2" xfId="21533"/>
    <cellStyle name="Input [yellow] 2 4 2 18 3" xfId="32701"/>
    <cellStyle name="Input [yellow] 2 4 2 18 4" xfId="43866"/>
    <cellStyle name="Input [yellow] 2 4 2 18 5" xfId="55059"/>
    <cellStyle name="Input [yellow] 2 4 2 19" xfId="10695"/>
    <cellStyle name="Input [yellow] 2 4 2 19 2" xfId="21892"/>
    <cellStyle name="Input [yellow] 2 4 2 19 3" xfId="33060"/>
    <cellStyle name="Input [yellow] 2 4 2 19 4" xfId="44225"/>
    <cellStyle name="Input [yellow] 2 4 2 19 5" xfId="55418"/>
    <cellStyle name="Input [yellow] 2 4 2 2" xfId="791"/>
    <cellStyle name="Input [yellow] 2 4 2 2 2" xfId="11988"/>
    <cellStyle name="Input [yellow] 2 4 2 2 3" xfId="23156"/>
    <cellStyle name="Input [yellow] 2 4 2 2 4" xfId="34321"/>
    <cellStyle name="Input [yellow] 2 4 2 2 5" xfId="45514"/>
    <cellStyle name="Input [yellow] 2 4 2 20" xfId="11342"/>
    <cellStyle name="Input [yellow] 2 4 2 21" xfId="22512"/>
    <cellStyle name="Input [yellow] 2 4 2 22" xfId="33679"/>
    <cellStyle name="Input [yellow] 2 4 2 23" xfId="44865"/>
    <cellStyle name="Input [yellow] 2 4 2 3" xfId="1640"/>
    <cellStyle name="Input [yellow] 2 4 2 3 2" xfId="12837"/>
    <cellStyle name="Input [yellow] 2 4 2 3 3" xfId="24005"/>
    <cellStyle name="Input [yellow] 2 4 2 3 4" xfId="35170"/>
    <cellStyle name="Input [yellow] 2 4 2 3 5" xfId="46363"/>
    <cellStyle name="Input [yellow] 2 4 2 4" xfId="2068"/>
    <cellStyle name="Input [yellow] 2 4 2 4 2" xfId="13265"/>
    <cellStyle name="Input [yellow] 2 4 2 4 3" xfId="24433"/>
    <cellStyle name="Input [yellow] 2 4 2 4 4" xfId="35598"/>
    <cellStyle name="Input [yellow] 2 4 2 4 5" xfId="46791"/>
    <cellStyle name="Input [yellow] 2 4 2 5" xfId="2287"/>
    <cellStyle name="Input [yellow] 2 4 2 5 2" xfId="13484"/>
    <cellStyle name="Input [yellow] 2 4 2 5 3" xfId="24652"/>
    <cellStyle name="Input [yellow] 2 4 2 5 4" xfId="35817"/>
    <cellStyle name="Input [yellow] 2 4 2 5 5" xfId="47010"/>
    <cellStyle name="Input [yellow] 2 4 2 6" xfId="3126"/>
    <cellStyle name="Input [yellow] 2 4 2 6 2" xfId="14323"/>
    <cellStyle name="Input [yellow] 2 4 2 6 3" xfId="25491"/>
    <cellStyle name="Input [yellow] 2 4 2 6 4" xfId="36656"/>
    <cellStyle name="Input [yellow] 2 4 2 6 5" xfId="47849"/>
    <cellStyle name="Input [yellow] 2 4 2 7" xfId="3760"/>
    <cellStyle name="Input [yellow] 2 4 2 7 2" xfId="14957"/>
    <cellStyle name="Input [yellow] 2 4 2 7 3" xfId="26125"/>
    <cellStyle name="Input [yellow] 2 4 2 7 4" xfId="37290"/>
    <cellStyle name="Input [yellow] 2 4 2 7 5" xfId="48483"/>
    <cellStyle name="Input [yellow] 2 4 2 8" xfId="4393"/>
    <cellStyle name="Input [yellow] 2 4 2 8 2" xfId="15590"/>
    <cellStyle name="Input [yellow] 2 4 2 8 3" xfId="26758"/>
    <cellStyle name="Input [yellow] 2 4 2 8 4" xfId="37923"/>
    <cellStyle name="Input [yellow] 2 4 2 8 5" xfId="49116"/>
    <cellStyle name="Input [yellow] 2 4 2 9" xfId="5024"/>
    <cellStyle name="Input [yellow] 2 4 2 9 2" xfId="16221"/>
    <cellStyle name="Input [yellow] 2 4 2 9 3" xfId="27389"/>
    <cellStyle name="Input [yellow] 2 4 2 9 4" xfId="38554"/>
    <cellStyle name="Input [yellow] 2 4 2 9 5" xfId="49747"/>
    <cellStyle name="Input [yellow] 2 4 20" xfId="4950"/>
    <cellStyle name="Input [yellow] 2 4 20 2" xfId="16147"/>
    <cellStyle name="Input [yellow] 2 4 20 3" xfId="27315"/>
    <cellStyle name="Input [yellow] 2 4 20 4" xfId="38480"/>
    <cellStyle name="Input [yellow] 2 4 20 5" xfId="49673"/>
    <cellStyle name="Input [yellow] 2 4 21" xfId="5724"/>
    <cellStyle name="Input [yellow] 2 4 21 2" xfId="16921"/>
    <cellStyle name="Input [yellow] 2 4 21 3" xfId="28089"/>
    <cellStyle name="Input [yellow] 2 4 21 4" xfId="39254"/>
    <cellStyle name="Input [yellow] 2 4 21 5" xfId="50447"/>
    <cellStyle name="Input [yellow] 2 4 22" xfId="6648"/>
    <cellStyle name="Input [yellow] 2 4 22 2" xfId="17845"/>
    <cellStyle name="Input [yellow] 2 4 22 3" xfId="29013"/>
    <cellStyle name="Input [yellow] 2 4 22 4" xfId="40178"/>
    <cellStyle name="Input [yellow] 2 4 22 5" xfId="51371"/>
    <cellStyle name="Input [yellow] 2 4 23" xfId="7280"/>
    <cellStyle name="Input [yellow] 2 4 23 2" xfId="18477"/>
    <cellStyle name="Input [yellow] 2 4 23 3" xfId="29645"/>
    <cellStyle name="Input [yellow] 2 4 23 4" xfId="40810"/>
    <cellStyle name="Input [yellow] 2 4 23 5" xfId="52003"/>
    <cellStyle name="Input [yellow] 2 4 24" xfId="7914"/>
    <cellStyle name="Input [yellow] 2 4 24 2" xfId="19111"/>
    <cellStyle name="Input [yellow] 2 4 24 3" xfId="30279"/>
    <cellStyle name="Input [yellow] 2 4 24 4" xfId="41444"/>
    <cellStyle name="Input [yellow] 2 4 24 5" xfId="52637"/>
    <cellStyle name="Input [yellow] 2 4 25" xfId="8547"/>
    <cellStyle name="Input [yellow] 2 4 25 2" xfId="19744"/>
    <cellStyle name="Input [yellow] 2 4 25 3" xfId="30912"/>
    <cellStyle name="Input [yellow] 2 4 25 4" xfId="42077"/>
    <cellStyle name="Input [yellow] 2 4 25 5" xfId="53270"/>
    <cellStyle name="Input [yellow] 2 4 26" xfId="8971"/>
    <cellStyle name="Input [yellow] 2 4 26 2" xfId="20168"/>
    <cellStyle name="Input [yellow] 2 4 26 3" xfId="31336"/>
    <cellStyle name="Input [yellow] 2 4 26 4" xfId="42501"/>
    <cellStyle name="Input [yellow] 2 4 26 5" xfId="53694"/>
    <cellStyle name="Input [yellow] 2 4 27" xfId="9599"/>
    <cellStyle name="Input [yellow] 2 4 27 2" xfId="20796"/>
    <cellStyle name="Input [yellow] 2 4 27 3" xfId="31964"/>
    <cellStyle name="Input [yellow] 2 4 27 4" xfId="43129"/>
    <cellStyle name="Input [yellow] 2 4 27 5" xfId="54322"/>
    <cellStyle name="Input [yellow] 2 4 28" xfId="10403"/>
    <cellStyle name="Input [yellow] 2 4 28 2" xfId="21600"/>
    <cellStyle name="Input [yellow] 2 4 28 3" xfId="32768"/>
    <cellStyle name="Input [yellow] 2 4 28 4" xfId="43933"/>
    <cellStyle name="Input [yellow] 2 4 28 5" xfId="55126"/>
    <cellStyle name="Input [yellow] 2 4 29" xfId="10633"/>
    <cellStyle name="Input [yellow] 2 4 29 2" xfId="21830"/>
    <cellStyle name="Input [yellow] 2 4 29 3" xfId="32998"/>
    <cellStyle name="Input [yellow] 2 4 29 4" xfId="44163"/>
    <cellStyle name="Input [yellow] 2 4 29 5" xfId="55356"/>
    <cellStyle name="Input [yellow] 2 4 3" xfId="198"/>
    <cellStyle name="Input [yellow] 2 4 3 10" xfId="6204"/>
    <cellStyle name="Input [yellow] 2 4 3 10 2" xfId="17401"/>
    <cellStyle name="Input [yellow] 2 4 3 10 3" xfId="28569"/>
    <cellStyle name="Input [yellow] 2 4 3 10 4" xfId="39734"/>
    <cellStyle name="Input [yellow] 2 4 3 10 5" xfId="50927"/>
    <cellStyle name="Input [yellow] 2 4 3 11" xfId="5935"/>
    <cellStyle name="Input [yellow] 2 4 3 11 2" xfId="17132"/>
    <cellStyle name="Input [yellow] 2 4 3 11 3" xfId="28300"/>
    <cellStyle name="Input [yellow] 2 4 3 11 4" xfId="39465"/>
    <cellStyle name="Input [yellow] 2 4 3 11 5" xfId="50658"/>
    <cellStyle name="Input [yellow] 2 4 3 12" xfId="6767"/>
    <cellStyle name="Input [yellow] 2 4 3 12 2" xfId="17964"/>
    <cellStyle name="Input [yellow] 2 4 3 12 3" xfId="29132"/>
    <cellStyle name="Input [yellow] 2 4 3 12 4" xfId="40297"/>
    <cellStyle name="Input [yellow] 2 4 3 12 5" xfId="51490"/>
    <cellStyle name="Input [yellow] 2 4 3 13" xfId="7401"/>
    <cellStyle name="Input [yellow] 2 4 3 13 2" xfId="18598"/>
    <cellStyle name="Input [yellow] 2 4 3 13 3" xfId="29766"/>
    <cellStyle name="Input [yellow] 2 4 3 13 4" xfId="40931"/>
    <cellStyle name="Input [yellow] 2 4 3 13 5" xfId="52124"/>
    <cellStyle name="Input [yellow] 2 4 3 14" xfId="8035"/>
    <cellStyle name="Input [yellow] 2 4 3 14 2" xfId="19232"/>
    <cellStyle name="Input [yellow] 2 4 3 14 3" xfId="30400"/>
    <cellStyle name="Input [yellow] 2 4 3 14 4" xfId="41565"/>
    <cellStyle name="Input [yellow] 2 4 3 14 5" xfId="52758"/>
    <cellStyle name="Input [yellow] 2 4 3 15" xfId="8666"/>
    <cellStyle name="Input [yellow] 2 4 3 15 2" xfId="19863"/>
    <cellStyle name="Input [yellow] 2 4 3 15 3" xfId="31031"/>
    <cellStyle name="Input [yellow] 2 4 3 15 4" xfId="42196"/>
    <cellStyle name="Input [yellow] 2 4 3 15 5" xfId="53389"/>
    <cellStyle name="Input [yellow] 2 4 3 16" xfId="9051"/>
    <cellStyle name="Input [yellow] 2 4 3 16 2" xfId="20248"/>
    <cellStyle name="Input [yellow] 2 4 3 16 3" xfId="31416"/>
    <cellStyle name="Input [yellow] 2 4 3 16 4" xfId="42581"/>
    <cellStyle name="Input [yellow] 2 4 3 16 5" xfId="53774"/>
    <cellStyle name="Input [yellow] 2 4 3 17" xfId="9718"/>
    <cellStyle name="Input [yellow] 2 4 3 17 2" xfId="20915"/>
    <cellStyle name="Input [yellow] 2 4 3 17 3" xfId="32083"/>
    <cellStyle name="Input [yellow] 2 4 3 17 4" xfId="43248"/>
    <cellStyle name="Input [yellow] 2 4 3 17 5" xfId="54441"/>
    <cellStyle name="Input [yellow] 2 4 3 18" xfId="10343"/>
    <cellStyle name="Input [yellow] 2 4 3 18 2" xfId="21540"/>
    <cellStyle name="Input [yellow] 2 4 3 18 3" xfId="32708"/>
    <cellStyle name="Input [yellow] 2 4 3 18 4" xfId="43873"/>
    <cellStyle name="Input [yellow] 2 4 3 18 5" xfId="55066"/>
    <cellStyle name="Input [yellow] 2 4 3 19" xfId="10751"/>
    <cellStyle name="Input [yellow] 2 4 3 19 2" xfId="21948"/>
    <cellStyle name="Input [yellow] 2 4 3 19 3" xfId="33116"/>
    <cellStyle name="Input [yellow] 2 4 3 19 4" xfId="44281"/>
    <cellStyle name="Input [yellow] 2 4 3 19 5" xfId="55474"/>
    <cellStyle name="Input [yellow] 2 4 3 2" xfId="847"/>
    <cellStyle name="Input [yellow] 2 4 3 2 2" xfId="12044"/>
    <cellStyle name="Input [yellow] 2 4 3 2 3" xfId="23212"/>
    <cellStyle name="Input [yellow] 2 4 3 2 4" xfId="34377"/>
    <cellStyle name="Input [yellow] 2 4 3 2 5" xfId="45570"/>
    <cellStyle name="Input [yellow] 2 4 3 20" xfId="11398"/>
    <cellStyle name="Input [yellow] 2 4 3 21" xfId="22568"/>
    <cellStyle name="Input [yellow] 2 4 3 22" xfId="33735"/>
    <cellStyle name="Input [yellow] 2 4 3 23" xfId="44921"/>
    <cellStyle name="Input [yellow] 2 4 3 3" xfId="1625"/>
    <cellStyle name="Input [yellow] 2 4 3 3 2" xfId="12822"/>
    <cellStyle name="Input [yellow] 2 4 3 3 3" xfId="23990"/>
    <cellStyle name="Input [yellow] 2 4 3 3 4" xfId="35155"/>
    <cellStyle name="Input [yellow] 2 4 3 3 5" xfId="46348"/>
    <cellStyle name="Input [yellow] 2 4 3 4" xfId="2124"/>
    <cellStyle name="Input [yellow] 2 4 3 4 2" xfId="13321"/>
    <cellStyle name="Input [yellow] 2 4 3 4 3" xfId="24489"/>
    <cellStyle name="Input [yellow] 2 4 3 4 4" xfId="35654"/>
    <cellStyle name="Input [yellow] 2 4 3 4 5" xfId="46847"/>
    <cellStyle name="Input [yellow] 2 4 3 5" xfId="2292"/>
    <cellStyle name="Input [yellow] 2 4 3 5 2" xfId="13489"/>
    <cellStyle name="Input [yellow] 2 4 3 5 3" xfId="24657"/>
    <cellStyle name="Input [yellow] 2 4 3 5 4" xfId="35822"/>
    <cellStyle name="Input [yellow] 2 4 3 5 5" xfId="47015"/>
    <cellStyle name="Input [yellow] 2 4 3 6" xfId="3182"/>
    <cellStyle name="Input [yellow] 2 4 3 6 2" xfId="14379"/>
    <cellStyle name="Input [yellow] 2 4 3 6 3" xfId="25547"/>
    <cellStyle name="Input [yellow] 2 4 3 6 4" xfId="36712"/>
    <cellStyle name="Input [yellow] 2 4 3 6 5" xfId="47905"/>
    <cellStyle name="Input [yellow] 2 4 3 7" xfId="3816"/>
    <cellStyle name="Input [yellow] 2 4 3 7 2" xfId="15013"/>
    <cellStyle name="Input [yellow] 2 4 3 7 3" xfId="26181"/>
    <cellStyle name="Input [yellow] 2 4 3 7 4" xfId="37346"/>
    <cellStyle name="Input [yellow] 2 4 3 7 5" xfId="48539"/>
    <cellStyle name="Input [yellow] 2 4 3 8" xfId="4449"/>
    <cellStyle name="Input [yellow] 2 4 3 8 2" xfId="15646"/>
    <cellStyle name="Input [yellow] 2 4 3 8 3" xfId="26814"/>
    <cellStyle name="Input [yellow] 2 4 3 8 4" xfId="37979"/>
    <cellStyle name="Input [yellow] 2 4 3 8 5" xfId="49172"/>
    <cellStyle name="Input [yellow] 2 4 3 9" xfId="5080"/>
    <cellStyle name="Input [yellow] 2 4 3 9 2" xfId="16277"/>
    <cellStyle name="Input [yellow] 2 4 3 9 3" xfId="27445"/>
    <cellStyle name="Input [yellow] 2 4 3 9 4" xfId="38610"/>
    <cellStyle name="Input [yellow] 2 4 3 9 5" xfId="49803"/>
    <cellStyle name="Input [yellow] 2 4 30" xfId="11278"/>
    <cellStyle name="Input [yellow] 2 4 31" xfId="22450"/>
    <cellStyle name="Input [yellow] 2 4 32" xfId="33617"/>
    <cellStyle name="Input [yellow] 2 4 33" xfId="44801"/>
    <cellStyle name="Input [yellow] 2 4 4" xfId="269"/>
    <cellStyle name="Input [yellow] 2 4 4 10" xfId="5760"/>
    <cellStyle name="Input [yellow] 2 4 4 10 2" xfId="16957"/>
    <cellStyle name="Input [yellow] 2 4 4 10 3" xfId="28125"/>
    <cellStyle name="Input [yellow] 2 4 4 10 4" xfId="39290"/>
    <cellStyle name="Input [yellow] 2 4 4 10 5" xfId="50483"/>
    <cellStyle name="Input [yellow] 2 4 4 11" xfId="5729"/>
    <cellStyle name="Input [yellow] 2 4 4 11 2" xfId="16926"/>
    <cellStyle name="Input [yellow] 2 4 4 11 3" xfId="28094"/>
    <cellStyle name="Input [yellow] 2 4 4 11 4" xfId="39259"/>
    <cellStyle name="Input [yellow] 2 4 4 11 5" xfId="50452"/>
    <cellStyle name="Input [yellow] 2 4 4 12" xfId="6838"/>
    <cellStyle name="Input [yellow] 2 4 4 12 2" xfId="18035"/>
    <cellStyle name="Input [yellow] 2 4 4 12 3" xfId="29203"/>
    <cellStyle name="Input [yellow] 2 4 4 12 4" xfId="40368"/>
    <cellStyle name="Input [yellow] 2 4 4 12 5" xfId="51561"/>
    <cellStyle name="Input [yellow] 2 4 4 13" xfId="7472"/>
    <cellStyle name="Input [yellow] 2 4 4 13 2" xfId="18669"/>
    <cellStyle name="Input [yellow] 2 4 4 13 3" xfId="29837"/>
    <cellStyle name="Input [yellow] 2 4 4 13 4" xfId="41002"/>
    <cellStyle name="Input [yellow] 2 4 4 13 5" xfId="52195"/>
    <cellStyle name="Input [yellow] 2 4 4 14" xfId="8106"/>
    <cellStyle name="Input [yellow] 2 4 4 14 2" xfId="19303"/>
    <cellStyle name="Input [yellow] 2 4 4 14 3" xfId="30471"/>
    <cellStyle name="Input [yellow] 2 4 4 14 4" xfId="41636"/>
    <cellStyle name="Input [yellow] 2 4 4 14 5" xfId="52829"/>
    <cellStyle name="Input [yellow] 2 4 4 15" xfId="8736"/>
    <cellStyle name="Input [yellow] 2 4 4 15 2" xfId="19933"/>
    <cellStyle name="Input [yellow] 2 4 4 15 3" xfId="31101"/>
    <cellStyle name="Input [yellow] 2 4 4 15 4" xfId="42266"/>
    <cellStyle name="Input [yellow] 2 4 4 15 5" xfId="53459"/>
    <cellStyle name="Input [yellow] 2 4 4 16" xfId="7314"/>
    <cellStyle name="Input [yellow] 2 4 4 16 2" xfId="18511"/>
    <cellStyle name="Input [yellow] 2 4 4 16 3" xfId="29679"/>
    <cellStyle name="Input [yellow] 2 4 4 16 4" xfId="40844"/>
    <cellStyle name="Input [yellow] 2 4 4 16 5" xfId="52037"/>
    <cellStyle name="Input [yellow] 2 4 4 17" xfId="9786"/>
    <cellStyle name="Input [yellow] 2 4 4 17 2" xfId="20983"/>
    <cellStyle name="Input [yellow] 2 4 4 17 3" xfId="32151"/>
    <cellStyle name="Input [yellow] 2 4 4 17 4" xfId="43316"/>
    <cellStyle name="Input [yellow] 2 4 4 17 5" xfId="54509"/>
    <cellStyle name="Input [yellow] 2 4 4 18" xfId="10124"/>
    <cellStyle name="Input [yellow] 2 4 4 18 2" xfId="21321"/>
    <cellStyle name="Input [yellow] 2 4 4 18 3" xfId="32489"/>
    <cellStyle name="Input [yellow] 2 4 4 18 4" xfId="43654"/>
    <cellStyle name="Input [yellow] 2 4 4 18 5" xfId="54847"/>
    <cellStyle name="Input [yellow] 2 4 4 19" xfId="10822"/>
    <cellStyle name="Input [yellow] 2 4 4 19 2" xfId="22019"/>
    <cellStyle name="Input [yellow] 2 4 4 19 3" xfId="33187"/>
    <cellStyle name="Input [yellow] 2 4 4 19 4" xfId="44352"/>
    <cellStyle name="Input [yellow] 2 4 4 19 5" xfId="55545"/>
    <cellStyle name="Input [yellow] 2 4 4 2" xfId="918"/>
    <cellStyle name="Input [yellow] 2 4 4 2 2" xfId="12115"/>
    <cellStyle name="Input [yellow] 2 4 4 2 3" xfId="23283"/>
    <cellStyle name="Input [yellow] 2 4 4 2 4" xfId="34448"/>
    <cellStyle name="Input [yellow] 2 4 4 2 5" xfId="45641"/>
    <cellStyle name="Input [yellow] 2 4 4 20" xfId="11469"/>
    <cellStyle name="Input [yellow] 2 4 4 21" xfId="22639"/>
    <cellStyle name="Input [yellow] 2 4 4 22" xfId="33806"/>
    <cellStyle name="Input [yellow] 2 4 4 23" xfId="44992"/>
    <cellStyle name="Input [yellow] 2 4 4 3" xfId="1913"/>
    <cellStyle name="Input [yellow] 2 4 4 3 2" xfId="13110"/>
    <cellStyle name="Input [yellow] 2 4 4 3 3" xfId="24278"/>
    <cellStyle name="Input [yellow] 2 4 4 3 4" xfId="35443"/>
    <cellStyle name="Input [yellow] 2 4 4 3 5" xfId="46636"/>
    <cellStyle name="Input [yellow] 2 4 4 4" xfId="2195"/>
    <cellStyle name="Input [yellow] 2 4 4 4 2" xfId="13392"/>
    <cellStyle name="Input [yellow] 2 4 4 4 3" xfId="24560"/>
    <cellStyle name="Input [yellow] 2 4 4 4 4" xfId="35725"/>
    <cellStyle name="Input [yellow] 2 4 4 4 5" xfId="46918"/>
    <cellStyle name="Input [yellow] 2 4 4 5" xfId="2619"/>
    <cellStyle name="Input [yellow] 2 4 4 5 2" xfId="13816"/>
    <cellStyle name="Input [yellow] 2 4 4 5 3" xfId="24984"/>
    <cellStyle name="Input [yellow] 2 4 4 5 4" xfId="36149"/>
    <cellStyle name="Input [yellow] 2 4 4 5 5" xfId="47342"/>
    <cellStyle name="Input [yellow] 2 4 4 6" xfId="3253"/>
    <cellStyle name="Input [yellow] 2 4 4 6 2" xfId="14450"/>
    <cellStyle name="Input [yellow] 2 4 4 6 3" xfId="25618"/>
    <cellStyle name="Input [yellow] 2 4 4 6 4" xfId="36783"/>
    <cellStyle name="Input [yellow] 2 4 4 6 5" xfId="47976"/>
    <cellStyle name="Input [yellow] 2 4 4 7" xfId="3887"/>
    <cellStyle name="Input [yellow] 2 4 4 7 2" xfId="15084"/>
    <cellStyle name="Input [yellow] 2 4 4 7 3" xfId="26252"/>
    <cellStyle name="Input [yellow] 2 4 4 7 4" xfId="37417"/>
    <cellStyle name="Input [yellow] 2 4 4 7 5" xfId="48610"/>
    <cellStyle name="Input [yellow] 2 4 4 8" xfId="4520"/>
    <cellStyle name="Input [yellow] 2 4 4 8 2" xfId="15717"/>
    <cellStyle name="Input [yellow] 2 4 4 8 3" xfId="26885"/>
    <cellStyle name="Input [yellow] 2 4 4 8 4" xfId="38050"/>
    <cellStyle name="Input [yellow] 2 4 4 8 5" xfId="49243"/>
    <cellStyle name="Input [yellow] 2 4 4 9" xfId="5151"/>
    <cellStyle name="Input [yellow] 2 4 4 9 2" xfId="16348"/>
    <cellStyle name="Input [yellow] 2 4 4 9 3" xfId="27516"/>
    <cellStyle name="Input [yellow] 2 4 4 9 4" xfId="38681"/>
    <cellStyle name="Input [yellow] 2 4 4 9 5" xfId="49874"/>
    <cellStyle name="Input [yellow] 2 4 5" xfId="314"/>
    <cellStyle name="Input [yellow] 2 4 5 10" xfId="5840"/>
    <cellStyle name="Input [yellow] 2 4 5 10 2" xfId="17037"/>
    <cellStyle name="Input [yellow] 2 4 5 10 3" xfId="28205"/>
    <cellStyle name="Input [yellow] 2 4 5 10 4" xfId="39370"/>
    <cellStyle name="Input [yellow] 2 4 5 10 5" xfId="50563"/>
    <cellStyle name="Input [yellow] 2 4 5 11" xfId="6250"/>
    <cellStyle name="Input [yellow] 2 4 5 11 2" xfId="17447"/>
    <cellStyle name="Input [yellow] 2 4 5 11 3" xfId="28615"/>
    <cellStyle name="Input [yellow] 2 4 5 11 4" xfId="39780"/>
    <cellStyle name="Input [yellow] 2 4 5 11 5" xfId="50973"/>
    <cellStyle name="Input [yellow] 2 4 5 12" xfId="6883"/>
    <cellStyle name="Input [yellow] 2 4 5 12 2" xfId="18080"/>
    <cellStyle name="Input [yellow] 2 4 5 12 3" xfId="29248"/>
    <cellStyle name="Input [yellow] 2 4 5 12 4" xfId="40413"/>
    <cellStyle name="Input [yellow] 2 4 5 12 5" xfId="51606"/>
    <cellStyle name="Input [yellow] 2 4 5 13" xfId="7517"/>
    <cellStyle name="Input [yellow] 2 4 5 13 2" xfId="18714"/>
    <cellStyle name="Input [yellow] 2 4 5 13 3" xfId="29882"/>
    <cellStyle name="Input [yellow] 2 4 5 13 4" xfId="41047"/>
    <cellStyle name="Input [yellow] 2 4 5 13 5" xfId="52240"/>
    <cellStyle name="Input [yellow] 2 4 5 14" xfId="8151"/>
    <cellStyle name="Input [yellow] 2 4 5 14 2" xfId="19348"/>
    <cellStyle name="Input [yellow] 2 4 5 14 3" xfId="30516"/>
    <cellStyle name="Input [yellow] 2 4 5 14 4" xfId="41681"/>
    <cellStyle name="Input [yellow] 2 4 5 14 5" xfId="52874"/>
    <cellStyle name="Input [yellow] 2 4 5 15" xfId="8780"/>
    <cellStyle name="Input [yellow] 2 4 5 15 2" xfId="19977"/>
    <cellStyle name="Input [yellow] 2 4 5 15 3" xfId="31145"/>
    <cellStyle name="Input [yellow] 2 4 5 15 4" xfId="42310"/>
    <cellStyle name="Input [yellow] 2 4 5 15 5" xfId="53503"/>
    <cellStyle name="Input [yellow] 2 4 5 16" xfId="9202"/>
    <cellStyle name="Input [yellow] 2 4 5 16 2" xfId="20399"/>
    <cellStyle name="Input [yellow] 2 4 5 16 3" xfId="31567"/>
    <cellStyle name="Input [yellow] 2 4 5 16 4" xfId="42732"/>
    <cellStyle name="Input [yellow] 2 4 5 16 5" xfId="53925"/>
    <cellStyle name="Input [yellow] 2 4 5 17" xfId="9829"/>
    <cellStyle name="Input [yellow] 2 4 5 17 2" xfId="21026"/>
    <cellStyle name="Input [yellow] 2 4 5 17 3" xfId="32194"/>
    <cellStyle name="Input [yellow] 2 4 5 17 4" xfId="43359"/>
    <cellStyle name="Input [yellow] 2 4 5 17 5" xfId="54552"/>
    <cellStyle name="Input [yellow] 2 4 5 18" xfId="10606"/>
    <cellStyle name="Input [yellow] 2 4 5 18 2" xfId="21803"/>
    <cellStyle name="Input [yellow] 2 4 5 18 3" xfId="32971"/>
    <cellStyle name="Input [yellow] 2 4 5 18 4" xfId="44136"/>
    <cellStyle name="Input [yellow] 2 4 5 18 5" xfId="55329"/>
    <cellStyle name="Input [yellow] 2 4 5 19" xfId="10867"/>
    <cellStyle name="Input [yellow] 2 4 5 19 2" xfId="22064"/>
    <cellStyle name="Input [yellow] 2 4 5 19 3" xfId="33232"/>
    <cellStyle name="Input [yellow] 2 4 5 19 4" xfId="44397"/>
    <cellStyle name="Input [yellow] 2 4 5 19 5" xfId="55590"/>
    <cellStyle name="Input [yellow] 2 4 5 2" xfId="963"/>
    <cellStyle name="Input [yellow] 2 4 5 2 2" xfId="12160"/>
    <cellStyle name="Input [yellow] 2 4 5 2 3" xfId="23328"/>
    <cellStyle name="Input [yellow] 2 4 5 2 4" xfId="34493"/>
    <cellStyle name="Input [yellow] 2 4 5 2 5" xfId="45686"/>
    <cellStyle name="Input [yellow] 2 4 5 20" xfId="11514"/>
    <cellStyle name="Input [yellow] 2 4 5 21" xfId="22684"/>
    <cellStyle name="Input [yellow] 2 4 5 22" xfId="33851"/>
    <cellStyle name="Input [yellow] 2 4 5 23" xfId="45037"/>
    <cellStyle name="Input [yellow] 2 4 5 3" xfId="1713"/>
    <cellStyle name="Input [yellow] 2 4 5 3 2" xfId="12910"/>
    <cellStyle name="Input [yellow] 2 4 5 3 3" xfId="24078"/>
    <cellStyle name="Input [yellow] 2 4 5 3 4" xfId="35243"/>
    <cellStyle name="Input [yellow] 2 4 5 3 5" xfId="46436"/>
    <cellStyle name="Input [yellow] 2 4 5 4" xfId="2239"/>
    <cellStyle name="Input [yellow] 2 4 5 4 2" xfId="13436"/>
    <cellStyle name="Input [yellow] 2 4 5 4 3" xfId="24604"/>
    <cellStyle name="Input [yellow] 2 4 5 4 4" xfId="35769"/>
    <cellStyle name="Input [yellow] 2 4 5 4 5" xfId="46962"/>
    <cellStyle name="Input [yellow] 2 4 5 5" xfId="2664"/>
    <cellStyle name="Input [yellow] 2 4 5 5 2" xfId="13861"/>
    <cellStyle name="Input [yellow] 2 4 5 5 3" xfId="25029"/>
    <cellStyle name="Input [yellow] 2 4 5 5 4" xfId="36194"/>
    <cellStyle name="Input [yellow] 2 4 5 5 5" xfId="47387"/>
    <cellStyle name="Input [yellow] 2 4 5 6" xfId="3298"/>
    <cellStyle name="Input [yellow] 2 4 5 6 2" xfId="14495"/>
    <cellStyle name="Input [yellow] 2 4 5 6 3" xfId="25663"/>
    <cellStyle name="Input [yellow] 2 4 5 6 4" xfId="36828"/>
    <cellStyle name="Input [yellow] 2 4 5 6 5" xfId="48021"/>
    <cellStyle name="Input [yellow] 2 4 5 7" xfId="3932"/>
    <cellStyle name="Input [yellow] 2 4 5 7 2" xfId="15129"/>
    <cellStyle name="Input [yellow] 2 4 5 7 3" xfId="26297"/>
    <cellStyle name="Input [yellow] 2 4 5 7 4" xfId="37462"/>
    <cellStyle name="Input [yellow] 2 4 5 7 5" xfId="48655"/>
    <cellStyle name="Input [yellow] 2 4 5 8" xfId="4565"/>
    <cellStyle name="Input [yellow] 2 4 5 8 2" xfId="15762"/>
    <cellStyle name="Input [yellow] 2 4 5 8 3" xfId="26930"/>
    <cellStyle name="Input [yellow] 2 4 5 8 4" xfId="38095"/>
    <cellStyle name="Input [yellow] 2 4 5 8 5" xfId="49288"/>
    <cellStyle name="Input [yellow] 2 4 5 9" xfId="5196"/>
    <cellStyle name="Input [yellow] 2 4 5 9 2" xfId="16393"/>
    <cellStyle name="Input [yellow] 2 4 5 9 3" xfId="27561"/>
    <cellStyle name="Input [yellow] 2 4 5 9 4" xfId="38726"/>
    <cellStyle name="Input [yellow] 2 4 5 9 5" xfId="49919"/>
    <cellStyle name="Input [yellow] 2 4 6" xfId="57"/>
    <cellStyle name="Input [yellow] 2 4 6 10" xfId="6055"/>
    <cellStyle name="Input [yellow] 2 4 6 10 2" xfId="17252"/>
    <cellStyle name="Input [yellow] 2 4 6 10 3" xfId="28420"/>
    <cellStyle name="Input [yellow] 2 4 6 10 4" xfId="39585"/>
    <cellStyle name="Input [yellow] 2 4 6 10 5" xfId="50778"/>
    <cellStyle name="Input [yellow] 2 4 6 11" xfId="5774"/>
    <cellStyle name="Input [yellow] 2 4 6 11 2" xfId="16971"/>
    <cellStyle name="Input [yellow] 2 4 6 11 3" xfId="28139"/>
    <cellStyle name="Input [yellow] 2 4 6 11 4" xfId="39304"/>
    <cellStyle name="Input [yellow] 2 4 6 11 5" xfId="50497"/>
    <cellStyle name="Input [yellow] 2 4 6 12" xfId="5581"/>
    <cellStyle name="Input [yellow] 2 4 6 12 2" xfId="16778"/>
    <cellStyle name="Input [yellow] 2 4 6 12 3" xfId="27946"/>
    <cellStyle name="Input [yellow] 2 4 6 12 4" xfId="39111"/>
    <cellStyle name="Input [yellow] 2 4 6 12 5" xfId="50304"/>
    <cellStyle name="Input [yellow] 2 4 6 13" xfId="6144"/>
    <cellStyle name="Input [yellow] 2 4 6 13 2" xfId="17341"/>
    <cellStyle name="Input [yellow] 2 4 6 13 3" xfId="28509"/>
    <cellStyle name="Input [yellow] 2 4 6 13 4" xfId="39674"/>
    <cellStyle name="Input [yellow] 2 4 6 13 5" xfId="50867"/>
    <cellStyle name="Input [yellow] 2 4 6 14" xfId="6639"/>
    <cellStyle name="Input [yellow] 2 4 6 14 2" xfId="17836"/>
    <cellStyle name="Input [yellow] 2 4 6 14 3" xfId="29004"/>
    <cellStyle name="Input [yellow] 2 4 6 14 4" xfId="40169"/>
    <cellStyle name="Input [yellow] 2 4 6 14 5" xfId="51362"/>
    <cellStyle name="Input [yellow] 2 4 6 15" xfId="7281"/>
    <cellStyle name="Input [yellow] 2 4 6 15 2" xfId="18478"/>
    <cellStyle name="Input [yellow] 2 4 6 15 3" xfId="29646"/>
    <cellStyle name="Input [yellow] 2 4 6 15 4" xfId="40811"/>
    <cellStyle name="Input [yellow] 2 4 6 15 5" xfId="52004"/>
    <cellStyle name="Input [yellow] 2 4 6 16" xfId="8867"/>
    <cellStyle name="Input [yellow] 2 4 6 16 2" xfId="20064"/>
    <cellStyle name="Input [yellow] 2 4 6 16 3" xfId="31232"/>
    <cellStyle name="Input [yellow] 2 4 6 16 4" xfId="42397"/>
    <cellStyle name="Input [yellow] 2 4 6 16 5" xfId="53590"/>
    <cellStyle name="Input [yellow] 2 4 6 17" xfId="8538"/>
    <cellStyle name="Input [yellow] 2 4 6 17 2" xfId="19735"/>
    <cellStyle name="Input [yellow] 2 4 6 17 3" xfId="30903"/>
    <cellStyle name="Input [yellow] 2 4 6 17 4" xfId="42068"/>
    <cellStyle name="Input [yellow] 2 4 6 17 5" xfId="53261"/>
    <cellStyle name="Input [yellow] 2 4 6 18" xfId="10252"/>
    <cellStyle name="Input [yellow] 2 4 6 18 2" xfId="21449"/>
    <cellStyle name="Input [yellow] 2 4 6 18 3" xfId="32617"/>
    <cellStyle name="Input [yellow] 2 4 6 18 4" xfId="43782"/>
    <cellStyle name="Input [yellow] 2 4 6 18 5" xfId="54975"/>
    <cellStyle name="Input [yellow] 2 4 6 19" xfId="9632"/>
    <cellStyle name="Input [yellow] 2 4 6 19 2" xfId="20829"/>
    <cellStyle name="Input [yellow] 2 4 6 19 3" xfId="31997"/>
    <cellStyle name="Input [yellow] 2 4 6 19 4" xfId="43162"/>
    <cellStyle name="Input [yellow] 2 4 6 19 5" xfId="54355"/>
    <cellStyle name="Input [yellow] 2 4 6 2" xfId="712"/>
    <cellStyle name="Input [yellow] 2 4 6 2 2" xfId="11911"/>
    <cellStyle name="Input [yellow] 2 4 6 2 3" xfId="23080"/>
    <cellStyle name="Input [yellow] 2 4 6 2 4" xfId="34247"/>
    <cellStyle name="Input [yellow] 2 4 6 2 5" xfId="45435"/>
    <cellStyle name="Input [yellow] 2 4 6 20" xfId="11259"/>
    <cellStyle name="Input [yellow] 2 4 6 21" xfId="38"/>
    <cellStyle name="Input [yellow] 2 4 6 22" xfId="11939"/>
    <cellStyle name="Input [yellow] 2 4 6 23" xfId="44786"/>
    <cellStyle name="Input [yellow] 2 4 6 3" xfId="1559"/>
    <cellStyle name="Input [yellow] 2 4 6 3 2" xfId="12756"/>
    <cellStyle name="Input [yellow] 2 4 6 3 3" xfId="23924"/>
    <cellStyle name="Input [yellow] 2 4 6 3 4" xfId="35089"/>
    <cellStyle name="Input [yellow] 2 4 6 3 5" xfId="46282"/>
    <cellStyle name="Input [yellow] 2 4 6 4" xfId="1986"/>
    <cellStyle name="Input [yellow] 2 4 6 4 2" xfId="13183"/>
    <cellStyle name="Input [yellow] 2 4 6 4 3" xfId="24351"/>
    <cellStyle name="Input [yellow] 2 4 6 4 4" xfId="35516"/>
    <cellStyle name="Input [yellow] 2 4 6 4 5" xfId="46709"/>
    <cellStyle name="Input [yellow] 2 4 6 5" xfId="2156"/>
    <cellStyle name="Input [yellow] 2 4 6 5 2" xfId="13353"/>
    <cellStyle name="Input [yellow] 2 4 6 5 3" xfId="24521"/>
    <cellStyle name="Input [yellow] 2 4 6 5 4" xfId="35686"/>
    <cellStyle name="Input [yellow] 2 4 6 5 5" xfId="46879"/>
    <cellStyle name="Input [yellow] 2 4 6 6" xfId="2000"/>
    <cellStyle name="Input [yellow] 2 4 6 6 2" xfId="13197"/>
    <cellStyle name="Input [yellow] 2 4 6 6 3" xfId="24365"/>
    <cellStyle name="Input [yellow] 2 4 6 6 4" xfId="35530"/>
    <cellStyle name="Input [yellow] 2 4 6 6 5" xfId="46723"/>
    <cellStyle name="Input [yellow] 2 4 6 7" xfId="2138"/>
    <cellStyle name="Input [yellow] 2 4 6 7 2" xfId="13335"/>
    <cellStyle name="Input [yellow] 2 4 6 7 3" xfId="24503"/>
    <cellStyle name="Input [yellow] 2 4 6 7 4" xfId="35668"/>
    <cellStyle name="Input [yellow] 2 4 6 7 5" xfId="46861"/>
    <cellStyle name="Input [yellow] 2 4 6 8" xfId="3062"/>
    <cellStyle name="Input [yellow] 2 4 6 8 2" xfId="14259"/>
    <cellStyle name="Input [yellow] 2 4 6 8 3" xfId="25427"/>
    <cellStyle name="Input [yellow] 2 4 6 8 4" xfId="36592"/>
    <cellStyle name="Input [yellow] 2 4 6 8 5" xfId="47785"/>
    <cellStyle name="Input [yellow] 2 4 6 9" xfId="3687"/>
    <cellStyle name="Input [yellow] 2 4 6 9 2" xfId="14884"/>
    <cellStyle name="Input [yellow] 2 4 6 9 3" xfId="26052"/>
    <cellStyle name="Input [yellow] 2 4 6 9 4" xfId="37217"/>
    <cellStyle name="Input [yellow] 2 4 6 9 5" xfId="48410"/>
    <cellStyle name="Input [yellow] 2 4 7" xfId="439"/>
    <cellStyle name="Input [yellow] 2 4 7 10" xfId="6192"/>
    <cellStyle name="Input [yellow] 2 4 7 10 2" xfId="17389"/>
    <cellStyle name="Input [yellow] 2 4 7 10 3" xfId="28557"/>
    <cellStyle name="Input [yellow] 2 4 7 10 4" xfId="39722"/>
    <cellStyle name="Input [yellow] 2 4 7 10 5" xfId="50915"/>
    <cellStyle name="Input [yellow] 2 4 7 11" xfId="6375"/>
    <cellStyle name="Input [yellow] 2 4 7 11 2" xfId="17572"/>
    <cellStyle name="Input [yellow] 2 4 7 11 3" xfId="28740"/>
    <cellStyle name="Input [yellow] 2 4 7 11 4" xfId="39905"/>
    <cellStyle name="Input [yellow] 2 4 7 11 5" xfId="51098"/>
    <cellStyle name="Input [yellow] 2 4 7 12" xfId="7008"/>
    <cellStyle name="Input [yellow] 2 4 7 12 2" xfId="18205"/>
    <cellStyle name="Input [yellow] 2 4 7 12 3" xfId="29373"/>
    <cellStyle name="Input [yellow] 2 4 7 12 4" xfId="40538"/>
    <cellStyle name="Input [yellow] 2 4 7 12 5" xfId="51731"/>
    <cellStyle name="Input [yellow] 2 4 7 13" xfId="7642"/>
    <cellStyle name="Input [yellow] 2 4 7 13 2" xfId="18839"/>
    <cellStyle name="Input [yellow] 2 4 7 13 3" xfId="30007"/>
    <cellStyle name="Input [yellow] 2 4 7 13 4" xfId="41172"/>
    <cellStyle name="Input [yellow] 2 4 7 13 5" xfId="52365"/>
    <cellStyle name="Input [yellow] 2 4 7 14" xfId="8276"/>
    <cellStyle name="Input [yellow] 2 4 7 14 2" xfId="19473"/>
    <cellStyle name="Input [yellow] 2 4 7 14 3" xfId="30641"/>
    <cellStyle name="Input [yellow] 2 4 7 14 4" xfId="41806"/>
    <cellStyle name="Input [yellow] 2 4 7 14 5" xfId="52999"/>
    <cellStyle name="Input [yellow] 2 4 7 15" xfId="8904"/>
    <cellStyle name="Input [yellow] 2 4 7 15 2" xfId="20101"/>
    <cellStyle name="Input [yellow] 2 4 7 15 3" xfId="31269"/>
    <cellStyle name="Input [yellow] 2 4 7 15 4" xfId="42434"/>
    <cellStyle name="Input [yellow] 2 4 7 15 5" xfId="53627"/>
    <cellStyle name="Input [yellow] 2 4 7 16" xfId="9327"/>
    <cellStyle name="Input [yellow] 2 4 7 16 2" xfId="20524"/>
    <cellStyle name="Input [yellow] 2 4 7 16 3" xfId="31692"/>
    <cellStyle name="Input [yellow] 2 4 7 16 4" xfId="42857"/>
    <cellStyle name="Input [yellow] 2 4 7 16 5" xfId="54050"/>
    <cellStyle name="Input [yellow] 2 4 7 17" xfId="9953"/>
    <cellStyle name="Input [yellow] 2 4 7 17 2" xfId="21150"/>
    <cellStyle name="Input [yellow] 2 4 7 17 3" xfId="32318"/>
    <cellStyle name="Input [yellow] 2 4 7 17 4" xfId="43483"/>
    <cellStyle name="Input [yellow] 2 4 7 17 5" xfId="54676"/>
    <cellStyle name="Input [yellow] 2 4 7 18" xfId="10500"/>
    <cellStyle name="Input [yellow] 2 4 7 18 2" xfId="21697"/>
    <cellStyle name="Input [yellow] 2 4 7 18 3" xfId="32865"/>
    <cellStyle name="Input [yellow] 2 4 7 18 4" xfId="44030"/>
    <cellStyle name="Input [yellow] 2 4 7 18 5" xfId="55223"/>
    <cellStyle name="Input [yellow] 2 4 7 19" xfId="10992"/>
    <cellStyle name="Input [yellow] 2 4 7 19 2" xfId="22189"/>
    <cellStyle name="Input [yellow] 2 4 7 19 3" xfId="33357"/>
    <cellStyle name="Input [yellow] 2 4 7 19 4" xfId="44522"/>
    <cellStyle name="Input [yellow] 2 4 7 19 5" xfId="55715"/>
    <cellStyle name="Input [yellow] 2 4 7 2" xfId="1088"/>
    <cellStyle name="Input [yellow] 2 4 7 2 2" xfId="12285"/>
    <cellStyle name="Input [yellow] 2 4 7 2 3" xfId="23453"/>
    <cellStyle name="Input [yellow] 2 4 7 2 4" xfId="34618"/>
    <cellStyle name="Input [yellow] 2 4 7 2 5" xfId="45811"/>
    <cellStyle name="Input [yellow] 2 4 7 20" xfId="11639"/>
    <cellStyle name="Input [yellow] 2 4 7 21" xfId="22809"/>
    <cellStyle name="Input [yellow] 2 4 7 22" xfId="33976"/>
    <cellStyle name="Input [yellow] 2 4 7 23" xfId="45162"/>
    <cellStyle name="Input [yellow] 2 4 7 3" xfId="1797"/>
    <cellStyle name="Input [yellow] 2 4 7 3 2" xfId="12994"/>
    <cellStyle name="Input [yellow] 2 4 7 3 3" xfId="24162"/>
    <cellStyle name="Input [yellow] 2 4 7 3 4" xfId="35327"/>
    <cellStyle name="Input [yellow] 2 4 7 3 5" xfId="46520"/>
    <cellStyle name="Input [yellow] 2 4 7 4" xfId="2364"/>
    <cellStyle name="Input [yellow] 2 4 7 4 2" xfId="13561"/>
    <cellStyle name="Input [yellow] 2 4 7 4 3" xfId="24729"/>
    <cellStyle name="Input [yellow] 2 4 7 4 4" xfId="35894"/>
    <cellStyle name="Input [yellow] 2 4 7 4 5" xfId="47087"/>
    <cellStyle name="Input [yellow] 2 4 7 5" xfId="2789"/>
    <cellStyle name="Input [yellow] 2 4 7 5 2" xfId="13986"/>
    <cellStyle name="Input [yellow] 2 4 7 5 3" xfId="25154"/>
    <cellStyle name="Input [yellow] 2 4 7 5 4" xfId="36319"/>
    <cellStyle name="Input [yellow] 2 4 7 5 5" xfId="47512"/>
    <cellStyle name="Input [yellow] 2 4 7 6" xfId="3423"/>
    <cellStyle name="Input [yellow] 2 4 7 6 2" xfId="14620"/>
    <cellStyle name="Input [yellow] 2 4 7 6 3" xfId="25788"/>
    <cellStyle name="Input [yellow] 2 4 7 6 4" xfId="36953"/>
    <cellStyle name="Input [yellow] 2 4 7 6 5" xfId="48146"/>
    <cellStyle name="Input [yellow] 2 4 7 7" xfId="4057"/>
    <cellStyle name="Input [yellow] 2 4 7 7 2" xfId="15254"/>
    <cellStyle name="Input [yellow] 2 4 7 7 3" xfId="26422"/>
    <cellStyle name="Input [yellow] 2 4 7 7 4" xfId="37587"/>
    <cellStyle name="Input [yellow] 2 4 7 7 5" xfId="48780"/>
    <cellStyle name="Input [yellow] 2 4 7 8" xfId="4690"/>
    <cellStyle name="Input [yellow] 2 4 7 8 2" xfId="15887"/>
    <cellStyle name="Input [yellow] 2 4 7 8 3" xfId="27055"/>
    <cellStyle name="Input [yellow] 2 4 7 8 4" xfId="38220"/>
    <cellStyle name="Input [yellow] 2 4 7 8 5" xfId="49413"/>
    <cellStyle name="Input [yellow] 2 4 7 9" xfId="5321"/>
    <cellStyle name="Input [yellow] 2 4 7 9 2" xfId="16518"/>
    <cellStyle name="Input [yellow] 2 4 7 9 3" xfId="27686"/>
    <cellStyle name="Input [yellow] 2 4 7 9 4" xfId="38851"/>
    <cellStyle name="Input [yellow] 2 4 7 9 5" xfId="50044"/>
    <cellStyle name="Input [yellow] 2 4 8" xfId="486"/>
    <cellStyle name="Input [yellow] 2 4 8 10" xfId="5992"/>
    <cellStyle name="Input [yellow] 2 4 8 10 2" xfId="17189"/>
    <cellStyle name="Input [yellow] 2 4 8 10 3" xfId="28357"/>
    <cellStyle name="Input [yellow] 2 4 8 10 4" xfId="39522"/>
    <cellStyle name="Input [yellow] 2 4 8 10 5" xfId="50715"/>
    <cellStyle name="Input [yellow] 2 4 8 11" xfId="6422"/>
    <cellStyle name="Input [yellow] 2 4 8 11 2" xfId="17619"/>
    <cellStyle name="Input [yellow] 2 4 8 11 3" xfId="28787"/>
    <cellStyle name="Input [yellow] 2 4 8 11 4" xfId="39952"/>
    <cellStyle name="Input [yellow] 2 4 8 11 5" xfId="51145"/>
    <cellStyle name="Input [yellow] 2 4 8 12" xfId="7055"/>
    <cellStyle name="Input [yellow] 2 4 8 12 2" xfId="18252"/>
    <cellStyle name="Input [yellow] 2 4 8 12 3" xfId="29420"/>
    <cellStyle name="Input [yellow] 2 4 8 12 4" xfId="40585"/>
    <cellStyle name="Input [yellow] 2 4 8 12 5" xfId="51778"/>
    <cellStyle name="Input [yellow] 2 4 8 13" xfId="7689"/>
    <cellStyle name="Input [yellow] 2 4 8 13 2" xfId="18886"/>
    <cellStyle name="Input [yellow] 2 4 8 13 3" xfId="30054"/>
    <cellStyle name="Input [yellow] 2 4 8 13 4" xfId="41219"/>
    <cellStyle name="Input [yellow] 2 4 8 13 5" xfId="52412"/>
    <cellStyle name="Input [yellow] 2 4 8 14" xfId="8323"/>
    <cellStyle name="Input [yellow] 2 4 8 14 2" xfId="19520"/>
    <cellStyle name="Input [yellow] 2 4 8 14 3" xfId="30688"/>
    <cellStyle name="Input [yellow] 2 4 8 14 4" xfId="41853"/>
    <cellStyle name="Input [yellow] 2 4 8 14 5" xfId="53046"/>
    <cellStyle name="Input [yellow] 2 4 8 15" xfId="8951"/>
    <cellStyle name="Input [yellow] 2 4 8 15 2" xfId="20148"/>
    <cellStyle name="Input [yellow] 2 4 8 15 3" xfId="31316"/>
    <cellStyle name="Input [yellow] 2 4 8 15 4" xfId="42481"/>
    <cellStyle name="Input [yellow] 2 4 8 15 5" xfId="53674"/>
    <cellStyle name="Input [yellow] 2 4 8 16" xfId="9374"/>
    <cellStyle name="Input [yellow] 2 4 8 16 2" xfId="20571"/>
    <cellStyle name="Input [yellow] 2 4 8 16 3" xfId="31739"/>
    <cellStyle name="Input [yellow] 2 4 8 16 4" xfId="42904"/>
    <cellStyle name="Input [yellow] 2 4 8 16 5" xfId="54097"/>
    <cellStyle name="Input [yellow] 2 4 8 17" xfId="10000"/>
    <cellStyle name="Input [yellow] 2 4 8 17 2" xfId="21197"/>
    <cellStyle name="Input [yellow] 2 4 8 17 3" xfId="32365"/>
    <cellStyle name="Input [yellow] 2 4 8 17 4" xfId="43530"/>
    <cellStyle name="Input [yellow] 2 4 8 17 5" xfId="54723"/>
    <cellStyle name="Input [yellow] 2 4 8 18" xfId="10572"/>
    <cellStyle name="Input [yellow] 2 4 8 18 2" xfId="21769"/>
    <cellStyle name="Input [yellow] 2 4 8 18 3" xfId="32937"/>
    <cellStyle name="Input [yellow] 2 4 8 18 4" xfId="44102"/>
    <cellStyle name="Input [yellow] 2 4 8 18 5" xfId="55295"/>
    <cellStyle name="Input [yellow] 2 4 8 19" xfId="11039"/>
    <cellStyle name="Input [yellow] 2 4 8 19 2" xfId="22236"/>
    <cellStyle name="Input [yellow] 2 4 8 19 3" xfId="33404"/>
    <cellStyle name="Input [yellow] 2 4 8 19 4" xfId="44569"/>
    <cellStyle name="Input [yellow] 2 4 8 19 5" xfId="55762"/>
    <cellStyle name="Input [yellow] 2 4 8 2" xfId="1135"/>
    <cellStyle name="Input [yellow] 2 4 8 2 2" xfId="12332"/>
    <cellStyle name="Input [yellow] 2 4 8 2 3" xfId="23500"/>
    <cellStyle name="Input [yellow] 2 4 8 2 4" xfId="34665"/>
    <cellStyle name="Input [yellow] 2 4 8 2 5" xfId="45858"/>
    <cellStyle name="Input [yellow] 2 4 8 20" xfId="11686"/>
    <cellStyle name="Input [yellow] 2 4 8 21" xfId="22856"/>
    <cellStyle name="Input [yellow] 2 4 8 22" xfId="34023"/>
    <cellStyle name="Input [yellow] 2 4 8 23" xfId="45209"/>
    <cellStyle name="Input [yellow] 2 4 8 3" xfId="1401"/>
    <cellStyle name="Input [yellow] 2 4 8 3 2" xfId="12598"/>
    <cellStyle name="Input [yellow] 2 4 8 3 3" xfId="23766"/>
    <cellStyle name="Input [yellow] 2 4 8 3 4" xfId="34931"/>
    <cellStyle name="Input [yellow] 2 4 8 3 5" xfId="46124"/>
    <cellStyle name="Input [yellow] 2 4 8 4" xfId="2411"/>
    <cellStyle name="Input [yellow] 2 4 8 4 2" xfId="13608"/>
    <cellStyle name="Input [yellow] 2 4 8 4 3" xfId="24776"/>
    <cellStyle name="Input [yellow] 2 4 8 4 4" xfId="35941"/>
    <cellStyle name="Input [yellow] 2 4 8 4 5" xfId="47134"/>
    <cellStyle name="Input [yellow] 2 4 8 5" xfId="2836"/>
    <cellStyle name="Input [yellow] 2 4 8 5 2" xfId="14033"/>
    <cellStyle name="Input [yellow] 2 4 8 5 3" xfId="25201"/>
    <cellStyle name="Input [yellow] 2 4 8 5 4" xfId="36366"/>
    <cellStyle name="Input [yellow] 2 4 8 5 5" xfId="47559"/>
    <cellStyle name="Input [yellow] 2 4 8 6" xfId="3470"/>
    <cellStyle name="Input [yellow] 2 4 8 6 2" xfId="14667"/>
    <cellStyle name="Input [yellow] 2 4 8 6 3" xfId="25835"/>
    <cellStyle name="Input [yellow] 2 4 8 6 4" xfId="37000"/>
    <cellStyle name="Input [yellow] 2 4 8 6 5" xfId="48193"/>
    <cellStyle name="Input [yellow] 2 4 8 7" xfId="4104"/>
    <cellStyle name="Input [yellow] 2 4 8 7 2" xfId="15301"/>
    <cellStyle name="Input [yellow] 2 4 8 7 3" xfId="26469"/>
    <cellStyle name="Input [yellow] 2 4 8 7 4" xfId="37634"/>
    <cellStyle name="Input [yellow] 2 4 8 7 5" xfId="48827"/>
    <cellStyle name="Input [yellow] 2 4 8 8" xfId="4737"/>
    <cellStyle name="Input [yellow] 2 4 8 8 2" xfId="15934"/>
    <cellStyle name="Input [yellow] 2 4 8 8 3" xfId="27102"/>
    <cellStyle name="Input [yellow] 2 4 8 8 4" xfId="38267"/>
    <cellStyle name="Input [yellow] 2 4 8 8 5" xfId="49460"/>
    <cellStyle name="Input [yellow] 2 4 8 9" xfId="5368"/>
    <cellStyle name="Input [yellow] 2 4 8 9 2" xfId="16565"/>
    <cellStyle name="Input [yellow] 2 4 8 9 3" xfId="27733"/>
    <cellStyle name="Input [yellow] 2 4 8 9 4" xfId="38898"/>
    <cellStyle name="Input [yellow] 2 4 8 9 5" xfId="50091"/>
    <cellStyle name="Input [yellow] 2 4 9" xfId="544"/>
    <cellStyle name="Input [yellow] 2 4 9 10" xfId="5728"/>
    <cellStyle name="Input [yellow] 2 4 9 10 2" xfId="16925"/>
    <cellStyle name="Input [yellow] 2 4 9 10 3" xfId="28093"/>
    <cellStyle name="Input [yellow] 2 4 9 10 4" xfId="39258"/>
    <cellStyle name="Input [yellow] 2 4 9 10 5" xfId="50451"/>
    <cellStyle name="Input [yellow] 2 4 9 11" xfId="6480"/>
    <cellStyle name="Input [yellow] 2 4 9 11 2" xfId="17677"/>
    <cellStyle name="Input [yellow] 2 4 9 11 3" xfId="28845"/>
    <cellStyle name="Input [yellow] 2 4 9 11 4" xfId="40010"/>
    <cellStyle name="Input [yellow] 2 4 9 11 5" xfId="51203"/>
    <cellStyle name="Input [yellow] 2 4 9 12" xfId="7113"/>
    <cellStyle name="Input [yellow] 2 4 9 12 2" xfId="18310"/>
    <cellStyle name="Input [yellow] 2 4 9 12 3" xfId="29478"/>
    <cellStyle name="Input [yellow] 2 4 9 12 4" xfId="40643"/>
    <cellStyle name="Input [yellow] 2 4 9 12 5" xfId="51836"/>
    <cellStyle name="Input [yellow] 2 4 9 13" xfId="7747"/>
    <cellStyle name="Input [yellow] 2 4 9 13 2" xfId="18944"/>
    <cellStyle name="Input [yellow] 2 4 9 13 3" xfId="30112"/>
    <cellStyle name="Input [yellow] 2 4 9 13 4" xfId="41277"/>
    <cellStyle name="Input [yellow] 2 4 9 13 5" xfId="52470"/>
    <cellStyle name="Input [yellow] 2 4 9 14" xfId="8381"/>
    <cellStyle name="Input [yellow] 2 4 9 14 2" xfId="19578"/>
    <cellStyle name="Input [yellow] 2 4 9 14 3" xfId="30746"/>
    <cellStyle name="Input [yellow] 2 4 9 14 4" xfId="41911"/>
    <cellStyle name="Input [yellow] 2 4 9 14 5" xfId="53104"/>
    <cellStyle name="Input [yellow] 2 4 9 15" xfId="9009"/>
    <cellStyle name="Input [yellow] 2 4 9 15 2" xfId="20206"/>
    <cellStyle name="Input [yellow] 2 4 9 15 3" xfId="31374"/>
    <cellStyle name="Input [yellow] 2 4 9 15 4" xfId="42539"/>
    <cellStyle name="Input [yellow] 2 4 9 15 5" xfId="53732"/>
    <cellStyle name="Input [yellow] 2 4 9 16" xfId="9432"/>
    <cellStyle name="Input [yellow] 2 4 9 16 2" xfId="20629"/>
    <cellStyle name="Input [yellow] 2 4 9 16 3" xfId="31797"/>
    <cellStyle name="Input [yellow] 2 4 9 16 4" xfId="42962"/>
    <cellStyle name="Input [yellow] 2 4 9 16 5" xfId="54155"/>
    <cellStyle name="Input [yellow] 2 4 9 17" xfId="10057"/>
    <cellStyle name="Input [yellow] 2 4 9 17 2" xfId="21254"/>
    <cellStyle name="Input [yellow] 2 4 9 17 3" xfId="32422"/>
    <cellStyle name="Input [yellow] 2 4 9 17 4" xfId="43587"/>
    <cellStyle name="Input [yellow] 2 4 9 17 5" xfId="54780"/>
    <cellStyle name="Input [yellow] 2 4 9 18" xfId="10422"/>
    <cellStyle name="Input [yellow] 2 4 9 18 2" xfId="21619"/>
    <cellStyle name="Input [yellow] 2 4 9 18 3" xfId="32787"/>
    <cellStyle name="Input [yellow] 2 4 9 18 4" xfId="43952"/>
    <cellStyle name="Input [yellow] 2 4 9 18 5" xfId="55145"/>
    <cellStyle name="Input [yellow] 2 4 9 19" xfId="11097"/>
    <cellStyle name="Input [yellow] 2 4 9 19 2" xfId="22294"/>
    <cellStyle name="Input [yellow] 2 4 9 19 3" xfId="33462"/>
    <cellStyle name="Input [yellow] 2 4 9 19 4" xfId="44627"/>
    <cellStyle name="Input [yellow] 2 4 9 19 5" xfId="55820"/>
    <cellStyle name="Input [yellow] 2 4 9 2" xfId="1193"/>
    <cellStyle name="Input [yellow] 2 4 9 2 2" xfId="12390"/>
    <cellStyle name="Input [yellow] 2 4 9 2 3" xfId="23558"/>
    <cellStyle name="Input [yellow] 2 4 9 2 4" xfId="34723"/>
    <cellStyle name="Input [yellow] 2 4 9 2 5" xfId="45916"/>
    <cellStyle name="Input [yellow] 2 4 9 20" xfId="11744"/>
    <cellStyle name="Input [yellow] 2 4 9 21" xfId="22914"/>
    <cellStyle name="Input [yellow] 2 4 9 22" xfId="34081"/>
    <cellStyle name="Input [yellow] 2 4 9 23" xfId="45267"/>
    <cellStyle name="Input [yellow] 2 4 9 3" xfId="1595"/>
    <cellStyle name="Input [yellow] 2 4 9 3 2" xfId="12792"/>
    <cellStyle name="Input [yellow] 2 4 9 3 3" xfId="23960"/>
    <cellStyle name="Input [yellow] 2 4 9 3 4" xfId="35125"/>
    <cellStyle name="Input [yellow] 2 4 9 3 5" xfId="46318"/>
    <cellStyle name="Input [yellow] 2 4 9 4" xfId="2469"/>
    <cellStyle name="Input [yellow] 2 4 9 4 2" xfId="13666"/>
    <cellStyle name="Input [yellow] 2 4 9 4 3" xfId="24834"/>
    <cellStyle name="Input [yellow] 2 4 9 4 4" xfId="35999"/>
    <cellStyle name="Input [yellow] 2 4 9 4 5" xfId="47192"/>
    <cellStyle name="Input [yellow] 2 4 9 5" xfId="2894"/>
    <cellStyle name="Input [yellow] 2 4 9 5 2" xfId="14091"/>
    <cellStyle name="Input [yellow] 2 4 9 5 3" xfId="25259"/>
    <cellStyle name="Input [yellow] 2 4 9 5 4" xfId="36424"/>
    <cellStyle name="Input [yellow] 2 4 9 5 5" xfId="47617"/>
    <cellStyle name="Input [yellow] 2 4 9 6" xfId="3528"/>
    <cellStyle name="Input [yellow] 2 4 9 6 2" xfId="14725"/>
    <cellStyle name="Input [yellow] 2 4 9 6 3" xfId="25893"/>
    <cellStyle name="Input [yellow] 2 4 9 6 4" xfId="37058"/>
    <cellStyle name="Input [yellow] 2 4 9 6 5" xfId="48251"/>
    <cellStyle name="Input [yellow] 2 4 9 7" xfId="4162"/>
    <cellStyle name="Input [yellow] 2 4 9 7 2" xfId="15359"/>
    <cellStyle name="Input [yellow] 2 4 9 7 3" xfId="26527"/>
    <cellStyle name="Input [yellow] 2 4 9 7 4" xfId="37692"/>
    <cellStyle name="Input [yellow] 2 4 9 7 5" xfId="48885"/>
    <cellStyle name="Input [yellow] 2 4 9 8" xfId="4795"/>
    <cellStyle name="Input [yellow] 2 4 9 8 2" xfId="15992"/>
    <cellStyle name="Input [yellow] 2 4 9 8 3" xfId="27160"/>
    <cellStyle name="Input [yellow] 2 4 9 8 4" xfId="38325"/>
    <cellStyle name="Input [yellow] 2 4 9 8 5" xfId="49518"/>
    <cellStyle name="Input [yellow] 2 4 9 9" xfId="5426"/>
    <cellStyle name="Input [yellow] 2 4 9 9 2" xfId="16623"/>
    <cellStyle name="Input [yellow] 2 4 9 9 3" xfId="27791"/>
    <cellStyle name="Input [yellow] 2 4 9 9 4" xfId="38956"/>
    <cellStyle name="Input [yellow] 2 4 9 9 5" xfId="50149"/>
    <cellStyle name="Input [yellow] 2 40" xfId="4947"/>
    <cellStyle name="Input [yellow] 2 40 2" xfId="16144"/>
    <cellStyle name="Input [yellow] 2 40 3" xfId="27312"/>
    <cellStyle name="Input [yellow] 2 40 4" xfId="38477"/>
    <cellStyle name="Input [yellow] 2 40 5" xfId="49670"/>
    <cellStyle name="Input [yellow] 2 41" xfId="6007"/>
    <cellStyle name="Input [yellow] 2 41 2" xfId="17204"/>
    <cellStyle name="Input [yellow] 2 41 3" xfId="28372"/>
    <cellStyle name="Input [yellow] 2 41 4" xfId="39537"/>
    <cellStyle name="Input [yellow] 2 41 5" xfId="50730"/>
    <cellStyle name="Input [yellow] 2 42" xfId="6205"/>
    <cellStyle name="Input [yellow] 2 42 2" xfId="17402"/>
    <cellStyle name="Input [yellow] 2 42 3" xfId="28570"/>
    <cellStyle name="Input [yellow] 2 42 4" xfId="39735"/>
    <cellStyle name="Input [yellow] 2 42 5" xfId="50928"/>
    <cellStyle name="Input [yellow] 2 43" xfId="6634"/>
    <cellStyle name="Input [yellow] 2 43 2" xfId="17831"/>
    <cellStyle name="Input [yellow] 2 43 3" xfId="28999"/>
    <cellStyle name="Input [yellow] 2 43 4" xfId="40164"/>
    <cellStyle name="Input [yellow] 2 43 5" xfId="51357"/>
    <cellStyle name="Input [yellow] 2 44" xfId="7267"/>
    <cellStyle name="Input [yellow] 2 44 2" xfId="18464"/>
    <cellStyle name="Input [yellow] 2 44 3" xfId="29632"/>
    <cellStyle name="Input [yellow] 2 44 4" xfId="40797"/>
    <cellStyle name="Input [yellow] 2 44 5" xfId="51990"/>
    <cellStyle name="Input [yellow] 2 45" xfId="7900"/>
    <cellStyle name="Input [yellow] 2 45 2" xfId="19097"/>
    <cellStyle name="Input [yellow] 2 45 3" xfId="30265"/>
    <cellStyle name="Input [yellow] 2 45 4" xfId="41430"/>
    <cellStyle name="Input [yellow] 2 45 5" xfId="52623"/>
    <cellStyle name="Input [yellow] 2 46" xfId="8533"/>
    <cellStyle name="Input [yellow] 2 46 2" xfId="19730"/>
    <cellStyle name="Input [yellow] 2 46 3" xfId="30898"/>
    <cellStyle name="Input [yellow] 2 46 4" xfId="42063"/>
    <cellStyle name="Input [yellow] 2 46 5" xfId="53256"/>
    <cellStyle name="Input [yellow] 2 47" xfId="9108"/>
    <cellStyle name="Input [yellow] 2 47 2" xfId="20305"/>
    <cellStyle name="Input [yellow] 2 47 3" xfId="31473"/>
    <cellStyle name="Input [yellow] 2 47 4" xfId="42638"/>
    <cellStyle name="Input [yellow] 2 47 5" xfId="53831"/>
    <cellStyle name="Input [yellow] 2 48" xfId="9586"/>
    <cellStyle name="Input [yellow] 2 48 2" xfId="20783"/>
    <cellStyle name="Input [yellow] 2 48 3" xfId="31951"/>
    <cellStyle name="Input [yellow] 2 48 4" xfId="43116"/>
    <cellStyle name="Input [yellow] 2 48 5" xfId="54309"/>
    <cellStyle name="Input [yellow] 2 49" xfId="10147"/>
    <cellStyle name="Input [yellow] 2 49 2" xfId="21344"/>
    <cellStyle name="Input [yellow] 2 49 3" xfId="32512"/>
    <cellStyle name="Input [yellow] 2 49 4" xfId="43677"/>
    <cellStyle name="Input [yellow] 2 49 5" xfId="54870"/>
    <cellStyle name="Input [yellow] 2 5" xfId="81"/>
    <cellStyle name="Input [yellow] 2 5 10" xfId="537"/>
    <cellStyle name="Input [yellow] 2 5 10 10" xfId="6172"/>
    <cellStyle name="Input [yellow] 2 5 10 10 2" xfId="17369"/>
    <cellStyle name="Input [yellow] 2 5 10 10 3" xfId="28537"/>
    <cellStyle name="Input [yellow] 2 5 10 10 4" xfId="39702"/>
    <cellStyle name="Input [yellow] 2 5 10 10 5" xfId="50895"/>
    <cellStyle name="Input [yellow] 2 5 10 11" xfId="6473"/>
    <cellStyle name="Input [yellow] 2 5 10 11 2" xfId="17670"/>
    <cellStyle name="Input [yellow] 2 5 10 11 3" xfId="28838"/>
    <cellStyle name="Input [yellow] 2 5 10 11 4" xfId="40003"/>
    <cellStyle name="Input [yellow] 2 5 10 11 5" xfId="51196"/>
    <cellStyle name="Input [yellow] 2 5 10 12" xfId="7106"/>
    <cellStyle name="Input [yellow] 2 5 10 12 2" xfId="18303"/>
    <cellStyle name="Input [yellow] 2 5 10 12 3" xfId="29471"/>
    <cellStyle name="Input [yellow] 2 5 10 12 4" xfId="40636"/>
    <cellStyle name="Input [yellow] 2 5 10 12 5" xfId="51829"/>
    <cellStyle name="Input [yellow] 2 5 10 13" xfId="7740"/>
    <cellStyle name="Input [yellow] 2 5 10 13 2" xfId="18937"/>
    <cellStyle name="Input [yellow] 2 5 10 13 3" xfId="30105"/>
    <cellStyle name="Input [yellow] 2 5 10 13 4" xfId="41270"/>
    <cellStyle name="Input [yellow] 2 5 10 13 5" xfId="52463"/>
    <cellStyle name="Input [yellow] 2 5 10 14" xfId="8374"/>
    <cellStyle name="Input [yellow] 2 5 10 14 2" xfId="19571"/>
    <cellStyle name="Input [yellow] 2 5 10 14 3" xfId="30739"/>
    <cellStyle name="Input [yellow] 2 5 10 14 4" xfId="41904"/>
    <cellStyle name="Input [yellow] 2 5 10 14 5" xfId="53097"/>
    <cellStyle name="Input [yellow] 2 5 10 15" xfId="9002"/>
    <cellStyle name="Input [yellow] 2 5 10 15 2" xfId="20199"/>
    <cellStyle name="Input [yellow] 2 5 10 15 3" xfId="31367"/>
    <cellStyle name="Input [yellow] 2 5 10 15 4" xfId="42532"/>
    <cellStyle name="Input [yellow] 2 5 10 15 5" xfId="53725"/>
    <cellStyle name="Input [yellow] 2 5 10 16" xfId="9425"/>
    <cellStyle name="Input [yellow] 2 5 10 16 2" xfId="20622"/>
    <cellStyle name="Input [yellow] 2 5 10 16 3" xfId="31790"/>
    <cellStyle name="Input [yellow] 2 5 10 16 4" xfId="42955"/>
    <cellStyle name="Input [yellow] 2 5 10 16 5" xfId="54148"/>
    <cellStyle name="Input [yellow] 2 5 10 17" xfId="10050"/>
    <cellStyle name="Input [yellow] 2 5 10 17 2" xfId="21247"/>
    <cellStyle name="Input [yellow] 2 5 10 17 3" xfId="32415"/>
    <cellStyle name="Input [yellow] 2 5 10 17 4" xfId="43580"/>
    <cellStyle name="Input [yellow] 2 5 10 17 5" xfId="54773"/>
    <cellStyle name="Input [yellow] 2 5 10 18" xfId="10225"/>
    <cellStyle name="Input [yellow] 2 5 10 18 2" xfId="21422"/>
    <cellStyle name="Input [yellow] 2 5 10 18 3" xfId="32590"/>
    <cellStyle name="Input [yellow] 2 5 10 18 4" xfId="43755"/>
    <cellStyle name="Input [yellow] 2 5 10 18 5" xfId="54948"/>
    <cellStyle name="Input [yellow] 2 5 10 19" xfId="11090"/>
    <cellStyle name="Input [yellow] 2 5 10 19 2" xfId="22287"/>
    <cellStyle name="Input [yellow] 2 5 10 19 3" xfId="33455"/>
    <cellStyle name="Input [yellow] 2 5 10 19 4" xfId="44620"/>
    <cellStyle name="Input [yellow] 2 5 10 19 5" xfId="55813"/>
    <cellStyle name="Input [yellow] 2 5 10 2" xfId="1186"/>
    <cellStyle name="Input [yellow] 2 5 10 2 2" xfId="12383"/>
    <cellStyle name="Input [yellow] 2 5 10 2 3" xfId="23551"/>
    <cellStyle name="Input [yellow] 2 5 10 2 4" xfId="34716"/>
    <cellStyle name="Input [yellow] 2 5 10 2 5" xfId="45909"/>
    <cellStyle name="Input [yellow] 2 5 10 20" xfId="11737"/>
    <cellStyle name="Input [yellow] 2 5 10 21" xfId="22907"/>
    <cellStyle name="Input [yellow] 2 5 10 22" xfId="34074"/>
    <cellStyle name="Input [yellow] 2 5 10 23" xfId="45260"/>
    <cellStyle name="Input [yellow] 2 5 10 3" xfId="1495"/>
    <cellStyle name="Input [yellow] 2 5 10 3 2" xfId="12692"/>
    <cellStyle name="Input [yellow] 2 5 10 3 3" xfId="23860"/>
    <cellStyle name="Input [yellow] 2 5 10 3 4" xfId="35025"/>
    <cellStyle name="Input [yellow] 2 5 10 3 5" xfId="46218"/>
    <cellStyle name="Input [yellow] 2 5 10 4" xfId="2462"/>
    <cellStyle name="Input [yellow] 2 5 10 4 2" xfId="13659"/>
    <cellStyle name="Input [yellow] 2 5 10 4 3" xfId="24827"/>
    <cellStyle name="Input [yellow] 2 5 10 4 4" xfId="35992"/>
    <cellStyle name="Input [yellow] 2 5 10 4 5" xfId="47185"/>
    <cellStyle name="Input [yellow] 2 5 10 5" xfId="2887"/>
    <cellStyle name="Input [yellow] 2 5 10 5 2" xfId="14084"/>
    <cellStyle name="Input [yellow] 2 5 10 5 3" xfId="25252"/>
    <cellStyle name="Input [yellow] 2 5 10 5 4" xfId="36417"/>
    <cellStyle name="Input [yellow] 2 5 10 5 5" xfId="47610"/>
    <cellStyle name="Input [yellow] 2 5 10 6" xfId="3521"/>
    <cellStyle name="Input [yellow] 2 5 10 6 2" xfId="14718"/>
    <cellStyle name="Input [yellow] 2 5 10 6 3" xfId="25886"/>
    <cellStyle name="Input [yellow] 2 5 10 6 4" xfId="37051"/>
    <cellStyle name="Input [yellow] 2 5 10 6 5" xfId="48244"/>
    <cellStyle name="Input [yellow] 2 5 10 7" xfId="4155"/>
    <cellStyle name="Input [yellow] 2 5 10 7 2" xfId="15352"/>
    <cellStyle name="Input [yellow] 2 5 10 7 3" xfId="26520"/>
    <cellStyle name="Input [yellow] 2 5 10 7 4" xfId="37685"/>
    <cellStyle name="Input [yellow] 2 5 10 7 5" xfId="48878"/>
    <cellStyle name="Input [yellow] 2 5 10 8" xfId="4788"/>
    <cellStyle name="Input [yellow] 2 5 10 8 2" xfId="15985"/>
    <cellStyle name="Input [yellow] 2 5 10 8 3" xfId="27153"/>
    <cellStyle name="Input [yellow] 2 5 10 8 4" xfId="38318"/>
    <cellStyle name="Input [yellow] 2 5 10 8 5" xfId="49511"/>
    <cellStyle name="Input [yellow] 2 5 10 9" xfId="5419"/>
    <cellStyle name="Input [yellow] 2 5 10 9 2" xfId="16616"/>
    <cellStyle name="Input [yellow] 2 5 10 9 3" xfId="27784"/>
    <cellStyle name="Input [yellow] 2 5 10 9 4" xfId="38949"/>
    <cellStyle name="Input [yellow] 2 5 10 9 5" xfId="50142"/>
    <cellStyle name="Input [yellow] 2 5 11" xfId="545"/>
    <cellStyle name="Input [yellow] 2 5 11 10" xfId="5785"/>
    <cellStyle name="Input [yellow] 2 5 11 10 2" xfId="16982"/>
    <cellStyle name="Input [yellow] 2 5 11 10 3" xfId="28150"/>
    <cellStyle name="Input [yellow] 2 5 11 10 4" xfId="39315"/>
    <cellStyle name="Input [yellow] 2 5 11 10 5" xfId="50508"/>
    <cellStyle name="Input [yellow] 2 5 11 11" xfId="6481"/>
    <cellStyle name="Input [yellow] 2 5 11 11 2" xfId="17678"/>
    <cellStyle name="Input [yellow] 2 5 11 11 3" xfId="28846"/>
    <cellStyle name="Input [yellow] 2 5 11 11 4" xfId="40011"/>
    <cellStyle name="Input [yellow] 2 5 11 11 5" xfId="51204"/>
    <cellStyle name="Input [yellow] 2 5 11 12" xfId="7114"/>
    <cellStyle name="Input [yellow] 2 5 11 12 2" xfId="18311"/>
    <cellStyle name="Input [yellow] 2 5 11 12 3" xfId="29479"/>
    <cellStyle name="Input [yellow] 2 5 11 12 4" xfId="40644"/>
    <cellStyle name="Input [yellow] 2 5 11 12 5" xfId="51837"/>
    <cellStyle name="Input [yellow] 2 5 11 13" xfId="7748"/>
    <cellStyle name="Input [yellow] 2 5 11 13 2" xfId="18945"/>
    <cellStyle name="Input [yellow] 2 5 11 13 3" xfId="30113"/>
    <cellStyle name="Input [yellow] 2 5 11 13 4" xfId="41278"/>
    <cellStyle name="Input [yellow] 2 5 11 13 5" xfId="52471"/>
    <cellStyle name="Input [yellow] 2 5 11 14" xfId="8382"/>
    <cellStyle name="Input [yellow] 2 5 11 14 2" xfId="19579"/>
    <cellStyle name="Input [yellow] 2 5 11 14 3" xfId="30747"/>
    <cellStyle name="Input [yellow] 2 5 11 14 4" xfId="41912"/>
    <cellStyle name="Input [yellow] 2 5 11 14 5" xfId="53105"/>
    <cellStyle name="Input [yellow] 2 5 11 15" xfId="9010"/>
    <cellStyle name="Input [yellow] 2 5 11 15 2" xfId="20207"/>
    <cellStyle name="Input [yellow] 2 5 11 15 3" xfId="31375"/>
    <cellStyle name="Input [yellow] 2 5 11 15 4" xfId="42540"/>
    <cellStyle name="Input [yellow] 2 5 11 15 5" xfId="53733"/>
    <cellStyle name="Input [yellow] 2 5 11 16" xfId="9433"/>
    <cellStyle name="Input [yellow] 2 5 11 16 2" xfId="20630"/>
    <cellStyle name="Input [yellow] 2 5 11 16 3" xfId="31798"/>
    <cellStyle name="Input [yellow] 2 5 11 16 4" xfId="42963"/>
    <cellStyle name="Input [yellow] 2 5 11 16 5" xfId="54156"/>
    <cellStyle name="Input [yellow] 2 5 11 17" xfId="10058"/>
    <cellStyle name="Input [yellow] 2 5 11 17 2" xfId="21255"/>
    <cellStyle name="Input [yellow] 2 5 11 17 3" xfId="32423"/>
    <cellStyle name="Input [yellow] 2 5 11 17 4" xfId="43588"/>
    <cellStyle name="Input [yellow] 2 5 11 17 5" xfId="54781"/>
    <cellStyle name="Input [yellow] 2 5 11 18" xfId="10243"/>
    <cellStyle name="Input [yellow] 2 5 11 18 2" xfId="21440"/>
    <cellStyle name="Input [yellow] 2 5 11 18 3" xfId="32608"/>
    <cellStyle name="Input [yellow] 2 5 11 18 4" xfId="43773"/>
    <cellStyle name="Input [yellow] 2 5 11 18 5" xfId="54966"/>
    <cellStyle name="Input [yellow] 2 5 11 19" xfId="11098"/>
    <cellStyle name="Input [yellow] 2 5 11 19 2" xfId="22295"/>
    <cellStyle name="Input [yellow] 2 5 11 19 3" xfId="33463"/>
    <cellStyle name="Input [yellow] 2 5 11 19 4" xfId="44628"/>
    <cellStyle name="Input [yellow] 2 5 11 19 5" xfId="55821"/>
    <cellStyle name="Input [yellow] 2 5 11 2" xfId="1194"/>
    <cellStyle name="Input [yellow] 2 5 11 2 2" xfId="12391"/>
    <cellStyle name="Input [yellow] 2 5 11 2 3" xfId="23559"/>
    <cellStyle name="Input [yellow] 2 5 11 2 4" xfId="34724"/>
    <cellStyle name="Input [yellow] 2 5 11 2 5" xfId="45917"/>
    <cellStyle name="Input [yellow] 2 5 11 20" xfId="11745"/>
    <cellStyle name="Input [yellow] 2 5 11 21" xfId="22915"/>
    <cellStyle name="Input [yellow] 2 5 11 22" xfId="34082"/>
    <cellStyle name="Input [yellow] 2 5 11 23" xfId="45268"/>
    <cellStyle name="Input [yellow] 2 5 11 3" xfId="1664"/>
    <cellStyle name="Input [yellow] 2 5 11 3 2" xfId="12861"/>
    <cellStyle name="Input [yellow] 2 5 11 3 3" xfId="24029"/>
    <cellStyle name="Input [yellow] 2 5 11 3 4" xfId="35194"/>
    <cellStyle name="Input [yellow] 2 5 11 3 5" xfId="46387"/>
    <cellStyle name="Input [yellow] 2 5 11 4" xfId="2470"/>
    <cellStyle name="Input [yellow] 2 5 11 4 2" xfId="13667"/>
    <cellStyle name="Input [yellow] 2 5 11 4 3" xfId="24835"/>
    <cellStyle name="Input [yellow] 2 5 11 4 4" xfId="36000"/>
    <cellStyle name="Input [yellow] 2 5 11 4 5" xfId="47193"/>
    <cellStyle name="Input [yellow] 2 5 11 5" xfId="2895"/>
    <cellStyle name="Input [yellow] 2 5 11 5 2" xfId="14092"/>
    <cellStyle name="Input [yellow] 2 5 11 5 3" xfId="25260"/>
    <cellStyle name="Input [yellow] 2 5 11 5 4" xfId="36425"/>
    <cellStyle name="Input [yellow] 2 5 11 5 5" xfId="47618"/>
    <cellStyle name="Input [yellow] 2 5 11 6" xfId="3529"/>
    <cellStyle name="Input [yellow] 2 5 11 6 2" xfId="14726"/>
    <cellStyle name="Input [yellow] 2 5 11 6 3" xfId="25894"/>
    <cellStyle name="Input [yellow] 2 5 11 6 4" xfId="37059"/>
    <cellStyle name="Input [yellow] 2 5 11 6 5" xfId="48252"/>
    <cellStyle name="Input [yellow] 2 5 11 7" xfId="4163"/>
    <cellStyle name="Input [yellow] 2 5 11 7 2" xfId="15360"/>
    <cellStyle name="Input [yellow] 2 5 11 7 3" xfId="26528"/>
    <cellStyle name="Input [yellow] 2 5 11 7 4" xfId="37693"/>
    <cellStyle name="Input [yellow] 2 5 11 7 5" xfId="48886"/>
    <cellStyle name="Input [yellow] 2 5 11 8" xfId="4796"/>
    <cellStyle name="Input [yellow] 2 5 11 8 2" xfId="15993"/>
    <cellStyle name="Input [yellow] 2 5 11 8 3" xfId="27161"/>
    <cellStyle name="Input [yellow] 2 5 11 8 4" xfId="38326"/>
    <cellStyle name="Input [yellow] 2 5 11 8 5" xfId="49519"/>
    <cellStyle name="Input [yellow] 2 5 11 9" xfId="5427"/>
    <cellStyle name="Input [yellow] 2 5 11 9 2" xfId="16624"/>
    <cellStyle name="Input [yellow] 2 5 11 9 3" xfId="27792"/>
    <cellStyle name="Input [yellow] 2 5 11 9 4" xfId="38957"/>
    <cellStyle name="Input [yellow] 2 5 11 9 5" xfId="50150"/>
    <cellStyle name="Input [yellow] 2 5 12" xfId="730"/>
    <cellStyle name="Input [yellow] 2 5 12 2" xfId="11928"/>
    <cellStyle name="Input [yellow] 2 5 12 3" xfId="23097"/>
    <cellStyle name="Input [yellow] 2 5 12 4" xfId="34262"/>
    <cellStyle name="Input [yellow] 2 5 12 5" xfId="45453"/>
    <cellStyle name="Input [yellow] 2 5 13" xfId="1443"/>
    <cellStyle name="Input [yellow] 2 5 13 2" xfId="12640"/>
    <cellStyle name="Input [yellow] 2 5 13 3" xfId="23808"/>
    <cellStyle name="Input [yellow] 2 5 13 4" xfId="34973"/>
    <cellStyle name="Input [yellow] 2 5 13 5" xfId="46166"/>
    <cellStyle name="Input [yellow] 2 5 14" xfId="2007"/>
    <cellStyle name="Input [yellow] 2 5 14 2" xfId="13204"/>
    <cellStyle name="Input [yellow] 2 5 14 3" xfId="24372"/>
    <cellStyle name="Input [yellow] 2 5 14 4" xfId="35537"/>
    <cellStyle name="Input [yellow] 2 5 14 5" xfId="46730"/>
    <cellStyle name="Input [yellow] 2 5 15" xfId="2599"/>
    <cellStyle name="Input [yellow] 2 5 15 2" xfId="13796"/>
    <cellStyle name="Input [yellow] 2 5 15 3" xfId="24964"/>
    <cellStyle name="Input [yellow] 2 5 15 4" xfId="36129"/>
    <cellStyle name="Input [yellow] 2 5 15 5" xfId="47322"/>
    <cellStyle name="Input [yellow] 2 5 16" xfId="3065"/>
    <cellStyle name="Input [yellow] 2 5 16 2" xfId="14262"/>
    <cellStyle name="Input [yellow] 2 5 16 3" xfId="25430"/>
    <cellStyle name="Input [yellow] 2 5 16 4" xfId="36595"/>
    <cellStyle name="Input [yellow] 2 5 16 5" xfId="47788"/>
    <cellStyle name="Input [yellow] 2 5 17" xfId="3700"/>
    <cellStyle name="Input [yellow] 2 5 17 2" xfId="14897"/>
    <cellStyle name="Input [yellow] 2 5 17 3" xfId="26065"/>
    <cellStyle name="Input [yellow] 2 5 17 4" xfId="37230"/>
    <cellStyle name="Input [yellow] 2 5 17 5" xfId="48423"/>
    <cellStyle name="Input [yellow] 2 5 18" xfId="4332"/>
    <cellStyle name="Input [yellow] 2 5 18 2" xfId="15529"/>
    <cellStyle name="Input [yellow] 2 5 18 3" xfId="26697"/>
    <cellStyle name="Input [yellow] 2 5 18 4" xfId="37862"/>
    <cellStyle name="Input [yellow] 2 5 18 5" xfId="49055"/>
    <cellStyle name="Input [yellow] 2 5 19" xfId="4965"/>
    <cellStyle name="Input [yellow] 2 5 19 2" xfId="16162"/>
    <cellStyle name="Input [yellow] 2 5 19 3" xfId="27330"/>
    <cellStyle name="Input [yellow] 2 5 19 4" xfId="38495"/>
    <cellStyle name="Input [yellow] 2 5 19 5" xfId="49688"/>
    <cellStyle name="Input [yellow] 2 5 2" xfId="146"/>
    <cellStyle name="Input [yellow] 2 5 2 10" xfId="6053"/>
    <cellStyle name="Input [yellow] 2 5 2 10 2" xfId="17250"/>
    <cellStyle name="Input [yellow] 2 5 2 10 3" xfId="28418"/>
    <cellStyle name="Input [yellow] 2 5 2 10 4" xfId="39583"/>
    <cellStyle name="Input [yellow] 2 5 2 10 5" xfId="50776"/>
    <cellStyle name="Input [yellow] 2 5 2 11" xfId="5768"/>
    <cellStyle name="Input [yellow] 2 5 2 11 2" xfId="16965"/>
    <cellStyle name="Input [yellow] 2 5 2 11 3" xfId="28133"/>
    <cellStyle name="Input [yellow] 2 5 2 11 4" xfId="39298"/>
    <cellStyle name="Input [yellow] 2 5 2 11 5" xfId="50491"/>
    <cellStyle name="Input [yellow] 2 5 2 12" xfId="6715"/>
    <cellStyle name="Input [yellow] 2 5 2 12 2" xfId="17912"/>
    <cellStyle name="Input [yellow] 2 5 2 12 3" xfId="29080"/>
    <cellStyle name="Input [yellow] 2 5 2 12 4" xfId="40245"/>
    <cellStyle name="Input [yellow] 2 5 2 12 5" xfId="51438"/>
    <cellStyle name="Input [yellow] 2 5 2 13" xfId="7349"/>
    <cellStyle name="Input [yellow] 2 5 2 13 2" xfId="18546"/>
    <cellStyle name="Input [yellow] 2 5 2 13 3" xfId="29714"/>
    <cellStyle name="Input [yellow] 2 5 2 13 4" xfId="40879"/>
    <cellStyle name="Input [yellow] 2 5 2 13 5" xfId="52072"/>
    <cellStyle name="Input [yellow] 2 5 2 14" xfId="7983"/>
    <cellStyle name="Input [yellow] 2 5 2 14 2" xfId="19180"/>
    <cellStyle name="Input [yellow] 2 5 2 14 3" xfId="30348"/>
    <cellStyle name="Input [yellow] 2 5 2 14 4" xfId="41513"/>
    <cellStyle name="Input [yellow] 2 5 2 14 5" xfId="52706"/>
    <cellStyle name="Input [yellow] 2 5 2 15" xfId="8614"/>
    <cellStyle name="Input [yellow] 2 5 2 15 2" xfId="19811"/>
    <cellStyle name="Input [yellow] 2 5 2 15 3" xfId="30979"/>
    <cellStyle name="Input [yellow] 2 5 2 15 4" xfId="42144"/>
    <cellStyle name="Input [yellow] 2 5 2 15 5" xfId="53337"/>
    <cellStyle name="Input [yellow] 2 5 2 16" xfId="8824"/>
    <cellStyle name="Input [yellow] 2 5 2 16 2" xfId="20021"/>
    <cellStyle name="Input [yellow] 2 5 2 16 3" xfId="31189"/>
    <cellStyle name="Input [yellow] 2 5 2 16 4" xfId="42354"/>
    <cellStyle name="Input [yellow] 2 5 2 16 5" xfId="53547"/>
    <cellStyle name="Input [yellow] 2 5 2 17" xfId="9667"/>
    <cellStyle name="Input [yellow] 2 5 2 17 2" xfId="20864"/>
    <cellStyle name="Input [yellow] 2 5 2 17 3" xfId="32032"/>
    <cellStyle name="Input [yellow] 2 5 2 17 4" xfId="43197"/>
    <cellStyle name="Input [yellow] 2 5 2 17 5" xfId="54390"/>
    <cellStyle name="Input [yellow] 2 5 2 18" xfId="9721"/>
    <cellStyle name="Input [yellow] 2 5 2 18 2" xfId="20918"/>
    <cellStyle name="Input [yellow] 2 5 2 18 3" xfId="32086"/>
    <cellStyle name="Input [yellow] 2 5 2 18 4" xfId="43251"/>
    <cellStyle name="Input [yellow] 2 5 2 18 5" xfId="54444"/>
    <cellStyle name="Input [yellow] 2 5 2 19" xfId="10699"/>
    <cellStyle name="Input [yellow] 2 5 2 19 2" xfId="21896"/>
    <cellStyle name="Input [yellow] 2 5 2 19 3" xfId="33064"/>
    <cellStyle name="Input [yellow] 2 5 2 19 4" xfId="44229"/>
    <cellStyle name="Input [yellow] 2 5 2 19 5" xfId="55422"/>
    <cellStyle name="Input [yellow] 2 5 2 2" xfId="795"/>
    <cellStyle name="Input [yellow] 2 5 2 2 2" xfId="11992"/>
    <cellStyle name="Input [yellow] 2 5 2 2 3" xfId="23160"/>
    <cellStyle name="Input [yellow] 2 5 2 2 4" xfId="34325"/>
    <cellStyle name="Input [yellow] 2 5 2 2 5" xfId="45518"/>
    <cellStyle name="Input [yellow] 2 5 2 20" xfId="11346"/>
    <cellStyle name="Input [yellow] 2 5 2 21" xfId="22516"/>
    <cellStyle name="Input [yellow] 2 5 2 22" xfId="33683"/>
    <cellStyle name="Input [yellow] 2 5 2 23" xfId="44869"/>
    <cellStyle name="Input [yellow] 2 5 2 3" xfId="1933"/>
    <cellStyle name="Input [yellow] 2 5 2 3 2" xfId="13130"/>
    <cellStyle name="Input [yellow] 2 5 2 3 3" xfId="24298"/>
    <cellStyle name="Input [yellow] 2 5 2 3 4" xfId="35463"/>
    <cellStyle name="Input [yellow] 2 5 2 3 5" xfId="46656"/>
    <cellStyle name="Input [yellow] 2 5 2 4" xfId="2072"/>
    <cellStyle name="Input [yellow] 2 5 2 4 2" xfId="13269"/>
    <cellStyle name="Input [yellow] 2 5 2 4 3" xfId="24437"/>
    <cellStyle name="Input [yellow] 2 5 2 4 4" xfId="35602"/>
    <cellStyle name="Input [yellow] 2 5 2 4 5" xfId="46795"/>
    <cellStyle name="Input [yellow] 2 5 2 5" xfId="2067"/>
    <cellStyle name="Input [yellow] 2 5 2 5 2" xfId="13264"/>
    <cellStyle name="Input [yellow] 2 5 2 5 3" xfId="24432"/>
    <cellStyle name="Input [yellow] 2 5 2 5 4" xfId="35597"/>
    <cellStyle name="Input [yellow] 2 5 2 5 5" xfId="46790"/>
    <cellStyle name="Input [yellow] 2 5 2 6" xfId="3130"/>
    <cellStyle name="Input [yellow] 2 5 2 6 2" xfId="14327"/>
    <cellStyle name="Input [yellow] 2 5 2 6 3" xfId="25495"/>
    <cellStyle name="Input [yellow] 2 5 2 6 4" xfId="36660"/>
    <cellStyle name="Input [yellow] 2 5 2 6 5" xfId="47853"/>
    <cellStyle name="Input [yellow] 2 5 2 7" xfId="3764"/>
    <cellStyle name="Input [yellow] 2 5 2 7 2" xfId="14961"/>
    <cellStyle name="Input [yellow] 2 5 2 7 3" xfId="26129"/>
    <cellStyle name="Input [yellow] 2 5 2 7 4" xfId="37294"/>
    <cellStyle name="Input [yellow] 2 5 2 7 5" xfId="48487"/>
    <cellStyle name="Input [yellow] 2 5 2 8" xfId="4397"/>
    <cellStyle name="Input [yellow] 2 5 2 8 2" xfId="15594"/>
    <cellStyle name="Input [yellow] 2 5 2 8 3" xfId="26762"/>
    <cellStyle name="Input [yellow] 2 5 2 8 4" xfId="37927"/>
    <cellStyle name="Input [yellow] 2 5 2 8 5" xfId="49120"/>
    <cellStyle name="Input [yellow] 2 5 2 9" xfId="5028"/>
    <cellStyle name="Input [yellow] 2 5 2 9 2" xfId="16225"/>
    <cellStyle name="Input [yellow] 2 5 2 9 3" xfId="27393"/>
    <cellStyle name="Input [yellow] 2 5 2 9 4" xfId="38558"/>
    <cellStyle name="Input [yellow] 2 5 2 9 5" xfId="49751"/>
    <cellStyle name="Input [yellow] 2 5 20" xfId="5784"/>
    <cellStyle name="Input [yellow] 2 5 20 2" xfId="16981"/>
    <cellStyle name="Input [yellow] 2 5 20 3" xfId="28149"/>
    <cellStyle name="Input [yellow] 2 5 20 4" xfId="39314"/>
    <cellStyle name="Input [yellow] 2 5 20 5" xfId="50507"/>
    <cellStyle name="Input [yellow] 2 5 21" xfId="5783"/>
    <cellStyle name="Input [yellow] 2 5 21 2" xfId="16980"/>
    <cellStyle name="Input [yellow] 2 5 21 3" xfId="28148"/>
    <cellStyle name="Input [yellow] 2 5 21 4" xfId="39313"/>
    <cellStyle name="Input [yellow] 2 5 21 5" xfId="50506"/>
    <cellStyle name="Input [yellow] 2 5 22" xfId="6652"/>
    <cellStyle name="Input [yellow] 2 5 22 2" xfId="17849"/>
    <cellStyle name="Input [yellow] 2 5 22 3" xfId="29017"/>
    <cellStyle name="Input [yellow] 2 5 22 4" xfId="40182"/>
    <cellStyle name="Input [yellow] 2 5 22 5" xfId="51375"/>
    <cellStyle name="Input [yellow] 2 5 23" xfId="7284"/>
    <cellStyle name="Input [yellow] 2 5 23 2" xfId="18481"/>
    <cellStyle name="Input [yellow] 2 5 23 3" xfId="29649"/>
    <cellStyle name="Input [yellow] 2 5 23 4" xfId="40814"/>
    <cellStyle name="Input [yellow] 2 5 23 5" xfId="52007"/>
    <cellStyle name="Input [yellow] 2 5 24" xfId="7918"/>
    <cellStyle name="Input [yellow] 2 5 24 2" xfId="19115"/>
    <cellStyle name="Input [yellow] 2 5 24 3" xfId="30283"/>
    <cellStyle name="Input [yellow] 2 5 24 4" xfId="41448"/>
    <cellStyle name="Input [yellow] 2 5 24 5" xfId="52641"/>
    <cellStyle name="Input [yellow] 2 5 25" xfId="8551"/>
    <cellStyle name="Input [yellow] 2 5 25 2" xfId="19748"/>
    <cellStyle name="Input [yellow] 2 5 25 3" xfId="30916"/>
    <cellStyle name="Input [yellow] 2 5 25 4" xfId="42081"/>
    <cellStyle name="Input [yellow] 2 5 25 5" xfId="53274"/>
    <cellStyle name="Input [yellow] 2 5 26" xfId="8754"/>
    <cellStyle name="Input [yellow] 2 5 26 2" xfId="19951"/>
    <cellStyle name="Input [yellow] 2 5 26 3" xfId="31119"/>
    <cellStyle name="Input [yellow] 2 5 26 4" xfId="42284"/>
    <cellStyle name="Input [yellow] 2 5 26 5" xfId="53477"/>
    <cellStyle name="Input [yellow] 2 5 27" xfId="9603"/>
    <cellStyle name="Input [yellow] 2 5 27 2" xfId="20800"/>
    <cellStyle name="Input [yellow] 2 5 27 3" xfId="31968"/>
    <cellStyle name="Input [yellow] 2 5 27 4" xfId="43133"/>
    <cellStyle name="Input [yellow] 2 5 27 5" xfId="54326"/>
    <cellStyle name="Input [yellow] 2 5 28" xfId="10096"/>
    <cellStyle name="Input [yellow] 2 5 28 2" xfId="21293"/>
    <cellStyle name="Input [yellow] 2 5 28 3" xfId="32461"/>
    <cellStyle name="Input [yellow] 2 5 28 4" xfId="43626"/>
    <cellStyle name="Input [yellow] 2 5 28 5" xfId="54819"/>
    <cellStyle name="Input [yellow] 2 5 29" xfId="10636"/>
    <cellStyle name="Input [yellow] 2 5 29 2" xfId="21833"/>
    <cellStyle name="Input [yellow] 2 5 29 3" xfId="33001"/>
    <cellStyle name="Input [yellow] 2 5 29 4" xfId="44166"/>
    <cellStyle name="Input [yellow] 2 5 29 5" xfId="55359"/>
    <cellStyle name="Input [yellow] 2 5 3" xfId="202"/>
    <cellStyle name="Input [yellow] 2 5 3 10" xfId="5872"/>
    <cellStyle name="Input [yellow] 2 5 3 10 2" xfId="17069"/>
    <cellStyle name="Input [yellow] 2 5 3 10 3" xfId="28237"/>
    <cellStyle name="Input [yellow] 2 5 3 10 4" xfId="39402"/>
    <cellStyle name="Input [yellow] 2 5 3 10 5" xfId="50595"/>
    <cellStyle name="Input [yellow] 2 5 3 11" xfId="5813"/>
    <cellStyle name="Input [yellow] 2 5 3 11 2" xfId="17010"/>
    <cellStyle name="Input [yellow] 2 5 3 11 3" xfId="28178"/>
    <cellStyle name="Input [yellow] 2 5 3 11 4" xfId="39343"/>
    <cellStyle name="Input [yellow] 2 5 3 11 5" xfId="50536"/>
    <cellStyle name="Input [yellow] 2 5 3 12" xfId="6771"/>
    <cellStyle name="Input [yellow] 2 5 3 12 2" xfId="17968"/>
    <cellStyle name="Input [yellow] 2 5 3 12 3" xfId="29136"/>
    <cellStyle name="Input [yellow] 2 5 3 12 4" xfId="40301"/>
    <cellStyle name="Input [yellow] 2 5 3 12 5" xfId="51494"/>
    <cellStyle name="Input [yellow] 2 5 3 13" xfId="7405"/>
    <cellStyle name="Input [yellow] 2 5 3 13 2" xfId="18602"/>
    <cellStyle name="Input [yellow] 2 5 3 13 3" xfId="29770"/>
    <cellStyle name="Input [yellow] 2 5 3 13 4" xfId="40935"/>
    <cellStyle name="Input [yellow] 2 5 3 13 5" xfId="52128"/>
    <cellStyle name="Input [yellow] 2 5 3 14" xfId="8039"/>
    <cellStyle name="Input [yellow] 2 5 3 14 2" xfId="19236"/>
    <cellStyle name="Input [yellow] 2 5 3 14 3" xfId="30404"/>
    <cellStyle name="Input [yellow] 2 5 3 14 4" xfId="41569"/>
    <cellStyle name="Input [yellow] 2 5 3 14 5" xfId="52762"/>
    <cellStyle name="Input [yellow] 2 5 3 15" xfId="8670"/>
    <cellStyle name="Input [yellow] 2 5 3 15 2" xfId="19867"/>
    <cellStyle name="Input [yellow] 2 5 3 15 3" xfId="31035"/>
    <cellStyle name="Input [yellow] 2 5 3 15 4" xfId="42200"/>
    <cellStyle name="Input [yellow] 2 5 3 15 5" xfId="53393"/>
    <cellStyle name="Input [yellow] 2 5 3 16" xfId="8787"/>
    <cellStyle name="Input [yellow] 2 5 3 16 2" xfId="19984"/>
    <cellStyle name="Input [yellow] 2 5 3 16 3" xfId="31152"/>
    <cellStyle name="Input [yellow] 2 5 3 16 4" xfId="42317"/>
    <cellStyle name="Input [yellow] 2 5 3 16 5" xfId="53510"/>
    <cellStyle name="Input [yellow] 2 5 3 17" xfId="9722"/>
    <cellStyle name="Input [yellow] 2 5 3 17 2" xfId="20919"/>
    <cellStyle name="Input [yellow] 2 5 3 17 3" xfId="32087"/>
    <cellStyle name="Input [yellow] 2 5 3 17 4" xfId="43252"/>
    <cellStyle name="Input [yellow] 2 5 3 17 5" xfId="54445"/>
    <cellStyle name="Input [yellow] 2 5 3 18" xfId="9651"/>
    <cellStyle name="Input [yellow] 2 5 3 18 2" xfId="20848"/>
    <cellStyle name="Input [yellow] 2 5 3 18 3" xfId="32016"/>
    <cellStyle name="Input [yellow] 2 5 3 18 4" xfId="43181"/>
    <cellStyle name="Input [yellow] 2 5 3 18 5" xfId="54374"/>
    <cellStyle name="Input [yellow] 2 5 3 19" xfId="10755"/>
    <cellStyle name="Input [yellow] 2 5 3 19 2" xfId="21952"/>
    <cellStyle name="Input [yellow] 2 5 3 19 3" xfId="33120"/>
    <cellStyle name="Input [yellow] 2 5 3 19 4" xfId="44285"/>
    <cellStyle name="Input [yellow] 2 5 3 19 5" xfId="55478"/>
    <cellStyle name="Input [yellow] 2 5 3 2" xfId="851"/>
    <cellStyle name="Input [yellow] 2 5 3 2 2" xfId="12048"/>
    <cellStyle name="Input [yellow] 2 5 3 2 3" xfId="23216"/>
    <cellStyle name="Input [yellow] 2 5 3 2 4" xfId="34381"/>
    <cellStyle name="Input [yellow] 2 5 3 2 5" xfId="45574"/>
    <cellStyle name="Input [yellow] 2 5 3 20" xfId="11402"/>
    <cellStyle name="Input [yellow] 2 5 3 21" xfId="22572"/>
    <cellStyle name="Input [yellow] 2 5 3 22" xfId="33739"/>
    <cellStyle name="Input [yellow] 2 5 3 23" xfId="44925"/>
    <cellStyle name="Input [yellow] 2 5 3 3" xfId="1936"/>
    <cellStyle name="Input [yellow] 2 5 3 3 2" xfId="13133"/>
    <cellStyle name="Input [yellow] 2 5 3 3 3" xfId="24301"/>
    <cellStyle name="Input [yellow] 2 5 3 3 4" xfId="35466"/>
    <cellStyle name="Input [yellow] 2 5 3 3 5" xfId="46659"/>
    <cellStyle name="Input [yellow] 2 5 3 4" xfId="2128"/>
    <cellStyle name="Input [yellow] 2 5 3 4 2" xfId="13325"/>
    <cellStyle name="Input [yellow] 2 5 3 4 3" xfId="24493"/>
    <cellStyle name="Input [yellow] 2 5 3 4 4" xfId="35658"/>
    <cellStyle name="Input [yellow] 2 5 3 4 5" xfId="46851"/>
    <cellStyle name="Input [yellow] 2 5 3 5" xfId="2108"/>
    <cellStyle name="Input [yellow] 2 5 3 5 2" xfId="13305"/>
    <cellStyle name="Input [yellow] 2 5 3 5 3" xfId="24473"/>
    <cellStyle name="Input [yellow] 2 5 3 5 4" xfId="35638"/>
    <cellStyle name="Input [yellow] 2 5 3 5 5" xfId="46831"/>
    <cellStyle name="Input [yellow] 2 5 3 6" xfId="3186"/>
    <cellStyle name="Input [yellow] 2 5 3 6 2" xfId="14383"/>
    <cellStyle name="Input [yellow] 2 5 3 6 3" xfId="25551"/>
    <cellStyle name="Input [yellow] 2 5 3 6 4" xfId="36716"/>
    <cellStyle name="Input [yellow] 2 5 3 6 5" xfId="47909"/>
    <cellStyle name="Input [yellow] 2 5 3 7" xfId="3820"/>
    <cellStyle name="Input [yellow] 2 5 3 7 2" xfId="15017"/>
    <cellStyle name="Input [yellow] 2 5 3 7 3" xfId="26185"/>
    <cellStyle name="Input [yellow] 2 5 3 7 4" xfId="37350"/>
    <cellStyle name="Input [yellow] 2 5 3 7 5" xfId="48543"/>
    <cellStyle name="Input [yellow] 2 5 3 8" xfId="4453"/>
    <cellStyle name="Input [yellow] 2 5 3 8 2" xfId="15650"/>
    <cellStyle name="Input [yellow] 2 5 3 8 3" xfId="26818"/>
    <cellStyle name="Input [yellow] 2 5 3 8 4" xfId="37983"/>
    <cellStyle name="Input [yellow] 2 5 3 8 5" xfId="49176"/>
    <cellStyle name="Input [yellow] 2 5 3 9" xfId="5084"/>
    <cellStyle name="Input [yellow] 2 5 3 9 2" xfId="16281"/>
    <cellStyle name="Input [yellow] 2 5 3 9 3" xfId="27449"/>
    <cellStyle name="Input [yellow] 2 5 3 9 4" xfId="38614"/>
    <cellStyle name="Input [yellow] 2 5 3 9 5" xfId="49807"/>
    <cellStyle name="Input [yellow] 2 5 30" xfId="11282"/>
    <cellStyle name="Input [yellow] 2 5 31" xfId="22453"/>
    <cellStyle name="Input [yellow] 2 5 32" xfId="33620"/>
    <cellStyle name="Input [yellow] 2 5 33" xfId="44804"/>
    <cellStyle name="Input [yellow] 2 5 4" xfId="296"/>
    <cellStyle name="Input [yellow] 2 5 4 10" xfId="5789"/>
    <cellStyle name="Input [yellow] 2 5 4 10 2" xfId="16986"/>
    <cellStyle name="Input [yellow] 2 5 4 10 3" xfId="28154"/>
    <cellStyle name="Input [yellow] 2 5 4 10 4" xfId="39319"/>
    <cellStyle name="Input [yellow] 2 5 4 10 5" xfId="50512"/>
    <cellStyle name="Input [yellow] 2 5 4 11" xfId="6232"/>
    <cellStyle name="Input [yellow] 2 5 4 11 2" xfId="17429"/>
    <cellStyle name="Input [yellow] 2 5 4 11 3" xfId="28597"/>
    <cellStyle name="Input [yellow] 2 5 4 11 4" xfId="39762"/>
    <cellStyle name="Input [yellow] 2 5 4 11 5" xfId="50955"/>
    <cellStyle name="Input [yellow] 2 5 4 12" xfId="6865"/>
    <cellStyle name="Input [yellow] 2 5 4 12 2" xfId="18062"/>
    <cellStyle name="Input [yellow] 2 5 4 12 3" xfId="29230"/>
    <cellStyle name="Input [yellow] 2 5 4 12 4" xfId="40395"/>
    <cellStyle name="Input [yellow] 2 5 4 12 5" xfId="51588"/>
    <cellStyle name="Input [yellow] 2 5 4 13" xfId="7499"/>
    <cellStyle name="Input [yellow] 2 5 4 13 2" xfId="18696"/>
    <cellStyle name="Input [yellow] 2 5 4 13 3" xfId="29864"/>
    <cellStyle name="Input [yellow] 2 5 4 13 4" xfId="41029"/>
    <cellStyle name="Input [yellow] 2 5 4 13 5" xfId="52222"/>
    <cellStyle name="Input [yellow] 2 5 4 14" xfId="8133"/>
    <cellStyle name="Input [yellow] 2 5 4 14 2" xfId="19330"/>
    <cellStyle name="Input [yellow] 2 5 4 14 3" xfId="30498"/>
    <cellStyle name="Input [yellow] 2 5 4 14 4" xfId="41663"/>
    <cellStyle name="Input [yellow] 2 5 4 14 5" xfId="52856"/>
    <cellStyle name="Input [yellow] 2 5 4 15" xfId="8762"/>
    <cellStyle name="Input [yellow] 2 5 4 15 2" xfId="19959"/>
    <cellStyle name="Input [yellow] 2 5 4 15 3" xfId="31127"/>
    <cellStyle name="Input [yellow] 2 5 4 15 4" xfId="42292"/>
    <cellStyle name="Input [yellow] 2 5 4 15 5" xfId="53485"/>
    <cellStyle name="Input [yellow] 2 5 4 16" xfId="9184"/>
    <cellStyle name="Input [yellow] 2 5 4 16 2" xfId="20381"/>
    <cellStyle name="Input [yellow] 2 5 4 16 3" xfId="31549"/>
    <cellStyle name="Input [yellow] 2 5 4 16 4" xfId="42714"/>
    <cellStyle name="Input [yellow] 2 5 4 16 5" xfId="53907"/>
    <cellStyle name="Input [yellow] 2 5 4 17" xfId="9811"/>
    <cellStyle name="Input [yellow] 2 5 4 17 2" xfId="21008"/>
    <cellStyle name="Input [yellow] 2 5 4 17 3" xfId="32176"/>
    <cellStyle name="Input [yellow] 2 5 4 17 4" xfId="43341"/>
    <cellStyle name="Input [yellow] 2 5 4 17 5" xfId="54534"/>
    <cellStyle name="Input [yellow] 2 5 4 18" xfId="10420"/>
    <cellStyle name="Input [yellow] 2 5 4 18 2" xfId="21617"/>
    <cellStyle name="Input [yellow] 2 5 4 18 3" xfId="32785"/>
    <cellStyle name="Input [yellow] 2 5 4 18 4" xfId="43950"/>
    <cellStyle name="Input [yellow] 2 5 4 18 5" xfId="55143"/>
    <cellStyle name="Input [yellow] 2 5 4 19" xfId="10849"/>
    <cellStyle name="Input [yellow] 2 5 4 19 2" xfId="22046"/>
    <cellStyle name="Input [yellow] 2 5 4 19 3" xfId="33214"/>
    <cellStyle name="Input [yellow] 2 5 4 19 4" xfId="44379"/>
    <cellStyle name="Input [yellow] 2 5 4 19 5" xfId="55572"/>
    <cellStyle name="Input [yellow] 2 5 4 2" xfId="945"/>
    <cellStyle name="Input [yellow] 2 5 4 2 2" xfId="12142"/>
    <cellStyle name="Input [yellow] 2 5 4 2 3" xfId="23310"/>
    <cellStyle name="Input [yellow] 2 5 4 2 4" xfId="34475"/>
    <cellStyle name="Input [yellow] 2 5 4 2 5" xfId="45668"/>
    <cellStyle name="Input [yellow] 2 5 4 20" xfId="11496"/>
    <cellStyle name="Input [yellow] 2 5 4 21" xfId="22666"/>
    <cellStyle name="Input [yellow] 2 5 4 22" xfId="33833"/>
    <cellStyle name="Input [yellow] 2 5 4 23" xfId="45019"/>
    <cellStyle name="Input [yellow] 2 5 4 3" xfId="1618"/>
    <cellStyle name="Input [yellow] 2 5 4 3 2" xfId="12815"/>
    <cellStyle name="Input [yellow] 2 5 4 3 3" xfId="23983"/>
    <cellStyle name="Input [yellow] 2 5 4 3 4" xfId="35148"/>
    <cellStyle name="Input [yellow] 2 5 4 3 5" xfId="46341"/>
    <cellStyle name="Input [yellow] 2 5 4 4" xfId="2221"/>
    <cellStyle name="Input [yellow] 2 5 4 4 2" xfId="13418"/>
    <cellStyle name="Input [yellow] 2 5 4 4 3" xfId="24586"/>
    <cellStyle name="Input [yellow] 2 5 4 4 4" xfId="35751"/>
    <cellStyle name="Input [yellow] 2 5 4 4 5" xfId="46944"/>
    <cellStyle name="Input [yellow] 2 5 4 5" xfId="2646"/>
    <cellStyle name="Input [yellow] 2 5 4 5 2" xfId="13843"/>
    <cellStyle name="Input [yellow] 2 5 4 5 3" xfId="25011"/>
    <cellStyle name="Input [yellow] 2 5 4 5 4" xfId="36176"/>
    <cellStyle name="Input [yellow] 2 5 4 5 5" xfId="47369"/>
    <cellStyle name="Input [yellow] 2 5 4 6" xfId="3280"/>
    <cellStyle name="Input [yellow] 2 5 4 6 2" xfId="14477"/>
    <cellStyle name="Input [yellow] 2 5 4 6 3" xfId="25645"/>
    <cellStyle name="Input [yellow] 2 5 4 6 4" xfId="36810"/>
    <cellStyle name="Input [yellow] 2 5 4 6 5" xfId="48003"/>
    <cellStyle name="Input [yellow] 2 5 4 7" xfId="3914"/>
    <cellStyle name="Input [yellow] 2 5 4 7 2" xfId="15111"/>
    <cellStyle name="Input [yellow] 2 5 4 7 3" xfId="26279"/>
    <cellStyle name="Input [yellow] 2 5 4 7 4" xfId="37444"/>
    <cellStyle name="Input [yellow] 2 5 4 7 5" xfId="48637"/>
    <cellStyle name="Input [yellow] 2 5 4 8" xfId="4547"/>
    <cellStyle name="Input [yellow] 2 5 4 8 2" xfId="15744"/>
    <cellStyle name="Input [yellow] 2 5 4 8 3" xfId="26912"/>
    <cellStyle name="Input [yellow] 2 5 4 8 4" xfId="38077"/>
    <cellStyle name="Input [yellow] 2 5 4 8 5" xfId="49270"/>
    <cellStyle name="Input [yellow] 2 5 4 9" xfId="5178"/>
    <cellStyle name="Input [yellow] 2 5 4 9 2" xfId="16375"/>
    <cellStyle name="Input [yellow] 2 5 4 9 3" xfId="27543"/>
    <cellStyle name="Input [yellow] 2 5 4 9 4" xfId="38708"/>
    <cellStyle name="Input [yellow] 2 5 4 9 5" xfId="49901"/>
    <cellStyle name="Input [yellow] 2 5 5" xfId="333"/>
    <cellStyle name="Input [yellow] 2 5 5 10" xfId="5850"/>
    <cellStyle name="Input [yellow] 2 5 5 10 2" xfId="17047"/>
    <cellStyle name="Input [yellow] 2 5 5 10 3" xfId="28215"/>
    <cellStyle name="Input [yellow] 2 5 5 10 4" xfId="39380"/>
    <cellStyle name="Input [yellow] 2 5 5 10 5" xfId="50573"/>
    <cellStyle name="Input [yellow] 2 5 5 11" xfId="6269"/>
    <cellStyle name="Input [yellow] 2 5 5 11 2" xfId="17466"/>
    <cellStyle name="Input [yellow] 2 5 5 11 3" xfId="28634"/>
    <cellStyle name="Input [yellow] 2 5 5 11 4" xfId="39799"/>
    <cellStyle name="Input [yellow] 2 5 5 11 5" xfId="50992"/>
    <cellStyle name="Input [yellow] 2 5 5 12" xfId="6902"/>
    <cellStyle name="Input [yellow] 2 5 5 12 2" xfId="18099"/>
    <cellStyle name="Input [yellow] 2 5 5 12 3" xfId="29267"/>
    <cellStyle name="Input [yellow] 2 5 5 12 4" xfId="40432"/>
    <cellStyle name="Input [yellow] 2 5 5 12 5" xfId="51625"/>
    <cellStyle name="Input [yellow] 2 5 5 13" xfId="7536"/>
    <cellStyle name="Input [yellow] 2 5 5 13 2" xfId="18733"/>
    <cellStyle name="Input [yellow] 2 5 5 13 3" xfId="29901"/>
    <cellStyle name="Input [yellow] 2 5 5 13 4" xfId="41066"/>
    <cellStyle name="Input [yellow] 2 5 5 13 5" xfId="52259"/>
    <cellStyle name="Input [yellow] 2 5 5 14" xfId="8170"/>
    <cellStyle name="Input [yellow] 2 5 5 14 2" xfId="19367"/>
    <cellStyle name="Input [yellow] 2 5 5 14 3" xfId="30535"/>
    <cellStyle name="Input [yellow] 2 5 5 14 4" xfId="41700"/>
    <cellStyle name="Input [yellow] 2 5 5 14 5" xfId="52893"/>
    <cellStyle name="Input [yellow] 2 5 5 15" xfId="8799"/>
    <cellStyle name="Input [yellow] 2 5 5 15 2" xfId="19996"/>
    <cellStyle name="Input [yellow] 2 5 5 15 3" xfId="31164"/>
    <cellStyle name="Input [yellow] 2 5 5 15 4" xfId="42329"/>
    <cellStyle name="Input [yellow] 2 5 5 15 5" xfId="53522"/>
    <cellStyle name="Input [yellow] 2 5 5 16" xfId="9221"/>
    <cellStyle name="Input [yellow] 2 5 5 16 2" xfId="20418"/>
    <cellStyle name="Input [yellow] 2 5 5 16 3" xfId="31586"/>
    <cellStyle name="Input [yellow] 2 5 5 16 4" xfId="42751"/>
    <cellStyle name="Input [yellow] 2 5 5 16 5" xfId="53944"/>
    <cellStyle name="Input [yellow] 2 5 5 17" xfId="9848"/>
    <cellStyle name="Input [yellow] 2 5 5 17 2" xfId="21045"/>
    <cellStyle name="Input [yellow] 2 5 5 17 3" xfId="32213"/>
    <cellStyle name="Input [yellow] 2 5 5 17 4" xfId="43378"/>
    <cellStyle name="Input [yellow] 2 5 5 17 5" xfId="54571"/>
    <cellStyle name="Input [yellow] 2 5 5 18" xfId="10318"/>
    <cellStyle name="Input [yellow] 2 5 5 18 2" xfId="21515"/>
    <cellStyle name="Input [yellow] 2 5 5 18 3" xfId="32683"/>
    <cellStyle name="Input [yellow] 2 5 5 18 4" xfId="43848"/>
    <cellStyle name="Input [yellow] 2 5 5 18 5" xfId="55041"/>
    <cellStyle name="Input [yellow] 2 5 5 19" xfId="10886"/>
    <cellStyle name="Input [yellow] 2 5 5 19 2" xfId="22083"/>
    <cellStyle name="Input [yellow] 2 5 5 19 3" xfId="33251"/>
    <cellStyle name="Input [yellow] 2 5 5 19 4" xfId="44416"/>
    <cellStyle name="Input [yellow] 2 5 5 19 5" xfId="55609"/>
    <cellStyle name="Input [yellow] 2 5 5 2" xfId="982"/>
    <cellStyle name="Input [yellow] 2 5 5 2 2" xfId="12179"/>
    <cellStyle name="Input [yellow] 2 5 5 2 3" xfId="23347"/>
    <cellStyle name="Input [yellow] 2 5 5 2 4" xfId="34512"/>
    <cellStyle name="Input [yellow] 2 5 5 2 5" xfId="45705"/>
    <cellStyle name="Input [yellow] 2 5 5 20" xfId="11533"/>
    <cellStyle name="Input [yellow] 2 5 5 21" xfId="22703"/>
    <cellStyle name="Input [yellow] 2 5 5 22" xfId="33870"/>
    <cellStyle name="Input [yellow] 2 5 5 23" xfId="45056"/>
    <cellStyle name="Input [yellow] 2 5 5 3" xfId="1704"/>
    <cellStyle name="Input [yellow] 2 5 5 3 2" xfId="12901"/>
    <cellStyle name="Input [yellow] 2 5 5 3 3" xfId="24069"/>
    <cellStyle name="Input [yellow] 2 5 5 3 4" xfId="35234"/>
    <cellStyle name="Input [yellow] 2 5 5 3 5" xfId="46427"/>
    <cellStyle name="Input [yellow] 2 5 5 4" xfId="2258"/>
    <cellStyle name="Input [yellow] 2 5 5 4 2" xfId="13455"/>
    <cellStyle name="Input [yellow] 2 5 5 4 3" xfId="24623"/>
    <cellStyle name="Input [yellow] 2 5 5 4 4" xfId="35788"/>
    <cellStyle name="Input [yellow] 2 5 5 4 5" xfId="46981"/>
    <cellStyle name="Input [yellow] 2 5 5 5" xfId="2683"/>
    <cellStyle name="Input [yellow] 2 5 5 5 2" xfId="13880"/>
    <cellStyle name="Input [yellow] 2 5 5 5 3" xfId="25048"/>
    <cellStyle name="Input [yellow] 2 5 5 5 4" xfId="36213"/>
    <cellStyle name="Input [yellow] 2 5 5 5 5" xfId="47406"/>
    <cellStyle name="Input [yellow] 2 5 5 6" xfId="3317"/>
    <cellStyle name="Input [yellow] 2 5 5 6 2" xfId="14514"/>
    <cellStyle name="Input [yellow] 2 5 5 6 3" xfId="25682"/>
    <cellStyle name="Input [yellow] 2 5 5 6 4" xfId="36847"/>
    <cellStyle name="Input [yellow] 2 5 5 6 5" xfId="48040"/>
    <cellStyle name="Input [yellow] 2 5 5 7" xfId="3951"/>
    <cellStyle name="Input [yellow] 2 5 5 7 2" xfId="15148"/>
    <cellStyle name="Input [yellow] 2 5 5 7 3" xfId="26316"/>
    <cellStyle name="Input [yellow] 2 5 5 7 4" xfId="37481"/>
    <cellStyle name="Input [yellow] 2 5 5 7 5" xfId="48674"/>
    <cellStyle name="Input [yellow] 2 5 5 8" xfId="4584"/>
    <cellStyle name="Input [yellow] 2 5 5 8 2" xfId="15781"/>
    <cellStyle name="Input [yellow] 2 5 5 8 3" xfId="26949"/>
    <cellStyle name="Input [yellow] 2 5 5 8 4" xfId="38114"/>
    <cellStyle name="Input [yellow] 2 5 5 8 5" xfId="49307"/>
    <cellStyle name="Input [yellow] 2 5 5 9" xfId="5215"/>
    <cellStyle name="Input [yellow] 2 5 5 9 2" xfId="16412"/>
    <cellStyle name="Input [yellow] 2 5 5 9 3" xfId="27580"/>
    <cellStyle name="Input [yellow] 2 5 5 9 4" xfId="38745"/>
    <cellStyle name="Input [yellow] 2 5 5 9 5" xfId="49938"/>
    <cellStyle name="Input [yellow] 2 5 6" xfId="384"/>
    <cellStyle name="Input [yellow] 2 5 6 10" xfId="5854"/>
    <cellStyle name="Input [yellow] 2 5 6 10 2" xfId="17051"/>
    <cellStyle name="Input [yellow] 2 5 6 10 3" xfId="28219"/>
    <cellStyle name="Input [yellow] 2 5 6 10 4" xfId="39384"/>
    <cellStyle name="Input [yellow] 2 5 6 10 5" xfId="50577"/>
    <cellStyle name="Input [yellow] 2 5 6 11" xfId="6320"/>
    <cellStyle name="Input [yellow] 2 5 6 11 2" xfId="17517"/>
    <cellStyle name="Input [yellow] 2 5 6 11 3" xfId="28685"/>
    <cellStyle name="Input [yellow] 2 5 6 11 4" xfId="39850"/>
    <cellStyle name="Input [yellow] 2 5 6 11 5" xfId="51043"/>
    <cellStyle name="Input [yellow] 2 5 6 12" xfId="6953"/>
    <cellStyle name="Input [yellow] 2 5 6 12 2" xfId="18150"/>
    <cellStyle name="Input [yellow] 2 5 6 12 3" xfId="29318"/>
    <cellStyle name="Input [yellow] 2 5 6 12 4" xfId="40483"/>
    <cellStyle name="Input [yellow] 2 5 6 12 5" xfId="51676"/>
    <cellStyle name="Input [yellow] 2 5 6 13" xfId="7587"/>
    <cellStyle name="Input [yellow] 2 5 6 13 2" xfId="18784"/>
    <cellStyle name="Input [yellow] 2 5 6 13 3" xfId="29952"/>
    <cellStyle name="Input [yellow] 2 5 6 13 4" xfId="41117"/>
    <cellStyle name="Input [yellow] 2 5 6 13 5" xfId="52310"/>
    <cellStyle name="Input [yellow] 2 5 6 14" xfId="8221"/>
    <cellStyle name="Input [yellow] 2 5 6 14 2" xfId="19418"/>
    <cellStyle name="Input [yellow] 2 5 6 14 3" xfId="30586"/>
    <cellStyle name="Input [yellow] 2 5 6 14 4" xfId="41751"/>
    <cellStyle name="Input [yellow] 2 5 6 14 5" xfId="52944"/>
    <cellStyle name="Input [yellow] 2 5 6 15" xfId="8850"/>
    <cellStyle name="Input [yellow] 2 5 6 15 2" xfId="20047"/>
    <cellStyle name="Input [yellow] 2 5 6 15 3" xfId="31215"/>
    <cellStyle name="Input [yellow] 2 5 6 15 4" xfId="42380"/>
    <cellStyle name="Input [yellow] 2 5 6 15 5" xfId="53573"/>
    <cellStyle name="Input [yellow] 2 5 6 16" xfId="9272"/>
    <cellStyle name="Input [yellow] 2 5 6 16 2" xfId="20469"/>
    <cellStyle name="Input [yellow] 2 5 6 16 3" xfId="31637"/>
    <cellStyle name="Input [yellow] 2 5 6 16 4" xfId="42802"/>
    <cellStyle name="Input [yellow] 2 5 6 16 5" xfId="53995"/>
    <cellStyle name="Input [yellow] 2 5 6 17" xfId="9899"/>
    <cellStyle name="Input [yellow] 2 5 6 17 2" xfId="21096"/>
    <cellStyle name="Input [yellow] 2 5 6 17 3" xfId="32264"/>
    <cellStyle name="Input [yellow] 2 5 6 17 4" xfId="43429"/>
    <cellStyle name="Input [yellow] 2 5 6 17 5" xfId="54622"/>
    <cellStyle name="Input [yellow] 2 5 6 18" xfId="10516"/>
    <cellStyle name="Input [yellow] 2 5 6 18 2" xfId="21713"/>
    <cellStyle name="Input [yellow] 2 5 6 18 3" xfId="32881"/>
    <cellStyle name="Input [yellow] 2 5 6 18 4" xfId="44046"/>
    <cellStyle name="Input [yellow] 2 5 6 18 5" xfId="55239"/>
    <cellStyle name="Input [yellow] 2 5 6 19" xfId="10937"/>
    <cellStyle name="Input [yellow] 2 5 6 19 2" xfId="22134"/>
    <cellStyle name="Input [yellow] 2 5 6 19 3" xfId="33302"/>
    <cellStyle name="Input [yellow] 2 5 6 19 4" xfId="44467"/>
    <cellStyle name="Input [yellow] 2 5 6 19 5" xfId="55660"/>
    <cellStyle name="Input [yellow] 2 5 6 2" xfId="1033"/>
    <cellStyle name="Input [yellow] 2 5 6 2 2" xfId="12230"/>
    <cellStyle name="Input [yellow] 2 5 6 2 3" xfId="23398"/>
    <cellStyle name="Input [yellow] 2 5 6 2 4" xfId="34563"/>
    <cellStyle name="Input [yellow] 2 5 6 2 5" xfId="45756"/>
    <cellStyle name="Input [yellow] 2 5 6 20" xfId="11584"/>
    <cellStyle name="Input [yellow] 2 5 6 21" xfId="22754"/>
    <cellStyle name="Input [yellow] 2 5 6 22" xfId="33921"/>
    <cellStyle name="Input [yellow] 2 5 6 23" xfId="45107"/>
    <cellStyle name="Input [yellow] 2 5 6 3" xfId="1813"/>
    <cellStyle name="Input [yellow] 2 5 6 3 2" xfId="13010"/>
    <cellStyle name="Input [yellow] 2 5 6 3 3" xfId="24178"/>
    <cellStyle name="Input [yellow] 2 5 6 3 4" xfId="35343"/>
    <cellStyle name="Input [yellow] 2 5 6 3 5" xfId="46536"/>
    <cellStyle name="Input [yellow] 2 5 6 4" xfId="2309"/>
    <cellStyle name="Input [yellow] 2 5 6 4 2" xfId="13506"/>
    <cellStyle name="Input [yellow] 2 5 6 4 3" xfId="24674"/>
    <cellStyle name="Input [yellow] 2 5 6 4 4" xfId="35839"/>
    <cellStyle name="Input [yellow] 2 5 6 4 5" xfId="47032"/>
    <cellStyle name="Input [yellow] 2 5 6 5" xfId="2734"/>
    <cellStyle name="Input [yellow] 2 5 6 5 2" xfId="13931"/>
    <cellStyle name="Input [yellow] 2 5 6 5 3" xfId="25099"/>
    <cellStyle name="Input [yellow] 2 5 6 5 4" xfId="36264"/>
    <cellStyle name="Input [yellow] 2 5 6 5 5" xfId="47457"/>
    <cellStyle name="Input [yellow] 2 5 6 6" xfId="3368"/>
    <cellStyle name="Input [yellow] 2 5 6 6 2" xfId="14565"/>
    <cellStyle name="Input [yellow] 2 5 6 6 3" xfId="25733"/>
    <cellStyle name="Input [yellow] 2 5 6 6 4" xfId="36898"/>
    <cellStyle name="Input [yellow] 2 5 6 6 5" xfId="48091"/>
    <cellStyle name="Input [yellow] 2 5 6 7" xfId="4002"/>
    <cellStyle name="Input [yellow] 2 5 6 7 2" xfId="15199"/>
    <cellStyle name="Input [yellow] 2 5 6 7 3" xfId="26367"/>
    <cellStyle name="Input [yellow] 2 5 6 7 4" xfId="37532"/>
    <cellStyle name="Input [yellow] 2 5 6 7 5" xfId="48725"/>
    <cellStyle name="Input [yellow] 2 5 6 8" xfId="4635"/>
    <cellStyle name="Input [yellow] 2 5 6 8 2" xfId="15832"/>
    <cellStyle name="Input [yellow] 2 5 6 8 3" xfId="27000"/>
    <cellStyle name="Input [yellow] 2 5 6 8 4" xfId="38165"/>
    <cellStyle name="Input [yellow] 2 5 6 8 5" xfId="49358"/>
    <cellStyle name="Input [yellow] 2 5 6 9" xfId="5266"/>
    <cellStyle name="Input [yellow] 2 5 6 9 2" xfId="16463"/>
    <cellStyle name="Input [yellow] 2 5 6 9 3" xfId="27631"/>
    <cellStyle name="Input [yellow] 2 5 6 9 4" xfId="38796"/>
    <cellStyle name="Input [yellow] 2 5 6 9 5" xfId="49989"/>
    <cellStyle name="Input [yellow] 2 5 7" xfId="332"/>
    <cellStyle name="Input [yellow] 2 5 7 10" xfId="6080"/>
    <cellStyle name="Input [yellow] 2 5 7 10 2" xfId="17277"/>
    <cellStyle name="Input [yellow] 2 5 7 10 3" xfId="28445"/>
    <cellStyle name="Input [yellow] 2 5 7 10 4" xfId="39610"/>
    <cellStyle name="Input [yellow] 2 5 7 10 5" xfId="50803"/>
    <cellStyle name="Input [yellow] 2 5 7 11" xfId="6268"/>
    <cellStyle name="Input [yellow] 2 5 7 11 2" xfId="17465"/>
    <cellStyle name="Input [yellow] 2 5 7 11 3" xfId="28633"/>
    <cellStyle name="Input [yellow] 2 5 7 11 4" xfId="39798"/>
    <cellStyle name="Input [yellow] 2 5 7 11 5" xfId="50991"/>
    <cellStyle name="Input [yellow] 2 5 7 12" xfId="6901"/>
    <cellStyle name="Input [yellow] 2 5 7 12 2" xfId="18098"/>
    <cellStyle name="Input [yellow] 2 5 7 12 3" xfId="29266"/>
    <cellStyle name="Input [yellow] 2 5 7 12 4" xfId="40431"/>
    <cellStyle name="Input [yellow] 2 5 7 12 5" xfId="51624"/>
    <cellStyle name="Input [yellow] 2 5 7 13" xfId="7535"/>
    <cellStyle name="Input [yellow] 2 5 7 13 2" xfId="18732"/>
    <cellStyle name="Input [yellow] 2 5 7 13 3" xfId="29900"/>
    <cellStyle name="Input [yellow] 2 5 7 13 4" xfId="41065"/>
    <cellStyle name="Input [yellow] 2 5 7 13 5" xfId="52258"/>
    <cellStyle name="Input [yellow] 2 5 7 14" xfId="8169"/>
    <cellStyle name="Input [yellow] 2 5 7 14 2" xfId="19366"/>
    <cellStyle name="Input [yellow] 2 5 7 14 3" xfId="30534"/>
    <cellStyle name="Input [yellow] 2 5 7 14 4" xfId="41699"/>
    <cellStyle name="Input [yellow] 2 5 7 14 5" xfId="52892"/>
    <cellStyle name="Input [yellow] 2 5 7 15" xfId="8798"/>
    <cellStyle name="Input [yellow] 2 5 7 15 2" xfId="19995"/>
    <cellStyle name="Input [yellow] 2 5 7 15 3" xfId="31163"/>
    <cellStyle name="Input [yellow] 2 5 7 15 4" xfId="42328"/>
    <cellStyle name="Input [yellow] 2 5 7 15 5" xfId="53521"/>
    <cellStyle name="Input [yellow] 2 5 7 16" xfId="9220"/>
    <cellStyle name="Input [yellow] 2 5 7 16 2" xfId="20417"/>
    <cellStyle name="Input [yellow] 2 5 7 16 3" xfId="31585"/>
    <cellStyle name="Input [yellow] 2 5 7 16 4" xfId="42750"/>
    <cellStyle name="Input [yellow] 2 5 7 16 5" xfId="53943"/>
    <cellStyle name="Input [yellow] 2 5 7 17" xfId="9847"/>
    <cellStyle name="Input [yellow] 2 5 7 17 2" xfId="21044"/>
    <cellStyle name="Input [yellow] 2 5 7 17 3" xfId="32212"/>
    <cellStyle name="Input [yellow] 2 5 7 17 4" xfId="43377"/>
    <cellStyle name="Input [yellow] 2 5 7 17 5" xfId="54570"/>
    <cellStyle name="Input [yellow] 2 5 7 18" xfId="10389"/>
    <cellStyle name="Input [yellow] 2 5 7 18 2" xfId="21586"/>
    <cellStyle name="Input [yellow] 2 5 7 18 3" xfId="32754"/>
    <cellStyle name="Input [yellow] 2 5 7 18 4" xfId="43919"/>
    <cellStyle name="Input [yellow] 2 5 7 18 5" xfId="55112"/>
    <cellStyle name="Input [yellow] 2 5 7 19" xfId="10885"/>
    <cellStyle name="Input [yellow] 2 5 7 19 2" xfId="22082"/>
    <cellStyle name="Input [yellow] 2 5 7 19 3" xfId="33250"/>
    <cellStyle name="Input [yellow] 2 5 7 19 4" xfId="44415"/>
    <cellStyle name="Input [yellow] 2 5 7 19 5" xfId="55608"/>
    <cellStyle name="Input [yellow] 2 5 7 2" xfId="981"/>
    <cellStyle name="Input [yellow] 2 5 7 2 2" xfId="12178"/>
    <cellStyle name="Input [yellow] 2 5 7 2 3" xfId="23346"/>
    <cellStyle name="Input [yellow] 2 5 7 2 4" xfId="34511"/>
    <cellStyle name="Input [yellow] 2 5 7 2 5" xfId="45704"/>
    <cellStyle name="Input [yellow] 2 5 7 20" xfId="11532"/>
    <cellStyle name="Input [yellow] 2 5 7 21" xfId="22702"/>
    <cellStyle name="Input [yellow] 2 5 7 22" xfId="33869"/>
    <cellStyle name="Input [yellow] 2 5 7 23" xfId="45055"/>
    <cellStyle name="Input [yellow] 2 5 7 3" xfId="1671"/>
    <cellStyle name="Input [yellow] 2 5 7 3 2" xfId="12868"/>
    <cellStyle name="Input [yellow] 2 5 7 3 3" xfId="24036"/>
    <cellStyle name="Input [yellow] 2 5 7 3 4" xfId="35201"/>
    <cellStyle name="Input [yellow] 2 5 7 3 5" xfId="46394"/>
    <cellStyle name="Input [yellow] 2 5 7 4" xfId="2257"/>
    <cellStyle name="Input [yellow] 2 5 7 4 2" xfId="13454"/>
    <cellStyle name="Input [yellow] 2 5 7 4 3" xfId="24622"/>
    <cellStyle name="Input [yellow] 2 5 7 4 4" xfId="35787"/>
    <cellStyle name="Input [yellow] 2 5 7 4 5" xfId="46980"/>
    <cellStyle name="Input [yellow] 2 5 7 5" xfId="2682"/>
    <cellStyle name="Input [yellow] 2 5 7 5 2" xfId="13879"/>
    <cellStyle name="Input [yellow] 2 5 7 5 3" xfId="25047"/>
    <cellStyle name="Input [yellow] 2 5 7 5 4" xfId="36212"/>
    <cellStyle name="Input [yellow] 2 5 7 5 5" xfId="47405"/>
    <cellStyle name="Input [yellow] 2 5 7 6" xfId="3316"/>
    <cellStyle name="Input [yellow] 2 5 7 6 2" xfId="14513"/>
    <cellStyle name="Input [yellow] 2 5 7 6 3" xfId="25681"/>
    <cellStyle name="Input [yellow] 2 5 7 6 4" xfId="36846"/>
    <cellStyle name="Input [yellow] 2 5 7 6 5" xfId="48039"/>
    <cellStyle name="Input [yellow] 2 5 7 7" xfId="3950"/>
    <cellStyle name="Input [yellow] 2 5 7 7 2" xfId="15147"/>
    <cellStyle name="Input [yellow] 2 5 7 7 3" xfId="26315"/>
    <cellStyle name="Input [yellow] 2 5 7 7 4" xfId="37480"/>
    <cellStyle name="Input [yellow] 2 5 7 7 5" xfId="48673"/>
    <cellStyle name="Input [yellow] 2 5 7 8" xfId="4583"/>
    <cellStyle name="Input [yellow] 2 5 7 8 2" xfId="15780"/>
    <cellStyle name="Input [yellow] 2 5 7 8 3" xfId="26948"/>
    <cellStyle name="Input [yellow] 2 5 7 8 4" xfId="38113"/>
    <cellStyle name="Input [yellow] 2 5 7 8 5" xfId="49306"/>
    <cellStyle name="Input [yellow] 2 5 7 9" xfId="5214"/>
    <cellStyle name="Input [yellow] 2 5 7 9 2" xfId="16411"/>
    <cellStyle name="Input [yellow] 2 5 7 9 3" xfId="27579"/>
    <cellStyle name="Input [yellow] 2 5 7 9 4" xfId="38744"/>
    <cellStyle name="Input [yellow] 2 5 7 9 5" xfId="49937"/>
    <cellStyle name="Input [yellow] 2 5 8" xfId="490"/>
    <cellStyle name="Input [yellow] 2 5 8 10" xfId="6090"/>
    <cellStyle name="Input [yellow] 2 5 8 10 2" xfId="17287"/>
    <cellStyle name="Input [yellow] 2 5 8 10 3" xfId="28455"/>
    <cellStyle name="Input [yellow] 2 5 8 10 4" xfId="39620"/>
    <cellStyle name="Input [yellow] 2 5 8 10 5" xfId="50813"/>
    <cellStyle name="Input [yellow] 2 5 8 11" xfId="6426"/>
    <cellStyle name="Input [yellow] 2 5 8 11 2" xfId="17623"/>
    <cellStyle name="Input [yellow] 2 5 8 11 3" xfId="28791"/>
    <cellStyle name="Input [yellow] 2 5 8 11 4" xfId="39956"/>
    <cellStyle name="Input [yellow] 2 5 8 11 5" xfId="51149"/>
    <cellStyle name="Input [yellow] 2 5 8 12" xfId="7059"/>
    <cellStyle name="Input [yellow] 2 5 8 12 2" xfId="18256"/>
    <cellStyle name="Input [yellow] 2 5 8 12 3" xfId="29424"/>
    <cellStyle name="Input [yellow] 2 5 8 12 4" xfId="40589"/>
    <cellStyle name="Input [yellow] 2 5 8 12 5" xfId="51782"/>
    <cellStyle name="Input [yellow] 2 5 8 13" xfId="7693"/>
    <cellStyle name="Input [yellow] 2 5 8 13 2" xfId="18890"/>
    <cellStyle name="Input [yellow] 2 5 8 13 3" xfId="30058"/>
    <cellStyle name="Input [yellow] 2 5 8 13 4" xfId="41223"/>
    <cellStyle name="Input [yellow] 2 5 8 13 5" xfId="52416"/>
    <cellStyle name="Input [yellow] 2 5 8 14" xfId="8327"/>
    <cellStyle name="Input [yellow] 2 5 8 14 2" xfId="19524"/>
    <cellStyle name="Input [yellow] 2 5 8 14 3" xfId="30692"/>
    <cellStyle name="Input [yellow] 2 5 8 14 4" xfId="41857"/>
    <cellStyle name="Input [yellow] 2 5 8 14 5" xfId="53050"/>
    <cellStyle name="Input [yellow] 2 5 8 15" xfId="8955"/>
    <cellStyle name="Input [yellow] 2 5 8 15 2" xfId="20152"/>
    <cellStyle name="Input [yellow] 2 5 8 15 3" xfId="31320"/>
    <cellStyle name="Input [yellow] 2 5 8 15 4" xfId="42485"/>
    <cellStyle name="Input [yellow] 2 5 8 15 5" xfId="53678"/>
    <cellStyle name="Input [yellow] 2 5 8 16" xfId="9378"/>
    <cellStyle name="Input [yellow] 2 5 8 16 2" xfId="20575"/>
    <cellStyle name="Input [yellow] 2 5 8 16 3" xfId="31743"/>
    <cellStyle name="Input [yellow] 2 5 8 16 4" xfId="42908"/>
    <cellStyle name="Input [yellow] 2 5 8 16 5" xfId="54101"/>
    <cellStyle name="Input [yellow] 2 5 8 17" xfId="10004"/>
    <cellStyle name="Input [yellow] 2 5 8 17 2" xfId="21201"/>
    <cellStyle name="Input [yellow] 2 5 8 17 3" xfId="32369"/>
    <cellStyle name="Input [yellow] 2 5 8 17 4" xfId="43534"/>
    <cellStyle name="Input [yellow] 2 5 8 17 5" xfId="54727"/>
    <cellStyle name="Input [yellow] 2 5 8 18" xfId="10346"/>
    <cellStyle name="Input [yellow] 2 5 8 18 2" xfId="21543"/>
    <cellStyle name="Input [yellow] 2 5 8 18 3" xfId="32711"/>
    <cellStyle name="Input [yellow] 2 5 8 18 4" xfId="43876"/>
    <cellStyle name="Input [yellow] 2 5 8 18 5" xfId="55069"/>
    <cellStyle name="Input [yellow] 2 5 8 19" xfId="11043"/>
    <cellStyle name="Input [yellow] 2 5 8 19 2" xfId="22240"/>
    <cellStyle name="Input [yellow] 2 5 8 19 3" xfId="33408"/>
    <cellStyle name="Input [yellow] 2 5 8 19 4" xfId="44573"/>
    <cellStyle name="Input [yellow] 2 5 8 19 5" xfId="55766"/>
    <cellStyle name="Input [yellow] 2 5 8 2" xfId="1139"/>
    <cellStyle name="Input [yellow] 2 5 8 2 2" xfId="12336"/>
    <cellStyle name="Input [yellow] 2 5 8 2 3" xfId="23504"/>
    <cellStyle name="Input [yellow] 2 5 8 2 4" xfId="34669"/>
    <cellStyle name="Input [yellow] 2 5 8 2 5" xfId="45862"/>
    <cellStyle name="Input [yellow] 2 5 8 20" xfId="11690"/>
    <cellStyle name="Input [yellow] 2 5 8 21" xfId="22860"/>
    <cellStyle name="Input [yellow] 2 5 8 22" xfId="34027"/>
    <cellStyle name="Input [yellow] 2 5 8 23" xfId="45213"/>
    <cellStyle name="Input [yellow] 2 5 8 3" xfId="1655"/>
    <cellStyle name="Input [yellow] 2 5 8 3 2" xfId="12852"/>
    <cellStyle name="Input [yellow] 2 5 8 3 3" xfId="24020"/>
    <cellStyle name="Input [yellow] 2 5 8 3 4" xfId="35185"/>
    <cellStyle name="Input [yellow] 2 5 8 3 5" xfId="46378"/>
    <cellStyle name="Input [yellow] 2 5 8 4" xfId="2415"/>
    <cellStyle name="Input [yellow] 2 5 8 4 2" xfId="13612"/>
    <cellStyle name="Input [yellow] 2 5 8 4 3" xfId="24780"/>
    <cellStyle name="Input [yellow] 2 5 8 4 4" xfId="35945"/>
    <cellStyle name="Input [yellow] 2 5 8 4 5" xfId="47138"/>
    <cellStyle name="Input [yellow] 2 5 8 5" xfId="2840"/>
    <cellStyle name="Input [yellow] 2 5 8 5 2" xfId="14037"/>
    <cellStyle name="Input [yellow] 2 5 8 5 3" xfId="25205"/>
    <cellStyle name="Input [yellow] 2 5 8 5 4" xfId="36370"/>
    <cellStyle name="Input [yellow] 2 5 8 5 5" xfId="47563"/>
    <cellStyle name="Input [yellow] 2 5 8 6" xfId="3474"/>
    <cellStyle name="Input [yellow] 2 5 8 6 2" xfId="14671"/>
    <cellStyle name="Input [yellow] 2 5 8 6 3" xfId="25839"/>
    <cellStyle name="Input [yellow] 2 5 8 6 4" xfId="37004"/>
    <cellStyle name="Input [yellow] 2 5 8 6 5" xfId="48197"/>
    <cellStyle name="Input [yellow] 2 5 8 7" xfId="4108"/>
    <cellStyle name="Input [yellow] 2 5 8 7 2" xfId="15305"/>
    <cellStyle name="Input [yellow] 2 5 8 7 3" xfId="26473"/>
    <cellStyle name="Input [yellow] 2 5 8 7 4" xfId="37638"/>
    <cellStyle name="Input [yellow] 2 5 8 7 5" xfId="48831"/>
    <cellStyle name="Input [yellow] 2 5 8 8" xfId="4741"/>
    <cellStyle name="Input [yellow] 2 5 8 8 2" xfId="15938"/>
    <cellStyle name="Input [yellow] 2 5 8 8 3" xfId="27106"/>
    <cellStyle name="Input [yellow] 2 5 8 8 4" xfId="38271"/>
    <cellStyle name="Input [yellow] 2 5 8 8 5" xfId="49464"/>
    <cellStyle name="Input [yellow] 2 5 8 9" xfId="5372"/>
    <cellStyle name="Input [yellow] 2 5 8 9 2" xfId="16569"/>
    <cellStyle name="Input [yellow] 2 5 8 9 3" xfId="27737"/>
    <cellStyle name="Input [yellow] 2 5 8 9 4" xfId="38902"/>
    <cellStyle name="Input [yellow] 2 5 8 9 5" xfId="50095"/>
    <cellStyle name="Input [yellow] 2 5 9" xfId="548"/>
    <cellStyle name="Input [yellow] 2 5 9 10" xfId="5675"/>
    <cellStyle name="Input [yellow] 2 5 9 10 2" xfId="16872"/>
    <cellStyle name="Input [yellow] 2 5 9 10 3" xfId="28040"/>
    <cellStyle name="Input [yellow] 2 5 9 10 4" xfId="39205"/>
    <cellStyle name="Input [yellow] 2 5 9 10 5" xfId="50398"/>
    <cellStyle name="Input [yellow] 2 5 9 11" xfId="6484"/>
    <cellStyle name="Input [yellow] 2 5 9 11 2" xfId="17681"/>
    <cellStyle name="Input [yellow] 2 5 9 11 3" xfId="28849"/>
    <cellStyle name="Input [yellow] 2 5 9 11 4" xfId="40014"/>
    <cellStyle name="Input [yellow] 2 5 9 11 5" xfId="51207"/>
    <cellStyle name="Input [yellow] 2 5 9 12" xfId="7117"/>
    <cellStyle name="Input [yellow] 2 5 9 12 2" xfId="18314"/>
    <cellStyle name="Input [yellow] 2 5 9 12 3" xfId="29482"/>
    <cellStyle name="Input [yellow] 2 5 9 12 4" xfId="40647"/>
    <cellStyle name="Input [yellow] 2 5 9 12 5" xfId="51840"/>
    <cellStyle name="Input [yellow] 2 5 9 13" xfId="7751"/>
    <cellStyle name="Input [yellow] 2 5 9 13 2" xfId="18948"/>
    <cellStyle name="Input [yellow] 2 5 9 13 3" xfId="30116"/>
    <cellStyle name="Input [yellow] 2 5 9 13 4" xfId="41281"/>
    <cellStyle name="Input [yellow] 2 5 9 13 5" xfId="52474"/>
    <cellStyle name="Input [yellow] 2 5 9 14" xfId="8385"/>
    <cellStyle name="Input [yellow] 2 5 9 14 2" xfId="19582"/>
    <cellStyle name="Input [yellow] 2 5 9 14 3" xfId="30750"/>
    <cellStyle name="Input [yellow] 2 5 9 14 4" xfId="41915"/>
    <cellStyle name="Input [yellow] 2 5 9 14 5" xfId="53108"/>
    <cellStyle name="Input [yellow] 2 5 9 15" xfId="9013"/>
    <cellStyle name="Input [yellow] 2 5 9 15 2" xfId="20210"/>
    <cellStyle name="Input [yellow] 2 5 9 15 3" xfId="31378"/>
    <cellStyle name="Input [yellow] 2 5 9 15 4" xfId="42543"/>
    <cellStyle name="Input [yellow] 2 5 9 15 5" xfId="53736"/>
    <cellStyle name="Input [yellow] 2 5 9 16" xfId="9436"/>
    <cellStyle name="Input [yellow] 2 5 9 16 2" xfId="20633"/>
    <cellStyle name="Input [yellow] 2 5 9 16 3" xfId="31801"/>
    <cellStyle name="Input [yellow] 2 5 9 16 4" xfId="42966"/>
    <cellStyle name="Input [yellow] 2 5 9 16 5" xfId="54159"/>
    <cellStyle name="Input [yellow] 2 5 9 17" xfId="10061"/>
    <cellStyle name="Input [yellow] 2 5 9 17 2" xfId="21258"/>
    <cellStyle name="Input [yellow] 2 5 9 17 3" xfId="32426"/>
    <cellStyle name="Input [yellow] 2 5 9 17 4" xfId="43591"/>
    <cellStyle name="Input [yellow] 2 5 9 17 5" xfId="54784"/>
    <cellStyle name="Input [yellow] 2 5 9 18" xfId="9839"/>
    <cellStyle name="Input [yellow] 2 5 9 18 2" xfId="21036"/>
    <cellStyle name="Input [yellow] 2 5 9 18 3" xfId="32204"/>
    <cellStyle name="Input [yellow] 2 5 9 18 4" xfId="43369"/>
    <cellStyle name="Input [yellow] 2 5 9 18 5" xfId="54562"/>
    <cellStyle name="Input [yellow] 2 5 9 19" xfId="11101"/>
    <cellStyle name="Input [yellow] 2 5 9 19 2" xfId="22298"/>
    <cellStyle name="Input [yellow] 2 5 9 19 3" xfId="33466"/>
    <cellStyle name="Input [yellow] 2 5 9 19 4" xfId="44631"/>
    <cellStyle name="Input [yellow] 2 5 9 19 5" xfId="55824"/>
    <cellStyle name="Input [yellow] 2 5 9 2" xfId="1197"/>
    <cellStyle name="Input [yellow] 2 5 9 2 2" xfId="12394"/>
    <cellStyle name="Input [yellow] 2 5 9 2 3" xfId="23562"/>
    <cellStyle name="Input [yellow] 2 5 9 2 4" xfId="34727"/>
    <cellStyle name="Input [yellow] 2 5 9 2 5" xfId="45920"/>
    <cellStyle name="Input [yellow] 2 5 9 20" xfId="11748"/>
    <cellStyle name="Input [yellow] 2 5 9 21" xfId="22918"/>
    <cellStyle name="Input [yellow] 2 5 9 22" xfId="34085"/>
    <cellStyle name="Input [yellow] 2 5 9 23" xfId="45271"/>
    <cellStyle name="Input [yellow] 2 5 9 3" xfId="1492"/>
    <cellStyle name="Input [yellow] 2 5 9 3 2" xfId="12689"/>
    <cellStyle name="Input [yellow] 2 5 9 3 3" xfId="23857"/>
    <cellStyle name="Input [yellow] 2 5 9 3 4" xfId="35022"/>
    <cellStyle name="Input [yellow] 2 5 9 3 5" xfId="46215"/>
    <cellStyle name="Input [yellow] 2 5 9 4" xfId="2473"/>
    <cellStyle name="Input [yellow] 2 5 9 4 2" xfId="13670"/>
    <cellStyle name="Input [yellow] 2 5 9 4 3" xfId="24838"/>
    <cellStyle name="Input [yellow] 2 5 9 4 4" xfId="36003"/>
    <cellStyle name="Input [yellow] 2 5 9 4 5" xfId="47196"/>
    <cellStyle name="Input [yellow] 2 5 9 5" xfId="2898"/>
    <cellStyle name="Input [yellow] 2 5 9 5 2" xfId="14095"/>
    <cellStyle name="Input [yellow] 2 5 9 5 3" xfId="25263"/>
    <cellStyle name="Input [yellow] 2 5 9 5 4" xfId="36428"/>
    <cellStyle name="Input [yellow] 2 5 9 5 5" xfId="47621"/>
    <cellStyle name="Input [yellow] 2 5 9 6" xfId="3532"/>
    <cellStyle name="Input [yellow] 2 5 9 6 2" xfId="14729"/>
    <cellStyle name="Input [yellow] 2 5 9 6 3" xfId="25897"/>
    <cellStyle name="Input [yellow] 2 5 9 6 4" xfId="37062"/>
    <cellStyle name="Input [yellow] 2 5 9 6 5" xfId="48255"/>
    <cellStyle name="Input [yellow] 2 5 9 7" xfId="4166"/>
    <cellStyle name="Input [yellow] 2 5 9 7 2" xfId="15363"/>
    <cellStyle name="Input [yellow] 2 5 9 7 3" xfId="26531"/>
    <cellStyle name="Input [yellow] 2 5 9 7 4" xfId="37696"/>
    <cellStyle name="Input [yellow] 2 5 9 7 5" xfId="48889"/>
    <cellStyle name="Input [yellow] 2 5 9 8" xfId="4799"/>
    <cellStyle name="Input [yellow] 2 5 9 8 2" xfId="15996"/>
    <cellStyle name="Input [yellow] 2 5 9 8 3" xfId="27164"/>
    <cellStyle name="Input [yellow] 2 5 9 8 4" xfId="38329"/>
    <cellStyle name="Input [yellow] 2 5 9 8 5" xfId="49522"/>
    <cellStyle name="Input [yellow] 2 5 9 9" xfId="5430"/>
    <cellStyle name="Input [yellow] 2 5 9 9 2" xfId="16627"/>
    <cellStyle name="Input [yellow] 2 5 9 9 3" xfId="27795"/>
    <cellStyle name="Input [yellow] 2 5 9 9 4" xfId="38960"/>
    <cellStyle name="Input [yellow] 2 5 9 9 5" xfId="50153"/>
    <cellStyle name="Input [yellow] 2 50" xfId="10626"/>
    <cellStyle name="Input [yellow] 2 50 2" xfId="21823"/>
    <cellStyle name="Input [yellow] 2 50 3" xfId="32991"/>
    <cellStyle name="Input [yellow] 2 50 4" xfId="44156"/>
    <cellStyle name="Input [yellow] 2 50 5" xfId="55349"/>
    <cellStyle name="Input [yellow] 2 51" xfId="11265"/>
    <cellStyle name="Input [yellow] 2 52" xfId="37"/>
    <cellStyle name="Input [yellow] 2 53" xfId="11270"/>
    <cellStyle name="Input [yellow] 2 54" xfId="44792"/>
    <cellStyle name="Input [yellow] 2 6" xfId="84"/>
    <cellStyle name="Input [yellow] 2 6 10" xfId="596"/>
    <cellStyle name="Input [yellow] 2 6 10 10" xfId="5609"/>
    <cellStyle name="Input [yellow] 2 6 10 10 2" xfId="16806"/>
    <cellStyle name="Input [yellow] 2 6 10 10 3" xfId="27974"/>
    <cellStyle name="Input [yellow] 2 6 10 10 4" xfId="39139"/>
    <cellStyle name="Input [yellow] 2 6 10 10 5" xfId="50332"/>
    <cellStyle name="Input [yellow] 2 6 10 11" xfId="6532"/>
    <cellStyle name="Input [yellow] 2 6 10 11 2" xfId="17729"/>
    <cellStyle name="Input [yellow] 2 6 10 11 3" xfId="28897"/>
    <cellStyle name="Input [yellow] 2 6 10 11 4" xfId="40062"/>
    <cellStyle name="Input [yellow] 2 6 10 11 5" xfId="51255"/>
    <cellStyle name="Input [yellow] 2 6 10 12" xfId="7165"/>
    <cellStyle name="Input [yellow] 2 6 10 12 2" xfId="18362"/>
    <cellStyle name="Input [yellow] 2 6 10 12 3" xfId="29530"/>
    <cellStyle name="Input [yellow] 2 6 10 12 4" xfId="40695"/>
    <cellStyle name="Input [yellow] 2 6 10 12 5" xfId="51888"/>
    <cellStyle name="Input [yellow] 2 6 10 13" xfId="7799"/>
    <cellStyle name="Input [yellow] 2 6 10 13 2" xfId="18996"/>
    <cellStyle name="Input [yellow] 2 6 10 13 3" xfId="30164"/>
    <cellStyle name="Input [yellow] 2 6 10 13 4" xfId="41329"/>
    <cellStyle name="Input [yellow] 2 6 10 13 5" xfId="52522"/>
    <cellStyle name="Input [yellow] 2 6 10 14" xfId="8433"/>
    <cellStyle name="Input [yellow] 2 6 10 14 2" xfId="19630"/>
    <cellStyle name="Input [yellow] 2 6 10 14 3" xfId="30798"/>
    <cellStyle name="Input [yellow] 2 6 10 14 4" xfId="41963"/>
    <cellStyle name="Input [yellow] 2 6 10 14 5" xfId="53156"/>
    <cellStyle name="Input [yellow] 2 6 10 15" xfId="9061"/>
    <cellStyle name="Input [yellow] 2 6 10 15 2" xfId="20258"/>
    <cellStyle name="Input [yellow] 2 6 10 15 3" xfId="31426"/>
    <cellStyle name="Input [yellow] 2 6 10 15 4" xfId="42591"/>
    <cellStyle name="Input [yellow] 2 6 10 15 5" xfId="53784"/>
    <cellStyle name="Input [yellow] 2 6 10 16" xfId="9484"/>
    <cellStyle name="Input [yellow] 2 6 10 16 2" xfId="20681"/>
    <cellStyle name="Input [yellow] 2 6 10 16 3" xfId="31849"/>
    <cellStyle name="Input [yellow] 2 6 10 16 4" xfId="43014"/>
    <cellStyle name="Input [yellow] 2 6 10 16 5" xfId="54207"/>
    <cellStyle name="Input [yellow] 2 6 10 17" xfId="10109"/>
    <cellStyle name="Input [yellow] 2 6 10 17 2" xfId="21306"/>
    <cellStyle name="Input [yellow] 2 6 10 17 3" xfId="32474"/>
    <cellStyle name="Input [yellow] 2 6 10 17 4" xfId="43639"/>
    <cellStyle name="Input [yellow] 2 6 10 17 5" xfId="54832"/>
    <cellStyle name="Input [yellow] 2 6 10 18" xfId="9677"/>
    <cellStyle name="Input [yellow] 2 6 10 18 2" xfId="20874"/>
    <cellStyle name="Input [yellow] 2 6 10 18 3" xfId="32042"/>
    <cellStyle name="Input [yellow] 2 6 10 18 4" xfId="43207"/>
    <cellStyle name="Input [yellow] 2 6 10 18 5" xfId="54400"/>
    <cellStyle name="Input [yellow] 2 6 10 19" xfId="11149"/>
    <cellStyle name="Input [yellow] 2 6 10 19 2" xfId="22346"/>
    <cellStyle name="Input [yellow] 2 6 10 19 3" xfId="33514"/>
    <cellStyle name="Input [yellow] 2 6 10 19 4" xfId="44679"/>
    <cellStyle name="Input [yellow] 2 6 10 19 5" xfId="55872"/>
    <cellStyle name="Input [yellow] 2 6 10 2" xfId="1245"/>
    <cellStyle name="Input [yellow] 2 6 10 2 2" xfId="12442"/>
    <cellStyle name="Input [yellow] 2 6 10 2 3" xfId="23610"/>
    <cellStyle name="Input [yellow] 2 6 10 2 4" xfId="34775"/>
    <cellStyle name="Input [yellow] 2 6 10 2 5" xfId="45968"/>
    <cellStyle name="Input [yellow] 2 6 10 20" xfId="11796"/>
    <cellStyle name="Input [yellow] 2 6 10 21" xfId="22966"/>
    <cellStyle name="Input [yellow] 2 6 10 22" xfId="34133"/>
    <cellStyle name="Input [yellow] 2 6 10 23" xfId="45319"/>
    <cellStyle name="Input [yellow] 2 6 10 3" xfId="1349"/>
    <cellStyle name="Input [yellow] 2 6 10 3 2" xfId="12546"/>
    <cellStyle name="Input [yellow] 2 6 10 3 3" xfId="23714"/>
    <cellStyle name="Input [yellow] 2 6 10 3 4" xfId="34879"/>
    <cellStyle name="Input [yellow] 2 6 10 3 5" xfId="46072"/>
    <cellStyle name="Input [yellow] 2 6 10 4" xfId="2521"/>
    <cellStyle name="Input [yellow] 2 6 10 4 2" xfId="13718"/>
    <cellStyle name="Input [yellow] 2 6 10 4 3" xfId="24886"/>
    <cellStyle name="Input [yellow] 2 6 10 4 4" xfId="36051"/>
    <cellStyle name="Input [yellow] 2 6 10 4 5" xfId="47244"/>
    <cellStyle name="Input [yellow] 2 6 10 5" xfId="2946"/>
    <cellStyle name="Input [yellow] 2 6 10 5 2" xfId="14143"/>
    <cellStyle name="Input [yellow] 2 6 10 5 3" xfId="25311"/>
    <cellStyle name="Input [yellow] 2 6 10 5 4" xfId="36476"/>
    <cellStyle name="Input [yellow] 2 6 10 5 5" xfId="47669"/>
    <cellStyle name="Input [yellow] 2 6 10 6" xfId="3580"/>
    <cellStyle name="Input [yellow] 2 6 10 6 2" xfId="14777"/>
    <cellStyle name="Input [yellow] 2 6 10 6 3" xfId="25945"/>
    <cellStyle name="Input [yellow] 2 6 10 6 4" xfId="37110"/>
    <cellStyle name="Input [yellow] 2 6 10 6 5" xfId="48303"/>
    <cellStyle name="Input [yellow] 2 6 10 7" xfId="4214"/>
    <cellStyle name="Input [yellow] 2 6 10 7 2" xfId="15411"/>
    <cellStyle name="Input [yellow] 2 6 10 7 3" xfId="26579"/>
    <cellStyle name="Input [yellow] 2 6 10 7 4" xfId="37744"/>
    <cellStyle name="Input [yellow] 2 6 10 7 5" xfId="48937"/>
    <cellStyle name="Input [yellow] 2 6 10 8" xfId="4847"/>
    <cellStyle name="Input [yellow] 2 6 10 8 2" xfId="16044"/>
    <cellStyle name="Input [yellow] 2 6 10 8 3" xfId="27212"/>
    <cellStyle name="Input [yellow] 2 6 10 8 4" xfId="38377"/>
    <cellStyle name="Input [yellow] 2 6 10 8 5" xfId="49570"/>
    <cellStyle name="Input [yellow] 2 6 10 9" xfId="5478"/>
    <cellStyle name="Input [yellow] 2 6 10 9 2" xfId="16675"/>
    <cellStyle name="Input [yellow] 2 6 10 9 3" xfId="27843"/>
    <cellStyle name="Input [yellow] 2 6 10 9 4" xfId="39008"/>
    <cellStyle name="Input [yellow] 2 6 10 9 5" xfId="50201"/>
    <cellStyle name="Input [yellow] 2 6 11" xfId="659"/>
    <cellStyle name="Input [yellow] 2 6 11 10" xfId="6060"/>
    <cellStyle name="Input [yellow] 2 6 11 10 2" xfId="17257"/>
    <cellStyle name="Input [yellow] 2 6 11 10 3" xfId="28425"/>
    <cellStyle name="Input [yellow] 2 6 11 10 4" xfId="39590"/>
    <cellStyle name="Input [yellow] 2 6 11 10 5" xfId="50783"/>
    <cellStyle name="Input [yellow] 2 6 11 11" xfId="6595"/>
    <cellStyle name="Input [yellow] 2 6 11 11 2" xfId="17792"/>
    <cellStyle name="Input [yellow] 2 6 11 11 3" xfId="28960"/>
    <cellStyle name="Input [yellow] 2 6 11 11 4" xfId="40125"/>
    <cellStyle name="Input [yellow] 2 6 11 11 5" xfId="51318"/>
    <cellStyle name="Input [yellow] 2 6 11 12" xfId="7228"/>
    <cellStyle name="Input [yellow] 2 6 11 12 2" xfId="18425"/>
    <cellStyle name="Input [yellow] 2 6 11 12 3" xfId="29593"/>
    <cellStyle name="Input [yellow] 2 6 11 12 4" xfId="40758"/>
    <cellStyle name="Input [yellow] 2 6 11 12 5" xfId="51951"/>
    <cellStyle name="Input [yellow] 2 6 11 13" xfId="7862"/>
    <cellStyle name="Input [yellow] 2 6 11 13 2" xfId="19059"/>
    <cellStyle name="Input [yellow] 2 6 11 13 3" xfId="30227"/>
    <cellStyle name="Input [yellow] 2 6 11 13 4" xfId="41392"/>
    <cellStyle name="Input [yellow] 2 6 11 13 5" xfId="52585"/>
    <cellStyle name="Input [yellow] 2 6 11 14" xfId="8496"/>
    <cellStyle name="Input [yellow] 2 6 11 14 2" xfId="19693"/>
    <cellStyle name="Input [yellow] 2 6 11 14 3" xfId="30861"/>
    <cellStyle name="Input [yellow] 2 6 11 14 4" xfId="42026"/>
    <cellStyle name="Input [yellow] 2 6 11 14 5" xfId="53219"/>
    <cellStyle name="Input [yellow] 2 6 11 15" xfId="9124"/>
    <cellStyle name="Input [yellow] 2 6 11 15 2" xfId="20321"/>
    <cellStyle name="Input [yellow] 2 6 11 15 3" xfId="31489"/>
    <cellStyle name="Input [yellow] 2 6 11 15 4" xfId="42654"/>
    <cellStyle name="Input [yellow] 2 6 11 15 5" xfId="53847"/>
    <cellStyle name="Input [yellow] 2 6 11 16" xfId="9547"/>
    <cellStyle name="Input [yellow] 2 6 11 16 2" xfId="20744"/>
    <cellStyle name="Input [yellow] 2 6 11 16 3" xfId="31912"/>
    <cellStyle name="Input [yellow] 2 6 11 16 4" xfId="43077"/>
    <cellStyle name="Input [yellow] 2 6 11 16 5" xfId="54270"/>
    <cellStyle name="Input [yellow] 2 6 11 17" xfId="10172"/>
    <cellStyle name="Input [yellow] 2 6 11 17 2" xfId="21369"/>
    <cellStyle name="Input [yellow] 2 6 11 17 3" xfId="32537"/>
    <cellStyle name="Input [yellow] 2 6 11 17 4" xfId="43702"/>
    <cellStyle name="Input [yellow] 2 6 11 17 5" xfId="54895"/>
    <cellStyle name="Input [yellow] 2 6 11 18" xfId="10235"/>
    <cellStyle name="Input [yellow] 2 6 11 18 2" xfId="21432"/>
    <cellStyle name="Input [yellow] 2 6 11 18 3" xfId="32600"/>
    <cellStyle name="Input [yellow] 2 6 11 18 4" xfId="43765"/>
    <cellStyle name="Input [yellow] 2 6 11 18 5" xfId="54958"/>
    <cellStyle name="Input [yellow] 2 6 11 19" xfId="11212"/>
    <cellStyle name="Input [yellow] 2 6 11 19 2" xfId="22409"/>
    <cellStyle name="Input [yellow] 2 6 11 19 3" xfId="33577"/>
    <cellStyle name="Input [yellow] 2 6 11 19 4" xfId="44742"/>
    <cellStyle name="Input [yellow] 2 6 11 19 5" xfId="55935"/>
    <cellStyle name="Input [yellow] 2 6 11 2" xfId="1308"/>
    <cellStyle name="Input [yellow] 2 6 11 2 2" xfId="12505"/>
    <cellStyle name="Input [yellow] 2 6 11 2 3" xfId="23673"/>
    <cellStyle name="Input [yellow] 2 6 11 2 4" xfId="34838"/>
    <cellStyle name="Input [yellow] 2 6 11 2 5" xfId="46031"/>
    <cellStyle name="Input [yellow] 2 6 11 20" xfId="11859"/>
    <cellStyle name="Input [yellow] 2 6 11 21" xfId="23029"/>
    <cellStyle name="Input [yellow] 2 6 11 22" xfId="34196"/>
    <cellStyle name="Input [yellow] 2 6 11 23" xfId="45382"/>
    <cellStyle name="Input [yellow] 2 6 11 3" xfId="1515"/>
    <cellStyle name="Input [yellow] 2 6 11 3 2" xfId="12712"/>
    <cellStyle name="Input [yellow] 2 6 11 3 3" xfId="23880"/>
    <cellStyle name="Input [yellow] 2 6 11 3 4" xfId="35045"/>
    <cellStyle name="Input [yellow] 2 6 11 3 5" xfId="46238"/>
    <cellStyle name="Input [yellow] 2 6 11 4" xfId="2584"/>
    <cellStyle name="Input [yellow] 2 6 11 4 2" xfId="13781"/>
    <cellStyle name="Input [yellow] 2 6 11 4 3" xfId="24949"/>
    <cellStyle name="Input [yellow] 2 6 11 4 4" xfId="36114"/>
    <cellStyle name="Input [yellow] 2 6 11 4 5" xfId="47307"/>
    <cellStyle name="Input [yellow] 2 6 11 5" xfId="3009"/>
    <cellStyle name="Input [yellow] 2 6 11 5 2" xfId="14206"/>
    <cellStyle name="Input [yellow] 2 6 11 5 3" xfId="25374"/>
    <cellStyle name="Input [yellow] 2 6 11 5 4" xfId="36539"/>
    <cellStyle name="Input [yellow] 2 6 11 5 5" xfId="47732"/>
    <cellStyle name="Input [yellow] 2 6 11 6" xfId="3643"/>
    <cellStyle name="Input [yellow] 2 6 11 6 2" xfId="14840"/>
    <cellStyle name="Input [yellow] 2 6 11 6 3" xfId="26008"/>
    <cellStyle name="Input [yellow] 2 6 11 6 4" xfId="37173"/>
    <cellStyle name="Input [yellow] 2 6 11 6 5" xfId="48366"/>
    <cellStyle name="Input [yellow] 2 6 11 7" xfId="4277"/>
    <cellStyle name="Input [yellow] 2 6 11 7 2" xfId="15474"/>
    <cellStyle name="Input [yellow] 2 6 11 7 3" xfId="26642"/>
    <cellStyle name="Input [yellow] 2 6 11 7 4" xfId="37807"/>
    <cellStyle name="Input [yellow] 2 6 11 7 5" xfId="49000"/>
    <cellStyle name="Input [yellow] 2 6 11 8" xfId="4910"/>
    <cellStyle name="Input [yellow] 2 6 11 8 2" xfId="16107"/>
    <cellStyle name="Input [yellow] 2 6 11 8 3" xfId="27275"/>
    <cellStyle name="Input [yellow] 2 6 11 8 4" xfId="38440"/>
    <cellStyle name="Input [yellow] 2 6 11 8 5" xfId="49633"/>
    <cellStyle name="Input [yellow] 2 6 11 9" xfId="5541"/>
    <cellStyle name="Input [yellow] 2 6 11 9 2" xfId="16738"/>
    <cellStyle name="Input [yellow] 2 6 11 9 3" xfId="27906"/>
    <cellStyle name="Input [yellow] 2 6 11 9 4" xfId="39071"/>
    <cellStyle name="Input [yellow] 2 6 11 9 5" xfId="50264"/>
    <cellStyle name="Input [yellow] 2 6 12" xfId="733"/>
    <cellStyle name="Input [yellow] 2 6 12 2" xfId="11931"/>
    <cellStyle name="Input [yellow] 2 6 12 3" xfId="23100"/>
    <cellStyle name="Input [yellow] 2 6 12 4" xfId="34265"/>
    <cellStyle name="Input [yellow] 2 6 12 5" xfId="45456"/>
    <cellStyle name="Input [yellow] 2 6 13" xfId="1379"/>
    <cellStyle name="Input [yellow] 2 6 13 2" xfId="12576"/>
    <cellStyle name="Input [yellow] 2 6 13 3" xfId="23744"/>
    <cellStyle name="Input [yellow] 2 6 13 4" xfId="34909"/>
    <cellStyle name="Input [yellow] 2 6 13 5" xfId="46102"/>
    <cellStyle name="Input [yellow] 2 6 14" xfId="2010"/>
    <cellStyle name="Input [yellow] 2 6 14 2" xfId="13207"/>
    <cellStyle name="Input [yellow] 2 6 14 3" xfId="24375"/>
    <cellStyle name="Input [yellow] 2 6 14 4" xfId="35540"/>
    <cellStyle name="Input [yellow] 2 6 14 5" xfId="46733"/>
    <cellStyle name="Input [yellow] 2 6 15" xfId="2486"/>
    <cellStyle name="Input [yellow] 2 6 15 2" xfId="13683"/>
    <cellStyle name="Input [yellow] 2 6 15 3" xfId="24851"/>
    <cellStyle name="Input [yellow] 2 6 15 4" xfId="36016"/>
    <cellStyle name="Input [yellow] 2 6 15 5" xfId="47209"/>
    <cellStyle name="Input [yellow] 2 6 16" xfId="3068"/>
    <cellStyle name="Input [yellow] 2 6 16 2" xfId="14265"/>
    <cellStyle name="Input [yellow] 2 6 16 3" xfId="25433"/>
    <cellStyle name="Input [yellow] 2 6 16 4" xfId="36598"/>
    <cellStyle name="Input [yellow] 2 6 16 5" xfId="47791"/>
    <cellStyle name="Input [yellow] 2 6 17" xfId="3703"/>
    <cellStyle name="Input [yellow] 2 6 17 2" xfId="14900"/>
    <cellStyle name="Input [yellow] 2 6 17 3" xfId="26068"/>
    <cellStyle name="Input [yellow] 2 6 17 4" xfId="37233"/>
    <cellStyle name="Input [yellow] 2 6 17 5" xfId="48426"/>
    <cellStyle name="Input [yellow] 2 6 18" xfId="4335"/>
    <cellStyle name="Input [yellow] 2 6 18 2" xfId="15532"/>
    <cellStyle name="Input [yellow] 2 6 18 3" xfId="26700"/>
    <cellStyle name="Input [yellow] 2 6 18 4" xfId="37865"/>
    <cellStyle name="Input [yellow] 2 6 18 5" xfId="49058"/>
    <cellStyle name="Input [yellow] 2 6 19" xfId="4968"/>
    <cellStyle name="Input [yellow] 2 6 19 2" xfId="16165"/>
    <cellStyle name="Input [yellow] 2 6 19 3" xfId="27333"/>
    <cellStyle name="Input [yellow] 2 6 19 4" xfId="38498"/>
    <cellStyle name="Input [yellow] 2 6 19 5" xfId="49691"/>
    <cellStyle name="Input [yellow] 2 6 2" xfId="149"/>
    <cellStyle name="Input [yellow] 2 6 2 10" xfId="5999"/>
    <cellStyle name="Input [yellow] 2 6 2 10 2" xfId="17196"/>
    <cellStyle name="Input [yellow] 2 6 2 10 3" xfId="28364"/>
    <cellStyle name="Input [yellow] 2 6 2 10 4" xfId="39529"/>
    <cellStyle name="Input [yellow] 2 6 2 10 5" xfId="50722"/>
    <cellStyle name="Input [yellow] 2 6 2 11" xfId="5979"/>
    <cellStyle name="Input [yellow] 2 6 2 11 2" xfId="17176"/>
    <cellStyle name="Input [yellow] 2 6 2 11 3" xfId="28344"/>
    <cellStyle name="Input [yellow] 2 6 2 11 4" xfId="39509"/>
    <cellStyle name="Input [yellow] 2 6 2 11 5" xfId="50702"/>
    <cellStyle name="Input [yellow] 2 6 2 12" xfId="6718"/>
    <cellStyle name="Input [yellow] 2 6 2 12 2" xfId="17915"/>
    <cellStyle name="Input [yellow] 2 6 2 12 3" xfId="29083"/>
    <cellStyle name="Input [yellow] 2 6 2 12 4" xfId="40248"/>
    <cellStyle name="Input [yellow] 2 6 2 12 5" xfId="51441"/>
    <cellStyle name="Input [yellow] 2 6 2 13" xfId="7352"/>
    <cellStyle name="Input [yellow] 2 6 2 13 2" xfId="18549"/>
    <cellStyle name="Input [yellow] 2 6 2 13 3" xfId="29717"/>
    <cellStyle name="Input [yellow] 2 6 2 13 4" xfId="40882"/>
    <cellStyle name="Input [yellow] 2 6 2 13 5" xfId="52075"/>
    <cellStyle name="Input [yellow] 2 6 2 14" xfId="7986"/>
    <cellStyle name="Input [yellow] 2 6 2 14 2" xfId="19183"/>
    <cellStyle name="Input [yellow] 2 6 2 14 3" xfId="30351"/>
    <cellStyle name="Input [yellow] 2 6 2 14 4" xfId="41516"/>
    <cellStyle name="Input [yellow] 2 6 2 14 5" xfId="52709"/>
    <cellStyle name="Input [yellow] 2 6 2 15" xfId="8617"/>
    <cellStyle name="Input [yellow] 2 6 2 15 2" xfId="19814"/>
    <cellStyle name="Input [yellow] 2 6 2 15 3" xfId="30982"/>
    <cellStyle name="Input [yellow] 2 6 2 15 4" xfId="42147"/>
    <cellStyle name="Input [yellow] 2 6 2 15 5" xfId="53340"/>
    <cellStyle name="Input [yellow] 2 6 2 16" xfId="8609"/>
    <cellStyle name="Input [yellow] 2 6 2 16 2" xfId="19806"/>
    <cellStyle name="Input [yellow] 2 6 2 16 3" xfId="30974"/>
    <cellStyle name="Input [yellow] 2 6 2 16 4" xfId="42139"/>
    <cellStyle name="Input [yellow] 2 6 2 16 5" xfId="53332"/>
    <cellStyle name="Input [yellow] 2 6 2 17" xfId="9670"/>
    <cellStyle name="Input [yellow] 2 6 2 17 2" xfId="20867"/>
    <cellStyle name="Input [yellow] 2 6 2 17 3" xfId="32035"/>
    <cellStyle name="Input [yellow] 2 6 2 17 4" xfId="43200"/>
    <cellStyle name="Input [yellow] 2 6 2 17 5" xfId="54393"/>
    <cellStyle name="Input [yellow] 2 6 2 18" xfId="9732"/>
    <cellStyle name="Input [yellow] 2 6 2 18 2" xfId="20929"/>
    <cellStyle name="Input [yellow] 2 6 2 18 3" xfId="32097"/>
    <cellStyle name="Input [yellow] 2 6 2 18 4" xfId="43262"/>
    <cellStyle name="Input [yellow] 2 6 2 18 5" xfId="54455"/>
    <cellStyle name="Input [yellow] 2 6 2 19" xfId="10702"/>
    <cellStyle name="Input [yellow] 2 6 2 19 2" xfId="21899"/>
    <cellStyle name="Input [yellow] 2 6 2 19 3" xfId="33067"/>
    <cellStyle name="Input [yellow] 2 6 2 19 4" xfId="44232"/>
    <cellStyle name="Input [yellow] 2 6 2 19 5" xfId="55425"/>
    <cellStyle name="Input [yellow] 2 6 2 2" xfId="798"/>
    <cellStyle name="Input [yellow] 2 6 2 2 2" xfId="11995"/>
    <cellStyle name="Input [yellow] 2 6 2 2 3" xfId="23163"/>
    <cellStyle name="Input [yellow] 2 6 2 2 4" xfId="34328"/>
    <cellStyle name="Input [yellow] 2 6 2 2 5" xfId="45521"/>
    <cellStyle name="Input [yellow] 2 6 2 20" xfId="11349"/>
    <cellStyle name="Input [yellow] 2 6 2 21" xfId="22519"/>
    <cellStyle name="Input [yellow] 2 6 2 22" xfId="33686"/>
    <cellStyle name="Input [yellow] 2 6 2 23" xfId="44872"/>
    <cellStyle name="Input [yellow] 2 6 2 3" xfId="1419"/>
    <cellStyle name="Input [yellow] 2 6 2 3 2" xfId="12616"/>
    <cellStyle name="Input [yellow] 2 6 2 3 3" xfId="23784"/>
    <cellStyle name="Input [yellow] 2 6 2 3 4" xfId="34949"/>
    <cellStyle name="Input [yellow] 2 6 2 3 5" xfId="46142"/>
    <cellStyle name="Input [yellow] 2 6 2 4" xfId="2075"/>
    <cellStyle name="Input [yellow] 2 6 2 4 2" xfId="13272"/>
    <cellStyle name="Input [yellow] 2 6 2 4 3" xfId="24440"/>
    <cellStyle name="Input [yellow] 2 6 2 4 4" xfId="35605"/>
    <cellStyle name="Input [yellow] 2 6 2 4 5" xfId="46798"/>
    <cellStyle name="Input [yellow] 2 6 2 5" xfId="2002"/>
    <cellStyle name="Input [yellow] 2 6 2 5 2" xfId="13199"/>
    <cellStyle name="Input [yellow] 2 6 2 5 3" xfId="24367"/>
    <cellStyle name="Input [yellow] 2 6 2 5 4" xfId="35532"/>
    <cellStyle name="Input [yellow] 2 6 2 5 5" xfId="46725"/>
    <cellStyle name="Input [yellow] 2 6 2 6" xfId="3133"/>
    <cellStyle name="Input [yellow] 2 6 2 6 2" xfId="14330"/>
    <cellStyle name="Input [yellow] 2 6 2 6 3" xfId="25498"/>
    <cellStyle name="Input [yellow] 2 6 2 6 4" xfId="36663"/>
    <cellStyle name="Input [yellow] 2 6 2 6 5" xfId="47856"/>
    <cellStyle name="Input [yellow] 2 6 2 7" xfId="3767"/>
    <cellStyle name="Input [yellow] 2 6 2 7 2" xfId="14964"/>
    <cellStyle name="Input [yellow] 2 6 2 7 3" xfId="26132"/>
    <cellStyle name="Input [yellow] 2 6 2 7 4" xfId="37297"/>
    <cellStyle name="Input [yellow] 2 6 2 7 5" xfId="48490"/>
    <cellStyle name="Input [yellow] 2 6 2 8" xfId="4400"/>
    <cellStyle name="Input [yellow] 2 6 2 8 2" xfId="15597"/>
    <cellStyle name="Input [yellow] 2 6 2 8 3" xfId="26765"/>
    <cellStyle name="Input [yellow] 2 6 2 8 4" xfId="37930"/>
    <cellStyle name="Input [yellow] 2 6 2 8 5" xfId="49123"/>
    <cellStyle name="Input [yellow] 2 6 2 9" xfId="5031"/>
    <cellStyle name="Input [yellow] 2 6 2 9 2" xfId="16228"/>
    <cellStyle name="Input [yellow] 2 6 2 9 3" xfId="27396"/>
    <cellStyle name="Input [yellow] 2 6 2 9 4" xfId="38561"/>
    <cellStyle name="Input [yellow] 2 6 2 9 5" xfId="49754"/>
    <cellStyle name="Input [yellow] 2 6 20" xfId="6014"/>
    <cellStyle name="Input [yellow] 2 6 20 2" xfId="17211"/>
    <cellStyle name="Input [yellow] 2 6 20 3" xfId="28379"/>
    <cellStyle name="Input [yellow] 2 6 20 4" xfId="39544"/>
    <cellStyle name="Input [yellow] 2 6 20 5" xfId="50737"/>
    <cellStyle name="Input [yellow] 2 6 21" xfId="5593"/>
    <cellStyle name="Input [yellow] 2 6 21 2" xfId="16790"/>
    <cellStyle name="Input [yellow] 2 6 21 3" xfId="27958"/>
    <cellStyle name="Input [yellow] 2 6 21 4" xfId="39123"/>
    <cellStyle name="Input [yellow] 2 6 21 5" xfId="50316"/>
    <cellStyle name="Input [yellow] 2 6 22" xfId="6655"/>
    <cellStyle name="Input [yellow] 2 6 22 2" xfId="17852"/>
    <cellStyle name="Input [yellow] 2 6 22 3" xfId="29020"/>
    <cellStyle name="Input [yellow] 2 6 22 4" xfId="40185"/>
    <cellStyle name="Input [yellow] 2 6 22 5" xfId="51378"/>
    <cellStyle name="Input [yellow] 2 6 23" xfId="7287"/>
    <cellStyle name="Input [yellow] 2 6 23 2" xfId="18484"/>
    <cellStyle name="Input [yellow] 2 6 23 3" xfId="29652"/>
    <cellStyle name="Input [yellow] 2 6 23 4" xfId="40817"/>
    <cellStyle name="Input [yellow] 2 6 23 5" xfId="52010"/>
    <cellStyle name="Input [yellow] 2 6 24" xfId="7921"/>
    <cellStyle name="Input [yellow] 2 6 24 2" xfId="19118"/>
    <cellStyle name="Input [yellow] 2 6 24 3" xfId="30286"/>
    <cellStyle name="Input [yellow] 2 6 24 4" xfId="41451"/>
    <cellStyle name="Input [yellow] 2 6 24 5" xfId="52644"/>
    <cellStyle name="Input [yellow] 2 6 25" xfId="8554"/>
    <cellStyle name="Input [yellow] 2 6 25 2" xfId="19751"/>
    <cellStyle name="Input [yellow] 2 6 25 3" xfId="30919"/>
    <cellStyle name="Input [yellow] 2 6 25 4" xfId="42084"/>
    <cellStyle name="Input [yellow] 2 6 25 5" xfId="53277"/>
    <cellStyle name="Input [yellow] 2 6 26" xfId="9139"/>
    <cellStyle name="Input [yellow] 2 6 26 2" xfId="20336"/>
    <cellStyle name="Input [yellow] 2 6 26 3" xfId="31504"/>
    <cellStyle name="Input [yellow] 2 6 26 4" xfId="42669"/>
    <cellStyle name="Input [yellow] 2 6 26 5" xfId="53862"/>
    <cellStyle name="Input [yellow] 2 6 27" xfId="9606"/>
    <cellStyle name="Input [yellow] 2 6 27 2" xfId="20803"/>
    <cellStyle name="Input [yellow] 2 6 27 3" xfId="31971"/>
    <cellStyle name="Input [yellow] 2 6 27 4" xfId="43136"/>
    <cellStyle name="Input [yellow] 2 6 27 5" xfId="54329"/>
    <cellStyle name="Input [yellow] 2 6 28" xfId="10450"/>
    <cellStyle name="Input [yellow] 2 6 28 2" xfId="21647"/>
    <cellStyle name="Input [yellow] 2 6 28 3" xfId="32815"/>
    <cellStyle name="Input [yellow] 2 6 28 4" xfId="43980"/>
    <cellStyle name="Input [yellow] 2 6 28 5" xfId="55173"/>
    <cellStyle name="Input [yellow] 2 6 29" xfId="10639"/>
    <cellStyle name="Input [yellow] 2 6 29 2" xfId="21836"/>
    <cellStyle name="Input [yellow] 2 6 29 3" xfId="33004"/>
    <cellStyle name="Input [yellow] 2 6 29 4" xfId="44169"/>
    <cellStyle name="Input [yellow] 2 6 29 5" xfId="55362"/>
    <cellStyle name="Input [yellow] 2 6 3" xfId="205"/>
    <cellStyle name="Input [yellow] 2 6 3 10" xfId="5716"/>
    <cellStyle name="Input [yellow] 2 6 3 10 2" xfId="16913"/>
    <cellStyle name="Input [yellow] 2 6 3 10 3" xfId="28081"/>
    <cellStyle name="Input [yellow] 2 6 3 10 4" xfId="39246"/>
    <cellStyle name="Input [yellow] 2 6 3 10 5" xfId="50439"/>
    <cellStyle name="Input [yellow] 2 6 3 11" xfId="4948"/>
    <cellStyle name="Input [yellow] 2 6 3 11 2" xfId="16145"/>
    <cellStyle name="Input [yellow] 2 6 3 11 3" xfId="27313"/>
    <cellStyle name="Input [yellow] 2 6 3 11 4" xfId="38478"/>
    <cellStyle name="Input [yellow] 2 6 3 11 5" xfId="49671"/>
    <cellStyle name="Input [yellow] 2 6 3 12" xfId="6774"/>
    <cellStyle name="Input [yellow] 2 6 3 12 2" xfId="17971"/>
    <cellStyle name="Input [yellow] 2 6 3 12 3" xfId="29139"/>
    <cellStyle name="Input [yellow] 2 6 3 12 4" xfId="40304"/>
    <cellStyle name="Input [yellow] 2 6 3 12 5" xfId="51497"/>
    <cellStyle name="Input [yellow] 2 6 3 13" xfId="7408"/>
    <cellStyle name="Input [yellow] 2 6 3 13 2" xfId="18605"/>
    <cellStyle name="Input [yellow] 2 6 3 13 3" xfId="29773"/>
    <cellStyle name="Input [yellow] 2 6 3 13 4" xfId="40938"/>
    <cellStyle name="Input [yellow] 2 6 3 13 5" xfId="52131"/>
    <cellStyle name="Input [yellow] 2 6 3 14" xfId="8042"/>
    <cellStyle name="Input [yellow] 2 6 3 14 2" xfId="19239"/>
    <cellStyle name="Input [yellow] 2 6 3 14 3" xfId="30407"/>
    <cellStyle name="Input [yellow] 2 6 3 14 4" xfId="41572"/>
    <cellStyle name="Input [yellow] 2 6 3 14 5" xfId="52765"/>
    <cellStyle name="Input [yellow] 2 6 3 15" xfId="8673"/>
    <cellStyle name="Input [yellow] 2 6 3 15 2" xfId="19870"/>
    <cellStyle name="Input [yellow] 2 6 3 15 3" xfId="31038"/>
    <cellStyle name="Input [yellow] 2 6 3 15 4" xfId="42203"/>
    <cellStyle name="Input [yellow] 2 6 3 15 5" xfId="53396"/>
    <cellStyle name="Input [yellow] 2 6 3 16" xfId="8650"/>
    <cellStyle name="Input [yellow] 2 6 3 16 2" xfId="19847"/>
    <cellStyle name="Input [yellow] 2 6 3 16 3" xfId="31015"/>
    <cellStyle name="Input [yellow] 2 6 3 16 4" xfId="42180"/>
    <cellStyle name="Input [yellow] 2 6 3 16 5" xfId="53373"/>
    <cellStyle name="Input [yellow] 2 6 3 17" xfId="9725"/>
    <cellStyle name="Input [yellow] 2 6 3 17 2" xfId="20922"/>
    <cellStyle name="Input [yellow] 2 6 3 17 3" xfId="32090"/>
    <cellStyle name="Input [yellow] 2 6 3 17 4" xfId="43255"/>
    <cellStyle name="Input [yellow] 2 6 3 17 5" xfId="54448"/>
    <cellStyle name="Input [yellow] 2 6 3 18" xfId="9935"/>
    <cellStyle name="Input [yellow] 2 6 3 18 2" xfId="21132"/>
    <cellStyle name="Input [yellow] 2 6 3 18 3" xfId="32300"/>
    <cellStyle name="Input [yellow] 2 6 3 18 4" xfId="43465"/>
    <cellStyle name="Input [yellow] 2 6 3 18 5" xfId="54658"/>
    <cellStyle name="Input [yellow] 2 6 3 19" xfId="10758"/>
    <cellStyle name="Input [yellow] 2 6 3 19 2" xfId="21955"/>
    <cellStyle name="Input [yellow] 2 6 3 19 3" xfId="33123"/>
    <cellStyle name="Input [yellow] 2 6 3 19 4" xfId="44288"/>
    <cellStyle name="Input [yellow] 2 6 3 19 5" xfId="55481"/>
    <cellStyle name="Input [yellow] 2 6 3 2" xfId="854"/>
    <cellStyle name="Input [yellow] 2 6 3 2 2" xfId="12051"/>
    <cellStyle name="Input [yellow] 2 6 3 2 3" xfId="23219"/>
    <cellStyle name="Input [yellow] 2 6 3 2 4" xfId="34384"/>
    <cellStyle name="Input [yellow] 2 6 3 2 5" xfId="45577"/>
    <cellStyle name="Input [yellow] 2 6 3 20" xfId="11405"/>
    <cellStyle name="Input [yellow] 2 6 3 21" xfId="22575"/>
    <cellStyle name="Input [yellow] 2 6 3 22" xfId="33742"/>
    <cellStyle name="Input [yellow] 2 6 3 23" xfId="44928"/>
    <cellStyle name="Input [yellow] 2 6 3 3" xfId="1859"/>
    <cellStyle name="Input [yellow] 2 6 3 3 2" xfId="13056"/>
    <cellStyle name="Input [yellow] 2 6 3 3 3" xfId="24224"/>
    <cellStyle name="Input [yellow] 2 6 3 3 4" xfId="35389"/>
    <cellStyle name="Input [yellow] 2 6 3 3 5" xfId="46582"/>
    <cellStyle name="Input [yellow] 2 6 3 4" xfId="2131"/>
    <cellStyle name="Input [yellow] 2 6 3 4 2" xfId="13328"/>
    <cellStyle name="Input [yellow] 2 6 3 4 3" xfId="24496"/>
    <cellStyle name="Input [yellow] 2 6 3 4 4" xfId="35661"/>
    <cellStyle name="Input [yellow] 2 6 3 4 5" xfId="46854"/>
    <cellStyle name="Input [yellow] 2 6 3 5" xfId="2045"/>
    <cellStyle name="Input [yellow] 2 6 3 5 2" xfId="13242"/>
    <cellStyle name="Input [yellow] 2 6 3 5 3" xfId="24410"/>
    <cellStyle name="Input [yellow] 2 6 3 5 4" xfId="35575"/>
    <cellStyle name="Input [yellow] 2 6 3 5 5" xfId="46768"/>
    <cellStyle name="Input [yellow] 2 6 3 6" xfId="3189"/>
    <cellStyle name="Input [yellow] 2 6 3 6 2" xfId="14386"/>
    <cellStyle name="Input [yellow] 2 6 3 6 3" xfId="25554"/>
    <cellStyle name="Input [yellow] 2 6 3 6 4" xfId="36719"/>
    <cellStyle name="Input [yellow] 2 6 3 6 5" xfId="47912"/>
    <cellStyle name="Input [yellow] 2 6 3 7" xfId="3823"/>
    <cellStyle name="Input [yellow] 2 6 3 7 2" xfId="15020"/>
    <cellStyle name="Input [yellow] 2 6 3 7 3" xfId="26188"/>
    <cellStyle name="Input [yellow] 2 6 3 7 4" xfId="37353"/>
    <cellStyle name="Input [yellow] 2 6 3 7 5" xfId="48546"/>
    <cellStyle name="Input [yellow] 2 6 3 8" xfId="4456"/>
    <cellStyle name="Input [yellow] 2 6 3 8 2" xfId="15653"/>
    <cellStyle name="Input [yellow] 2 6 3 8 3" xfId="26821"/>
    <cellStyle name="Input [yellow] 2 6 3 8 4" xfId="37986"/>
    <cellStyle name="Input [yellow] 2 6 3 8 5" xfId="49179"/>
    <cellStyle name="Input [yellow] 2 6 3 9" xfId="5087"/>
    <cellStyle name="Input [yellow] 2 6 3 9 2" xfId="16284"/>
    <cellStyle name="Input [yellow] 2 6 3 9 3" xfId="27452"/>
    <cellStyle name="Input [yellow] 2 6 3 9 4" xfId="38617"/>
    <cellStyle name="Input [yellow] 2 6 3 9 5" xfId="49810"/>
    <cellStyle name="Input [yellow] 2 6 30" xfId="11285"/>
    <cellStyle name="Input [yellow] 2 6 31" xfId="22456"/>
    <cellStyle name="Input [yellow] 2 6 32" xfId="33623"/>
    <cellStyle name="Input [yellow] 2 6 33" xfId="44807"/>
    <cellStyle name="Input [yellow] 2 6 4" xfId="265"/>
    <cellStyle name="Input [yellow] 2 6 4 10" xfId="6106"/>
    <cellStyle name="Input [yellow] 2 6 4 10 2" xfId="17303"/>
    <cellStyle name="Input [yellow] 2 6 4 10 3" xfId="28471"/>
    <cellStyle name="Input [yellow] 2 6 4 10 4" xfId="39636"/>
    <cellStyle name="Input [yellow] 2 6 4 10 5" xfId="50829"/>
    <cellStyle name="Input [yellow] 2 6 4 11" xfId="6044"/>
    <cellStyle name="Input [yellow] 2 6 4 11 2" xfId="17241"/>
    <cellStyle name="Input [yellow] 2 6 4 11 3" xfId="28409"/>
    <cellStyle name="Input [yellow] 2 6 4 11 4" xfId="39574"/>
    <cellStyle name="Input [yellow] 2 6 4 11 5" xfId="50767"/>
    <cellStyle name="Input [yellow] 2 6 4 12" xfId="6834"/>
    <cellStyle name="Input [yellow] 2 6 4 12 2" xfId="18031"/>
    <cellStyle name="Input [yellow] 2 6 4 12 3" xfId="29199"/>
    <cellStyle name="Input [yellow] 2 6 4 12 4" xfId="40364"/>
    <cellStyle name="Input [yellow] 2 6 4 12 5" xfId="51557"/>
    <cellStyle name="Input [yellow] 2 6 4 13" xfId="7468"/>
    <cellStyle name="Input [yellow] 2 6 4 13 2" xfId="18665"/>
    <cellStyle name="Input [yellow] 2 6 4 13 3" xfId="29833"/>
    <cellStyle name="Input [yellow] 2 6 4 13 4" xfId="40998"/>
    <cellStyle name="Input [yellow] 2 6 4 13 5" xfId="52191"/>
    <cellStyle name="Input [yellow] 2 6 4 14" xfId="8102"/>
    <cellStyle name="Input [yellow] 2 6 4 14 2" xfId="19299"/>
    <cellStyle name="Input [yellow] 2 6 4 14 3" xfId="30467"/>
    <cellStyle name="Input [yellow] 2 6 4 14 4" xfId="41632"/>
    <cellStyle name="Input [yellow] 2 6 4 14 5" xfId="52825"/>
    <cellStyle name="Input [yellow] 2 6 4 15" xfId="8732"/>
    <cellStyle name="Input [yellow] 2 6 4 15 2" xfId="19929"/>
    <cellStyle name="Input [yellow] 2 6 4 15 3" xfId="31097"/>
    <cellStyle name="Input [yellow] 2 6 4 15 4" xfId="42262"/>
    <cellStyle name="Input [yellow] 2 6 4 15 5" xfId="53455"/>
    <cellStyle name="Input [yellow] 2 6 4 16" xfId="7915"/>
    <cellStyle name="Input [yellow] 2 6 4 16 2" xfId="19112"/>
    <cellStyle name="Input [yellow] 2 6 4 16 3" xfId="30280"/>
    <cellStyle name="Input [yellow] 2 6 4 16 4" xfId="41445"/>
    <cellStyle name="Input [yellow] 2 6 4 16 5" xfId="52638"/>
    <cellStyle name="Input [yellow] 2 6 4 17" xfId="9782"/>
    <cellStyle name="Input [yellow] 2 6 4 17 2" xfId="20979"/>
    <cellStyle name="Input [yellow] 2 6 4 17 3" xfId="32147"/>
    <cellStyle name="Input [yellow] 2 6 4 17 4" xfId="43312"/>
    <cellStyle name="Input [yellow] 2 6 4 17 5" xfId="54505"/>
    <cellStyle name="Input [yellow] 2 6 4 18" xfId="10294"/>
    <cellStyle name="Input [yellow] 2 6 4 18 2" xfId="21491"/>
    <cellStyle name="Input [yellow] 2 6 4 18 3" xfId="32659"/>
    <cellStyle name="Input [yellow] 2 6 4 18 4" xfId="43824"/>
    <cellStyle name="Input [yellow] 2 6 4 18 5" xfId="55017"/>
    <cellStyle name="Input [yellow] 2 6 4 19" xfId="10818"/>
    <cellStyle name="Input [yellow] 2 6 4 19 2" xfId="22015"/>
    <cellStyle name="Input [yellow] 2 6 4 19 3" xfId="33183"/>
    <cellStyle name="Input [yellow] 2 6 4 19 4" xfId="44348"/>
    <cellStyle name="Input [yellow] 2 6 4 19 5" xfId="55541"/>
    <cellStyle name="Input [yellow] 2 6 4 2" xfId="914"/>
    <cellStyle name="Input [yellow] 2 6 4 2 2" xfId="12111"/>
    <cellStyle name="Input [yellow] 2 6 4 2 3" xfId="23279"/>
    <cellStyle name="Input [yellow] 2 6 4 2 4" xfId="34444"/>
    <cellStyle name="Input [yellow] 2 6 4 2 5" xfId="45637"/>
    <cellStyle name="Input [yellow] 2 6 4 20" xfId="11465"/>
    <cellStyle name="Input [yellow] 2 6 4 21" xfId="22635"/>
    <cellStyle name="Input [yellow] 2 6 4 22" xfId="33802"/>
    <cellStyle name="Input [yellow] 2 6 4 23" xfId="44988"/>
    <cellStyle name="Input [yellow] 2 6 4 3" xfId="1606"/>
    <cellStyle name="Input [yellow] 2 6 4 3 2" xfId="12803"/>
    <cellStyle name="Input [yellow] 2 6 4 3 3" xfId="23971"/>
    <cellStyle name="Input [yellow] 2 6 4 3 4" xfId="35136"/>
    <cellStyle name="Input [yellow] 2 6 4 3 5" xfId="46329"/>
    <cellStyle name="Input [yellow] 2 6 4 4" xfId="2191"/>
    <cellStyle name="Input [yellow] 2 6 4 4 2" xfId="13388"/>
    <cellStyle name="Input [yellow] 2 6 4 4 3" xfId="24556"/>
    <cellStyle name="Input [yellow] 2 6 4 4 4" xfId="35721"/>
    <cellStyle name="Input [yellow] 2 6 4 4 5" xfId="46914"/>
    <cellStyle name="Input [yellow] 2 6 4 5" xfId="1501"/>
    <cellStyle name="Input [yellow] 2 6 4 5 2" xfId="12698"/>
    <cellStyle name="Input [yellow] 2 6 4 5 3" xfId="23866"/>
    <cellStyle name="Input [yellow] 2 6 4 5 4" xfId="35031"/>
    <cellStyle name="Input [yellow] 2 6 4 5 5" xfId="46224"/>
    <cellStyle name="Input [yellow] 2 6 4 6" xfId="3249"/>
    <cellStyle name="Input [yellow] 2 6 4 6 2" xfId="14446"/>
    <cellStyle name="Input [yellow] 2 6 4 6 3" xfId="25614"/>
    <cellStyle name="Input [yellow] 2 6 4 6 4" xfId="36779"/>
    <cellStyle name="Input [yellow] 2 6 4 6 5" xfId="47972"/>
    <cellStyle name="Input [yellow] 2 6 4 7" xfId="3883"/>
    <cellStyle name="Input [yellow] 2 6 4 7 2" xfId="15080"/>
    <cellStyle name="Input [yellow] 2 6 4 7 3" xfId="26248"/>
    <cellStyle name="Input [yellow] 2 6 4 7 4" xfId="37413"/>
    <cellStyle name="Input [yellow] 2 6 4 7 5" xfId="48606"/>
    <cellStyle name="Input [yellow] 2 6 4 8" xfId="4516"/>
    <cellStyle name="Input [yellow] 2 6 4 8 2" xfId="15713"/>
    <cellStyle name="Input [yellow] 2 6 4 8 3" xfId="26881"/>
    <cellStyle name="Input [yellow] 2 6 4 8 4" xfId="38046"/>
    <cellStyle name="Input [yellow] 2 6 4 8 5" xfId="49239"/>
    <cellStyle name="Input [yellow] 2 6 4 9" xfId="5147"/>
    <cellStyle name="Input [yellow] 2 6 4 9 2" xfId="16344"/>
    <cellStyle name="Input [yellow] 2 6 4 9 3" xfId="27512"/>
    <cellStyle name="Input [yellow] 2 6 4 9 4" xfId="38677"/>
    <cellStyle name="Input [yellow] 2 6 4 9 5" xfId="49870"/>
    <cellStyle name="Input [yellow] 2 6 5" xfId="128"/>
    <cellStyle name="Input [yellow] 2 6 5 10" xfId="6029"/>
    <cellStyle name="Input [yellow] 2 6 5 10 2" xfId="17226"/>
    <cellStyle name="Input [yellow] 2 6 5 10 3" xfId="28394"/>
    <cellStyle name="Input [yellow] 2 6 5 10 4" xfId="39559"/>
    <cellStyle name="Input [yellow] 2 6 5 10 5" xfId="50752"/>
    <cellStyle name="Input [yellow] 2 6 5 11" xfId="4321"/>
    <cellStyle name="Input [yellow] 2 6 5 11 2" xfId="15518"/>
    <cellStyle name="Input [yellow] 2 6 5 11 3" xfId="26686"/>
    <cellStyle name="Input [yellow] 2 6 5 11 4" xfId="37851"/>
    <cellStyle name="Input [yellow] 2 6 5 11 5" xfId="49044"/>
    <cellStyle name="Input [yellow] 2 6 5 12" xfId="6697"/>
    <cellStyle name="Input [yellow] 2 6 5 12 2" xfId="17894"/>
    <cellStyle name="Input [yellow] 2 6 5 12 3" xfId="29062"/>
    <cellStyle name="Input [yellow] 2 6 5 12 4" xfId="40227"/>
    <cellStyle name="Input [yellow] 2 6 5 12 5" xfId="51420"/>
    <cellStyle name="Input [yellow] 2 6 5 13" xfId="7331"/>
    <cellStyle name="Input [yellow] 2 6 5 13 2" xfId="18528"/>
    <cellStyle name="Input [yellow] 2 6 5 13 3" xfId="29696"/>
    <cellStyle name="Input [yellow] 2 6 5 13 4" xfId="40861"/>
    <cellStyle name="Input [yellow] 2 6 5 13 5" xfId="52054"/>
    <cellStyle name="Input [yellow] 2 6 5 14" xfId="7965"/>
    <cellStyle name="Input [yellow] 2 6 5 14 2" xfId="19162"/>
    <cellStyle name="Input [yellow] 2 6 5 14 3" xfId="30330"/>
    <cellStyle name="Input [yellow] 2 6 5 14 4" xfId="41495"/>
    <cellStyle name="Input [yellow] 2 6 5 14 5" xfId="52688"/>
    <cellStyle name="Input [yellow] 2 6 5 15" xfId="8596"/>
    <cellStyle name="Input [yellow] 2 6 5 15 2" xfId="19793"/>
    <cellStyle name="Input [yellow] 2 6 5 15 3" xfId="30961"/>
    <cellStyle name="Input [yellow] 2 6 5 15 4" xfId="42126"/>
    <cellStyle name="Input [yellow] 2 6 5 15 5" xfId="53319"/>
    <cellStyle name="Input [yellow] 2 6 5 16" xfId="9126"/>
    <cellStyle name="Input [yellow] 2 6 5 16 2" xfId="20323"/>
    <cellStyle name="Input [yellow] 2 6 5 16 3" xfId="31491"/>
    <cellStyle name="Input [yellow] 2 6 5 16 4" xfId="42656"/>
    <cellStyle name="Input [yellow] 2 6 5 16 5" xfId="53849"/>
    <cellStyle name="Input [yellow] 2 6 5 17" xfId="9649"/>
    <cellStyle name="Input [yellow] 2 6 5 17 2" xfId="20846"/>
    <cellStyle name="Input [yellow] 2 6 5 17 3" xfId="32014"/>
    <cellStyle name="Input [yellow] 2 6 5 17 4" xfId="43179"/>
    <cellStyle name="Input [yellow] 2 6 5 17 5" xfId="54372"/>
    <cellStyle name="Input [yellow] 2 6 5 18" xfId="10369"/>
    <cellStyle name="Input [yellow] 2 6 5 18 2" xfId="21566"/>
    <cellStyle name="Input [yellow] 2 6 5 18 3" xfId="32734"/>
    <cellStyle name="Input [yellow] 2 6 5 18 4" xfId="43899"/>
    <cellStyle name="Input [yellow] 2 6 5 18 5" xfId="55092"/>
    <cellStyle name="Input [yellow] 2 6 5 19" xfId="10681"/>
    <cellStyle name="Input [yellow] 2 6 5 19 2" xfId="21878"/>
    <cellStyle name="Input [yellow] 2 6 5 19 3" xfId="33046"/>
    <cellStyle name="Input [yellow] 2 6 5 19 4" xfId="44211"/>
    <cellStyle name="Input [yellow] 2 6 5 19 5" xfId="55404"/>
    <cellStyle name="Input [yellow] 2 6 5 2" xfId="777"/>
    <cellStyle name="Input [yellow] 2 6 5 2 2" xfId="11974"/>
    <cellStyle name="Input [yellow] 2 6 5 2 3" xfId="23142"/>
    <cellStyle name="Input [yellow] 2 6 5 2 4" xfId="34307"/>
    <cellStyle name="Input [yellow] 2 6 5 2 5" xfId="45500"/>
    <cellStyle name="Input [yellow] 2 6 5 20" xfId="11328"/>
    <cellStyle name="Input [yellow] 2 6 5 21" xfId="22498"/>
    <cellStyle name="Input [yellow] 2 6 5 22" xfId="33665"/>
    <cellStyle name="Input [yellow] 2 6 5 23" xfId="44851"/>
    <cellStyle name="Input [yellow] 2 6 5 3" xfId="1367"/>
    <cellStyle name="Input [yellow] 2 6 5 3 2" xfId="12564"/>
    <cellStyle name="Input [yellow] 2 6 5 3 3" xfId="23732"/>
    <cellStyle name="Input [yellow] 2 6 5 3 4" xfId="34897"/>
    <cellStyle name="Input [yellow] 2 6 5 3 5" xfId="46090"/>
    <cellStyle name="Input [yellow] 2 6 5 4" xfId="2054"/>
    <cellStyle name="Input [yellow] 2 6 5 4 2" xfId="13251"/>
    <cellStyle name="Input [yellow] 2 6 5 4 3" xfId="24419"/>
    <cellStyle name="Input [yellow] 2 6 5 4 4" xfId="35584"/>
    <cellStyle name="Input [yellow] 2 6 5 4 5" xfId="46777"/>
    <cellStyle name="Input [yellow] 2 6 5 5" xfId="2472"/>
    <cellStyle name="Input [yellow] 2 6 5 5 2" xfId="13669"/>
    <cellStyle name="Input [yellow] 2 6 5 5 3" xfId="24837"/>
    <cellStyle name="Input [yellow] 2 6 5 5 4" xfId="36002"/>
    <cellStyle name="Input [yellow] 2 6 5 5 5" xfId="47195"/>
    <cellStyle name="Input [yellow] 2 6 5 6" xfId="3112"/>
    <cellStyle name="Input [yellow] 2 6 5 6 2" xfId="14309"/>
    <cellStyle name="Input [yellow] 2 6 5 6 3" xfId="25477"/>
    <cellStyle name="Input [yellow] 2 6 5 6 4" xfId="36642"/>
    <cellStyle name="Input [yellow] 2 6 5 6 5" xfId="47835"/>
    <cellStyle name="Input [yellow] 2 6 5 7" xfId="3746"/>
    <cellStyle name="Input [yellow] 2 6 5 7 2" xfId="14943"/>
    <cellStyle name="Input [yellow] 2 6 5 7 3" xfId="26111"/>
    <cellStyle name="Input [yellow] 2 6 5 7 4" xfId="37276"/>
    <cellStyle name="Input [yellow] 2 6 5 7 5" xfId="48469"/>
    <cellStyle name="Input [yellow] 2 6 5 8" xfId="4379"/>
    <cellStyle name="Input [yellow] 2 6 5 8 2" xfId="15576"/>
    <cellStyle name="Input [yellow] 2 6 5 8 3" xfId="26744"/>
    <cellStyle name="Input [yellow] 2 6 5 8 4" xfId="37909"/>
    <cellStyle name="Input [yellow] 2 6 5 8 5" xfId="49102"/>
    <cellStyle name="Input [yellow] 2 6 5 9" xfId="5010"/>
    <cellStyle name="Input [yellow] 2 6 5 9 2" xfId="16207"/>
    <cellStyle name="Input [yellow] 2 6 5 9 3" xfId="27375"/>
    <cellStyle name="Input [yellow] 2 6 5 9 4" xfId="38540"/>
    <cellStyle name="Input [yellow] 2 6 5 9 5" xfId="49733"/>
    <cellStyle name="Input [yellow] 2 6 6" xfId="284"/>
    <cellStyle name="Input [yellow] 2 6 6 10" xfId="5600"/>
    <cellStyle name="Input [yellow] 2 6 6 10 2" xfId="16797"/>
    <cellStyle name="Input [yellow] 2 6 6 10 3" xfId="27965"/>
    <cellStyle name="Input [yellow] 2 6 6 10 4" xfId="39130"/>
    <cellStyle name="Input [yellow] 2 6 6 10 5" xfId="50323"/>
    <cellStyle name="Input [yellow] 2 6 6 11" xfId="6220"/>
    <cellStyle name="Input [yellow] 2 6 6 11 2" xfId="17417"/>
    <cellStyle name="Input [yellow] 2 6 6 11 3" xfId="28585"/>
    <cellStyle name="Input [yellow] 2 6 6 11 4" xfId="39750"/>
    <cellStyle name="Input [yellow] 2 6 6 11 5" xfId="50943"/>
    <cellStyle name="Input [yellow] 2 6 6 12" xfId="6853"/>
    <cellStyle name="Input [yellow] 2 6 6 12 2" xfId="18050"/>
    <cellStyle name="Input [yellow] 2 6 6 12 3" xfId="29218"/>
    <cellStyle name="Input [yellow] 2 6 6 12 4" xfId="40383"/>
    <cellStyle name="Input [yellow] 2 6 6 12 5" xfId="51576"/>
    <cellStyle name="Input [yellow] 2 6 6 13" xfId="7487"/>
    <cellStyle name="Input [yellow] 2 6 6 13 2" xfId="18684"/>
    <cellStyle name="Input [yellow] 2 6 6 13 3" xfId="29852"/>
    <cellStyle name="Input [yellow] 2 6 6 13 4" xfId="41017"/>
    <cellStyle name="Input [yellow] 2 6 6 13 5" xfId="52210"/>
    <cellStyle name="Input [yellow] 2 6 6 14" xfId="8121"/>
    <cellStyle name="Input [yellow] 2 6 6 14 2" xfId="19318"/>
    <cellStyle name="Input [yellow] 2 6 6 14 3" xfId="30486"/>
    <cellStyle name="Input [yellow] 2 6 6 14 4" xfId="41651"/>
    <cellStyle name="Input [yellow] 2 6 6 14 5" xfId="52844"/>
    <cellStyle name="Input [yellow] 2 6 6 15" xfId="8750"/>
    <cellStyle name="Input [yellow] 2 6 6 15 2" xfId="19947"/>
    <cellStyle name="Input [yellow] 2 6 6 15 3" xfId="31115"/>
    <cellStyle name="Input [yellow] 2 6 6 15 4" xfId="42280"/>
    <cellStyle name="Input [yellow] 2 6 6 15 5" xfId="53473"/>
    <cellStyle name="Input [yellow] 2 6 6 16" xfId="9172"/>
    <cellStyle name="Input [yellow] 2 6 6 16 2" xfId="20369"/>
    <cellStyle name="Input [yellow] 2 6 6 16 3" xfId="31537"/>
    <cellStyle name="Input [yellow] 2 6 6 16 4" xfId="42702"/>
    <cellStyle name="Input [yellow] 2 6 6 16 5" xfId="53895"/>
    <cellStyle name="Input [yellow] 2 6 6 17" xfId="9799"/>
    <cellStyle name="Input [yellow] 2 6 6 17 2" xfId="20996"/>
    <cellStyle name="Input [yellow] 2 6 6 17 3" xfId="32164"/>
    <cellStyle name="Input [yellow] 2 6 6 17 4" xfId="43329"/>
    <cellStyle name="Input [yellow] 2 6 6 17 5" xfId="54522"/>
    <cellStyle name="Input [yellow] 2 6 6 18" xfId="10481"/>
    <cellStyle name="Input [yellow] 2 6 6 18 2" xfId="21678"/>
    <cellStyle name="Input [yellow] 2 6 6 18 3" xfId="32846"/>
    <cellStyle name="Input [yellow] 2 6 6 18 4" xfId="44011"/>
    <cellStyle name="Input [yellow] 2 6 6 18 5" xfId="55204"/>
    <cellStyle name="Input [yellow] 2 6 6 19" xfId="10837"/>
    <cellStyle name="Input [yellow] 2 6 6 19 2" xfId="22034"/>
    <cellStyle name="Input [yellow] 2 6 6 19 3" xfId="33202"/>
    <cellStyle name="Input [yellow] 2 6 6 19 4" xfId="44367"/>
    <cellStyle name="Input [yellow] 2 6 6 19 5" xfId="55560"/>
    <cellStyle name="Input [yellow] 2 6 6 2" xfId="933"/>
    <cellStyle name="Input [yellow] 2 6 6 2 2" xfId="12130"/>
    <cellStyle name="Input [yellow] 2 6 6 2 3" xfId="23298"/>
    <cellStyle name="Input [yellow] 2 6 6 2 4" xfId="34463"/>
    <cellStyle name="Input [yellow] 2 6 6 2 5" xfId="45656"/>
    <cellStyle name="Input [yellow] 2 6 6 20" xfId="11484"/>
    <cellStyle name="Input [yellow] 2 6 6 21" xfId="22654"/>
    <cellStyle name="Input [yellow] 2 6 6 22" xfId="33821"/>
    <cellStyle name="Input [yellow] 2 6 6 23" xfId="45007"/>
    <cellStyle name="Input [yellow] 2 6 6 3" xfId="1777"/>
    <cellStyle name="Input [yellow] 2 6 6 3 2" xfId="12974"/>
    <cellStyle name="Input [yellow] 2 6 6 3 3" xfId="24142"/>
    <cellStyle name="Input [yellow] 2 6 6 3 4" xfId="35307"/>
    <cellStyle name="Input [yellow] 2 6 6 3 5" xfId="46500"/>
    <cellStyle name="Input [yellow] 2 6 6 4" xfId="2210"/>
    <cellStyle name="Input [yellow] 2 6 6 4 2" xfId="13407"/>
    <cellStyle name="Input [yellow] 2 6 6 4 3" xfId="24575"/>
    <cellStyle name="Input [yellow] 2 6 6 4 4" xfId="35740"/>
    <cellStyle name="Input [yellow] 2 6 6 4 5" xfId="46933"/>
    <cellStyle name="Input [yellow] 2 6 6 5" xfId="2634"/>
    <cellStyle name="Input [yellow] 2 6 6 5 2" xfId="13831"/>
    <cellStyle name="Input [yellow] 2 6 6 5 3" xfId="24999"/>
    <cellStyle name="Input [yellow] 2 6 6 5 4" xfId="36164"/>
    <cellStyle name="Input [yellow] 2 6 6 5 5" xfId="47357"/>
    <cellStyle name="Input [yellow] 2 6 6 6" xfId="3268"/>
    <cellStyle name="Input [yellow] 2 6 6 6 2" xfId="14465"/>
    <cellStyle name="Input [yellow] 2 6 6 6 3" xfId="25633"/>
    <cellStyle name="Input [yellow] 2 6 6 6 4" xfId="36798"/>
    <cellStyle name="Input [yellow] 2 6 6 6 5" xfId="47991"/>
    <cellStyle name="Input [yellow] 2 6 6 7" xfId="3902"/>
    <cellStyle name="Input [yellow] 2 6 6 7 2" xfId="15099"/>
    <cellStyle name="Input [yellow] 2 6 6 7 3" xfId="26267"/>
    <cellStyle name="Input [yellow] 2 6 6 7 4" xfId="37432"/>
    <cellStyle name="Input [yellow] 2 6 6 7 5" xfId="48625"/>
    <cellStyle name="Input [yellow] 2 6 6 8" xfId="4535"/>
    <cellStyle name="Input [yellow] 2 6 6 8 2" xfId="15732"/>
    <cellStyle name="Input [yellow] 2 6 6 8 3" xfId="26900"/>
    <cellStyle name="Input [yellow] 2 6 6 8 4" xfId="38065"/>
    <cellStyle name="Input [yellow] 2 6 6 8 5" xfId="49258"/>
    <cellStyle name="Input [yellow] 2 6 6 9" xfId="5166"/>
    <cellStyle name="Input [yellow] 2 6 6 9 2" xfId="16363"/>
    <cellStyle name="Input [yellow] 2 6 6 9 3" xfId="27531"/>
    <cellStyle name="Input [yellow] 2 6 6 9 4" xfId="38696"/>
    <cellStyle name="Input [yellow] 2 6 6 9 5" xfId="49889"/>
    <cellStyle name="Input [yellow] 2 6 7" xfId="433"/>
    <cellStyle name="Input [yellow] 2 6 7 10" xfId="6009"/>
    <cellStyle name="Input [yellow] 2 6 7 10 2" xfId="17206"/>
    <cellStyle name="Input [yellow] 2 6 7 10 3" xfId="28374"/>
    <cellStyle name="Input [yellow] 2 6 7 10 4" xfId="39539"/>
    <cellStyle name="Input [yellow] 2 6 7 10 5" xfId="50732"/>
    <cellStyle name="Input [yellow] 2 6 7 11" xfId="6369"/>
    <cellStyle name="Input [yellow] 2 6 7 11 2" xfId="17566"/>
    <cellStyle name="Input [yellow] 2 6 7 11 3" xfId="28734"/>
    <cellStyle name="Input [yellow] 2 6 7 11 4" xfId="39899"/>
    <cellStyle name="Input [yellow] 2 6 7 11 5" xfId="51092"/>
    <cellStyle name="Input [yellow] 2 6 7 12" xfId="7002"/>
    <cellStyle name="Input [yellow] 2 6 7 12 2" xfId="18199"/>
    <cellStyle name="Input [yellow] 2 6 7 12 3" xfId="29367"/>
    <cellStyle name="Input [yellow] 2 6 7 12 4" xfId="40532"/>
    <cellStyle name="Input [yellow] 2 6 7 12 5" xfId="51725"/>
    <cellStyle name="Input [yellow] 2 6 7 13" xfId="7636"/>
    <cellStyle name="Input [yellow] 2 6 7 13 2" xfId="18833"/>
    <cellStyle name="Input [yellow] 2 6 7 13 3" xfId="30001"/>
    <cellStyle name="Input [yellow] 2 6 7 13 4" xfId="41166"/>
    <cellStyle name="Input [yellow] 2 6 7 13 5" xfId="52359"/>
    <cellStyle name="Input [yellow] 2 6 7 14" xfId="8270"/>
    <cellStyle name="Input [yellow] 2 6 7 14 2" xfId="19467"/>
    <cellStyle name="Input [yellow] 2 6 7 14 3" xfId="30635"/>
    <cellStyle name="Input [yellow] 2 6 7 14 4" xfId="41800"/>
    <cellStyle name="Input [yellow] 2 6 7 14 5" xfId="52993"/>
    <cellStyle name="Input [yellow] 2 6 7 15" xfId="8898"/>
    <cellStyle name="Input [yellow] 2 6 7 15 2" xfId="20095"/>
    <cellStyle name="Input [yellow] 2 6 7 15 3" xfId="31263"/>
    <cellStyle name="Input [yellow] 2 6 7 15 4" xfId="42428"/>
    <cellStyle name="Input [yellow] 2 6 7 15 5" xfId="53621"/>
    <cellStyle name="Input [yellow] 2 6 7 16" xfId="9321"/>
    <cellStyle name="Input [yellow] 2 6 7 16 2" xfId="20518"/>
    <cellStyle name="Input [yellow] 2 6 7 16 3" xfId="31686"/>
    <cellStyle name="Input [yellow] 2 6 7 16 4" xfId="42851"/>
    <cellStyle name="Input [yellow] 2 6 7 16 5" xfId="54044"/>
    <cellStyle name="Input [yellow] 2 6 7 17" xfId="9947"/>
    <cellStyle name="Input [yellow] 2 6 7 17 2" xfId="21144"/>
    <cellStyle name="Input [yellow] 2 6 7 17 3" xfId="32312"/>
    <cellStyle name="Input [yellow] 2 6 7 17 4" xfId="43477"/>
    <cellStyle name="Input [yellow] 2 6 7 17 5" xfId="54670"/>
    <cellStyle name="Input [yellow] 2 6 7 18" xfId="10218"/>
    <cellStyle name="Input [yellow] 2 6 7 18 2" xfId="21415"/>
    <cellStyle name="Input [yellow] 2 6 7 18 3" xfId="32583"/>
    <cellStyle name="Input [yellow] 2 6 7 18 4" xfId="43748"/>
    <cellStyle name="Input [yellow] 2 6 7 18 5" xfId="54941"/>
    <cellStyle name="Input [yellow] 2 6 7 19" xfId="10986"/>
    <cellStyle name="Input [yellow] 2 6 7 19 2" xfId="22183"/>
    <cellStyle name="Input [yellow] 2 6 7 19 3" xfId="33351"/>
    <cellStyle name="Input [yellow] 2 6 7 19 4" xfId="44516"/>
    <cellStyle name="Input [yellow] 2 6 7 19 5" xfId="55709"/>
    <cellStyle name="Input [yellow] 2 6 7 2" xfId="1082"/>
    <cellStyle name="Input [yellow] 2 6 7 2 2" xfId="12279"/>
    <cellStyle name="Input [yellow] 2 6 7 2 3" xfId="23447"/>
    <cellStyle name="Input [yellow] 2 6 7 2 4" xfId="34612"/>
    <cellStyle name="Input [yellow] 2 6 7 2 5" xfId="45805"/>
    <cellStyle name="Input [yellow] 2 6 7 20" xfId="11633"/>
    <cellStyle name="Input [yellow] 2 6 7 21" xfId="22803"/>
    <cellStyle name="Input [yellow] 2 6 7 22" xfId="33970"/>
    <cellStyle name="Input [yellow] 2 6 7 23" xfId="45156"/>
    <cellStyle name="Input [yellow] 2 6 7 3" xfId="1513"/>
    <cellStyle name="Input [yellow] 2 6 7 3 2" xfId="12710"/>
    <cellStyle name="Input [yellow] 2 6 7 3 3" xfId="23878"/>
    <cellStyle name="Input [yellow] 2 6 7 3 4" xfId="35043"/>
    <cellStyle name="Input [yellow] 2 6 7 3 5" xfId="46236"/>
    <cellStyle name="Input [yellow] 2 6 7 4" xfId="2358"/>
    <cellStyle name="Input [yellow] 2 6 7 4 2" xfId="13555"/>
    <cellStyle name="Input [yellow] 2 6 7 4 3" xfId="24723"/>
    <cellStyle name="Input [yellow] 2 6 7 4 4" xfId="35888"/>
    <cellStyle name="Input [yellow] 2 6 7 4 5" xfId="47081"/>
    <cellStyle name="Input [yellow] 2 6 7 5" xfId="2783"/>
    <cellStyle name="Input [yellow] 2 6 7 5 2" xfId="13980"/>
    <cellStyle name="Input [yellow] 2 6 7 5 3" xfId="25148"/>
    <cellStyle name="Input [yellow] 2 6 7 5 4" xfId="36313"/>
    <cellStyle name="Input [yellow] 2 6 7 5 5" xfId="47506"/>
    <cellStyle name="Input [yellow] 2 6 7 6" xfId="3417"/>
    <cellStyle name="Input [yellow] 2 6 7 6 2" xfId="14614"/>
    <cellStyle name="Input [yellow] 2 6 7 6 3" xfId="25782"/>
    <cellStyle name="Input [yellow] 2 6 7 6 4" xfId="36947"/>
    <cellStyle name="Input [yellow] 2 6 7 6 5" xfId="48140"/>
    <cellStyle name="Input [yellow] 2 6 7 7" xfId="4051"/>
    <cellStyle name="Input [yellow] 2 6 7 7 2" xfId="15248"/>
    <cellStyle name="Input [yellow] 2 6 7 7 3" xfId="26416"/>
    <cellStyle name="Input [yellow] 2 6 7 7 4" xfId="37581"/>
    <cellStyle name="Input [yellow] 2 6 7 7 5" xfId="48774"/>
    <cellStyle name="Input [yellow] 2 6 7 8" xfId="4684"/>
    <cellStyle name="Input [yellow] 2 6 7 8 2" xfId="15881"/>
    <cellStyle name="Input [yellow] 2 6 7 8 3" xfId="27049"/>
    <cellStyle name="Input [yellow] 2 6 7 8 4" xfId="38214"/>
    <cellStyle name="Input [yellow] 2 6 7 8 5" xfId="49407"/>
    <cellStyle name="Input [yellow] 2 6 7 9" xfId="5315"/>
    <cellStyle name="Input [yellow] 2 6 7 9 2" xfId="16512"/>
    <cellStyle name="Input [yellow] 2 6 7 9 3" xfId="27680"/>
    <cellStyle name="Input [yellow] 2 6 7 9 4" xfId="38845"/>
    <cellStyle name="Input [yellow] 2 6 7 9 5" xfId="50038"/>
    <cellStyle name="Input [yellow] 2 6 8" xfId="493"/>
    <cellStyle name="Input [yellow] 2 6 8 10" xfId="6151"/>
    <cellStyle name="Input [yellow] 2 6 8 10 2" xfId="17348"/>
    <cellStyle name="Input [yellow] 2 6 8 10 3" xfId="28516"/>
    <cellStyle name="Input [yellow] 2 6 8 10 4" xfId="39681"/>
    <cellStyle name="Input [yellow] 2 6 8 10 5" xfId="50874"/>
    <cellStyle name="Input [yellow] 2 6 8 11" xfId="6429"/>
    <cellStyle name="Input [yellow] 2 6 8 11 2" xfId="17626"/>
    <cellStyle name="Input [yellow] 2 6 8 11 3" xfId="28794"/>
    <cellStyle name="Input [yellow] 2 6 8 11 4" xfId="39959"/>
    <cellStyle name="Input [yellow] 2 6 8 11 5" xfId="51152"/>
    <cellStyle name="Input [yellow] 2 6 8 12" xfId="7062"/>
    <cellStyle name="Input [yellow] 2 6 8 12 2" xfId="18259"/>
    <cellStyle name="Input [yellow] 2 6 8 12 3" xfId="29427"/>
    <cellStyle name="Input [yellow] 2 6 8 12 4" xfId="40592"/>
    <cellStyle name="Input [yellow] 2 6 8 12 5" xfId="51785"/>
    <cellStyle name="Input [yellow] 2 6 8 13" xfId="7696"/>
    <cellStyle name="Input [yellow] 2 6 8 13 2" xfId="18893"/>
    <cellStyle name="Input [yellow] 2 6 8 13 3" xfId="30061"/>
    <cellStyle name="Input [yellow] 2 6 8 13 4" xfId="41226"/>
    <cellStyle name="Input [yellow] 2 6 8 13 5" xfId="52419"/>
    <cellStyle name="Input [yellow] 2 6 8 14" xfId="8330"/>
    <cellStyle name="Input [yellow] 2 6 8 14 2" xfId="19527"/>
    <cellStyle name="Input [yellow] 2 6 8 14 3" xfId="30695"/>
    <cellStyle name="Input [yellow] 2 6 8 14 4" xfId="41860"/>
    <cellStyle name="Input [yellow] 2 6 8 14 5" xfId="53053"/>
    <cellStyle name="Input [yellow] 2 6 8 15" xfId="8958"/>
    <cellStyle name="Input [yellow] 2 6 8 15 2" xfId="20155"/>
    <cellStyle name="Input [yellow] 2 6 8 15 3" xfId="31323"/>
    <cellStyle name="Input [yellow] 2 6 8 15 4" xfId="42488"/>
    <cellStyle name="Input [yellow] 2 6 8 15 5" xfId="53681"/>
    <cellStyle name="Input [yellow] 2 6 8 16" xfId="9381"/>
    <cellStyle name="Input [yellow] 2 6 8 16 2" xfId="20578"/>
    <cellStyle name="Input [yellow] 2 6 8 16 3" xfId="31746"/>
    <cellStyle name="Input [yellow] 2 6 8 16 4" xfId="42911"/>
    <cellStyle name="Input [yellow] 2 6 8 16 5" xfId="54104"/>
    <cellStyle name="Input [yellow] 2 6 8 17" xfId="10007"/>
    <cellStyle name="Input [yellow] 2 6 8 17 2" xfId="21204"/>
    <cellStyle name="Input [yellow] 2 6 8 17 3" xfId="32372"/>
    <cellStyle name="Input [yellow] 2 6 8 17 4" xfId="43537"/>
    <cellStyle name="Input [yellow] 2 6 8 17 5" xfId="54730"/>
    <cellStyle name="Input [yellow] 2 6 8 18" xfId="9749"/>
    <cellStyle name="Input [yellow] 2 6 8 18 2" xfId="20946"/>
    <cellStyle name="Input [yellow] 2 6 8 18 3" xfId="32114"/>
    <cellStyle name="Input [yellow] 2 6 8 18 4" xfId="43279"/>
    <cellStyle name="Input [yellow] 2 6 8 18 5" xfId="54472"/>
    <cellStyle name="Input [yellow] 2 6 8 19" xfId="11046"/>
    <cellStyle name="Input [yellow] 2 6 8 19 2" xfId="22243"/>
    <cellStyle name="Input [yellow] 2 6 8 19 3" xfId="33411"/>
    <cellStyle name="Input [yellow] 2 6 8 19 4" xfId="44576"/>
    <cellStyle name="Input [yellow] 2 6 8 19 5" xfId="55769"/>
    <cellStyle name="Input [yellow] 2 6 8 2" xfId="1142"/>
    <cellStyle name="Input [yellow] 2 6 8 2 2" xfId="12339"/>
    <cellStyle name="Input [yellow] 2 6 8 2 3" xfId="23507"/>
    <cellStyle name="Input [yellow] 2 6 8 2 4" xfId="34672"/>
    <cellStyle name="Input [yellow] 2 6 8 2 5" xfId="45865"/>
    <cellStyle name="Input [yellow] 2 6 8 20" xfId="11693"/>
    <cellStyle name="Input [yellow] 2 6 8 21" xfId="22863"/>
    <cellStyle name="Input [yellow] 2 6 8 22" xfId="34030"/>
    <cellStyle name="Input [yellow] 2 6 8 23" xfId="45216"/>
    <cellStyle name="Input [yellow] 2 6 8 3" xfId="1500"/>
    <cellStyle name="Input [yellow] 2 6 8 3 2" xfId="12697"/>
    <cellStyle name="Input [yellow] 2 6 8 3 3" xfId="23865"/>
    <cellStyle name="Input [yellow] 2 6 8 3 4" xfId="35030"/>
    <cellStyle name="Input [yellow] 2 6 8 3 5" xfId="46223"/>
    <cellStyle name="Input [yellow] 2 6 8 4" xfId="2418"/>
    <cellStyle name="Input [yellow] 2 6 8 4 2" xfId="13615"/>
    <cellStyle name="Input [yellow] 2 6 8 4 3" xfId="24783"/>
    <cellStyle name="Input [yellow] 2 6 8 4 4" xfId="35948"/>
    <cellStyle name="Input [yellow] 2 6 8 4 5" xfId="47141"/>
    <cellStyle name="Input [yellow] 2 6 8 5" xfId="2843"/>
    <cellStyle name="Input [yellow] 2 6 8 5 2" xfId="14040"/>
    <cellStyle name="Input [yellow] 2 6 8 5 3" xfId="25208"/>
    <cellStyle name="Input [yellow] 2 6 8 5 4" xfId="36373"/>
    <cellStyle name="Input [yellow] 2 6 8 5 5" xfId="47566"/>
    <cellStyle name="Input [yellow] 2 6 8 6" xfId="3477"/>
    <cellStyle name="Input [yellow] 2 6 8 6 2" xfId="14674"/>
    <cellStyle name="Input [yellow] 2 6 8 6 3" xfId="25842"/>
    <cellStyle name="Input [yellow] 2 6 8 6 4" xfId="37007"/>
    <cellStyle name="Input [yellow] 2 6 8 6 5" xfId="48200"/>
    <cellStyle name="Input [yellow] 2 6 8 7" xfId="4111"/>
    <cellStyle name="Input [yellow] 2 6 8 7 2" xfId="15308"/>
    <cellStyle name="Input [yellow] 2 6 8 7 3" xfId="26476"/>
    <cellStyle name="Input [yellow] 2 6 8 7 4" xfId="37641"/>
    <cellStyle name="Input [yellow] 2 6 8 7 5" xfId="48834"/>
    <cellStyle name="Input [yellow] 2 6 8 8" xfId="4744"/>
    <cellStyle name="Input [yellow] 2 6 8 8 2" xfId="15941"/>
    <cellStyle name="Input [yellow] 2 6 8 8 3" xfId="27109"/>
    <cellStyle name="Input [yellow] 2 6 8 8 4" xfId="38274"/>
    <cellStyle name="Input [yellow] 2 6 8 8 5" xfId="49467"/>
    <cellStyle name="Input [yellow] 2 6 8 9" xfId="5375"/>
    <cellStyle name="Input [yellow] 2 6 8 9 2" xfId="16572"/>
    <cellStyle name="Input [yellow] 2 6 8 9 3" xfId="27740"/>
    <cellStyle name="Input [yellow] 2 6 8 9 4" xfId="38905"/>
    <cellStyle name="Input [yellow] 2 6 8 9 5" xfId="50098"/>
    <cellStyle name="Input [yellow] 2 6 9" xfId="551"/>
    <cellStyle name="Input [yellow] 2 6 9 10" xfId="6156"/>
    <cellStyle name="Input [yellow] 2 6 9 10 2" xfId="17353"/>
    <cellStyle name="Input [yellow] 2 6 9 10 3" xfId="28521"/>
    <cellStyle name="Input [yellow] 2 6 9 10 4" xfId="39686"/>
    <cellStyle name="Input [yellow] 2 6 9 10 5" xfId="50879"/>
    <cellStyle name="Input [yellow] 2 6 9 11" xfId="6487"/>
    <cellStyle name="Input [yellow] 2 6 9 11 2" xfId="17684"/>
    <cellStyle name="Input [yellow] 2 6 9 11 3" xfId="28852"/>
    <cellStyle name="Input [yellow] 2 6 9 11 4" xfId="40017"/>
    <cellStyle name="Input [yellow] 2 6 9 11 5" xfId="51210"/>
    <cellStyle name="Input [yellow] 2 6 9 12" xfId="7120"/>
    <cellStyle name="Input [yellow] 2 6 9 12 2" xfId="18317"/>
    <cellStyle name="Input [yellow] 2 6 9 12 3" xfId="29485"/>
    <cellStyle name="Input [yellow] 2 6 9 12 4" xfId="40650"/>
    <cellStyle name="Input [yellow] 2 6 9 12 5" xfId="51843"/>
    <cellStyle name="Input [yellow] 2 6 9 13" xfId="7754"/>
    <cellStyle name="Input [yellow] 2 6 9 13 2" xfId="18951"/>
    <cellStyle name="Input [yellow] 2 6 9 13 3" xfId="30119"/>
    <cellStyle name="Input [yellow] 2 6 9 13 4" xfId="41284"/>
    <cellStyle name="Input [yellow] 2 6 9 13 5" xfId="52477"/>
    <cellStyle name="Input [yellow] 2 6 9 14" xfId="8388"/>
    <cellStyle name="Input [yellow] 2 6 9 14 2" xfId="19585"/>
    <cellStyle name="Input [yellow] 2 6 9 14 3" xfId="30753"/>
    <cellStyle name="Input [yellow] 2 6 9 14 4" xfId="41918"/>
    <cellStyle name="Input [yellow] 2 6 9 14 5" xfId="53111"/>
    <cellStyle name="Input [yellow] 2 6 9 15" xfId="9016"/>
    <cellStyle name="Input [yellow] 2 6 9 15 2" xfId="20213"/>
    <cellStyle name="Input [yellow] 2 6 9 15 3" xfId="31381"/>
    <cellStyle name="Input [yellow] 2 6 9 15 4" xfId="42546"/>
    <cellStyle name="Input [yellow] 2 6 9 15 5" xfId="53739"/>
    <cellStyle name="Input [yellow] 2 6 9 16" xfId="9439"/>
    <cellStyle name="Input [yellow] 2 6 9 16 2" xfId="20636"/>
    <cellStyle name="Input [yellow] 2 6 9 16 3" xfId="31804"/>
    <cellStyle name="Input [yellow] 2 6 9 16 4" xfId="42969"/>
    <cellStyle name="Input [yellow] 2 6 9 16 5" xfId="54162"/>
    <cellStyle name="Input [yellow] 2 6 9 17" xfId="10064"/>
    <cellStyle name="Input [yellow] 2 6 9 17 2" xfId="21261"/>
    <cellStyle name="Input [yellow] 2 6 9 17 3" xfId="32429"/>
    <cellStyle name="Input [yellow] 2 6 9 17 4" xfId="43594"/>
    <cellStyle name="Input [yellow] 2 6 9 17 5" xfId="54787"/>
    <cellStyle name="Input [yellow] 2 6 9 18" xfId="10590"/>
    <cellStyle name="Input [yellow] 2 6 9 18 2" xfId="21787"/>
    <cellStyle name="Input [yellow] 2 6 9 18 3" xfId="32955"/>
    <cellStyle name="Input [yellow] 2 6 9 18 4" xfId="44120"/>
    <cellStyle name="Input [yellow] 2 6 9 18 5" xfId="55313"/>
    <cellStyle name="Input [yellow] 2 6 9 19" xfId="11104"/>
    <cellStyle name="Input [yellow] 2 6 9 19 2" xfId="22301"/>
    <cellStyle name="Input [yellow] 2 6 9 19 3" xfId="33469"/>
    <cellStyle name="Input [yellow] 2 6 9 19 4" xfId="44634"/>
    <cellStyle name="Input [yellow] 2 6 9 19 5" xfId="55827"/>
    <cellStyle name="Input [yellow] 2 6 9 2" xfId="1200"/>
    <cellStyle name="Input [yellow] 2 6 9 2 2" xfId="12397"/>
    <cellStyle name="Input [yellow] 2 6 9 2 3" xfId="23565"/>
    <cellStyle name="Input [yellow] 2 6 9 2 4" xfId="34730"/>
    <cellStyle name="Input [yellow] 2 6 9 2 5" xfId="45923"/>
    <cellStyle name="Input [yellow] 2 6 9 20" xfId="11751"/>
    <cellStyle name="Input [yellow] 2 6 9 21" xfId="22921"/>
    <cellStyle name="Input [yellow] 2 6 9 22" xfId="34088"/>
    <cellStyle name="Input [yellow] 2 6 9 23" xfId="45274"/>
    <cellStyle name="Input [yellow] 2 6 9 3" xfId="1898"/>
    <cellStyle name="Input [yellow] 2 6 9 3 2" xfId="13095"/>
    <cellStyle name="Input [yellow] 2 6 9 3 3" xfId="24263"/>
    <cellStyle name="Input [yellow] 2 6 9 3 4" xfId="35428"/>
    <cellStyle name="Input [yellow] 2 6 9 3 5" xfId="46621"/>
    <cellStyle name="Input [yellow] 2 6 9 4" xfId="2476"/>
    <cellStyle name="Input [yellow] 2 6 9 4 2" xfId="13673"/>
    <cellStyle name="Input [yellow] 2 6 9 4 3" xfId="24841"/>
    <cellStyle name="Input [yellow] 2 6 9 4 4" xfId="36006"/>
    <cellStyle name="Input [yellow] 2 6 9 4 5" xfId="47199"/>
    <cellStyle name="Input [yellow] 2 6 9 5" xfId="2901"/>
    <cellStyle name="Input [yellow] 2 6 9 5 2" xfId="14098"/>
    <cellStyle name="Input [yellow] 2 6 9 5 3" xfId="25266"/>
    <cellStyle name="Input [yellow] 2 6 9 5 4" xfId="36431"/>
    <cellStyle name="Input [yellow] 2 6 9 5 5" xfId="47624"/>
    <cellStyle name="Input [yellow] 2 6 9 6" xfId="3535"/>
    <cellStyle name="Input [yellow] 2 6 9 6 2" xfId="14732"/>
    <cellStyle name="Input [yellow] 2 6 9 6 3" xfId="25900"/>
    <cellStyle name="Input [yellow] 2 6 9 6 4" xfId="37065"/>
    <cellStyle name="Input [yellow] 2 6 9 6 5" xfId="48258"/>
    <cellStyle name="Input [yellow] 2 6 9 7" xfId="4169"/>
    <cellStyle name="Input [yellow] 2 6 9 7 2" xfId="15366"/>
    <cellStyle name="Input [yellow] 2 6 9 7 3" xfId="26534"/>
    <cellStyle name="Input [yellow] 2 6 9 7 4" xfId="37699"/>
    <cellStyle name="Input [yellow] 2 6 9 7 5" xfId="48892"/>
    <cellStyle name="Input [yellow] 2 6 9 8" xfId="4802"/>
    <cellStyle name="Input [yellow] 2 6 9 8 2" xfId="15999"/>
    <cellStyle name="Input [yellow] 2 6 9 8 3" xfId="27167"/>
    <cellStyle name="Input [yellow] 2 6 9 8 4" xfId="38332"/>
    <cellStyle name="Input [yellow] 2 6 9 8 5" xfId="49525"/>
    <cellStyle name="Input [yellow] 2 6 9 9" xfId="5433"/>
    <cellStyle name="Input [yellow] 2 6 9 9 2" xfId="16630"/>
    <cellStyle name="Input [yellow] 2 6 9 9 3" xfId="27798"/>
    <cellStyle name="Input [yellow] 2 6 9 9 4" xfId="38963"/>
    <cellStyle name="Input [yellow] 2 6 9 9 5" xfId="50156"/>
    <cellStyle name="Input [yellow] 2 7" xfId="87"/>
    <cellStyle name="Input [yellow] 2 7 10" xfId="609"/>
    <cellStyle name="Input [yellow] 2 7 10 10" xfId="5954"/>
    <cellStyle name="Input [yellow] 2 7 10 10 2" xfId="17151"/>
    <cellStyle name="Input [yellow] 2 7 10 10 3" xfId="28319"/>
    <cellStyle name="Input [yellow] 2 7 10 10 4" xfId="39484"/>
    <cellStyle name="Input [yellow] 2 7 10 10 5" xfId="50677"/>
    <cellStyle name="Input [yellow] 2 7 10 11" xfId="6545"/>
    <cellStyle name="Input [yellow] 2 7 10 11 2" xfId="17742"/>
    <cellStyle name="Input [yellow] 2 7 10 11 3" xfId="28910"/>
    <cellStyle name="Input [yellow] 2 7 10 11 4" xfId="40075"/>
    <cellStyle name="Input [yellow] 2 7 10 11 5" xfId="51268"/>
    <cellStyle name="Input [yellow] 2 7 10 12" xfId="7178"/>
    <cellStyle name="Input [yellow] 2 7 10 12 2" xfId="18375"/>
    <cellStyle name="Input [yellow] 2 7 10 12 3" xfId="29543"/>
    <cellStyle name="Input [yellow] 2 7 10 12 4" xfId="40708"/>
    <cellStyle name="Input [yellow] 2 7 10 12 5" xfId="51901"/>
    <cellStyle name="Input [yellow] 2 7 10 13" xfId="7812"/>
    <cellStyle name="Input [yellow] 2 7 10 13 2" xfId="19009"/>
    <cellStyle name="Input [yellow] 2 7 10 13 3" xfId="30177"/>
    <cellStyle name="Input [yellow] 2 7 10 13 4" xfId="41342"/>
    <cellStyle name="Input [yellow] 2 7 10 13 5" xfId="52535"/>
    <cellStyle name="Input [yellow] 2 7 10 14" xfId="8446"/>
    <cellStyle name="Input [yellow] 2 7 10 14 2" xfId="19643"/>
    <cellStyle name="Input [yellow] 2 7 10 14 3" xfId="30811"/>
    <cellStyle name="Input [yellow] 2 7 10 14 4" xfId="41976"/>
    <cellStyle name="Input [yellow] 2 7 10 14 5" xfId="53169"/>
    <cellStyle name="Input [yellow] 2 7 10 15" xfId="9074"/>
    <cellStyle name="Input [yellow] 2 7 10 15 2" xfId="20271"/>
    <cellStyle name="Input [yellow] 2 7 10 15 3" xfId="31439"/>
    <cellStyle name="Input [yellow] 2 7 10 15 4" xfId="42604"/>
    <cellStyle name="Input [yellow] 2 7 10 15 5" xfId="53797"/>
    <cellStyle name="Input [yellow] 2 7 10 16" xfId="9497"/>
    <cellStyle name="Input [yellow] 2 7 10 16 2" xfId="20694"/>
    <cellStyle name="Input [yellow] 2 7 10 16 3" xfId="31862"/>
    <cellStyle name="Input [yellow] 2 7 10 16 4" xfId="43027"/>
    <cellStyle name="Input [yellow] 2 7 10 16 5" xfId="54220"/>
    <cellStyle name="Input [yellow] 2 7 10 17" xfId="10122"/>
    <cellStyle name="Input [yellow] 2 7 10 17 2" xfId="21319"/>
    <cellStyle name="Input [yellow] 2 7 10 17 3" xfId="32487"/>
    <cellStyle name="Input [yellow] 2 7 10 17 4" xfId="43652"/>
    <cellStyle name="Input [yellow] 2 7 10 17 5" xfId="54845"/>
    <cellStyle name="Input [yellow] 2 7 10 18" xfId="9724"/>
    <cellStyle name="Input [yellow] 2 7 10 18 2" xfId="20921"/>
    <cellStyle name="Input [yellow] 2 7 10 18 3" xfId="32089"/>
    <cellStyle name="Input [yellow] 2 7 10 18 4" xfId="43254"/>
    <cellStyle name="Input [yellow] 2 7 10 18 5" xfId="54447"/>
    <cellStyle name="Input [yellow] 2 7 10 19" xfId="11162"/>
    <cellStyle name="Input [yellow] 2 7 10 19 2" xfId="22359"/>
    <cellStyle name="Input [yellow] 2 7 10 19 3" xfId="33527"/>
    <cellStyle name="Input [yellow] 2 7 10 19 4" xfId="44692"/>
    <cellStyle name="Input [yellow] 2 7 10 19 5" xfId="55885"/>
    <cellStyle name="Input [yellow] 2 7 10 2" xfId="1258"/>
    <cellStyle name="Input [yellow] 2 7 10 2 2" xfId="12455"/>
    <cellStyle name="Input [yellow] 2 7 10 2 3" xfId="23623"/>
    <cellStyle name="Input [yellow] 2 7 10 2 4" xfId="34788"/>
    <cellStyle name="Input [yellow] 2 7 10 2 5" xfId="45981"/>
    <cellStyle name="Input [yellow] 2 7 10 20" xfId="11809"/>
    <cellStyle name="Input [yellow] 2 7 10 21" xfId="22979"/>
    <cellStyle name="Input [yellow] 2 7 10 22" xfId="34146"/>
    <cellStyle name="Input [yellow] 2 7 10 23" xfId="45332"/>
    <cellStyle name="Input [yellow] 2 7 10 3" xfId="1872"/>
    <cellStyle name="Input [yellow] 2 7 10 3 2" xfId="13069"/>
    <cellStyle name="Input [yellow] 2 7 10 3 3" xfId="24237"/>
    <cellStyle name="Input [yellow] 2 7 10 3 4" xfId="35402"/>
    <cellStyle name="Input [yellow] 2 7 10 3 5" xfId="46595"/>
    <cellStyle name="Input [yellow] 2 7 10 4" xfId="2534"/>
    <cellStyle name="Input [yellow] 2 7 10 4 2" xfId="13731"/>
    <cellStyle name="Input [yellow] 2 7 10 4 3" xfId="24899"/>
    <cellStyle name="Input [yellow] 2 7 10 4 4" xfId="36064"/>
    <cellStyle name="Input [yellow] 2 7 10 4 5" xfId="47257"/>
    <cellStyle name="Input [yellow] 2 7 10 5" xfId="2959"/>
    <cellStyle name="Input [yellow] 2 7 10 5 2" xfId="14156"/>
    <cellStyle name="Input [yellow] 2 7 10 5 3" xfId="25324"/>
    <cellStyle name="Input [yellow] 2 7 10 5 4" xfId="36489"/>
    <cellStyle name="Input [yellow] 2 7 10 5 5" xfId="47682"/>
    <cellStyle name="Input [yellow] 2 7 10 6" xfId="3593"/>
    <cellStyle name="Input [yellow] 2 7 10 6 2" xfId="14790"/>
    <cellStyle name="Input [yellow] 2 7 10 6 3" xfId="25958"/>
    <cellStyle name="Input [yellow] 2 7 10 6 4" xfId="37123"/>
    <cellStyle name="Input [yellow] 2 7 10 6 5" xfId="48316"/>
    <cellStyle name="Input [yellow] 2 7 10 7" xfId="4227"/>
    <cellStyle name="Input [yellow] 2 7 10 7 2" xfId="15424"/>
    <cellStyle name="Input [yellow] 2 7 10 7 3" xfId="26592"/>
    <cellStyle name="Input [yellow] 2 7 10 7 4" xfId="37757"/>
    <cellStyle name="Input [yellow] 2 7 10 7 5" xfId="48950"/>
    <cellStyle name="Input [yellow] 2 7 10 8" xfId="4860"/>
    <cellStyle name="Input [yellow] 2 7 10 8 2" xfId="16057"/>
    <cellStyle name="Input [yellow] 2 7 10 8 3" xfId="27225"/>
    <cellStyle name="Input [yellow] 2 7 10 8 4" xfId="38390"/>
    <cellStyle name="Input [yellow] 2 7 10 8 5" xfId="49583"/>
    <cellStyle name="Input [yellow] 2 7 10 9" xfId="5491"/>
    <cellStyle name="Input [yellow] 2 7 10 9 2" xfId="16688"/>
    <cellStyle name="Input [yellow] 2 7 10 9 3" xfId="27856"/>
    <cellStyle name="Input [yellow] 2 7 10 9 4" xfId="39021"/>
    <cellStyle name="Input [yellow] 2 7 10 9 5" xfId="50214"/>
    <cellStyle name="Input [yellow] 2 7 11" xfId="654"/>
    <cellStyle name="Input [yellow] 2 7 11 10" xfId="6131"/>
    <cellStyle name="Input [yellow] 2 7 11 10 2" xfId="17328"/>
    <cellStyle name="Input [yellow] 2 7 11 10 3" xfId="28496"/>
    <cellStyle name="Input [yellow] 2 7 11 10 4" xfId="39661"/>
    <cellStyle name="Input [yellow] 2 7 11 10 5" xfId="50854"/>
    <cellStyle name="Input [yellow] 2 7 11 11" xfId="6590"/>
    <cellStyle name="Input [yellow] 2 7 11 11 2" xfId="17787"/>
    <cellStyle name="Input [yellow] 2 7 11 11 3" xfId="28955"/>
    <cellStyle name="Input [yellow] 2 7 11 11 4" xfId="40120"/>
    <cellStyle name="Input [yellow] 2 7 11 11 5" xfId="51313"/>
    <cellStyle name="Input [yellow] 2 7 11 12" xfId="7223"/>
    <cellStyle name="Input [yellow] 2 7 11 12 2" xfId="18420"/>
    <cellStyle name="Input [yellow] 2 7 11 12 3" xfId="29588"/>
    <cellStyle name="Input [yellow] 2 7 11 12 4" xfId="40753"/>
    <cellStyle name="Input [yellow] 2 7 11 12 5" xfId="51946"/>
    <cellStyle name="Input [yellow] 2 7 11 13" xfId="7857"/>
    <cellStyle name="Input [yellow] 2 7 11 13 2" xfId="19054"/>
    <cellStyle name="Input [yellow] 2 7 11 13 3" xfId="30222"/>
    <cellStyle name="Input [yellow] 2 7 11 13 4" xfId="41387"/>
    <cellStyle name="Input [yellow] 2 7 11 13 5" xfId="52580"/>
    <cellStyle name="Input [yellow] 2 7 11 14" xfId="8491"/>
    <cellStyle name="Input [yellow] 2 7 11 14 2" xfId="19688"/>
    <cellStyle name="Input [yellow] 2 7 11 14 3" xfId="30856"/>
    <cellStyle name="Input [yellow] 2 7 11 14 4" xfId="42021"/>
    <cellStyle name="Input [yellow] 2 7 11 14 5" xfId="53214"/>
    <cellStyle name="Input [yellow] 2 7 11 15" xfId="9119"/>
    <cellStyle name="Input [yellow] 2 7 11 15 2" xfId="20316"/>
    <cellStyle name="Input [yellow] 2 7 11 15 3" xfId="31484"/>
    <cellStyle name="Input [yellow] 2 7 11 15 4" xfId="42649"/>
    <cellStyle name="Input [yellow] 2 7 11 15 5" xfId="53842"/>
    <cellStyle name="Input [yellow] 2 7 11 16" xfId="9542"/>
    <cellStyle name="Input [yellow] 2 7 11 16 2" xfId="20739"/>
    <cellStyle name="Input [yellow] 2 7 11 16 3" xfId="31907"/>
    <cellStyle name="Input [yellow] 2 7 11 16 4" xfId="43072"/>
    <cellStyle name="Input [yellow] 2 7 11 16 5" xfId="54265"/>
    <cellStyle name="Input [yellow] 2 7 11 17" xfId="10167"/>
    <cellStyle name="Input [yellow] 2 7 11 17 2" xfId="21364"/>
    <cellStyle name="Input [yellow] 2 7 11 17 3" xfId="32532"/>
    <cellStyle name="Input [yellow] 2 7 11 17 4" xfId="43697"/>
    <cellStyle name="Input [yellow] 2 7 11 17 5" xfId="54890"/>
    <cellStyle name="Input [yellow] 2 7 11 18" xfId="10503"/>
    <cellStyle name="Input [yellow] 2 7 11 18 2" xfId="21700"/>
    <cellStyle name="Input [yellow] 2 7 11 18 3" xfId="32868"/>
    <cellStyle name="Input [yellow] 2 7 11 18 4" xfId="44033"/>
    <cellStyle name="Input [yellow] 2 7 11 18 5" xfId="55226"/>
    <cellStyle name="Input [yellow] 2 7 11 19" xfId="11207"/>
    <cellStyle name="Input [yellow] 2 7 11 19 2" xfId="22404"/>
    <cellStyle name="Input [yellow] 2 7 11 19 3" xfId="33572"/>
    <cellStyle name="Input [yellow] 2 7 11 19 4" xfId="44737"/>
    <cellStyle name="Input [yellow] 2 7 11 19 5" xfId="55930"/>
    <cellStyle name="Input [yellow] 2 7 11 2" xfId="1303"/>
    <cellStyle name="Input [yellow] 2 7 11 2 2" xfId="12500"/>
    <cellStyle name="Input [yellow] 2 7 11 2 3" xfId="23668"/>
    <cellStyle name="Input [yellow] 2 7 11 2 4" xfId="34833"/>
    <cellStyle name="Input [yellow] 2 7 11 2 5" xfId="46026"/>
    <cellStyle name="Input [yellow] 2 7 11 20" xfId="11854"/>
    <cellStyle name="Input [yellow] 2 7 11 21" xfId="23024"/>
    <cellStyle name="Input [yellow] 2 7 11 22" xfId="34191"/>
    <cellStyle name="Input [yellow] 2 7 11 23" xfId="45377"/>
    <cellStyle name="Input [yellow] 2 7 11 3" xfId="1800"/>
    <cellStyle name="Input [yellow] 2 7 11 3 2" xfId="12997"/>
    <cellStyle name="Input [yellow] 2 7 11 3 3" xfId="24165"/>
    <cellStyle name="Input [yellow] 2 7 11 3 4" xfId="35330"/>
    <cellStyle name="Input [yellow] 2 7 11 3 5" xfId="46523"/>
    <cellStyle name="Input [yellow] 2 7 11 4" xfId="2579"/>
    <cellStyle name="Input [yellow] 2 7 11 4 2" xfId="13776"/>
    <cellStyle name="Input [yellow] 2 7 11 4 3" xfId="24944"/>
    <cellStyle name="Input [yellow] 2 7 11 4 4" xfId="36109"/>
    <cellStyle name="Input [yellow] 2 7 11 4 5" xfId="47302"/>
    <cellStyle name="Input [yellow] 2 7 11 5" xfId="3004"/>
    <cellStyle name="Input [yellow] 2 7 11 5 2" xfId="14201"/>
    <cellStyle name="Input [yellow] 2 7 11 5 3" xfId="25369"/>
    <cellStyle name="Input [yellow] 2 7 11 5 4" xfId="36534"/>
    <cellStyle name="Input [yellow] 2 7 11 5 5" xfId="47727"/>
    <cellStyle name="Input [yellow] 2 7 11 6" xfId="3638"/>
    <cellStyle name="Input [yellow] 2 7 11 6 2" xfId="14835"/>
    <cellStyle name="Input [yellow] 2 7 11 6 3" xfId="26003"/>
    <cellStyle name="Input [yellow] 2 7 11 6 4" xfId="37168"/>
    <cellStyle name="Input [yellow] 2 7 11 6 5" xfId="48361"/>
    <cellStyle name="Input [yellow] 2 7 11 7" xfId="4272"/>
    <cellStyle name="Input [yellow] 2 7 11 7 2" xfId="15469"/>
    <cellStyle name="Input [yellow] 2 7 11 7 3" xfId="26637"/>
    <cellStyle name="Input [yellow] 2 7 11 7 4" xfId="37802"/>
    <cellStyle name="Input [yellow] 2 7 11 7 5" xfId="48995"/>
    <cellStyle name="Input [yellow] 2 7 11 8" xfId="4905"/>
    <cellStyle name="Input [yellow] 2 7 11 8 2" xfId="16102"/>
    <cellStyle name="Input [yellow] 2 7 11 8 3" xfId="27270"/>
    <cellStyle name="Input [yellow] 2 7 11 8 4" xfId="38435"/>
    <cellStyle name="Input [yellow] 2 7 11 8 5" xfId="49628"/>
    <cellStyle name="Input [yellow] 2 7 11 9" xfId="5536"/>
    <cellStyle name="Input [yellow] 2 7 11 9 2" xfId="16733"/>
    <cellStyle name="Input [yellow] 2 7 11 9 3" xfId="27901"/>
    <cellStyle name="Input [yellow] 2 7 11 9 4" xfId="39066"/>
    <cellStyle name="Input [yellow] 2 7 11 9 5" xfId="50259"/>
    <cellStyle name="Input [yellow] 2 7 12" xfId="736"/>
    <cellStyle name="Input [yellow] 2 7 12 2" xfId="11934"/>
    <cellStyle name="Input [yellow] 2 7 12 3" xfId="23103"/>
    <cellStyle name="Input [yellow] 2 7 12 4" xfId="34268"/>
    <cellStyle name="Input [yellow] 2 7 12 5" xfId="45459"/>
    <cellStyle name="Input [yellow] 2 7 13" xfId="1724"/>
    <cellStyle name="Input [yellow] 2 7 13 2" xfId="12921"/>
    <cellStyle name="Input [yellow] 2 7 13 3" xfId="24089"/>
    <cellStyle name="Input [yellow] 2 7 13 4" xfId="35254"/>
    <cellStyle name="Input [yellow] 2 7 13 5" xfId="46447"/>
    <cellStyle name="Input [yellow] 2 7 14" xfId="2013"/>
    <cellStyle name="Input [yellow] 2 7 14 2" xfId="13210"/>
    <cellStyle name="Input [yellow] 2 7 14 3" xfId="24378"/>
    <cellStyle name="Input [yellow] 2 7 14 4" xfId="35543"/>
    <cellStyle name="Input [yellow] 2 7 14 5" xfId="46736"/>
    <cellStyle name="Input [yellow] 2 7 15" xfId="2317"/>
    <cellStyle name="Input [yellow] 2 7 15 2" xfId="13514"/>
    <cellStyle name="Input [yellow] 2 7 15 3" xfId="24682"/>
    <cellStyle name="Input [yellow] 2 7 15 4" xfId="35847"/>
    <cellStyle name="Input [yellow] 2 7 15 5" xfId="47040"/>
    <cellStyle name="Input [yellow] 2 7 16" xfId="3071"/>
    <cellStyle name="Input [yellow] 2 7 16 2" xfId="14268"/>
    <cellStyle name="Input [yellow] 2 7 16 3" xfId="25436"/>
    <cellStyle name="Input [yellow] 2 7 16 4" xfId="36601"/>
    <cellStyle name="Input [yellow] 2 7 16 5" xfId="47794"/>
    <cellStyle name="Input [yellow] 2 7 17" xfId="3706"/>
    <cellStyle name="Input [yellow] 2 7 17 2" xfId="14903"/>
    <cellStyle name="Input [yellow] 2 7 17 3" xfId="26071"/>
    <cellStyle name="Input [yellow] 2 7 17 4" xfId="37236"/>
    <cellStyle name="Input [yellow] 2 7 17 5" xfId="48429"/>
    <cellStyle name="Input [yellow] 2 7 18" xfId="4338"/>
    <cellStyle name="Input [yellow] 2 7 18 2" xfId="15535"/>
    <cellStyle name="Input [yellow] 2 7 18 3" xfId="26703"/>
    <cellStyle name="Input [yellow] 2 7 18 4" xfId="37868"/>
    <cellStyle name="Input [yellow] 2 7 18 5" xfId="49061"/>
    <cellStyle name="Input [yellow] 2 7 19" xfId="4971"/>
    <cellStyle name="Input [yellow] 2 7 19 2" xfId="16168"/>
    <cellStyle name="Input [yellow] 2 7 19 3" xfId="27336"/>
    <cellStyle name="Input [yellow] 2 7 19 4" xfId="38501"/>
    <cellStyle name="Input [yellow] 2 7 19 5" xfId="49694"/>
    <cellStyle name="Input [yellow] 2 7 2" xfId="152"/>
    <cellStyle name="Input [yellow] 2 7 2 10" xfId="5841"/>
    <cellStyle name="Input [yellow] 2 7 2 10 2" xfId="17038"/>
    <cellStyle name="Input [yellow] 2 7 2 10 3" xfId="28206"/>
    <cellStyle name="Input [yellow] 2 7 2 10 4" xfId="39371"/>
    <cellStyle name="Input [yellow] 2 7 2 10 5" xfId="50564"/>
    <cellStyle name="Input [yellow] 2 7 2 11" xfId="5710"/>
    <cellStyle name="Input [yellow] 2 7 2 11 2" xfId="16907"/>
    <cellStyle name="Input [yellow] 2 7 2 11 3" xfId="28075"/>
    <cellStyle name="Input [yellow] 2 7 2 11 4" xfId="39240"/>
    <cellStyle name="Input [yellow] 2 7 2 11 5" xfId="50433"/>
    <cellStyle name="Input [yellow] 2 7 2 12" xfId="6721"/>
    <cellStyle name="Input [yellow] 2 7 2 12 2" xfId="17918"/>
    <cellStyle name="Input [yellow] 2 7 2 12 3" xfId="29086"/>
    <cellStyle name="Input [yellow] 2 7 2 12 4" xfId="40251"/>
    <cellStyle name="Input [yellow] 2 7 2 12 5" xfId="51444"/>
    <cellStyle name="Input [yellow] 2 7 2 13" xfId="7355"/>
    <cellStyle name="Input [yellow] 2 7 2 13 2" xfId="18552"/>
    <cellStyle name="Input [yellow] 2 7 2 13 3" xfId="29720"/>
    <cellStyle name="Input [yellow] 2 7 2 13 4" xfId="40885"/>
    <cellStyle name="Input [yellow] 2 7 2 13 5" xfId="52078"/>
    <cellStyle name="Input [yellow] 2 7 2 14" xfId="7989"/>
    <cellStyle name="Input [yellow] 2 7 2 14 2" xfId="19186"/>
    <cellStyle name="Input [yellow] 2 7 2 14 3" xfId="30354"/>
    <cellStyle name="Input [yellow] 2 7 2 14 4" xfId="41519"/>
    <cellStyle name="Input [yellow] 2 7 2 14 5" xfId="52712"/>
    <cellStyle name="Input [yellow] 2 7 2 15" xfId="8620"/>
    <cellStyle name="Input [yellow] 2 7 2 15 2" xfId="19817"/>
    <cellStyle name="Input [yellow] 2 7 2 15 3" xfId="30985"/>
    <cellStyle name="Input [yellow] 2 7 2 15 4" xfId="42150"/>
    <cellStyle name="Input [yellow] 2 7 2 15 5" xfId="53343"/>
    <cellStyle name="Input [yellow] 2 7 2 16" xfId="8546"/>
    <cellStyle name="Input [yellow] 2 7 2 16 2" xfId="19743"/>
    <cellStyle name="Input [yellow] 2 7 2 16 3" xfId="30911"/>
    <cellStyle name="Input [yellow] 2 7 2 16 4" xfId="42076"/>
    <cellStyle name="Input [yellow] 2 7 2 16 5" xfId="53269"/>
    <cellStyle name="Input [yellow] 2 7 2 17" xfId="9673"/>
    <cellStyle name="Input [yellow] 2 7 2 17 2" xfId="20870"/>
    <cellStyle name="Input [yellow] 2 7 2 17 3" xfId="32038"/>
    <cellStyle name="Input [yellow] 2 7 2 17 4" xfId="43203"/>
    <cellStyle name="Input [yellow] 2 7 2 17 5" xfId="54396"/>
    <cellStyle name="Input [yellow] 2 7 2 18" xfId="10464"/>
    <cellStyle name="Input [yellow] 2 7 2 18 2" xfId="21661"/>
    <cellStyle name="Input [yellow] 2 7 2 18 3" xfId="32829"/>
    <cellStyle name="Input [yellow] 2 7 2 18 4" xfId="43994"/>
    <cellStyle name="Input [yellow] 2 7 2 18 5" xfId="55187"/>
    <cellStyle name="Input [yellow] 2 7 2 19" xfId="10705"/>
    <cellStyle name="Input [yellow] 2 7 2 19 2" xfId="21902"/>
    <cellStyle name="Input [yellow] 2 7 2 19 3" xfId="33070"/>
    <cellStyle name="Input [yellow] 2 7 2 19 4" xfId="44235"/>
    <cellStyle name="Input [yellow] 2 7 2 19 5" xfId="55428"/>
    <cellStyle name="Input [yellow] 2 7 2 2" xfId="801"/>
    <cellStyle name="Input [yellow] 2 7 2 2 2" xfId="11998"/>
    <cellStyle name="Input [yellow] 2 7 2 2 3" xfId="23166"/>
    <cellStyle name="Input [yellow] 2 7 2 2 4" xfId="34331"/>
    <cellStyle name="Input [yellow] 2 7 2 2 5" xfId="45524"/>
    <cellStyle name="Input [yellow] 2 7 2 20" xfId="11352"/>
    <cellStyle name="Input [yellow] 2 7 2 21" xfId="22522"/>
    <cellStyle name="Input [yellow] 2 7 2 22" xfId="33689"/>
    <cellStyle name="Input [yellow] 2 7 2 23" xfId="44875"/>
    <cellStyle name="Input [yellow] 2 7 2 3" xfId="1608"/>
    <cellStyle name="Input [yellow] 2 7 2 3 2" xfId="12805"/>
    <cellStyle name="Input [yellow] 2 7 2 3 3" xfId="23973"/>
    <cellStyle name="Input [yellow] 2 7 2 3 4" xfId="35138"/>
    <cellStyle name="Input [yellow] 2 7 2 3 5" xfId="46331"/>
    <cellStyle name="Input [yellow] 2 7 2 4" xfId="2078"/>
    <cellStyle name="Input [yellow] 2 7 2 4 2" xfId="13275"/>
    <cellStyle name="Input [yellow] 2 7 2 4 3" xfId="24443"/>
    <cellStyle name="Input [yellow] 2 7 2 4 4" xfId="35608"/>
    <cellStyle name="Input [yellow] 2 7 2 4 5" xfId="46801"/>
    <cellStyle name="Input [yellow] 2 7 2 5" xfId="2536"/>
    <cellStyle name="Input [yellow] 2 7 2 5 2" xfId="13733"/>
    <cellStyle name="Input [yellow] 2 7 2 5 3" xfId="24901"/>
    <cellStyle name="Input [yellow] 2 7 2 5 4" xfId="36066"/>
    <cellStyle name="Input [yellow] 2 7 2 5 5" xfId="47259"/>
    <cellStyle name="Input [yellow] 2 7 2 6" xfId="3136"/>
    <cellStyle name="Input [yellow] 2 7 2 6 2" xfId="14333"/>
    <cellStyle name="Input [yellow] 2 7 2 6 3" xfId="25501"/>
    <cellStyle name="Input [yellow] 2 7 2 6 4" xfId="36666"/>
    <cellStyle name="Input [yellow] 2 7 2 6 5" xfId="47859"/>
    <cellStyle name="Input [yellow] 2 7 2 7" xfId="3770"/>
    <cellStyle name="Input [yellow] 2 7 2 7 2" xfId="14967"/>
    <cellStyle name="Input [yellow] 2 7 2 7 3" xfId="26135"/>
    <cellStyle name="Input [yellow] 2 7 2 7 4" xfId="37300"/>
    <cellStyle name="Input [yellow] 2 7 2 7 5" xfId="48493"/>
    <cellStyle name="Input [yellow] 2 7 2 8" xfId="4403"/>
    <cellStyle name="Input [yellow] 2 7 2 8 2" xfId="15600"/>
    <cellStyle name="Input [yellow] 2 7 2 8 3" xfId="26768"/>
    <cellStyle name="Input [yellow] 2 7 2 8 4" xfId="37933"/>
    <cellStyle name="Input [yellow] 2 7 2 8 5" xfId="49126"/>
    <cellStyle name="Input [yellow] 2 7 2 9" xfId="5034"/>
    <cellStyle name="Input [yellow] 2 7 2 9 2" xfId="16231"/>
    <cellStyle name="Input [yellow] 2 7 2 9 3" xfId="27399"/>
    <cellStyle name="Input [yellow] 2 7 2 9 4" xfId="38564"/>
    <cellStyle name="Input [yellow] 2 7 2 9 5" xfId="49757"/>
    <cellStyle name="Input [yellow] 2 7 20" xfId="6202"/>
    <cellStyle name="Input [yellow] 2 7 20 2" xfId="17399"/>
    <cellStyle name="Input [yellow] 2 7 20 3" xfId="28567"/>
    <cellStyle name="Input [yellow] 2 7 20 4" xfId="39732"/>
    <cellStyle name="Input [yellow] 2 7 20 5" xfId="50925"/>
    <cellStyle name="Input [yellow] 2 7 21" xfId="6025"/>
    <cellStyle name="Input [yellow] 2 7 21 2" xfId="17222"/>
    <cellStyle name="Input [yellow] 2 7 21 3" xfId="28390"/>
    <cellStyle name="Input [yellow] 2 7 21 4" xfId="39555"/>
    <cellStyle name="Input [yellow] 2 7 21 5" xfId="50748"/>
    <cellStyle name="Input [yellow] 2 7 22" xfId="6658"/>
    <cellStyle name="Input [yellow] 2 7 22 2" xfId="17855"/>
    <cellStyle name="Input [yellow] 2 7 22 3" xfId="29023"/>
    <cellStyle name="Input [yellow] 2 7 22 4" xfId="40188"/>
    <cellStyle name="Input [yellow] 2 7 22 5" xfId="51381"/>
    <cellStyle name="Input [yellow] 2 7 23" xfId="7290"/>
    <cellStyle name="Input [yellow] 2 7 23 2" xfId="18487"/>
    <cellStyle name="Input [yellow] 2 7 23 3" xfId="29655"/>
    <cellStyle name="Input [yellow] 2 7 23 4" xfId="40820"/>
    <cellStyle name="Input [yellow] 2 7 23 5" xfId="52013"/>
    <cellStyle name="Input [yellow] 2 7 24" xfId="7924"/>
    <cellStyle name="Input [yellow] 2 7 24 2" xfId="19121"/>
    <cellStyle name="Input [yellow] 2 7 24 3" xfId="30289"/>
    <cellStyle name="Input [yellow] 2 7 24 4" xfId="41454"/>
    <cellStyle name="Input [yellow] 2 7 24 5" xfId="52647"/>
    <cellStyle name="Input [yellow] 2 7 25" xfId="8557"/>
    <cellStyle name="Input [yellow] 2 7 25 2" xfId="19754"/>
    <cellStyle name="Input [yellow] 2 7 25 3" xfId="30922"/>
    <cellStyle name="Input [yellow] 2 7 25 4" xfId="42087"/>
    <cellStyle name="Input [yellow] 2 7 25 5" xfId="53280"/>
    <cellStyle name="Input [yellow] 2 7 26" xfId="9026"/>
    <cellStyle name="Input [yellow] 2 7 26 2" xfId="20223"/>
    <cellStyle name="Input [yellow] 2 7 26 3" xfId="31391"/>
    <cellStyle name="Input [yellow] 2 7 26 4" xfId="42556"/>
    <cellStyle name="Input [yellow] 2 7 26 5" xfId="53749"/>
    <cellStyle name="Input [yellow] 2 7 27" xfId="9609"/>
    <cellStyle name="Input [yellow] 2 7 27 2" xfId="20806"/>
    <cellStyle name="Input [yellow] 2 7 27 3" xfId="31974"/>
    <cellStyle name="Input [yellow] 2 7 27 4" xfId="43139"/>
    <cellStyle name="Input [yellow] 2 7 27 5" xfId="54332"/>
    <cellStyle name="Input [yellow] 2 7 28" xfId="10424"/>
    <cellStyle name="Input [yellow] 2 7 28 2" xfId="21621"/>
    <cellStyle name="Input [yellow] 2 7 28 3" xfId="32789"/>
    <cellStyle name="Input [yellow] 2 7 28 4" xfId="43954"/>
    <cellStyle name="Input [yellow] 2 7 28 5" xfId="55147"/>
    <cellStyle name="Input [yellow] 2 7 29" xfId="10642"/>
    <cellStyle name="Input [yellow] 2 7 29 2" xfId="21839"/>
    <cellStyle name="Input [yellow] 2 7 29 3" xfId="33007"/>
    <cellStyle name="Input [yellow] 2 7 29 4" xfId="44172"/>
    <cellStyle name="Input [yellow] 2 7 29 5" xfId="55365"/>
    <cellStyle name="Input [yellow] 2 7 3" xfId="208"/>
    <cellStyle name="Input [yellow] 2 7 3 10" xfId="6136"/>
    <cellStyle name="Input [yellow] 2 7 3 10 2" xfId="17333"/>
    <cellStyle name="Input [yellow] 2 7 3 10 3" xfId="28501"/>
    <cellStyle name="Input [yellow] 2 7 3 10 4" xfId="39666"/>
    <cellStyle name="Input [yellow] 2 7 3 10 5" xfId="50859"/>
    <cellStyle name="Input [yellow] 2 7 3 11" xfId="6178"/>
    <cellStyle name="Input [yellow] 2 7 3 11 2" xfId="17375"/>
    <cellStyle name="Input [yellow] 2 7 3 11 3" xfId="28543"/>
    <cellStyle name="Input [yellow] 2 7 3 11 4" xfId="39708"/>
    <cellStyle name="Input [yellow] 2 7 3 11 5" xfId="50901"/>
    <cellStyle name="Input [yellow] 2 7 3 12" xfId="6777"/>
    <cellStyle name="Input [yellow] 2 7 3 12 2" xfId="17974"/>
    <cellStyle name="Input [yellow] 2 7 3 12 3" xfId="29142"/>
    <cellStyle name="Input [yellow] 2 7 3 12 4" xfId="40307"/>
    <cellStyle name="Input [yellow] 2 7 3 12 5" xfId="51500"/>
    <cellStyle name="Input [yellow] 2 7 3 13" xfId="7411"/>
    <cellStyle name="Input [yellow] 2 7 3 13 2" xfId="18608"/>
    <cellStyle name="Input [yellow] 2 7 3 13 3" xfId="29776"/>
    <cellStyle name="Input [yellow] 2 7 3 13 4" xfId="40941"/>
    <cellStyle name="Input [yellow] 2 7 3 13 5" xfId="52134"/>
    <cellStyle name="Input [yellow] 2 7 3 14" xfId="8045"/>
    <cellStyle name="Input [yellow] 2 7 3 14 2" xfId="19242"/>
    <cellStyle name="Input [yellow] 2 7 3 14 3" xfId="30410"/>
    <cellStyle name="Input [yellow] 2 7 3 14 4" xfId="41575"/>
    <cellStyle name="Input [yellow] 2 7 3 14 5" xfId="52768"/>
    <cellStyle name="Input [yellow] 2 7 3 15" xfId="8676"/>
    <cellStyle name="Input [yellow] 2 7 3 15 2" xfId="19873"/>
    <cellStyle name="Input [yellow] 2 7 3 15 3" xfId="31041"/>
    <cellStyle name="Input [yellow] 2 7 3 15 4" xfId="42206"/>
    <cellStyle name="Input [yellow] 2 7 3 15 5" xfId="53399"/>
    <cellStyle name="Input [yellow] 2 7 3 16" xfId="8587"/>
    <cellStyle name="Input [yellow] 2 7 3 16 2" xfId="19784"/>
    <cellStyle name="Input [yellow] 2 7 3 16 3" xfId="30952"/>
    <cellStyle name="Input [yellow] 2 7 3 16 4" xfId="42117"/>
    <cellStyle name="Input [yellow] 2 7 3 16 5" xfId="53310"/>
    <cellStyle name="Input [yellow] 2 7 3 17" xfId="9728"/>
    <cellStyle name="Input [yellow] 2 7 3 17 2" xfId="20925"/>
    <cellStyle name="Input [yellow] 2 7 3 17 3" xfId="32093"/>
    <cellStyle name="Input [yellow] 2 7 3 17 4" xfId="43258"/>
    <cellStyle name="Input [yellow] 2 7 3 17 5" xfId="54451"/>
    <cellStyle name="Input [yellow] 2 7 3 18" xfId="10366"/>
    <cellStyle name="Input [yellow] 2 7 3 18 2" xfId="21563"/>
    <cellStyle name="Input [yellow] 2 7 3 18 3" xfId="32731"/>
    <cellStyle name="Input [yellow] 2 7 3 18 4" xfId="43896"/>
    <cellStyle name="Input [yellow] 2 7 3 18 5" xfId="55089"/>
    <cellStyle name="Input [yellow] 2 7 3 19" xfId="10761"/>
    <cellStyle name="Input [yellow] 2 7 3 19 2" xfId="21958"/>
    <cellStyle name="Input [yellow] 2 7 3 19 3" xfId="33126"/>
    <cellStyle name="Input [yellow] 2 7 3 19 4" xfId="44291"/>
    <cellStyle name="Input [yellow] 2 7 3 19 5" xfId="55484"/>
    <cellStyle name="Input [yellow] 2 7 3 2" xfId="857"/>
    <cellStyle name="Input [yellow] 2 7 3 2 2" xfId="12054"/>
    <cellStyle name="Input [yellow] 2 7 3 2 3" xfId="23222"/>
    <cellStyle name="Input [yellow] 2 7 3 2 4" xfId="34387"/>
    <cellStyle name="Input [yellow] 2 7 3 2 5" xfId="45580"/>
    <cellStyle name="Input [yellow] 2 7 3 20" xfId="11408"/>
    <cellStyle name="Input [yellow] 2 7 3 21" xfId="22578"/>
    <cellStyle name="Input [yellow] 2 7 3 22" xfId="33745"/>
    <cellStyle name="Input [yellow] 2 7 3 23" xfId="44931"/>
    <cellStyle name="Input [yellow] 2 7 3 3" xfId="1680"/>
    <cellStyle name="Input [yellow] 2 7 3 3 2" xfId="12877"/>
    <cellStyle name="Input [yellow] 2 7 3 3 3" xfId="24045"/>
    <cellStyle name="Input [yellow] 2 7 3 3 4" xfId="35210"/>
    <cellStyle name="Input [yellow] 2 7 3 3 5" xfId="46403"/>
    <cellStyle name="Input [yellow] 2 7 3 4" xfId="2134"/>
    <cellStyle name="Input [yellow] 2 7 3 4 2" xfId="13331"/>
    <cellStyle name="Input [yellow] 2 7 3 4 3" xfId="24499"/>
    <cellStyle name="Input [yellow] 2 7 3 4 4" xfId="35664"/>
    <cellStyle name="Input [yellow] 2 7 3 4 5" xfId="46857"/>
    <cellStyle name="Input [yellow] 2 7 3 5" xfId="2385"/>
    <cellStyle name="Input [yellow] 2 7 3 5 2" xfId="13582"/>
    <cellStyle name="Input [yellow] 2 7 3 5 3" xfId="24750"/>
    <cellStyle name="Input [yellow] 2 7 3 5 4" xfId="35915"/>
    <cellStyle name="Input [yellow] 2 7 3 5 5" xfId="47108"/>
    <cellStyle name="Input [yellow] 2 7 3 6" xfId="3192"/>
    <cellStyle name="Input [yellow] 2 7 3 6 2" xfId="14389"/>
    <cellStyle name="Input [yellow] 2 7 3 6 3" xfId="25557"/>
    <cellStyle name="Input [yellow] 2 7 3 6 4" xfId="36722"/>
    <cellStyle name="Input [yellow] 2 7 3 6 5" xfId="47915"/>
    <cellStyle name="Input [yellow] 2 7 3 7" xfId="3826"/>
    <cellStyle name="Input [yellow] 2 7 3 7 2" xfId="15023"/>
    <cellStyle name="Input [yellow] 2 7 3 7 3" xfId="26191"/>
    <cellStyle name="Input [yellow] 2 7 3 7 4" xfId="37356"/>
    <cellStyle name="Input [yellow] 2 7 3 7 5" xfId="48549"/>
    <cellStyle name="Input [yellow] 2 7 3 8" xfId="4459"/>
    <cellStyle name="Input [yellow] 2 7 3 8 2" xfId="15656"/>
    <cellStyle name="Input [yellow] 2 7 3 8 3" xfId="26824"/>
    <cellStyle name="Input [yellow] 2 7 3 8 4" xfId="37989"/>
    <cellStyle name="Input [yellow] 2 7 3 8 5" xfId="49182"/>
    <cellStyle name="Input [yellow] 2 7 3 9" xfId="5090"/>
    <cellStyle name="Input [yellow] 2 7 3 9 2" xfId="16287"/>
    <cellStyle name="Input [yellow] 2 7 3 9 3" xfId="27455"/>
    <cellStyle name="Input [yellow] 2 7 3 9 4" xfId="38620"/>
    <cellStyle name="Input [yellow] 2 7 3 9 5" xfId="49813"/>
    <cellStyle name="Input [yellow] 2 7 30" xfId="11288"/>
    <cellStyle name="Input [yellow] 2 7 31" xfId="22459"/>
    <cellStyle name="Input [yellow] 2 7 32" xfId="33626"/>
    <cellStyle name="Input [yellow] 2 7 33" xfId="44810"/>
    <cellStyle name="Input [yellow] 2 7 4" xfId="304"/>
    <cellStyle name="Input [yellow] 2 7 4 10" xfId="5667"/>
    <cellStyle name="Input [yellow] 2 7 4 10 2" xfId="16864"/>
    <cellStyle name="Input [yellow] 2 7 4 10 3" xfId="28032"/>
    <cellStyle name="Input [yellow] 2 7 4 10 4" xfId="39197"/>
    <cellStyle name="Input [yellow] 2 7 4 10 5" xfId="50390"/>
    <cellStyle name="Input [yellow] 2 7 4 11" xfId="6240"/>
    <cellStyle name="Input [yellow] 2 7 4 11 2" xfId="17437"/>
    <cellStyle name="Input [yellow] 2 7 4 11 3" xfId="28605"/>
    <cellStyle name="Input [yellow] 2 7 4 11 4" xfId="39770"/>
    <cellStyle name="Input [yellow] 2 7 4 11 5" xfId="50963"/>
    <cellStyle name="Input [yellow] 2 7 4 12" xfId="6873"/>
    <cellStyle name="Input [yellow] 2 7 4 12 2" xfId="18070"/>
    <cellStyle name="Input [yellow] 2 7 4 12 3" xfId="29238"/>
    <cellStyle name="Input [yellow] 2 7 4 12 4" xfId="40403"/>
    <cellStyle name="Input [yellow] 2 7 4 12 5" xfId="51596"/>
    <cellStyle name="Input [yellow] 2 7 4 13" xfId="7507"/>
    <cellStyle name="Input [yellow] 2 7 4 13 2" xfId="18704"/>
    <cellStyle name="Input [yellow] 2 7 4 13 3" xfId="29872"/>
    <cellStyle name="Input [yellow] 2 7 4 13 4" xfId="41037"/>
    <cellStyle name="Input [yellow] 2 7 4 13 5" xfId="52230"/>
    <cellStyle name="Input [yellow] 2 7 4 14" xfId="8141"/>
    <cellStyle name="Input [yellow] 2 7 4 14 2" xfId="19338"/>
    <cellStyle name="Input [yellow] 2 7 4 14 3" xfId="30506"/>
    <cellStyle name="Input [yellow] 2 7 4 14 4" xfId="41671"/>
    <cellStyle name="Input [yellow] 2 7 4 14 5" xfId="52864"/>
    <cellStyle name="Input [yellow] 2 7 4 15" xfId="8770"/>
    <cellStyle name="Input [yellow] 2 7 4 15 2" xfId="19967"/>
    <cellStyle name="Input [yellow] 2 7 4 15 3" xfId="31135"/>
    <cellStyle name="Input [yellow] 2 7 4 15 4" xfId="42300"/>
    <cellStyle name="Input [yellow] 2 7 4 15 5" xfId="53493"/>
    <cellStyle name="Input [yellow] 2 7 4 16" xfId="9192"/>
    <cellStyle name="Input [yellow] 2 7 4 16 2" xfId="20389"/>
    <cellStyle name="Input [yellow] 2 7 4 16 3" xfId="31557"/>
    <cellStyle name="Input [yellow] 2 7 4 16 4" xfId="42722"/>
    <cellStyle name="Input [yellow] 2 7 4 16 5" xfId="53915"/>
    <cellStyle name="Input [yellow] 2 7 4 17" xfId="9819"/>
    <cellStyle name="Input [yellow] 2 7 4 17 2" xfId="21016"/>
    <cellStyle name="Input [yellow] 2 7 4 17 3" xfId="32184"/>
    <cellStyle name="Input [yellow] 2 7 4 17 4" xfId="43349"/>
    <cellStyle name="Input [yellow] 2 7 4 17 5" xfId="54542"/>
    <cellStyle name="Input [yellow] 2 7 4 18" xfId="10467"/>
    <cellStyle name="Input [yellow] 2 7 4 18 2" xfId="21664"/>
    <cellStyle name="Input [yellow] 2 7 4 18 3" xfId="32832"/>
    <cellStyle name="Input [yellow] 2 7 4 18 4" xfId="43997"/>
    <cellStyle name="Input [yellow] 2 7 4 18 5" xfId="55190"/>
    <cellStyle name="Input [yellow] 2 7 4 19" xfId="10857"/>
    <cellStyle name="Input [yellow] 2 7 4 19 2" xfId="22054"/>
    <cellStyle name="Input [yellow] 2 7 4 19 3" xfId="33222"/>
    <cellStyle name="Input [yellow] 2 7 4 19 4" xfId="44387"/>
    <cellStyle name="Input [yellow] 2 7 4 19 5" xfId="55580"/>
    <cellStyle name="Input [yellow] 2 7 4 2" xfId="953"/>
    <cellStyle name="Input [yellow] 2 7 4 2 2" xfId="12150"/>
    <cellStyle name="Input [yellow] 2 7 4 2 3" xfId="23318"/>
    <cellStyle name="Input [yellow] 2 7 4 2 4" xfId="34483"/>
    <cellStyle name="Input [yellow] 2 7 4 2 5" xfId="45676"/>
    <cellStyle name="Input [yellow] 2 7 4 20" xfId="11504"/>
    <cellStyle name="Input [yellow] 2 7 4 21" xfId="22674"/>
    <cellStyle name="Input [yellow] 2 7 4 22" xfId="33841"/>
    <cellStyle name="Input [yellow] 2 7 4 23" xfId="45027"/>
    <cellStyle name="Input [yellow] 2 7 4 3" xfId="1372"/>
    <cellStyle name="Input [yellow] 2 7 4 3 2" xfId="12569"/>
    <cellStyle name="Input [yellow] 2 7 4 3 3" xfId="23737"/>
    <cellStyle name="Input [yellow] 2 7 4 3 4" xfId="34902"/>
    <cellStyle name="Input [yellow] 2 7 4 3 5" xfId="46095"/>
    <cellStyle name="Input [yellow] 2 7 4 4" xfId="2229"/>
    <cellStyle name="Input [yellow] 2 7 4 4 2" xfId="13426"/>
    <cellStyle name="Input [yellow] 2 7 4 4 3" xfId="24594"/>
    <cellStyle name="Input [yellow] 2 7 4 4 4" xfId="35759"/>
    <cellStyle name="Input [yellow] 2 7 4 4 5" xfId="46952"/>
    <cellStyle name="Input [yellow] 2 7 4 5" xfId="2654"/>
    <cellStyle name="Input [yellow] 2 7 4 5 2" xfId="13851"/>
    <cellStyle name="Input [yellow] 2 7 4 5 3" xfId="25019"/>
    <cellStyle name="Input [yellow] 2 7 4 5 4" xfId="36184"/>
    <cellStyle name="Input [yellow] 2 7 4 5 5" xfId="47377"/>
    <cellStyle name="Input [yellow] 2 7 4 6" xfId="3288"/>
    <cellStyle name="Input [yellow] 2 7 4 6 2" xfId="14485"/>
    <cellStyle name="Input [yellow] 2 7 4 6 3" xfId="25653"/>
    <cellStyle name="Input [yellow] 2 7 4 6 4" xfId="36818"/>
    <cellStyle name="Input [yellow] 2 7 4 6 5" xfId="48011"/>
    <cellStyle name="Input [yellow] 2 7 4 7" xfId="3922"/>
    <cellStyle name="Input [yellow] 2 7 4 7 2" xfId="15119"/>
    <cellStyle name="Input [yellow] 2 7 4 7 3" xfId="26287"/>
    <cellStyle name="Input [yellow] 2 7 4 7 4" xfId="37452"/>
    <cellStyle name="Input [yellow] 2 7 4 7 5" xfId="48645"/>
    <cellStyle name="Input [yellow] 2 7 4 8" xfId="4555"/>
    <cellStyle name="Input [yellow] 2 7 4 8 2" xfId="15752"/>
    <cellStyle name="Input [yellow] 2 7 4 8 3" xfId="26920"/>
    <cellStyle name="Input [yellow] 2 7 4 8 4" xfId="38085"/>
    <cellStyle name="Input [yellow] 2 7 4 8 5" xfId="49278"/>
    <cellStyle name="Input [yellow] 2 7 4 9" xfId="5186"/>
    <cellStyle name="Input [yellow] 2 7 4 9 2" xfId="16383"/>
    <cellStyle name="Input [yellow] 2 7 4 9 3" xfId="27551"/>
    <cellStyle name="Input [yellow] 2 7 4 9 4" xfId="38716"/>
    <cellStyle name="Input [yellow] 2 7 4 9 5" xfId="49909"/>
    <cellStyle name="Input [yellow] 2 7 5" xfId="336"/>
    <cellStyle name="Input [yellow] 2 7 5 10" xfId="3049"/>
    <cellStyle name="Input [yellow] 2 7 5 10 2" xfId="14246"/>
    <cellStyle name="Input [yellow] 2 7 5 10 3" xfId="25414"/>
    <cellStyle name="Input [yellow] 2 7 5 10 4" xfId="36579"/>
    <cellStyle name="Input [yellow] 2 7 5 10 5" xfId="47772"/>
    <cellStyle name="Input [yellow] 2 7 5 11" xfId="6272"/>
    <cellStyle name="Input [yellow] 2 7 5 11 2" xfId="17469"/>
    <cellStyle name="Input [yellow] 2 7 5 11 3" xfId="28637"/>
    <cellStyle name="Input [yellow] 2 7 5 11 4" xfId="39802"/>
    <cellStyle name="Input [yellow] 2 7 5 11 5" xfId="50995"/>
    <cellStyle name="Input [yellow] 2 7 5 12" xfId="6905"/>
    <cellStyle name="Input [yellow] 2 7 5 12 2" xfId="18102"/>
    <cellStyle name="Input [yellow] 2 7 5 12 3" xfId="29270"/>
    <cellStyle name="Input [yellow] 2 7 5 12 4" xfId="40435"/>
    <cellStyle name="Input [yellow] 2 7 5 12 5" xfId="51628"/>
    <cellStyle name="Input [yellow] 2 7 5 13" xfId="7539"/>
    <cellStyle name="Input [yellow] 2 7 5 13 2" xfId="18736"/>
    <cellStyle name="Input [yellow] 2 7 5 13 3" xfId="29904"/>
    <cellStyle name="Input [yellow] 2 7 5 13 4" xfId="41069"/>
    <cellStyle name="Input [yellow] 2 7 5 13 5" xfId="52262"/>
    <cellStyle name="Input [yellow] 2 7 5 14" xfId="8173"/>
    <cellStyle name="Input [yellow] 2 7 5 14 2" xfId="19370"/>
    <cellStyle name="Input [yellow] 2 7 5 14 3" xfId="30538"/>
    <cellStyle name="Input [yellow] 2 7 5 14 4" xfId="41703"/>
    <cellStyle name="Input [yellow] 2 7 5 14 5" xfId="52896"/>
    <cellStyle name="Input [yellow] 2 7 5 15" xfId="8802"/>
    <cellStyle name="Input [yellow] 2 7 5 15 2" xfId="19999"/>
    <cellStyle name="Input [yellow] 2 7 5 15 3" xfId="31167"/>
    <cellStyle name="Input [yellow] 2 7 5 15 4" xfId="42332"/>
    <cellStyle name="Input [yellow] 2 7 5 15 5" xfId="53525"/>
    <cellStyle name="Input [yellow] 2 7 5 16" xfId="9224"/>
    <cellStyle name="Input [yellow] 2 7 5 16 2" xfId="20421"/>
    <cellStyle name="Input [yellow] 2 7 5 16 3" xfId="31589"/>
    <cellStyle name="Input [yellow] 2 7 5 16 4" xfId="42754"/>
    <cellStyle name="Input [yellow] 2 7 5 16 5" xfId="53947"/>
    <cellStyle name="Input [yellow] 2 7 5 17" xfId="9851"/>
    <cellStyle name="Input [yellow] 2 7 5 17 2" xfId="21048"/>
    <cellStyle name="Input [yellow] 2 7 5 17 3" xfId="32216"/>
    <cellStyle name="Input [yellow] 2 7 5 17 4" xfId="43381"/>
    <cellStyle name="Input [yellow] 2 7 5 17 5" xfId="54574"/>
    <cellStyle name="Input [yellow] 2 7 5 18" xfId="10241"/>
    <cellStyle name="Input [yellow] 2 7 5 18 2" xfId="21438"/>
    <cellStyle name="Input [yellow] 2 7 5 18 3" xfId="32606"/>
    <cellStyle name="Input [yellow] 2 7 5 18 4" xfId="43771"/>
    <cellStyle name="Input [yellow] 2 7 5 18 5" xfId="54964"/>
    <cellStyle name="Input [yellow] 2 7 5 19" xfId="10889"/>
    <cellStyle name="Input [yellow] 2 7 5 19 2" xfId="22086"/>
    <cellStyle name="Input [yellow] 2 7 5 19 3" xfId="33254"/>
    <cellStyle name="Input [yellow] 2 7 5 19 4" xfId="44419"/>
    <cellStyle name="Input [yellow] 2 7 5 19 5" xfId="55612"/>
    <cellStyle name="Input [yellow] 2 7 5 2" xfId="985"/>
    <cellStyle name="Input [yellow] 2 7 5 2 2" xfId="12182"/>
    <cellStyle name="Input [yellow] 2 7 5 2 3" xfId="23350"/>
    <cellStyle name="Input [yellow] 2 7 5 2 4" xfId="34515"/>
    <cellStyle name="Input [yellow] 2 7 5 2 5" xfId="45708"/>
    <cellStyle name="Input [yellow] 2 7 5 20" xfId="11536"/>
    <cellStyle name="Input [yellow] 2 7 5 21" xfId="22706"/>
    <cellStyle name="Input [yellow] 2 7 5 22" xfId="33873"/>
    <cellStyle name="Input [yellow] 2 7 5 23" xfId="45059"/>
    <cellStyle name="Input [yellow] 2 7 5 3" xfId="1573"/>
    <cellStyle name="Input [yellow] 2 7 5 3 2" xfId="12770"/>
    <cellStyle name="Input [yellow] 2 7 5 3 3" xfId="23938"/>
    <cellStyle name="Input [yellow] 2 7 5 3 4" xfId="35103"/>
    <cellStyle name="Input [yellow] 2 7 5 3 5" xfId="46296"/>
    <cellStyle name="Input [yellow] 2 7 5 4" xfId="2261"/>
    <cellStyle name="Input [yellow] 2 7 5 4 2" xfId="13458"/>
    <cellStyle name="Input [yellow] 2 7 5 4 3" xfId="24626"/>
    <cellStyle name="Input [yellow] 2 7 5 4 4" xfId="35791"/>
    <cellStyle name="Input [yellow] 2 7 5 4 5" xfId="46984"/>
    <cellStyle name="Input [yellow] 2 7 5 5" xfId="2686"/>
    <cellStyle name="Input [yellow] 2 7 5 5 2" xfId="13883"/>
    <cellStyle name="Input [yellow] 2 7 5 5 3" xfId="25051"/>
    <cellStyle name="Input [yellow] 2 7 5 5 4" xfId="36216"/>
    <cellStyle name="Input [yellow] 2 7 5 5 5" xfId="47409"/>
    <cellStyle name="Input [yellow] 2 7 5 6" xfId="3320"/>
    <cellStyle name="Input [yellow] 2 7 5 6 2" xfId="14517"/>
    <cellStyle name="Input [yellow] 2 7 5 6 3" xfId="25685"/>
    <cellStyle name="Input [yellow] 2 7 5 6 4" xfId="36850"/>
    <cellStyle name="Input [yellow] 2 7 5 6 5" xfId="48043"/>
    <cellStyle name="Input [yellow] 2 7 5 7" xfId="3954"/>
    <cellStyle name="Input [yellow] 2 7 5 7 2" xfId="15151"/>
    <cellStyle name="Input [yellow] 2 7 5 7 3" xfId="26319"/>
    <cellStyle name="Input [yellow] 2 7 5 7 4" xfId="37484"/>
    <cellStyle name="Input [yellow] 2 7 5 7 5" xfId="48677"/>
    <cellStyle name="Input [yellow] 2 7 5 8" xfId="4587"/>
    <cellStyle name="Input [yellow] 2 7 5 8 2" xfId="15784"/>
    <cellStyle name="Input [yellow] 2 7 5 8 3" xfId="26952"/>
    <cellStyle name="Input [yellow] 2 7 5 8 4" xfId="38117"/>
    <cellStyle name="Input [yellow] 2 7 5 8 5" xfId="49310"/>
    <cellStyle name="Input [yellow] 2 7 5 9" xfId="5218"/>
    <cellStyle name="Input [yellow] 2 7 5 9 2" xfId="16415"/>
    <cellStyle name="Input [yellow] 2 7 5 9 3" xfId="27583"/>
    <cellStyle name="Input [yellow] 2 7 5 9 4" xfId="38748"/>
    <cellStyle name="Input [yellow] 2 7 5 9 5" xfId="49941"/>
    <cellStyle name="Input [yellow] 2 7 6" xfId="417"/>
    <cellStyle name="Input [yellow] 2 7 6 10" xfId="5966"/>
    <cellStyle name="Input [yellow] 2 7 6 10 2" xfId="17163"/>
    <cellStyle name="Input [yellow] 2 7 6 10 3" xfId="28331"/>
    <cellStyle name="Input [yellow] 2 7 6 10 4" xfId="39496"/>
    <cellStyle name="Input [yellow] 2 7 6 10 5" xfId="50689"/>
    <cellStyle name="Input [yellow] 2 7 6 11" xfId="6353"/>
    <cellStyle name="Input [yellow] 2 7 6 11 2" xfId="17550"/>
    <cellStyle name="Input [yellow] 2 7 6 11 3" xfId="28718"/>
    <cellStyle name="Input [yellow] 2 7 6 11 4" xfId="39883"/>
    <cellStyle name="Input [yellow] 2 7 6 11 5" xfId="51076"/>
    <cellStyle name="Input [yellow] 2 7 6 12" xfId="6986"/>
    <cellStyle name="Input [yellow] 2 7 6 12 2" xfId="18183"/>
    <cellStyle name="Input [yellow] 2 7 6 12 3" xfId="29351"/>
    <cellStyle name="Input [yellow] 2 7 6 12 4" xfId="40516"/>
    <cellStyle name="Input [yellow] 2 7 6 12 5" xfId="51709"/>
    <cellStyle name="Input [yellow] 2 7 6 13" xfId="7620"/>
    <cellStyle name="Input [yellow] 2 7 6 13 2" xfId="18817"/>
    <cellStyle name="Input [yellow] 2 7 6 13 3" xfId="29985"/>
    <cellStyle name="Input [yellow] 2 7 6 13 4" xfId="41150"/>
    <cellStyle name="Input [yellow] 2 7 6 13 5" xfId="52343"/>
    <cellStyle name="Input [yellow] 2 7 6 14" xfId="8254"/>
    <cellStyle name="Input [yellow] 2 7 6 14 2" xfId="19451"/>
    <cellStyle name="Input [yellow] 2 7 6 14 3" xfId="30619"/>
    <cellStyle name="Input [yellow] 2 7 6 14 4" xfId="41784"/>
    <cellStyle name="Input [yellow] 2 7 6 14 5" xfId="52977"/>
    <cellStyle name="Input [yellow] 2 7 6 15" xfId="8882"/>
    <cellStyle name="Input [yellow] 2 7 6 15 2" xfId="20079"/>
    <cellStyle name="Input [yellow] 2 7 6 15 3" xfId="31247"/>
    <cellStyle name="Input [yellow] 2 7 6 15 4" xfId="42412"/>
    <cellStyle name="Input [yellow] 2 7 6 15 5" xfId="53605"/>
    <cellStyle name="Input [yellow] 2 7 6 16" xfId="9305"/>
    <cellStyle name="Input [yellow] 2 7 6 16 2" xfId="20502"/>
    <cellStyle name="Input [yellow] 2 7 6 16 3" xfId="31670"/>
    <cellStyle name="Input [yellow] 2 7 6 16 4" xfId="42835"/>
    <cellStyle name="Input [yellow] 2 7 6 16 5" xfId="54028"/>
    <cellStyle name="Input [yellow] 2 7 6 17" xfId="9931"/>
    <cellStyle name="Input [yellow] 2 7 6 17 2" xfId="21128"/>
    <cellStyle name="Input [yellow] 2 7 6 17 3" xfId="32296"/>
    <cellStyle name="Input [yellow] 2 7 6 17 4" xfId="43461"/>
    <cellStyle name="Input [yellow] 2 7 6 17 5" xfId="54654"/>
    <cellStyle name="Input [yellow] 2 7 6 18" xfId="10504"/>
    <cellStyle name="Input [yellow] 2 7 6 18 2" xfId="21701"/>
    <cellStyle name="Input [yellow] 2 7 6 18 3" xfId="32869"/>
    <cellStyle name="Input [yellow] 2 7 6 18 4" xfId="44034"/>
    <cellStyle name="Input [yellow] 2 7 6 18 5" xfId="55227"/>
    <cellStyle name="Input [yellow] 2 7 6 19" xfId="10970"/>
    <cellStyle name="Input [yellow] 2 7 6 19 2" xfId="22167"/>
    <cellStyle name="Input [yellow] 2 7 6 19 3" xfId="33335"/>
    <cellStyle name="Input [yellow] 2 7 6 19 4" xfId="44500"/>
    <cellStyle name="Input [yellow] 2 7 6 19 5" xfId="55693"/>
    <cellStyle name="Input [yellow] 2 7 6 2" xfId="1066"/>
    <cellStyle name="Input [yellow] 2 7 6 2 2" xfId="12263"/>
    <cellStyle name="Input [yellow] 2 7 6 2 3" xfId="23431"/>
    <cellStyle name="Input [yellow] 2 7 6 2 4" xfId="34596"/>
    <cellStyle name="Input [yellow] 2 7 6 2 5" xfId="45789"/>
    <cellStyle name="Input [yellow] 2 7 6 20" xfId="11617"/>
    <cellStyle name="Input [yellow] 2 7 6 21" xfId="22787"/>
    <cellStyle name="Input [yellow] 2 7 6 22" xfId="33954"/>
    <cellStyle name="Input [yellow] 2 7 6 23" xfId="45140"/>
    <cellStyle name="Input [yellow] 2 7 6 3" xfId="1801"/>
    <cellStyle name="Input [yellow] 2 7 6 3 2" xfId="12998"/>
    <cellStyle name="Input [yellow] 2 7 6 3 3" xfId="24166"/>
    <cellStyle name="Input [yellow] 2 7 6 3 4" xfId="35331"/>
    <cellStyle name="Input [yellow] 2 7 6 3 5" xfId="46524"/>
    <cellStyle name="Input [yellow] 2 7 6 4" xfId="2342"/>
    <cellStyle name="Input [yellow] 2 7 6 4 2" xfId="13539"/>
    <cellStyle name="Input [yellow] 2 7 6 4 3" xfId="24707"/>
    <cellStyle name="Input [yellow] 2 7 6 4 4" xfId="35872"/>
    <cellStyle name="Input [yellow] 2 7 6 4 5" xfId="47065"/>
    <cellStyle name="Input [yellow] 2 7 6 5" xfId="2767"/>
    <cellStyle name="Input [yellow] 2 7 6 5 2" xfId="13964"/>
    <cellStyle name="Input [yellow] 2 7 6 5 3" xfId="25132"/>
    <cellStyle name="Input [yellow] 2 7 6 5 4" xfId="36297"/>
    <cellStyle name="Input [yellow] 2 7 6 5 5" xfId="47490"/>
    <cellStyle name="Input [yellow] 2 7 6 6" xfId="3401"/>
    <cellStyle name="Input [yellow] 2 7 6 6 2" xfId="14598"/>
    <cellStyle name="Input [yellow] 2 7 6 6 3" xfId="25766"/>
    <cellStyle name="Input [yellow] 2 7 6 6 4" xfId="36931"/>
    <cellStyle name="Input [yellow] 2 7 6 6 5" xfId="48124"/>
    <cellStyle name="Input [yellow] 2 7 6 7" xfId="4035"/>
    <cellStyle name="Input [yellow] 2 7 6 7 2" xfId="15232"/>
    <cellStyle name="Input [yellow] 2 7 6 7 3" xfId="26400"/>
    <cellStyle name="Input [yellow] 2 7 6 7 4" xfId="37565"/>
    <cellStyle name="Input [yellow] 2 7 6 7 5" xfId="48758"/>
    <cellStyle name="Input [yellow] 2 7 6 8" xfId="4668"/>
    <cellStyle name="Input [yellow] 2 7 6 8 2" xfId="15865"/>
    <cellStyle name="Input [yellow] 2 7 6 8 3" xfId="27033"/>
    <cellStyle name="Input [yellow] 2 7 6 8 4" xfId="38198"/>
    <cellStyle name="Input [yellow] 2 7 6 8 5" xfId="49391"/>
    <cellStyle name="Input [yellow] 2 7 6 9" xfId="5299"/>
    <cellStyle name="Input [yellow] 2 7 6 9 2" xfId="16496"/>
    <cellStyle name="Input [yellow] 2 7 6 9 3" xfId="27664"/>
    <cellStyle name="Input [yellow] 2 7 6 9 4" xfId="38829"/>
    <cellStyle name="Input [yellow] 2 7 6 9 5" xfId="50022"/>
    <cellStyle name="Input [yellow] 2 7 7" xfId="461"/>
    <cellStyle name="Input [yellow] 2 7 7 10" xfId="5948"/>
    <cellStyle name="Input [yellow] 2 7 7 10 2" xfId="17145"/>
    <cellStyle name="Input [yellow] 2 7 7 10 3" xfId="28313"/>
    <cellStyle name="Input [yellow] 2 7 7 10 4" xfId="39478"/>
    <cellStyle name="Input [yellow] 2 7 7 10 5" xfId="50671"/>
    <cellStyle name="Input [yellow] 2 7 7 11" xfId="6397"/>
    <cellStyle name="Input [yellow] 2 7 7 11 2" xfId="17594"/>
    <cellStyle name="Input [yellow] 2 7 7 11 3" xfId="28762"/>
    <cellStyle name="Input [yellow] 2 7 7 11 4" xfId="39927"/>
    <cellStyle name="Input [yellow] 2 7 7 11 5" xfId="51120"/>
    <cellStyle name="Input [yellow] 2 7 7 12" xfId="7030"/>
    <cellStyle name="Input [yellow] 2 7 7 12 2" xfId="18227"/>
    <cellStyle name="Input [yellow] 2 7 7 12 3" xfId="29395"/>
    <cellStyle name="Input [yellow] 2 7 7 12 4" xfId="40560"/>
    <cellStyle name="Input [yellow] 2 7 7 12 5" xfId="51753"/>
    <cellStyle name="Input [yellow] 2 7 7 13" xfId="7664"/>
    <cellStyle name="Input [yellow] 2 7 7 13 2" xfId="18861"/>
    <cellStyle name="Input [yellow] 2 7 7 13 3" xfId="30029"/>
    <cellStyle name="Input [yellow] 2 7 7 13 4" xfId="41194"/>
    <cellStyle name="Input [yellow] 2 7 7 13 5" xfId="52387"/>
    <cellStyle name="Input [yellow] 2 7 7 14" xfId="8298"/>
    <cellStyle name="Input [yellow] 2 7 7 14 2" xfId="19495"/>
    <cellStyle name="Input [yellow] 2 7 7 14 3" xfId="30663"/>
    <cellStyle name="Input [yellow] 2 7 7 14 4" xfId="41828"/>
    <cellStyle name="Input [yellow] 2 7 7 14 5" xfId="53021"/>
    <cellStyle name="Input [yellow] 2 7 7 15" xfId="8926"/>
    <cellStyle name="Input [yellow] 2 7 7 15 2" xfId="20123"/>
    <cellStyle name="Input [yellow] 2 7 7 15 3" xfId="31291"/>
    <cellStyle name="Input [yellow] 2 7 7 15 4" xfId="42456"/>
    <cellStyle name="Input [yellow] 2 7 7 15 5" xfId="53649"/>
    <cellStyle name="Input [yellow] 2 7 7 16" xfId="9349"/>
    <cellStyle name="Input [yellow] 2 7 7 16 2" xfId="20546"/>
    <cellStyle name="Input [yellow] 2 7 7 16 3" xfId="31714"/>
    <cellStyle name="Input [yellow] 2 7 7 16 4" xfId="42879"/>
    <cellStyle name="Input [yellow] 2 7 7 16 5" xfId="54072"/>
    <cellStyle name="Input [yellow] 2 7 7 17" xfId="9975"/>
    <cellStyle name="Input [yellow] 2 7 7 17 2" xfId="21172"/>
    <cellStyle name="Input [yellow] 2 7 7 17 3" xfId="32340"/>
    <cellStyle name="Input [yellow] 2 7 7 17 4" xfId="43505"/>
    <cellStyle name="Input [yellow] 2 7 7 17 5" xfId="54698"/>
    <cellStyle name="Input [yellow] 2 7 7 18" xfId="10494"/>
    <cellStyle name="Input [yellow] 2 7 7 18 2" xfId="21691"/>
    <cellStyle name="Input [yellow] 2 7 7 18 3" xfId="32859"/>
    <cellStyle name="Input [yellow] 2 7 7 18 4" xfId="44024"/>
    <cellStyle name="Input [yellow] 2 7 7 18 5" xfId="55217"/>
    <cellStyle name="Input [yellow] 2 7 7 19" xfId="11014"/>
    <cellStyle name="Input [yellow] 2 7 7 19 2" xfId="22211"/>
    <cellStyle name="Input [yellow] 2 7 7 19 3" xfId="33379"/>
    <cellStyle name="Input [yellow] 2 7 7 19 4" xfId="44544"/>
    <cellStyle name="Input [yellow] 2 7 7 19 5" xfId="55737"/>
    <cellStyle name="Input [yellow] 2 7 7 2" xfId="1110"/>
    <cellStyle name="Input [yellow] 2 7 7 2 2" xfId="12307"/>
    <cellStyle name="Input [yellow] 2 7 7 2 3" xfId="23475"/>
    <cellStyle name="Input [yellow] 2 7 7 2 4" xfId="34640"/>
    <cellStyle name="Input [yellow] 2 7 7 2 5" xfId="45833"/>
    <cellStyle name="Input [yellow] 2 7 7 20" xfId="11661"/>
    <cellStyle name="Input [yellow] 2 7 7 21" xfId="22831"/>
    <cellStyle name="Input [yellow] 2 7 7 22" xfId="33998"/>
    <cellStyle name="Input [yellow] 2 7 7 23" xfId="45184"/>
    <cellStyle name="Input [yellow] 2 7 7 3" xfId="1791"/>
    <cellStyle name="Input [yellow] 2 7 7 3 2" xfId="12988"/>
    <cellStyle name="Input [yellow] 2 7 7 3 3" xfId="24156"/>
    <cellStyle name="Input [yellow] 2 7 7 3 4" xfId="35321"/>
    <cellStyle name="Input [yellow] 2 7 7 3 5" xfId="46514"/>
    <cellStyle name="Input [yellow] 2 7 7 4" xfId="2386"/>
    <cellStyle name="Input [yellow] 2 7 7 4 2" xfId="13583"/>
    <cellStyle name="Input [yellow] 2 7 7 4 3" xfId="24751"/>
    <cellStyle name="Input [yellow] 2 7 7 4 4" xfId="35916"/>
    <cellStyle name="Input [yellow] 2 7 7 4 5" xfId="47109"/>
    <cellStyle name="Input [yellow] 2 7 7 5" xfId="2811"/>
    <cellStyle name="Input [yellow] 2 7 7 5 2" xfId="14008"/>
    <cellStyle name="Input [yellow] 2 7 7 5 3" xfId="25176"/>
    <cellStyle name="Input [yellow] 2 7 7 5 4" xfId="36341"/>
    <cellStyle name="Input [yellow] 2 7 7 5 5" xfId="47534"/>
    <cellStyle name="Input [yellow] 2 7 7 6" xfId="3445"/>
    <cellStyle name="Input [yellow] 2 7 7 6 2" xfId="14642"/>
    <cellStyle name="Input [yellow] 2 7 7 6 3" xfId="25810"/>
    <cellStyle name="Input [yellow] 2 7 7 6 4" xfId="36975"/>
    <cellStyle name="Input [yellow] 2 7 7 6 5" xfId="48168"/>
    <cellStyle name="Input [yellow] 2 7 7 7" xfId="4079"/>
    <cellStyle name="Input [yellow] 2 7 7 7 2" xfId="15276"/>
    <cellStyle name="Input [yellow] 2 7 7 7 3" xfId="26444"/>
    <cellStyle name="Input [yellow] 2 7 7 7 4" xfId="37609"/>
    <cellStyle name="Input [yellow] 2 7 7 7 5" xfId="48802"/>
    <cellStyle name="Input [yellow] 2 7 7 8" xfId="4712"/>
    <cellStyle name="Input [yellow] 2 7 7 8 2" xfId="15909"/>
    <cellStyle name="Input [yellow] 2 7 7 8 3" xfId="27077"/>
    <cellStyle name="Input [yellow] 2 7 7 8 4" xfId="38242"/>
    <cellStyle name="Input [yellow] 2 7 7 8 5" xfId="49435"/>
    <cellStyle name="Input [yellow] 2 7 7 9" xfId="5343"/>
    <cellStyle name="Input [yellow] 2 7 7 9 2" xfId="16540"/>
    <cellStyle name="Input [yellow] 2 7 7 9 3" xfId="27708"/>
    <cellStyle name="Input [yellow] 2 7 7 9 4" xfId="38873"/>
    <cellStyle name="Input [yellow] 2 7 7 9 5" xfId="50066"/>
    <cellStyle name="Input [yellow] 2 7 8" xfId="496"/>
    <cellStyle name="Input [yellow] 2 7 8 10" xfId="4951"/>
    <cellStyle name="Input [yellow] 2 7 8 10 2" xfId="16148"/>
    <cellStyle name="Input [yellow] 2 7 8 10 3" xfId="27316"/>
    <cellStyle name="Input [yellow] 2 7 8 10 4" xfId="38481"/>
    <cellStyle name="Input [yellow] 2 7 8 10 5" xfId="49674"/>
    <cellStyle name="Input [yellow] 2 7 8 11" xfId="6432"/>
    <cellStyle name="Input [yellow] 2 7 8 11 2" xfId="17629"/>
    <cellStyle name="Input [yellow] 2 7 8 11 3" xfId="28797"/>
    <cellStyle name="Input [yellow] 2 7 8 11 4" xfId="39962"/>
    <cellStyle name="Input [yellow] 2 7 8 11 5" xfId="51155"/>
    <cellStyle name="Input [yellow] 2 7 8 12" xfId="7065"/>
    <cellStyle name="Input [yellow] 2 7 8 12 2" xfId="18262"/>
    <cellStyle name="Input [yellow] 2 7 8 12 3" xfId="29430"/>
    <cellStyle name="Input [yellow] 2 7 8 12 4" xfId="40595"/>
    <cellStyle name="Input [yellow] 2 7 8 12 5" xfId="51788"/>
    <cellStyle name="Input [yellow] 2 7 8 13" xfId="7699"/>
    <cellStyle name="Input [yellow] 2 7 8 13 2" xfId="18896"/>
    <cellStyle name="Input [yellow] 2 7 8 13 3" xfId="30064"/>
    <cellStyle name="Input [yellow] 2 7 8 13 4" xfId="41229"/>
    <cellStyle name="Input [yellow] 2 7 8 13 5" xfId="52422"/>
    <cellStyle name="Input [yellow] 2 7 8 14" xfId="8333"/>
    <cellStyle name="Input [yellow] 2 7 8 14 2" xfId="19530"/>
    <cellStyle name="Input [yellow] 2 7 8 14 3" xfId="30698"/>
    <cellStyle name="Input [yellow] 2 7 8 14 4" xfId="41863"/>
    <cellStyle name="Input [yellow] 2 7 8 14 5" xfId="53056"/>
    <cellStyle name="Input [yellow] 2 7 8 15" xfId="8961"/>
    <cellStyle name="Input [yellow] 2 7 8 15 2" xfId="20158"/>
    <cellStyle name="Input [yellow] 2 7 8 15 3" xfId="31326"/>
    <cellStyle name="Input [yellow] 2 7 8 15 4" xfId="42491"/>
    <cellStyle name="Input [yellow] 2 7 8 15 5" xfId="53684"/>
    <cellStyle name="Input [yellow] 2 7 8 16" xfId="9384"/>
    <cellStyle name="Input [yellow] 2 7 8 16 2" xfId="20581"/>
    <cellStyle name="Input [yellow] 2 7 8 16 3" xfId="31749"/>
    <cellStyle name="Input [yellow] 2 7 8 16 4" xfId="42914"/>
    <cellStyle name="Input [yellow] 2 7 8 16 5" xfId="54107"/>
    <cellStyle name="Input [yellow] 2 7 8 17" xfId="10010"/>
    <cellStyle name="Input [yellow] 2 7 8 17 2" xfId="21207"/>
    <cellStyle name="Input [yellow] 2 7 8 17 3" xfId="32375"/>
    <cellStyle name="Input [yellow] 2 7 8 17 4" xfId="43540"/>
    <cellStyle name="Input [yellow] 2 7 8 17 5" xfId="54733"/>
    <cellStyle name="Input [yellow] 2 7 8 18" xfId="10618"/>
    <cellStyle name="Input [yellow] 2 7 8 18 2" xfId="21815"/>
    <cellStyle name="Input [yellow] 2 7 8 18 3" xfId="32983"/>
    <cellStyle name="Input [yellow] 2 7 8 18 4" xfId="44148"/>
    <cellStyle name="Input [yellow] 2 7 8 18 5" xfId="55341"/>
    <cellStyle name="Input [yellow] 2 7 8 19" xfId="11049"/>
    <cellStyle name="Input [yellow] 2 7 8 19 2" xfId="22246"/>
    <cellStyle name="Input [yellow] 2 7 8 19 3" xfId="33414"/>
    <cellStyle name="Input [yellow] 2 7 8 19 4" xfId="44579"/>
    <cellStyle name="Input [yellow] 2 7 8 19 5" xfId="55772"/>
    <cellStyle name="Input [yellow] 2 7 8 2" xfId="1145"/>
    <cellStyle name="Input [yellow] 2 7 8 2 2" xfId="12342"/>
    <cellStyle name="Input [yellow] 2 7 8 2 3" xfId="23510"/>
    <cellStyle name="Input [yellow] 2 7 8 2 4" xfId="34675"/>
    <cellStyle name="Input [yellow] 2 7 8 2 5" xfId="45868"/>
    <cellStyle name="Input [yellow] 2 7 8 20" xfId="11696"/>
    <cellStyle name="Input [yellow] 2 7 8 21" xfId="22866"/>
    <cellStyle name="Input [yellow] 2 7 8 22" xfId="34033"/>
    <cellStyle name="Input [yellow] 2 7 8 23" xfId="45219"/>
    <cellStyle name="Input [yellow] 2 7 8 3" xfId="1918"/>
    <cellStyle name="Input [yellow] 2 7 8 3 2" xfId="13115"/>
    <cellStyle name="Input [yellow] 2 7 8 3 3" xfId="24283"/>
    <cellStyle name="Input [yellow] 2 7 8 3 4" xfId="35448"/>
    <cellStyle name="Input [yellow] 2 7 8 3 5" xfId="46641"/>
    <cellStyle name="Input [yellow] 2 7 8 4" xfId="2421"/>
    <cellStyle name="Input [yellow] 2 7 8 4 2" xfId="13618"/>
    <cellStyle name="Input [yellow] 2 7 8 4 3" xfId="24786"/>
    <cellStyle name="Input [yellow] 2 7 8 4 4" xfId="35951"/>
    <cellStyle name="Input [yellow] 2 7 8 4 5" xfId="47144"/>
    <cellStyle name="Input [yellow] 2 7 8 5" xfId="2846"/>
    <cellStyle name="Input [yellow] 2 7 8 5 2" xfId="14043"/>
    <cellStyle name="Input [yellow] 2 7 8 5 3" xfId="25211"/>
    <cellStyle name="Input [yellow] 2 7 8 5 4" xfId="36376"/>
    <cellStyle name="Input [yellow] 2 7 8 5 5" xfId="47569"/>
    <cellStyle name="Input [yellow] 2 7 8 6" xfId="3480"/>
    <cellStyle name="Input [yellow] 2 7 8 6 2" xfId="14677"/>
    <cellStyle name="Input [yellow] 2 7 8 6 3" xfId="25845"/>
    <cellStyle name="Input [yellow] 2 7 8 6 4" xfId="37010"/>
    <cellStyle name="Input [yellow] 2 7 8 6 5" xfId="48203"/>
    <cellStyle name="Input [yellow] 2 7 8 7" xfId="4114"/>
    <cellStyle name="Input [yellow] 2 7 8 7 2" xfId="15311"/>
    <cellStyle name="Input [yellow] 2 7 8 7 3" xfId="26479"/>
    <cellStyle name="Input [yellow] 2 7 8 7 4" xfId="37644"/>
    <cellStyle name="Input [yellow] 2 7 8 7 5" xfId="48837"/>
    <cellStyle name="Input [yellow] 2 7 8 8" xfId="4747"/>
    <cellStyle name="Input [yellow] 2 7 8 8 2" xfId="15944"/>
    <cellStyle name="Input [yellow] 2 7 8 8 3" xfId="27112"/>
    <cellStyle name="Input [yellow] 2 7 8 8 4" xfId="38277"/>
    <cellStyle name="Input [yellow] 2 7 8 8 5" xfId="49470"/>
    <cellStyle name="Input [yellow] 2 7 8 9" xfId="5378"/>
    <cellStyle name="Input [yellow] 2 7 8 9 2" xfId="16575"/>
    <cellStyle name="Input [yellow] 2 7 8 9 3" xfId="27743"/>
    <cellStyle name="Input [yellow] 2 7 8 9 4" xfId="38908"/>
    <cellStyle name="Input [yellow] 2 7 8 9 5" xfId="50101"/>
    <cellStyle name="Input [yellow] 2 7 9" xfId="554"/>
    <cellStyle name="Input [yellow] 2 7 9 10" xfId="5720"/>
    <cellStyle name="Input [yellow] 2 7 9 10 2" xfId="16917"/>
    <cellStyle name="Input [yellow] 2 7 9 10 3" xfId="28085"/>
    <cellStyle name="Input [yellow] 2 7 9 10 4" xfId="39250"/>
    <cellStyle name="Input [yellow] 2 7 9 10 5" xfId="50443"/>
    <cellStyle name="Input [yellow] 2 7 9 11" xfId="6490"/>
    <cellStyle name="Input [yellow] 2 7 9 11 2" xfId="17687"/>
    <cellStyle name="Input [yellow] 2 7 9 11 3" xfId="28855"/>
    <cellStyle name="Input [yellow] 2 7 9 11 4" xfId="40020"/>
    <cellStyle name="Input [yellow] 2 7 9 11 5" xfId="51213"/>
    <cellStyle name="Input [yellow] 2 7 9 12" xfId="7123"/>
    <cellStyle name="Input [yellow] 2 7 9 12 2" xfId="18320"/>
    <cellStyle name="Input [yellow] 2 7 9 12 3" xfId="29488"/>
    <cellStyle name="Input [yellow] 2 7 9 12 4" xfId="40653"/>
    <cellStyle name="Input [yellow] 2 7 9 12 5" xfId="51846"/>
    <cellStyle name="Input [yellow] 2 7 9 13" xfId="7757"/>
    <cellStyle name="Input [yellow] 2 7 9 13 2" xfId="18954"/>
    <cellStyle name="Input [yellow] 2 7 9 13 3" xfId="30122"/>
    <cellStyle name="Input [yellow] 2 7 9 13 4" xfId="41287"/>
    <cellStyle name="Input [yellow] 2 7 9 13 5" xfId="52480"/>
    <cellStyle name="Input [yellow] 2 7 9 14" xfId="8391"/>
    <cellStyle name="Input [yellow] 2 7 9 14 2" xfId="19588"/>
    <cellStyle name="Input [yellow] 2 7 9 14 3" xfId="30756"/>
    <cellStyle name="Input [yellow] 2 7 9 14 4" xfId="41921"/>
    <cellStyle name="Input [yellow] 2 7 9 14 5" xfId="53114"/>
    <cellStyle name="Input [yellow] 2 7 9 15" xfId="9019"/>
    <cellStyle name="Input [yellow] 2 7 9 15 2" xfId="20216"/>
    <cellStyle name="Input [yellow] 2 7 9 15 3" xfId="31384"/>
    <cellStyle name="Input [yellow] 2 7 9 15 4" xfId="42549"/>
    <cellStyle name="Input [yellow] 2 7 9 15 5" xfId="53742"/>
    <cellStyle name="Input [yellow] 2 7 9 16" xfId="9442"/>
    <cellStyle name="Input [yellow] 2 7 9 16 2" xfId="20639"/>
    <cellStyle name="Input [yellow] 2 7 9 16 3" xfId="31807"/>
    <cellStyle name="Input [yellow] 2 7 9 16 4" xfId="42972"/>
    <cellStyle name="Input [yellow] 2 7 9 16 5" xfId="54165"/>
    <cellStyle name="Input [yellow] 2 7 9 17" xfId="10067"/>
    <cellStyle name="Input [yellow] 2 7 9 17 2" xfId="21264"/>
    <cellStyle name="Input [yellow] 2 7 9 17 3" xfId="32432"/>
    <cellStyle name="Input [yellow] 2 7 9 17 4" xfId="43597"/>
    <cellStyle name="Input [yellow] 2 7 9 17 5" xfId="54790"/>
    <cellStyle name="Input [yellow] 2 7 9 18" xfId="10477"/>
    <cellStyle name="Input [yellow] 2 7 9 18 2" xfId="21674"/>
    <cellStyle name="Input [yellow] 2 7 9 18 3" xfId="32842"/>
    <cellStyle name="Input [yellow] 2 7 9 18 4" xfId="44007"/>
    <cellStyle name="Input [yellow] 2 7 9 18 5" xfId="55200"/>
    <cellStyle name="Input [yellow] 2 7 9 19" xfId="11107"/>
    <cellStyle name="Input [yellow] 2 7 9 19 2" xfId="22304"/>
    <cellStyle name="Input [yellow] 2 7 9 19 3" xfId="33472"/>
    <cellStyle name="Input [yellow] 2 7 9 19 4" xfId="44637"/>
    <cellStyle name="Input [yellow] 2 7 9 19 5" xfId="55830"/>
    <cellStyle name="Input [yellow] 2 7 9 2" xfId="1203"/>
    <cellStyle name="Input [yellow] 2 7 9 2 2" xfId="12400"/>
    <cellStyle name="Input [yellow] 2 7 9 2 3" xfId="23568"/>
    <cellStyle name="Input [yellow] 2 7 9 2 4" xfId="34733"/>
    <cellStyle name="Input [yellow] 2 7 9 2 5" xfId="45926"/>
    <cellStyle name="Input [yellow] 2 7 9 20" xfId="11754"/>
    <cellStyle name="Input [yellow] 2 7 9 21" xfId="22924"/>
    <cellStyle name="Input [yellow] 2 7 9 22" xfId="34091"/>
    <cellStyle name="Input [yellow] 2 7 9 23" xfId="45277"/>
    <cellStyle name="Input [yellow] 2 7 9 3" xfId="1773"/>
    <cellStyle name="Input [yellow] 2 7 9 3 2" xfId="12970"/>
    <cellStyle name="Input [yellow] 2 7 9 3 3" xfId="24138"/>
    <cellStyle name="Input [yellow] 2 7 9 3 4" xfId="35303"/>
    <cellStyle name="Input [yellow] 2 7 9 3 5" xfId="46496"/>
    <cellStyle name="Input [yellow] 2 7 9 4" xfId="2479"/>
    <cellStyle name="Input [yellow] 2 7 9 4 2" xfId="13676"/>
    <cellStyle name="Input [yellow] 2 7 9 4 3" xfId="24844"/>
    <cellStyle name="Input [yellow] 2 7 9 4 4" xfId="36009"/>
    <cellStyle name="Input [yellow] 2 7 9 4 5" xfId="47202"/>
    <cellStyle name="Input [yellow] 2 7 9 5" xfId="2904"/>
    <cellStyle name="Input [yellow] 2 7 9 5 2" xfId="14101"/>
    <cellStyle name="Input [yellow] 2 7 9 5 3" xfId="25269"/>
    <cellStyle name="Input [yellow] 2 7 9 5 4" xfId="36434"/>
    <cellStyle name="Input [yellow] 2 7 9 5 5" xfId="47627"/>
    <cellStyle name="Input [yellow] 2 7 9 6" xfId="3538"/>
    <cellStyle name="Input [yellow] 2 7 9 6 2" xfId="14735"/>
    <cellStyle name="Input [yellow] 2 7 9 6 3" xfId="25903"/>
    <cellStyle name="Input [yellow] 2 7 9 6 4" xfId="37068"/>
    <cellStyle name="Input [yellow] 2 7 9 6 5" xfId="48261"/>
    <cellStyle name="Input [yellow] 2 7 9 7" xfId="4172"/>
    <cellStyle name="Input [yellow] 2 7 9 7 2" xfId="15369"/>
    <cellStyle name="Input [yellow] 2 7 9 7 3" xfId="26537"/>
    <cellStyle name="Input [yellow] 2 7 9 7 4" xfId="37702"/>
    <cellStyle name="Input [yellow] 2 7 9 7 5" xfId="48895"/>
    <cellStyle name="Input [yellow] 2 7 9 8" xfId="4805"/>
    <cellStyle name="Input [yellow] 2 7 9 8 2" xfId="16002"/>
    <cellStyle name="Input [yellow] 2 7 9 8 3" xfId="27170"/>
    <cellStyle name="Input [yellow] 2 7 9 8 4" xfId="38335"/>
    <cellStyle name="Input [yellow] 2 7 9 8 5" xfId="49528"/>
    <cellStyle name="Input [yellow] 2 7 9 9" xfId="5436"/>
    <cellStyle name="Input [yellow] 2 7 9 9 2" xfId="16633"/>
    <cellStyle name="Input [yellow] 2 7 9 9 3" xfId="27801"/>
    <cellStyle name="Input [yellow] 2 7 9 9 4" xfId="38966"/>
    <cellStyle name="Input [yellow] 2 7 9 9 5" xfId="50159"/>
    <cellStyle name="Input [yellow] 2 8" xfId="90"/>
    <cellStyle name="Input [yellow] 2 8 10" xfId="487"/>
    <cellStyle name="Input [yellow] 2 8 10 10" xfId="5844"/>
    <cellStyle name="Input [yellow] 2 8 10 10 2" xfId="17041"/>
    <cellStyle name="Input [yellow] 2 8 10 10 3" xfId="28209"/>
    <cellStyle name="Input [yellow] 2 8 10 10 4" xfId="39374"/>
    <cellStyle name="Input [yellow] 2 8 10 10 5" xfId="50567"/>
    <cellStyle name="Input [yellow] 2 8 10 11" xfId="6423"/>
    <cellStyle name="Input [yellow] 2 8 10 11 2" xfId="17620"/>
    <cellStyle name="Input [yellow] 2 8 10 11 3" xfId="28788"/>
    <cellStyle name="Input [yellow] 2 8 10 11 4" xfId="39953"/>
    <cellStyle name="Input [yellow] 2 8 10 11 5" xfId="51146"/>
    <cellStyle name="Input [yellow] 2 8 10 12" xfId="7056"/>
    <cellStyle name="Input [yellow] 2 8 10 12 2" xfId="18253"/>
    <cellStyle name="Input [yellow] 2 8 10 12 3" xfId="29421"/>
    <cellStyle name="Input [yellow] 2 8 10 12 4" xfId="40586"/>
    <cellStyle name="Input [yellow] 2 8 10 12 5" xfId="51779"/>
    <cellStyle name="Input [yellow] 2 8 10 13" xfId="7690"/>
    <cellStyle name="Input [yellow] 2 8 10 13 2" xfId="18887"/>
    <cellStyle name="Input [yellow] 2 8 10 13 3" xfId="30055"/>
    <cellStyle name="Input [yellow] 2 8 10 13 4" xfId="41220"/>
    <cellStyle name="Input [yellow] 2 8 10 13 5" xfId="52413"/>
    <cellStyle name="Input [yellow] 2 8 10 14" xfId="8324"/>
    <cellStyle name="Input [yellow] 2 8 10 14 2" xfId="19521"/>
    <cellStyle name="Input [yellow] 2 8 10 14 3" xfId="30689"/>
    <cellStyle name="Input [yellow] 2 8 10 14 4" xfId="41854"/>
    <cellStyle name="Input [yellow] 2 8 10 14 5" xfId="53047"/>
    <cellStyle name="Input [yellow] 2 8 10 15" xfId="8952"/>
    <cellStyle name="Input [yellow] 2 8 10 15 2" xfId="20149"/>
    <cellStyle name="Input [yellow] 2 8 10 15 3" xfId="31317"/>
    <cellStyle name="Input [yellow] 2 8 10 15 4" xfId="42482"/>
    <cellStyle name="Input [yellow] 2 8 10 15 5" xfId="53675"/>
    <cellStyle name="Input [yellow] 2 8 10 16" xfId="9375"/>
    <cellStyle name="Input [yellow] 2 8 10 16 2" xfId="20572"/>
    <cellStyle name="Input [yellow] 2 8 10 16 3" xfId="31740"/>
    <cellStyle name="Input [yellow] 2 8 10 16 4" xfId="42905"/>
    <cellStyle name="Input [yellow] 2 8 10 16 5" xfId="54098"/>
    <cellStyle name="Input [yellow] 2 8 10 17" xfId="10001"/>
    <cellStyle name="Input [yellow] 2 8 10 17 2" xfId="21198"/>
    <cellStyle name="Input [yellow] 2 8 10 17 3" xfId="32366"/>
    <cellStyle name="Input [yellow] 2 8 10 17 4" xfId="43531"/>
    <cellStyle name="Input [yellow] 2 8 10 17 5" xfId="54724"/>
    <cellStyle name="Input [yellow] 2 8 10 18" xfId="10009"/>
    <cellStyle name="Input [yellow] 2 8 10 18 2" xfId="21206"/>
    <cellStyle name="Input [yellow] 2 8 10 18 3" xfId="32374"/>
    <cellStyle name="Input [yellow] 2 8 10 18 4" xfId="43539"/>
    <cellStyle name="Input [yellow] 2 8 10 18 5" xfId="54732"/>
    <cellStyle name="Input [yellow] 2 8 10 19" xfId="11040"/>
    <cellStyle name="Input [yellow] 2 8 10 19 2" xfId="22237"/>
    <cellStyle name="Input [yellow] 2 8 10 19 3" xfId="33405"/>
    <cellStyle name="Input [yellow] 2 8 10 19 4" xfId="44570"/>
    <cellStyle name="Input [yellow] 2 8 10 19 5" xfId="55763"/>
    <cellStyle name="Input [yellow] 2 8 10 2" xfId="1136"/>
    <cellStyle name="Input [yellow] 2 8 10 2 2" xfId="12333"/>
    <cellStyle name="Input [yellow] 2 8 10 2 3" xfId="23501"/>
    <cellStyle name="Input [yellow] 2 8 10 2 4" xfId="34666"/>
    <cellStyle name="Input [yellow] 2 8 10 2 5" xfId="45859"/>
    <cellStyle name="Input [yellow] 2 8 10 20" xfId="11687"/>
    <cellStyle name="Input [yellow] 2 8 10 21" xfId="22857"/>
    <cellStyle name="Input [yellow] 2 8 10 22" xfId="34024"/>
    <cellStyle name="Input [yellow] 2 8 10 23" xfId="45210"/>
    <cellStyle name="Input [yellow] 2 8 10 3" xfId="1841"/>
    <cellStyle name="Input [yellow] 2 8 10 3 2" xfId="13038"/>
    <cellStyle name="Input [yellow] 2 8 10 3 3" xfId="24206"/>
    <cellStyle name="Input [yellow] 2 8 10 3 4" xfId="35371"/>
    <cellStyle name="Input [yellow] 2 8 10 3 5" xfId="46564"/>
    <cellStyle name="Input [yellow] 2 8 10 4" xfId="2412"/>
    <cellStyle name="Input [yellow] 2 8 10 4 2" xfId="13609"/>
    <cellStyle name="Input [yellow] 2 8 10 4 3" xfId="24777"/>
    <cellStyle name="Input [yellow] 2 8 10 4 4" xfId="35942"/>
    <cellStyle name="Input [yellow] 2 8 10 4 5" xfId="47135"/>
    <cellStyle name="Input [yellow] 2 8 10 5" xfId="2837"/>
    <cellStyle name="Input [yellow] 2 8 10 5 2" xfId="14034"/>
    <cellStyle name="Input [yellow] 2 8 10 5 3" xfId="25202"/>
    <cellStyle name="Input [yellow] 2 8 10 5 4" xfId="36367"/>
    <cellStyle name="Input [yellow] 2 8 10 5 5" xfId="47560"/>
    <cellStyle name="Input [yellow] 2 8 10 6" xfId="3471"/>
    <cellStyle name="Input [yellow] 2 8 10 6 2" xfId="14668"/>
    <cellStyle name="Input [yellow] 2 8 10 6 3" xfId="25836"/>
    <cellStyle name="Input [yellow] 2 8 10 6 4" xfId="37001"/>
    <cellStyle name="Input [yellow] 2 8 10 6 5" xfId="48194"/>
    <cellStyle name="Input [yellow] 2 8 10 7" xfId="4105"/>
    <cellStyle name="Input [yellow] 2 8 10 7 2" xfId="15302"/>
    <cellStyle name="Input [yellow] 2 8 10 7 3" xfId="26470"/>
    <cellStyle name="Input [yellow] 2 8 10 7 4" xfId="37635"/>
    <cellStyle name="Input [yellow] 2 8 10 7 5" xfId="48828"/>
    <cellStyle name="Input [yellow] 2 8 10 8" xfId="4738"/>
    <cellStyle name="Input [yellow] 2 8 10 8 2" xfId="15935"/>
    <cellStyle name="Input [yellow] 2 8 10 8 3" xfId="27103"/>
    <cellStyle name="Input [yellow] 2 8 10 8 4" xfId="38268"/>
    <cellStyle name="Input [yellow] 2 8 10 8 5" xfId="49461"/>
    <cellStyle name="Input [yellow] 2 8 10 9" xfId="5369"/>
    <cellStyle name="Input [yellow] 2 8 10 9 2" xfId="16566"/>
    <cellStyle name="Input [yellow] 2 8 10 9 3" xfId="27734"/>
    <cellStyle name="Input [yellow] 2 8 10 9 4" xfId="38899"/>
    <cellStyle name="Input [yellow] 2 8 10 9 5" xfId="50092"/>
    <cellStyle name="Input [yellow] 2 8 11" xfId="630"/>
    <cellStyle name="Input [yellow] 2 8 11 10" xfId="6040"/>
    <cellStyle name="Input [yellow] 2 8 11 10 2" xfId="17237"/>
    <cellStyle name="Input [yellow] 2 8 11 10 3" xfId="28405"/>
    <cellStyle name="Input [yellow] 2 8 11 10 4" xfId="39570"/>
    <cellStyle name="Input [yellow] 2 8 11 10 5" xfId="50763"/>
    <cellStyle name="Input [yellow] 2 8 11 11" xfId="6566"/>
    <cellStyle name="Input [yellow] 2 8 11 11 2" xfId="17763"/>
    <cellStyle name="Input [yellow] 2 8 11 11 3" xfId="28931"/>
    <cellStyle name="Input [yellow] 2 8 11 11 4" xfId="40096"/>
    <cellStyle name="Input [yellow] 2 8 11 11 5" xfId="51289"/>
    <cellStyle name="Input [yellow] 2 8 11 12" xfId="7199"/>
    <cellStyle name="Input [yellow] 2 8 11 12 2" xfId="18396"/>
    <cellStyle name="Input [yellow] 2 8 11 12 3" xfId="29564"/>
    <cellStyle name="Input [yellow] 2 8 11 12 4" xfId="40729"/>
    <cellStyle name="Input [yellow] 2 8 11 12 5" xfId="51922"/>
    <cellStyle name="Input [yellow] 2 8 11 13" xfId="7833"/>
    <cellStyle name="Input [yellow] 2 8 11 13 2" xfId="19030"/>
    <cellStyle name="Input [yellow] 2 8 11 13 3" xfId="30198"/>
    <cellStyle name="Input [yellow] 2 8 11 13 4" xfId="41363"/>
    <cellStyle name="Input [yellow] 2 8 11 13 5" xfId="52556"/>
    <cellStyle name="Input [yellow] 2 8 11 14" xfId="8467"/>
    <cellStyle name="Input [yellow] 2 8 11 14 2" xfId="19664"/>
    <cellStyle name="Input [yellow] 2 8 11 14 3" xfId="30832"/>
    <cellStyle name="Input [yellow] 2 8 11 14 4" xfId="41997"/>
    <cellStyle name="Input [yellow] 2 8 11 14 5" xfId="53190"/>
    <cellStyle name="Input [yellow] 2 8 11 15" xfId="9095"/>
    <cellStyle name="Input [yellow] 2 8 11 15 2" xfId="20292"/>
    <cellStyle name="Input [yellow] 2 8 11 15 3" xfId="31460"/>
    <cellStyle name="Input [yellow] 2 8 11 15 4" xfId="42625"/>
    <cellStyle name="Input [yellow] 2 8 11 15 5" xfId="53818"/>
    <cellStyle name="Input [yellow] 2 8 11 16" xfId="9518"/>
    <cellStyle name="Input [yellow] 2 8 11 16 2" xfId="20715"/>
    <cellStyle name="Input [yellow] 2 8 11 16 3" xfId="31883"/>
    <cellStyle name="Input [yellow] 2 8 11 16 4" xfId="43048"/>
    <cellStyle name="Input [yellow] 2 8 11 16 5" xfId="54241"/>
    <cellStyle name="Input [yellow] 2 8 11 17" xfId="10143"/>
    <cellStyle name="Input [yellow] 2 8 11 17 2" xfId="21340"/>
    <cellStyle name="Input [yellow] 2 8 11 17 3" xfId="32508"/>
    <cellStyle name="Input [yellow] 2 8 11 17 4" xfId="43673"/>
    <cellStyle name="Input [yellow] 2 8 11 17 5" xfId="54866"/>
    <cellStyle name="Input [yellow] 2 8 11 18" xfId="10560"/>
    <cellStyle name="Input [yellow] 2 8 11 18 2" xfId="21757"/>
    <cellStyle name="Input [yellow] 2 8 11 18 3" xfId="32925"/>
    <cellStyle name="Input [yellow] 2 8 11 18 4" xfId="44090"/>
    <cellStyle name="Input [yellow] 2 8 11 18 5" xfId="55283"/>
    <cellStyle name="Input [yellow] 2 8 11 19" xfId="11183"/>
    <cellStyle name="Input [yellow] 2 8 11 19 2" xfId="22380"/>
    <cellStyle name="Input [yellow] 2 8 11 19 3" xfId="33548"/>
    <cellStyle name="Input [yellow] 2 8 11 19 4" xfId="44713"/>
    <cellStyle name="Input [yellow] 2 8 11 19 5" xfId="55906"/>
    <cellStyle name="Input [yellow] 2 8 11 2" xfId="1279"/>
    <cellStyle name="Input [yellow] 2 8 11 2 2" xfId="12476"/>
    <cellStyle name="Input [yellow] 2 8 11 2 3" xfId="23644"/>
    <cellStyle name="Input [yellow] 2 8 11 2 4" xfId="34809"/>
    <cellStyle name="Input [yellow] 2 8 11 2 5" xfId="46002"/>
    <cellStyle name="Input [yellow] 2 8 11 20" xfId="11830"/>
    <cellStyle name="Input [yellow] 2 8 11 21" xfId="23000"/>
    <cellStyle name="Input [yellow] 2 8 11 22" xfId="34167"/>
    <cellStyle name="Input [yellow] 2 8 11 23" xfId="45353"/>
    <cellStyle name="Input [yellow] 2 8 11 3" xfId="1409"/>
    <cellStyle name="Input [yellow] 2 8 11 3 2" xfId="12606"/>
    <cellStyle name="Input [yellow] 2 8 11 3 3" xfId="23774"/>
    <cellStyle name="Input [yellow] 2 8 11 3 4" xfId="34939"/>
    <cellStyle name="Input [yellow] 2 8 11 3 5" xfId="46132"/>
    <cellStyle name="Input [yellow] 2 8 11 4" xfId="2555"/>
    <cellStyle name="Input [yellow] 2 8 11 4 2" xfId="13752"/>
    <cellStyle name="Input [yellow] 2 8 11 4 3" xfId="24920"/>
    <cellStyle name="Input [yellow] 2 8 11 4 4" xfId="36085"/>
    <cellStyle name="Input [yellow] 2 8 11 4 5" xfId="47278"/>
    <cellStyle name="Input [yellow] 2 8 11 5" xfId="2980"/>
    <cellStyle name="Input [yellow] 2 8 11 5 2" xfId="14177"/>
    <cellStyle name="Input [yellow] 2 8 11 5 3" xfId="25345"/>
    <cellStyle name="Input [yellow] 2 8 11 5 4" xfId="36510"/>
    <cellStyle name="Input [yellow] 2 8 11 5 5" xfId="47703"/>
    <cellStyle name="Input [yellow] 2 8 11 6" xfId="3614"/>
    <cellStyle name="Input [yellow] 2 8 11 6 2" xfId="14811"/>
    <cellStyle name="Input [yellow] 2 8 11 6 3" xfId="25979"/>
    <cellStyle name="Input [yellow] 2 8 11 6 4" xfId="37144"/>
    <cellStyle name="Input [yellow] 2 8 11 6 5" xfId="48337"/>
    <cellStyle name="Input [yellow] 2 8 11 7" xfId="4248"/>
    <cellStyle name="Input [yellow] 2 8 11 7 2" xfId="15445"/>
    <cellStyle name="Input [yellow] 2 8 11 7 3" xfId="26613"/>
    <cellStyle name="Input [yellow] 2 8 11 7 4" xfId="37778"/>
    <cellStyle name="Input [yellow] 2 8 11 7 5" xfId="48971"/>
    <cellStyle name="Input [yellow] 2 8 11 8" xfId="4881"/>
    <cellStyle name="Input [yellow] 2 8 11 8 2" xfId="16078"/>
    <cellStyle name="Input [yellow] 2 8 11 8 3" xfId="27246"/>
    <cellStyle name="Input [yellow] 2 8 11 8 4" xfId="38411"/>
    <cellStyle name="Input [yellow] 2 8 11 8 5" xfId="49604"/>
    <cellStyle name="Input [yellow] 2 8 11 9" xfId="5512"/>
    <cellStyle name="Input [yellow] 2 8 11 9 2" xfId="16709"/>
    <cellStyle name="Input [yellow] 2 8 11 9 3" xfId="27877"/>
    <cellStyle name="Input [yellow] 2 8 11 9 4" xfId="39042"/>
    <cellStyle name="Input [yellow] 2 8 11 9 5" xfId="50235"/>
    <cellStyle name="Input [yellow] 2 8 12" xfId="739"/>
    <cellStyle name="Input [yellow] 2 8 12 2" xfId="11937"/>
    <cellStyle name="Input [yellow] 2 8 12 3" xfId="23106"/>
    <cellStyle name="Input [yellow] 2 8 12 4" xfId="34271"/>
    <cellStyle name="Input [yellow] 2 8 12 5" xfId="45462"/>
    <cellStyle name="Input [yellow] 2 8 13" xfId="1564"/>
    <cellStyle name="Input [yellow] 2 8 13 2" xfId="12761"/>
    <cellStyle name="Input [yellow] 2 8 13 3" xfId="23929"/>
    <cellStyle name="Input [yellow] 2 8 13 4" xfId="35094"/>
    <cellStyle name="Input [yellow] 2 8 13 5" xfId="46287"/>
    <cellStyle name="Input [yellow] 2 8 14" xfId="2016"/>
    <cellStyle name="Input [yellow] 2 8 14 2" xfId="13213"/>
    <cellStyle name="Input [yellow] 2 8 14 3" xfId="24381"/>
    <cellStyle name="Input [yellow] 2 8 14 4" xfId="35546"/>
    <cellStyle name="Input [yellow] 2 8 14 5" xfId="46739"/>
    <cellStyle name="Input [yellow] 2 8 15" xfId="2140"/>
    <cellStyle name="Input [yellow] 2 8 15 2" xfId="13337"/>
    <cellStyle name="Input [yellow] 2 8 15 3" xfId="24505"/>
    <cellStyle name="Input [yellow] 2 8 15 4" xfId="35670"/>
    <cellStyle name="Input [yellow] 2 8 15 5" xfId="46863"/>
    <cellStyle name="Input [yellow] 2 8 16" xfId="3074"/>
    <cellStyle name="Input [yellow] 2 8 16 2" xfId="14271"/>
    <cellStyle name="Input [yellow] 2 8 16 3" xfId="25439"/>
    <cellStyle name="Input [yellow] 2 8 16 4" xfId="36604"/>
    <cellStyle name="Input [yellow] 2 8 16 5" xfId="47797"/>
    <cellStyle name="Input [yellow] 2 8 17" xfId="3709"/>
    <cellStyle name="Input [yellow] 2 8 17 2" xfId="14906"/>
    <cellStyle name="Input [yellow] 2 8 17 3" xfId="26074"/>
    <cellStyle name="Input [yellow] 2 8 17 4" xfId="37239"/>
    <cellStyle name="Input [yellow] 2 8 17 5" xfId="48432"/>
    <cellStyle name="Input [yellow] 2 8 18" xfId="4341"/>
    <cellStyle name="Input [yellow] 2 8 18 2" xfId="15538"/>
    <cellStyle name="Input [yellow] 2 8 18 3" xfId="26706"/>
    <cellStyle name="Input [yellow] 2 8 18 4" xfId="37871"/>
    <cellStyle name="Input [yellow] 2 8 18 5" xfId="49064"/>
    <cellStyle name="Input [yellow] 2 8 19" xfId="4974"/>
    <cellStyle name="Input [yellow] 2 8 19 2" xfId="16171"/>
    <cellStyle name="Input [yellow] 2 8 19 3" xfId="27339"/>
    <cellStyle name="Input [yellow] 2 8 19 4" xfId="38504"/>
    <cellStyle name="Input [yellow] 2 8 19 5" xfId="49697"/>
    <cellStyle name="Input [yellow] 2 8 2" xfId="155"/>
    <cellStyle name="Input [yellow] 2 8 2 10" xfId="6190"/>
    <cellStyle name="Input [yellow] 2 8 2 10 2" xfId="17387"/>
    <cellStyle name="Input [yellow] 2 8 2 10 3" xfId="28555"/>
    <cellStyle name="Input [yellow] 2 8 2 10 4" xfId="39720"/>
    <cellStyle name="Input [yellow] 2 8 2 10 5" xfId="50913"/>
    <cellStyle name="Input [yellow] 2 8 2 11" xfId="5863"/>
    <cellStyle name="Input [yellow] 2 8 2 11 2" xfId="17060"/>
    <cellStyle name="Input [yellow] 2 8 2 11 3" xfId="28228"/>
    <cellStyle name="Input [yellow] 2 8 2 11 4" xfId="39393"/>
    <cellStyle name="Input [yellow] 2 8 2 11 5" xfId="50586"/>
    <cellStyle name="Input [yellow] 2 8 2 12" xfId="6724"/>
    <cellStyle name="Input [yellow] 2 8 2 12 2" xfId="17921"/>
    <cellStyle name="Input [yellow] 2 8 2 12 3" xfId="29089"/>
    <cellStyle name="Input [yellow] 2 8 2 12 4" xfId="40254"/>
    <cellStyle name="Input [yellow] 2 8 2 12 5" xfId="51447"/>
    <cellStyle name="Input [yellow] 2 8 2 13" xfId="7358"/>
    <cellStyle name="Input [yellow] 2 8 2 13 2" xfId="18555"/>
    <cellStyle name="Input [yellow] 2 8 2 13 3" xfId="29723"/>
    <cellStyle name="Input [yellow] 2 8 2 13 4" xfId="40888"/>
    <cellStyle name="Input [yellow] 2 8 2 13 5" xfId="52081"/>
    <cellStyle name="Input [yellow] 2 8 2 14" xfId="7992"/>
    <cellStyle name="Input [yellow] 2 8 2 14 2" xfId="19189"/>
    <cellStyle name="Input [yellow] 2 8 2 14 3" xfId="30357"/>
    <cellStyle name="Input [yellow] 2 8 2 14 4" xfId="41522"/>
    <cellStyle name="Input [yellow] 2 8 2 14 5" xfId="52715"/>
    <cellStyle name="Input [yellow] 2 8 2 15" xfId="8623"/>
    <cellStyle name="Input [yellow] 2 8 2 15 2" xfId="19820"/>
    <cellStyle name="Input [yellow] 2 8 2 15 3" xfId="30988"/>
    <cellStyle name="Input [yellow] 2 8 2 15 4" xfId="42153"/>
    <cellStyle name="Input [yellow] 2 8 2 15 5" xfId="53346"/>
    <cellStyle name="Input [yellow] 2 8 2 16" xfId="9076"/>
    <cellStyle name="Input [yellow] 2 8 2 16 2" xfId="20273"/>
    <cellStyle name="Input [yellow] 2 8 2 16 3" xfId="31441"/>
    <cellStyle name="Input [yellow] 2 8 2 16 4" xfId="42606"/>
    <cellStyle name="Input [yellow] 2 8 2 16 5" xfId="53799"/>
    <cellStyle name="Input [yellow] 2 8 2 17" xfId="9676"/>
    <cellStyle name="Input [yellow] 2 8 2 17 2" xfId="20873"/>
    <cellStyle name="Input [yellow] 2 8 2 17 3" xfId="32041"/>
    <cellStyle name="Input [yellow] 2 8 2 17 4" xfId="43206"/>
    <cellStyle name="Input [yellow] 2 8 2 17 5" xfId="54399"/>
    <cellStyle name="Input [yellow] 2 8 2 18" xfId="10246"/>
    <cellStyle name="Input [yellow] 2 8 2 18 2" xfId="21443"/>
    <cellStyle name="Input [yellow] 2 8 2 18 3" xfId="32611"/>
    <cellStyle name="Input [yellow] 2 8 2 18 4" xfId="43776"/>
    <cellStyle name="Input [yellow] 2 8 2 18 5" xfId="54969"/>
    <cellStyle name="Input [yellow] 2 8 2 19" xfId="10708"/>
    <cellStyle name="Input [yellow] 2 8 2 19 2" xfId="21905"/>
    <cellStyle name="Input [yellow] 2 8 2 19 3" xfId="33073"/>
    <cellStyle name="Input [yellow] 2 8 2 19 4" xfId="44238"/>
    <cellStyle name="Input [yellow] 2 8 2 19 5" xfId="55431"/>
    <cellStyle name="Input [yellow] 2 8 2 2" xfId="804"/>
    <cellStyle name="Input [yellow] 2 8 2 2 2" xfId="12001"/>
    <cellStyle name="Input [yellow] 2 8 2 2 3" xfId="23169"/>
    <cellStyle name="Input [yellow] 2 8 2 2 4" xfId="34334"/>
    <cellStyle name="Input [yellow] 2 8 2 2 5" xfId="45527"/>
    <cellStyle name="Input [yellow] 2 8 2 20" xfId="11355"/>
    <cellStyle name="Input [yellow] 2 8 2 21" xfId="22525"/>
    <cellStyle name="Input [yellow] 2 8 2 22" xfId="33692"/>
    <cellStyle name="Input [yellow] 2 8 2 23" xfId="44878"/>
    <cellStyle name="Input [yellow] 2 8 2 3" xfId="1425"/>
    <cellStyle name="Input [yellow] 2 8 2 3 2" xfId="12622"/>
    <cellStyle name="Input [yellow] 2 8 2 3 3" xfId="23790"/>
    <cellStyle name="Input [yellow] 2 8 2 3 4" xfId="34955"/>
    <cellStyle name="Input [yellow] 2 8 2 3 5" xfId="46148"/>
    <cellStyle name="Input [yellow] 2 8 2 4" xfId="2081"/>
    <cellStyle name="Input [yellow] 2 8 2 4 2" xfId="13278"/>
    <cellStyle name="Input [yellow] 2 8 2 4 3" xfId="24446"/>
    <cellStyle name="Input [yellow] 2 8 2 4 4" xfId="35611"/>
    <cellStyle name="Input [yellow] 2 8 2 4 5" xfId="46804"/>
    <cellStyle name="Input [yellow] 2 8 2 5" xfId="2335"/>
    <cellStyle name="Input [yellow] 2 8 2 5 2" xfId="13532"/>
    <cellStyle name="Input [yellow] 2 8 2 5 3" xfId="24700"/>
    <cellStyle name="Input [yellow] 2 8 2 5 4" xfId="35865"/>
    <cellStyle name="Input [yellow] 2 8 2 5 5" xfId="47058"/>
    <cellStyle name="Input [yellow] 2 8 2 6" xfId="3139"/>
    <cellStyle name="Input [yellow] 2 8 2 6 2" xfId="14336"/>
    <cellStyle name="Input [yellow] 2 8 2 6 3" xfId="25504"/>
    <cellStyle name="Input [yellow] 2 8 2 6 4" xfId="36669"/>
    <cellStyle name="Input [yellow] 2 8 2 6 5" xfId="47862"/>
    <cellStyle name="Input [yellow] 2 8 2 7" xfId="3773"/>
    <cellStyle name="Input [yellow] 2 8 2 7 2" xfId="14970"/>
    <cellStyle name="Input [yellow] 2 8 2 7 3" xfId="26138"/>
    <cellStyle name="Input [yellow] 2 8 2 7 4" xfId="37303"/>
    <cellStyle name="Input [yellow] 2 8 2 7 5" xfId="48496"/>
    <cellStyle name="Input [yellow] 2 8 2 8" xfId="4406"/>
    <cellStyle name="Input [yellow] 2 8 2 8 2" xfId="15603"/>
    <cellStyle name="Input [yellow] 2 8 2 8 3" xfId="26771"/>
    <cellStyle name="Input [yellow] 2 8 2 8 4" xfId="37936"/>
    <cellStyle name="Input [yellow] 2 8 2 8 5" xfId="49129"/>
    <cellStyle name="Input [yellow] 2 8 2 9" xfId="5037"/>
    <cellStyle name="Input [yellow] 2 8 2 9 2" xfId="16234"/>
    <cellStyle name="Input [yellow] 2 8 2 9 3" xfId="27402"/>
    <cellStyle name="Input [yellow] 2 8 2 9 4" xfId="38567"/>
    <cellStyle name="Input [yellow] 2 8 2 9 5" xfId="49760"/>
    <cellStyle name="Input [yellow] 2 8 20" xfId="6135"/>
    <cellStyle name="Input [yellow] 2 8 20 2" xfId="17332"/>
    <cellStyle name="Input [yellow] 2 8 20 3" xfId="28500"/>
    <cellStyle name="Input [yellow] 2 8 20 4" xfId="39665"/>
    <cellStyle name="Input [yellow] 2 8 20 5" xfId="50858"/>
    <cellStyle name="Input [yellow] 2 8 21" xfId="6074"/>
    <cellStyle name="Input [yellow] 2 8 21 2" xfId="17271"/>
    <cellStyle name="Input [yellow] 2 8 21 3" xfId="28439"/>
    <cellStyle name="Input [yellow] 2 8 21 4" xfId="39604"/>
    <cellStyle name="Input [yellow] 2 8 21 5" xfId="50797"/>
    <cellStyle name="Input [yellow] 2 8 22" xfId="6661"/>
    <cellStyle name="Input [yellow] 2 8 22 2" xfId="17858"/>
    <cellStyle name="Input [yellow] 2 8 22 3" xfId="29026"/>
    <cellStyle name="Input [yellow] 2 8 22 4" xfId="40191"/>
    <cellStyle name="Input [yellow] 2 8 22 5" xfId="51384"/>
    <cellStyle name="Input [yellow] 2 8 23" xfId="7293"/>
    <cellStyle name="Input [yellow] 2 8 23 2" xfId="18490"/>
    <cellStyle name="Input [yellow] 2 8 23 3" xfId="29658"/>
    <cellStyle name="Input [yellow] 2 8 23 4" xfId="40823"/>
    <cellStyle name="Input [yellow] 2 8 23 5" xfId="52016"/>
    <cellStyle name="Input [yellow] 2 8 24" xfId="7927"/>
    <cellStyle name="Input [yellow] 2 8 24 2" xfId="19124"/>
    <cellStyle name="Input [yellow] 2 8 24 3" xfId="30292"/>
    <cellStyle name="Input [yellow] 2 8 24 4" xfId="41457"/>
    <cellStyle name="Input [yellow] 2 8 24 5" xfId="52650"/>
    <cellStyle name="Input [yellow] 2 8 25" xfId="8560"/>
    <cellStyle name="Input [yellow] 2 8 25 2" xfId="19757"/>
    <cellStyle name="Input [yellow] 2 8 25 3" xfId="30925"/>
    <cellStyle name="Input [yellow] 2 8 25 4" xfId="42090"/>
    <cellStyle name="Input [yellow] 2 8 25 5" xfId="53283"/>
    <cellStyle name="Input [yellow] 2 8 26" xfId="8857"/>
    <cellStyle name="Input [yellow] 2 8 26 2" xfId="20054"/>
    <cellStyle name="Input [yellow] 2 8 26 3" xfId="31222"/>
    <cellStyle name="Input [yellow] 2 8 26 4" xfId="42387"/>
    <cellStyle name="Input [yellow] 2 8 26 5" xfId="53580"/>
    <cellStyle name="Input [yellow] 2 8 27" xfId="9612"/>
    <cellStyle name="Input [yellow] 2 8 27 2" xfId="20809"/>
    <cellStyle name="Input [yellow] 2 8 27 3" xfId="31977"/>
    <cellStyle name="Input [yellow] 2 8 27 4" xfId="43142"/>
    <cellStyle name="Input [yellow] 2 8 27 5" xfId="54335"/>
    <cellStyle name="Input [yellow] 2 8 28" xfId="10249"/>
    <cellStyle name="Input [yellow] 2 8 28 2" xfId="21446"/>
    <cellStyle name="Input [yellow] 2 8 28 3" xfId="32614"/>
    <cellStyle name="Input [yellow] 2 8 28 4" xfId="43779"/>
    <cellStyle name="Input [yellow] 2 8 28 5" xfId="54972"/>
    <cellStyle name="Input [yellow] 2 8 29" xfId="10645"/>
    <cellStyle name="Input [yellow] 2 8 29 2" xfId="21842"/>
    <cellStyle name="Input [yellow] 2 8 29 3" xfId="33010"/>
    <cellStyle name="Input [yellow] 2 8 29 4" xfId="44175"/>
    <cellStyle name="Input [yellow] 2 8 29 5" xfId="55368"/>
    <cellStyle name="Input [yellow] 2 8 3" xfId="211"/>
    <cellStyle name="Input [yellow] 2 8 3 10" xfId="6145"/>
    <cellStyle name="Input [yellow] 2 8 3 10 2" xfId="17342"/>
    <cellStyle name="Input [yellow] 2 8 3 10 3" xfId="28510"/>
    <cellStyle name="Input [yellow] 2 8 3 10 4" xfId="39675"/>
    <cellStyle name="Input [yellow] 2 8 3 10 5" xfId="50868"/>
    <cellStyle name="Input [yellow] 2 8 3 11" xfId="6041"/>
    <cellStyle name="Input [yellow] 2 8 3 11 2" xfId="17238"/>
    <cellStyle name="Input [yellow] 2 8 3 11 3" xfId="28406"/>
    <cellStyle name="Input [yellow] 2 8 3 11 4" xfId="39571"/>
    <cellStyle name="Input [yellow] 2 8 3 11 5" xfId="50764"/>
    <cellStyle name="Input [yellow] 2 8 3 12" xfId="6780"/>
    <cellStyle name="Input [yellow] 2 8 3 12 2" xfId="17977"/>
    <cellStyle name="Input [yellow] 2 8 3 12 3" xfId="29145"/>
    <cellStyle name="Input [yellow] 2 8 3 12 4" xfId="40310"/>
    <cellStyle name="Input [yellow] 2 8 3 12 5" xfId="51503"/>
    <cellStyle name="Input [yellow] 2 8 3 13" xfId="7414"/>
    <cellStyle name="Input [yellow] 2 8 3 13 2" xfId="18611"/>
    <cellStyle name="Input [yellow] 2 8 3 13 3" xfId="29779"/>
    <cellStyle name="Input [yellow] 2 8 3 13 4" xfId="40944"/>
    <cellStyle name="Input [yellow] 2 8 3 13 5" xfId="52137"/>
    <cellStyle name="Input [yellow] 2 8 3 14" xfId="8048"/>
    <cellStyle name="Input [yellow] 2 8 3 14 2" xfId="19245"/>
    <cellStyle name="Input [yellow] 2 8 3 14 3" xfId="30413"/>
    <cellStyle name="Input [yellow] 2 8 3 14 4" xfId="41578"/>
    <cellStyle name="Input [yellow] 2 8 3 14 5" xfId="52771"/>
    <cellStyle name="Input [yellow] 2 8 3 15" xfId="8679"/>
    <cellStyle name="Input [yellow] 2 8 3 15 2" xfId="19876"/>
    <cellStyle name="Input [yellow] 2 8 3 15 3" xfId="31044"/>
    <cellStyle name="Input [yellow] 2 8 3 15 4" xfId="42209"/>
    <cellStyle name="Input [yellow] 2 8 3 15 5" xfId="53402"/>
    <cellStyle name="Input [yellow] 2 8 3 16" xfId="8925"/>
    <cellStyle name="Input [yellow] 2 8 3 16 2" xfId="20122"/>
    <cellStyle name="Input [yellow] 2 8 3 16 3" xfId="31290"/>
    <cellStyle name="Input [yellow] 2 8 3 16 4" xfId="42455"/>
    <cellStyle name="Input [yellow] 2 8 3 16 5" xfId="53648"/>
    <cellStyle name="Input [yellow] 2 8 3 17" xfId="9731"/>
    <cellStyle name="Input [yellow] 2 8 3 17 2" xfId="20928"/>
    <cellStyle name="Input [yellow] 2 8 3 17 3" xfId="32096"/>
    <cellStyle name="Input [yellow] 2 8 3 17 4" xfId="43261"/>
    <cellStyle name="Input [yellow] 2 8 3 17 5" xfId="54454"/>
    <cellStyle name="Input [yellow] 2 8 3 18" xfId="8880"/>
    <cellStyle name="Input [yellow] 2 8 3 18 2" xfId="20077"/>
    <cellStyle name="Input [yellow] 2 8 3 18 3" xfId="31245"/>
    <cellStyle name="Input [yellow] 2 8 3 18 4" xfId="42410"/>
    <cellStyle name="Input [yellow] 2 8 3 18 5" xfId="53603"/>
    <cellStyle name="Input [yellow] 2 8 3 19" xfId="10764"/>
    <cellStyle name="Input [yellow] 2 8 3 19 2" xfId="21961"/>
    <cellStyle name="Input [yellow] 2 8 3 19 3" xfId="33129"/>
    <cellStyle name="Input [yellow] 2 8 3 19 4" xfId="44294"/>
    <cellStyle name="Input [yellow] 2 8 3 19 5" xfId="55487"/>
    <cellStyle name="Input [yellow] 2 8 3 2" xfId="860"/>
    <cellStyle name="Input [yellow] 2 8 3 2 2" xfId="12057"/>
    <cellStyle name="Input [yellow] 2 8 3 2 3" xfId="23225"/>
    <cellStyle name="Input [yellow] 2 8 3 2 4" xfId="34390"/>
    <cellStyle name="Input [yellow] 2 8 3 2 5" xfId="45583"/>
    <cellStyle name="Input [yellow] 2 8 3 20" xfId="11411"/>
    <cellStyle name="Input [yellow] 2 8 3 21" xfId="22581"/>
    <cellStyle name="Input [yellow] 2 8 3 22" xfId="33748"/>
    <cellStyle name="Input [yellow] 2 8 3 23" xfId="44934"/>
    <cellStyle name="Input [yellow] 2 8 3 3" xfId="1517"/>
    <cellStyle name="Input [yellow] 2 8 3 3 2" xfId="12714"/>
    <cellStyle name="Input [yellow] 2 8 3 3 3" xfId="23882"/>
    <cellStyle name="Input [yellow] 2 8 3 3 4" xfId="35047"/>
    <cellStyle name="Input [yellow] 2 8 3 3 5" xfId="46240"/>
    <cellStyle name="Input [yellow] 2 8 3 4" xfId="2137"/>
    <cellStyle name="Input [yellow] 2 8 3 4 2" xfId="13334"/>
    <cellStyle name="Input [yellow] 2 8 3 4 3" xfId="24502"/>
    <cellStyle name="Input [yellow] 2 8 3 4 4" xfId="35667"/>
    <cellStyle name="Input [yellow] 2 8 3 4 5" xfId="46860"/>
    <cellStyle name="Input [yellow] 2 8 3 5" xfId="2220"/>
    <cellStyle name="Input [yellow] 2 8 3 5 2" xfId="13417"/>
    <cellStyle name="Input [yellow] 2 8 3 5 3" xfId="24585"/>
    <cellStyle name="Input [yellow] 2 8 3 5 4" xfId="35750"/>
    <cellStyle name="Input [yellow] 2 8 3 5 5" xfId="46943"/>
    <cellStyle name="Input [yellow] 2 8 3 6" xfId="3195"/>
    <cellStyle name="Input [yellow] 2 8 3 6 2" xfId="14392"/>
    <cellStyle name="Input [yellow] 2 8 3 6 3" xfId="25560"/>
    <cellStyle name="Input [yellow] 2 8 3 6 4" xfId="36725"/>
    <cellStyle name="Input [yellow] 2 8 3 6 5" xfId="47918"/>
    <cellStyle name="Input [yellow] 2 8 3 7" xfId="3829"/>
    <cellStyle name="Input [yellow] 2 8 3 7 2" xfId="15026"/>
    <cellStyle name="Input [yellow] 2 8 3 7 3" xfId="26194"/>
    <cellStyle name="Input [yellow] 2 8 3 7 4" xfId="37359"/>
    <cellStyle name="Input [yellow] 2 8 3 7 5" xfId="48552"/>
    <cellStyle name="Input [yellow] 2 8 3 8" xfId="4462"/>
    <cellStyle name="Input [yellow] 2 8 3 8 2" xfId="15659"/>
    <cellStyle name="Input [yellow] 2 8 3 8 3" xfId="26827"/>
    <cellStyle name="Input [yellow] 2 8 3 8 4" xfId="37992"/>
    <cellStyle name="Input [yellow] 2 8 3 8 5" xfId="49185"/>
    <cellStyle name="Input [yellow] 2 8 3 9" xfId="5093"/>
    <cellStyle name="Input [yellow] 2 8 3 9 2" xfId="16290"/>
    <cellStyle name="Input [yellow] 2 8 3 9 3" xfId="27458"/>
    <cellStyle name="Input [yellow] 2 8 3 9 4" xfId="38623"/>
    <cellStyle name="Input [yellow] 2 8 3 9 5" xfId="49816"/>
    <cellStyle name="Input [yellow] 2 8 30" xfId="11291"/>
    <cellStyle name="Input [yellow] 2 8 31" xfId="22462"/>
    <cellStyle name="Input [yellow] 2 8 32" xfId="33629"/>
    <cellStyle name="Input [yellow] 2 8 33" xfId="44813"/>
    <cellStyle name="Input [yellow] 2 8 4" xfId="199"/>
    <cellStyle name="Input [yellow] 2 8 4 10" xfId="6051"/>
    <cellStyle name="Input [yellow] 2 8 4 10 2" xfId="17248"/>
    <cellStyle name="Input [yellow] 2 8 4 10 3" xfId="28416"/>
    <cellStyle name="Input [yellow] 2 8 4 10 4" xfId="39581"/>
    <cellStyle name="Input [yellow] 2 8 4 10 5" xfId="50774"/>
    <cellStyle name="Input [yellow] 2 8 4 11" xfId="6134"/>
    <cellStyle name="Input [yellow] 2 8 4 11 2" xfId="17331"/>
    <cellStyle name="Input [yellow] 2 8 4 11 3" xfId="28499"/>
    <cellStyle name="Input [yellow] 2 8 4 11 4" xfId="39664"/>
    <cellStyle name="Input [yellow] 2 8 4 11 5" xfId="50857"/>
    <cellStyle name="Input [yellow] 2 8 4 12" xfId="6768"/>
    <cellStyle name="Input [yellow] 2 8 4 12 2" xfId="17965"/>
    <cellStyle name="Input [yellow] 2 8 4 12 3" xfId="29133"/>
    <cellStyle name="Input [yellow] 2 8 4 12 4" xfId="40298"/>
    <cellStyle name="Input [yellow] 2 8 4 12 5" xfId="51491"/>
    <cellStyle name="Input [yellow] 2 8 4 13" xfId="7402"/>
    <cellStyle name="Input [yellow] 2 8 4 13 2" xfId="18599"/>
    <cellStyle name="Input [yellow] 2 8 4 13 3" xfId="29767"/>
    <cellStyle name="Input [yellow] 2 8 4 13 4" xfId="40932"/>
    <cellStyle name="Input [yellow] 2 8 4 13 5" xfId="52125"/>
    <cellStyle name="Input [yellow] 2 8 4 14" xfId="8036"/>
    <cellStyle name="Input [yellow] 2 8 4 14 2" xfId="19233"/>
    <cellStyle name="Input [yellow] 2 8 4 14 3" xfId="30401"/>
    <cellStyle name="Input [yellow] 2 8 4 14 4" xfId="41566"/>
    <cellStyle name="Input [yellow] 2 8 4 14 5" xfId="52759"/>
    <cellStyle name="Input [yellow] 2 8 4 15" xfId="8667"/>
    <cellStyle name="Input [yellow] 2 8 4 15 2" xfId="19864"/>
    <cellStyle name="Input [yellow] 2 8 4 15 3" xfId="31032"/>
    <cellStyle name="Input [yellow] 2 8 4 15 4" xfId="42197"/>
    <cellStyle name="Input [yellow] 2 8 4 15 5" xfId="53390"/>
    <cellStyle name="Input [yellow] 2 8 4 16" xfId="8993"/>
    <cellStyle name="Input [yellow] 2 8 4 16 2" xfId="20190"/>
    <cellStyle name="Input [yellow] 2 8 4 16 3" xfId="31358"/>
    <cellStyle name="Input [yellow] 2 8 4 16 4" xfId="42523"/>
    <cellStyle name="Input [yellow] 2 8 4 16 5" xfId="53716"/>
    <cellStyle name="Input [yellow] 2 8 4 17" xfId="9719"/>
    <cellStyle name="Input [yellow] 2 8 4 17 2" xfId="20916"/>
    <cellStyle name="Input [yellow] 2 8 4 17 3" xfId="32084"/>
    <cellStyle name="Input [yellow] 2 8 4 17 4" xfId="43249"/>
    <cellStyle name="Input [yellow] 2 8 4 17 5" xfId="54442"/>
    <cellStyle name="Input [yellow] 2 8 4 18" xfId="10273"/>
    <cellStyle name="Input [yellow] 2 8 4 18 2" xfId="21470"/>
    <cellStyle name="Input [yellow] 2 8 4 18 3" xfId="32638"/>
    <cellStyle name="Input [yellow] 2 8 4 18 4" xfId="43803"/>
    <cellStyle name="Input [yellow] 2 8 4 18 5" xfId="54996"/>
    <cellStyle name="Input [yellow] 2 8 4 19" xfId="10752"/>
    <cellStyle name="Input [yellow] 2 8 4 19 2" xfId="21949"/>
    <cellStyle name="Input [yellow] 2 8 4 19 3" xfId="33117"/>
    <cellStyle name="Input [yellow] 2 8 4 19 4" xfId="44282"/>
    <cellStyle name="Input [yellow] 2 8 4 19 5" xfId="55475"/>
    <cellStyle name="Input [yellow] 2 8 4 2" xfId="848"/>
    <cellStyle name="Input [yellow] 2 8 4 2 2" xfId="12045"/>
    <cellStyle name="Input [yellow] 2 8 4 2 3" xfId="23213"/>
    <cellStyle name="Input [yellow] 2 8 4 2 4" xfId="34378"/>
    <cellStyle name="Input [yellow] 2 8 4 2 5" xfId="45571"/>
    <cellStyle name="Input [yellow] 2 8 4 20" xfId="11399"/>
    <cellStyle name="Input [yellow] 2 8 4 21" xfId="22569"/>
    <cellStyle name="Input [yellow] 2 8 4 22" xfId="33736"/>
    <cellStyle name="Input [yellow] 2 8 4 23" xfId="44922"/>
    <cellStyle name="Input [yellow] 2 8 4 3" xfId="1589"/>
    <cellStyle name="Input [yellow] 2 8 4 3 2" xfId="12786"/>
    <cellStyle name="Input [yellow] 2 8 4 3 3" xfId="23954"/>
    <cellStyle name="Input [yellow] 2 8 4 3 4" xfId="35119"/>
    <cellStyle name="Input [yellow] 2 8 4 3 5" xfId="46312"/>
    <cellStyle name="Input [yellow] 2 8 4 4" xfId="2125"/>
    <cellStyle name="Input [yellow] 2 8 4 4 2" xfId="13322"/>
    <cellStyle name="Input [yellow] 2 8 4 4 3" xfId="24490"/>
    <cellStyle name="Input [yellow] 2 8 4 4 4" xfId="35655"/>
    <cellStyle name="Input [yellow] 2 8 4 4 5" xfId="46848"/>
    <cellStyle name="Input [yellow] 2 8 4 5" xfId="2246"/>
    <cellStyle name="Input [yellow] 2 8 4 5 2" xfId="13443"/>
    <cellStyle name="Input [yellow] 2 8 4 5 3" xfId="24611"/>
    <cellStyle name="Input [yellow] 2 8 4 5 4" xfId="35776"/>
    <cellStyle name="Input [yellow] 2 8 4 5 5" xfId="46969"/>
    <cellStyle name="Input [yellow] 2 8 4 6" xfId="3183"/>
    <cellStyle name="Input [yellow] 2 8 4 6 2" xfId="14380"/>
    <cellStyle name="Input [yellow] 2 8 4 6 3" xfId="25548"/>
    <cellStyle name="Input [yellow] 2 8 4 6 4" xfId="36713"/>
    <cellStyle name="Input [yellow] 2 8 4 6 5" xfId="47906"/>
    <cellStyle name="Input [yellow] 2 8 4 7" xfId="3817"/>
    <cellStyle name="Input [yellow] 2 8 4 7 2" xfId="15014"/>
    <cellStyle name="Input [yellow] 2 8 4 7 3" xfId="26182"/>
    <cellStyle name="Input [yellow] 2 8 4 7 4" xfId="37347"/>
    <cellStyle name="Input [yellow] 2 8 4 7 5" xfId="48540"/>
    <cellStyle name="Input [yellow] 2 8 4 8" xfId="4450"/>
    <cellStyle name="Input [yellow] 2 8 4 8 2" xfId="15647"/>
    <cellStyle name="Input [yellow] 2 8 4 8 3" xfId="26815"/>
    <cellStyle name="Input [yellow] 2 8 4 8 4" xfId="37980"/>
    <cellStyle name="Input [yellow] 2 8 4 8 5" xfId="49173"/>
    <cellStyle name="Input [yellow] 2 8 4 9" xfId="5081"/>
    <cellStyle name="Input [yellow] 2 8 4 9 2" xfId="16278"/>
    <cellStyle name="Input [yellow] 2 8 4 9 3" xfId="27446"/>
    <cellStyle name="Input [yellow] 2 8 4 9 4" xfId="38611"/>
    <cellStyle name="Input [yellow] 2 8 4 9 5" xfId="49804"/>
    <cellStyle name="Input [yellow] 2 8 5" xfId="320"/>
    <cellStyle name="Input [yellow] 2 8 5 10" xfId="5603"/>
    <cellStyle name="Input [yellow] 2 8 5 10 2" xfId="16800"/>
    <cellStyle name="Input [yellow] 2 8 5 10 3" xfId="27968"/>
    <cellStyle name="Input [yellow] 2 8 5 10 4" xfId="39133"/>
    <cellStyle name="Input [yellow] 2 8 5 10 5" xfId="50326"/>
    <cellStyle name="Input [yellow] 2 8 5 11" xfId="6256"/>
    <cellStyle name="Input [yellow] 2 8 5 11 2" xfId="17453"/>
    <cellStyle name="Input [yellow] 2 8 5 11 3" xfId="28621"/>
    <cellStyle name="Input [yellow] 2 8 5 11 4" xfId="39786"/>
    <cellStyle name="Input [yellow] 2 8 5 11 5" xfId="50979"/>
    <cellStyle name="Input [yellow] 2 8 5 12" xfId="6889"/>
    <cellStyle name="Input [yellow] 2 8 5 12 2" xfId="18086"/>
    <cellStyle name="Input [yellow] 2 8 5 12 3" xfId="29254"/>
    <cellStyle name="Input [yellow] 2 8 5 12 4" xfId="40419"/>
    <cellStyle name="Input [yellow] 2 8 5 12 5" xfId="51612"/>
    <cellStyle name="Input [yellow] 2 8 5 13" xfId="7523"/>
    <cellStyle name="Input [yellow] 2 8 5 13 2" xfId="18720"/>
    <cellStyle name="Input [yellow] 2 8 5 13 3" xfId="29888"/>
    <cellStyle name="Input [yellow] 2 8 5 13 4" xfId="41053"/>
    <cellStyle name="Input [yellow] 2 8 5 13 5" xfId="52246"/>
    <cellStyle name="Input [yellow] 2 8 5 14" xfId="8157"/>
    <cellStyle name="Input [yellow] 2 8 5 14 2" xfId="19354"/>
    <cellStyle name="Input [yellow] 2 8 5 14 3" xfId="30522"/>
    <cellStyle name="Input [yellow] 2 8 5 14 4" xfId="41687"/>
    <cellStyle name="Input [yellow] 2 8 5 14 5" xfId="52880"/>
    <cellStyle name="Input [yellow] 2 8 5 15" xfId="8786"/>
    <cellStyle name="Input [yellow] 2 8 5 15 2" xfId="19983"/>
    <cellStyle name="Input [yellow] 2 8 5 15 3" xfId="31151"/>
    <cellStyle name="Input [yellow] 2 8 5 15 4" xfId="42316"/>
    <cellStyle name="Input [yellow] 2 8 5 15 5" xfId="53509"/>
    <cellStyle name="Input [yellow] 2 8 5 16" xfId="9208"/>
    <cellStyle name="Input [yellow] 2 8 5 16 2" xfId="20405"/>
    <cellStyle name="Input [yellow] 2 8 5 16 3" xfId="31573"/>
    <cellStyle name="Input [yellow] 2 8 5 16 4" xfId="42738"/>
    <cellStyle name="Input [yellow] 2 8 5 16 5" xfId="53931"/>
    <cellStyle name="Input [yellow] 2 8 5 17" xfId="9835"/>
    <cellStyle name="Input [yellow] 2 8 5 17 2" xfId="21032"/>
    <cellStyle name="Input [yellow] 2 8 5 17 3" xfId="32200"/>
    <cellStyle name="Input [yellow] 2 8 5 17 4" xfId="43365"/>
    <cellStyle name="Input [yellow] 2 8 5 17 5" xfId="54558"/>
    <cellStyle name="Input [yellow] 2 8 5 18" xfId="10470"/>
    <cellStyle name="Input [yellow] 2 8 5 18 2" xfId="21667"/>
    <cellStyle name="Input [yellow] 2 8 5 18 3" xfId="32835"/>
    <cellStyle name="Input [yellow] 2 8 5 18 4" xfId="44000"/>
    <cellStyle name="Input [yellow] 2 8 5 18 5" xfId="55193"/>
    <cellStyle name="Input [yellow] 2 8 5 19" xfId="10873"/>
    <cellStyle name="Input [yellow] 2 8 5 19 2" xfId="22070"/>
    <cellStyle name="Input [yellow] 2 8 5 19 3" xfId="33238"/>
    <cellStyle name="Input [yellow] 2 8 5 19 4" xfId="44403"/>
    <cellStyle name="Input [yellow] 2 8 5 19 5" xfId="55596"/>
    <cellStyle name="Input [yellow] 2 8 5 2" xfId="969"/>
    <cellStyle name="Input [yellow] 2 8 5 2 2" xfId="12166"/>
    <cellStyle name="Input [yellow] 2 8 5 2 3" xfId="23334"/>
    <cellStyle name="Input [yellow] 2 8 5 2 4" xfId="34499"/>
    <cellStyle name="Input [yellow] 2 8 5 2 5" xfId="45692"/>
    <cellStyle name="Input [yellow] 2 8 5 20" xfId="11520"/>
    <cellStyle name="Input [yellow] 2 8 5 21" xfId="22690"/>
    <cellStyle name="Input [yellow] 2 8 5 22" xfId="33857"/>
    <cellStyle name="Input [yellow] 2 8 5 23" xfId="45043"/>
    <cellStyle name="Input [yellow] 2 8 5 3" xfId="1766"/>
    <cellStyle name="Input [yellow] 2 8 5 3 2" xfId="12963"/>
    <cellStyle name="Input [yellow] 2 8 5 3 3" xfId="24131"/>
    <cellStyle name="Input [yellow] 2 8 5 3 4" xfId="35296"/>
    <cellStyle name="Input [yellow] 2 8 5 3 5" xfId="46489"/>
    <cellStyle name="Input [yellow] 2 8 5 4" xfId="2245"/>
    <cellStyle name="Input [yellow] 2 8 5 4 2" xfId="13442"/>
    <cellStyle name="Input [yellow] 2 8 5 4 3" xfId="24610"/>
    <cellStyle name="Input [yellow] 2 8 5 4 4" xfId="35775"/>
    <cellStyle name="Input [yellow] 2 8 5 4 5" xfId="46968"/>
    <cellStyle name="Input [yellow] 2 8 5 5" xfId="2670"/>
    <cellStyle name="Input [yellow] 2 8 5 5 2" xfId="13867"/>
    <cellStyle name="Input [yellow] 2 8 5 5 3" xfId="25035"/>
    <cellStyle name="Input [yellow] 2 8 5 5 4" xfId="36200"/>
    <cellStyle name="Input [yellow] 2 8 5 5 5" xfId="47393"/>
    <cellStyle name="Input [yellow] 2 8 5 6" xfId="3304"/>
    <cellStyle name="Input [yellow] 2 8 5 6 2" xfId="14501"/>
    <cellStyle name="Input [yellow] 2 8 5 6 3" xfId="25669"/>
    <cellStyle name="Input [yellow] 2 8 5 6 4" xfId="36834"/>
    <cellStyle name="Input [yellow] 2 8 5 6 5" xfId="48027"/>
    <cellStyle name="Input [yellow] 2 8 5 7" xfId="3938"/>
    <cellStyle name="Input [yellow] 2 8 5 7 2" xfId="15135"/>
    <cellStyle name="Input [yellow] 2 8 5 7 3" xfId="26303"/>
    <cellStyle name="Input [yellow] 2 8 5 7 4" xfId="37468"/>
    <cellStyle name="Input [yellow] 2 8 5 7 5" xfId="48661"/>
    <cellStyle name="Input [yellow] 2 8 5 8" xfId="4571"/>
    <cellStyle name="Input [yellow] 2 8 5 8 2" xfId="15768"/>
    <cellStyle name="Input [yellow] 2 8 5 8 3" xfId="26936"/>
    <cellStyle name="Input [yellow] 2 8 5 8 4" xfId="38101"/>
    <cellStyle name="Input [yellow] 2 8 5 8 5" xfId="49294"/>
    <cellStyle name="Input [yellow] 2 8 5 9" xfId="5202"/>
    <cellStyle name="Input [yellow] 2 8 5 9 2" xfId="16399"/>
    <cellStyle name="Input [yellow] 2 8 5 9 3" xfId="27567"/>
    <cellStyle name="Input [yellow] 2 8 5 9 4" xfId="38732"/>
    <cellStyle name="Input [yellow] 2 8 5 9 5" xfId="49925"/>
    <cellStyle name="Input [yellow] 2 8 6" xfId="360"/>
    <cellStyle name="Input [yellow] 2 8 6 10" xfId="6146"/>
    <cellStyle name="Input [yellow] 2 8 6 10 2" xfId="17343"/>
    <cellStyle name="Input [yellow] 2 8 6 10 3" xfId="28511"/>
    <cellStyle name="Input [yellow] 2 8 6 10 4" xfId="39676"/>
    <cellStyle name="Input [yellow] 2 8 6 10 5" xfId="50869"/>
    <cellStyle name="Input [yellow] 2 8 6 11" xfId="6296"/>
    <cellStyle name="Input [yellow] 2 8 6 11 2" xfId="17493"/>
    <cellStyle name="Input [yellow] 2 8 6 11 3" xfId="28661"/>
    <cellStyle name="Input [yellow] 2 8 6 11 4" xfId="39826"/>
    <cellStyle name="Input [yellow] 2 8 6 11 5" xfId="51019"/>
    <cellStyle name="Input [yellow] 2 8 6 12" xfId="6929"/>
    <cellStyle name="Input [yellow] 2 8 6 12 2" xfId="18126"/>
    <cellStyle name="Input [yellow] 2 8 6 12 3" xfId="29294"/>
    <cellStyle name="Input [yellow] 2 8 6 12 4" xfId="40459"/>
    <cellStyle name="Input [yellow] 2 8 6 12 5" xfId="51652"/>
    <cellStyle name="Input [yellow] 2 8 6 13" xfId="7563"/>
    <cellStyle name="Input [yellow] 2 8 6 13 2" xfId="18760"/>
    <cellStyle name="Input [yellow] 2 8 6 13 3" xfId="29928"/>
    <cellStyle name="Input [yellow] 2 8 6 13 4" xfId="41093"/>
    <cellStyle name="Input [yellow] 2 8 6 13 5" xfId="52286"/>
    <cellStyle name="Input [yellow] 2 8 6 14" xfId="8197"/>
    <cellStyle name="Input [yellow] 2 8 6 14 2" xfId="19394"/>
    <cellStyle name="Input [yellow] 2 8 6 14 3" xfId="30562"/>
    <cellStyle name="Input [yellow] 2 8 6 14 4" xfId="41727"/>
    <cellStyle name="Input [yellow] 2 8 6 14 5" xfId="52920"/>
    <cellStyle name="Input [yellow] 2 8 6 15" xfId="8826"/>
    <cellStyle name="Input [yellow] 2 8 6 15 2" xfId="20023"/>
    <cellStyle name="Input [yellow] 2 8 6 15 3" xfId="31191"/>
    <cellStyle name="Input [yellow] 2 8 6 15 4" xfId="42356"/>
    <cellStyle name="Input [yellow] 2 8 6 15 5" xfId="53549"/>
    <cellStyle name="Input [yellow] 2 8 6 16" xfId="9248"/>
    <cellStyle name="Input [yellow] 2 8 6 16 2" xfId="20445"/>
    <cellStyle name="Input [yellow] 2 8 6 16 3" xfId="31613"/>
    <cellStyle name="Input [yellow] 2 8 6 16 4" xfId="42778"/>
    <cellStyle name="Input [yellow] 2 8 6 16 5" xfId="53971"/>
    <cellStyle name="Input [yellow] 2 8 6 17" xfId="9875"/>
    <cellStyle name="Input [yellow] 2 8 6 17 2" xfId="21072"/>
    <cellStyle name="Input [yellow] 2 8 6 17 3" xfId="32240"/>
    <cellStyle name="Input [yellow] 2 8 6 17 4" xfId="43405"/>
    <cellStyle name="Input [yellow] 2 8 6 17 5" xfId="54598"/>
    <cellStyle name="Input [yellow] 2 8 6 18" xfId="10557"/>
    <cellStyle name="Input [yellow] 2 8 6 18 2" xfId="21754"/>
    <cellStyle name="Input [yellow] 2 8 6 18 3" xfId="32922"/>
    <cellStyle name="Input [yellow] 2 8 6 18 4" xfId="44087"/>
    <cellStyle name="Input [yellow] 2 8 6 18 5" xfId="55280"/>
    <cellStyle name="Input [yellow] 2 8 6 19" xfId="10913"/>
    <cellStyle name="Input [yellow] 2 8 6 19 2" xfId="22110"/>
    <cellStyle name="Input [yellow] 2 8 6 19 3" xfId="33278"/>
    <cellStyle name="Input [yellow] 2 8 6 19 4" xfId="44443"/>
    <cellStyle name="Input [yellow] 2 8 6 19 5" xfId="55636"/>
    <cellStyle name="Input [yellow] 2 8 6 2" xfId="1009"/>
    <cellStyle name="Input [yellow] 2 8 6 2 2" xfId="12206"/>
    <cellStyle name="Input [yellow] 2 8 6 2 3" xfId="23374"/>
    <cellStyle name="Input [yellow] 2 8 6 2 4" xfId="34539"/>
    <cellStyle name="Input [yellow] 2 8 6 2 5" xfId="45732"/>
    <cellStyle name="Input [yellow] 2 8 6 20" xfId="11560"/>
    <cellStyle name="Input [yellow] 2 8 6 21" xfId="22730"/>
    <cellStyle name="Input [yellow] 2 8 6 22" xfId="33897"/>
    <cellStyle name="Input [yellow] 2 8 6 23" xfId="45083"/>
    <cellStyle name="Input [yellow] 2 8 6 3" xfId="1361"/>
    <cellStyle name="Input [yellow] 2 8 6 3 2" xfId="12558"/>
    <cellStyle name="Input [yellow] 2 8 6 3 3" xfId="23726"/>
    <cellStyle name="Input [yellow] 2 8 6 3 4" xfId="34891"/>
    <cellStyle name="Input [yellow] 2 8 6 3 5" xfId="46084"/>
    <cellStyle name="Input [yellow] 2 8 6 4" xfId="2285"/>
    <cellStyle name="Input [yellow] 2 8 6 4 2" xfId="13482"/>
    <cellStyle name="Input [yellow] 2 8 6 4 3" xfId="24650"/>
    <cellStyle name="Input [yellow] 2 8 6 4 4" xfId="35815"/>
    <cellStyle name="Input [yellow] 2 8 6 4 5" xfId="47008"/>
    <cellStyle name="Input [yellow] 2 8 6 5" xfId="2710"/>
    <cellStyle name="Input [yellow] 2 8 6 5 2" xfId="13907"/>
    <cellStyle name="Input [yellow] 2 8 6 5 3" xfId="25075"/>
    <cellStyle name="Input [yellow] 2 8 6 5 4" xfId="36240"/>
    <cellStyle name="Input [yellow] 2 8 6 5 5" xfId="47433"/>
    <cellStyle name="Input [yellow] 2 8 6 6" xfId="3344"/>
    <cellStyle name="Input [yellow] 2 8 6 6 2" xfId="14541"/>
    <cellStyle name="Input [yellow] 2 8 6 6 3" xfId="25709"/>
    <cellStyle name="Input [yellow] 2 8 6 6 4" xfId="36874"/>
    <cellStyle name="Input [yellow] 2 8 6 6 5" xfId="48067"/>
    <cellStyle name="Input [yellow] 2 8 6 7" xfId="3978"/>
    <cellStyle name="Input [yellow] 2 8 6 7 2" xfId="15175"/>
    <cellStyle name="Input [yellow] 2 8 6 7 3" xfId="26343"/>
    <cellStyle name="Input [yellow] 2 8 6 7 4" xfId="37508"/>
    <cellStyle name="Input [yellow] 2 8 6 7 5" xfId="48701"/>
    <cellStyle name="Input [yellow] 2 8 6 8" xfId="4611"/>
    <cellStyle name="Input [yellow] 2 8 6 8 2" xfId="15808"/>
    <cellStyle name="Input [yellow] 2 8 6 8 3" xfId="26976"/>
    <cellStyle name="Input [yellow] 2 8 6 8 4" xfId="38141"/>
    <cellStyle name="Input [yellow] 2 8 6 8 5" xfId="49334"/>
    <cellStyle name="Input [yellow] 2 8 6 9" xfId="5242"/>
    <cellStyle name="Input [yellow] 2 8 6 9 2" xfId="16439"/>
    <cellStyle name="Input [yellow] 2 8 6 9 3" xfId="27607"/>
    <cellStyle name="Input [yellow] 2 8 6 9 4" xfId="38772"/>
    <cellStyle name="Input [yellow] 2 8 6 9 5" xfId="49965"/>
    <cellStyle name="Input [yellow] 2 8 7" xfId="446"/>
    <cellStyle name="Input [yellow] 2 8 7 10" xfId="6182"/>
    <cellStyle name="Input [yellow] 2 8 7 10 2" xfId="17379"/>
    <cellStyle name="Input [yellow] 2 8 7 10 3" xfId="28547"/>
    <cellStyle name="Input [yellow] 2 8 7 10 4" xfId="39712"/>
    <cellStyle name="Input [yellow] 2 8 7 10 5" xfId="50905"/>
    <cellStyle name="Input [yellow] 2 8 7 11" xfId="6382"/>
    <cellStyle name="Input [yellow] 2 8 7 11 2" xfId="17579"/>
    <cellStyle name="Input [yellow] 2 8 7 11 3" xfId="28747"/>
    <cellStyle name="Input [yellow] 2 8 7 11 4" xfId="39912"/>
    <cellStyle name="Input [yellow] 2 8 7 11 5" xfId="51105"/>
    <cellStyle name="Input [yellow] 2 8 7 12" xfId="7015"/>
    <cellStyle name="Input [yellow] 2 8 7 12 2" xfId="18212"/>
    <cellStyle name="Input [yellow] 2 8 7 12 3" xfId="29380"/>
    <cellStyle name="Input [yellow] 2 8 7 12 4" xfId="40545"/>
    <cellStyle name="Input [yellow] 2 8 7 12 5" xfId="51738"/>
    <cellStyle name="Input [yellow] 2 8 7 13" xfId="7649"/>
    <cellStyle name="Input [yellow] 2 8 7 13 2" xfId="18846"/>
    <cellStyle name="Input [yellow] 2 8 7 13 3" xfId="30014"/>
    <cellStyle name="Input [yellow] 2 8 7 13 4" xfId="41179"/>
    <cellStyle name="Input [yellow] 2 8 7 13 5" xfId="52372"/>
    <cellStyle name="Input [yellow] 2 8 7 14" xfId="8283"/>
    <cellStyle name="Input [yellow] 2 8 7 14 2" xfId="19480"/>
    <cellStyle name="Input [yellow] 2 8 7 14 3" xfId="30648"/>
    <cellStyle name="Input [yellow] 2 8 7 14 4" xfId="41813"/>
    <cellStyle name="Input [yellow] 2 8 7 14 5" xfId="53006"/>
    <cellStyle name="Input [yellow] 2 8 7 15" xfId="8911"/>
    <cellStyle name="Input [yellow] 2 8 7 15 2" xfId="20108"/>
    <cellStyle name="Input [yellow] 2 8 7 15 3" xfId="31276"/>
    <cellStyle name="Input [yellow] 2 8 7 15 4" xfId="42441"/>
    <cellStyle name="Input [yellow] 2 8 7 15 5" xfId="53634"/>
    <cellStyle name="Input [yellow] 2 8 7 16" xfId="9334"/>
    <cellStyle name="Input [yellow] 2 8 7 16 2" xfId="20531"/>
    <cellStyle name="Input [yellow] 2 8 7 16 3" xfId="31699"/>
    <cellStyle name="Input [yellow] 2 8 7 16 4" xfId="42864"/>
    <cellStyle name="Input [yellow] 2 8 7 16 5" xfId="54057"/>
    <cellStyle name="Input [yellow] 2 8 7 17" xfId="9960"/>
    <cellStyle name="Input [yellow] 2 8 7 17 2" xfId="21157"/>
    <cellStyle name="Input [yellow] 2 8 7 17 3" xfId="32325"/>
    <cellStyle name="Input [yellow] 2 8 7 17 4" xfId="43490"/>
    <cellStyle name="Input [yellow] 2 8 7 17 5" xfId="54683"/>
    <cellStyle name="Input [yellow] 2 8 7 18" xfId="9794"/>
    <cellStyle name="Input [yellow] 2 8 7 18 2" xfId="20991"/>
    <cellStyle name="Input [yellow] 2 8 7 18 3" xfId="32159"/>
    <cellStyle name="Input [yellow] 2 8 7 18 4" xfId="43324"/>
    <cellStyle name="Input [yellow] 2 8 7 18 5" xfId="54517"/>
    <cellStyle name="Input [yellow] 2 8 7 19" xfId="10999"/>
    <cellStyle name="Input [yellow] 2 8 7 19 2" xfId="22196"/>
    <cellStyle name="Input [yellow] 2 8 7 19 3" xfId="33364"/>
    <cellStyle name="Input [yellow] 2 8 7 19 4" xfId="44529"/>
    <cellStyle name="Input [yellow] 2 8 7 19 5" xfId="55722"/>
    <cellStyle name="Input [yellow] 2 8 7 2" xfId="1095"/>
    <cellStyle name="Input [yellow] 2 8 7 2 2" xfId="12292"/>
    <cellStyle name="Input [yellow] 2 8 7 2 3" xfId="23460"/>
    <cellStyle name="Input [yellow] 2 8 7 2 4" xfId="34625"/>
    <cellStyle name="Input [yellow] 2 8 7 2 5" xfId="45818"/>
    <cellStyle name="Input [yellow] 2 8 7 20" xfId="11646"/>
    <cellStyle name="Input [yellow] 2 8 7 21" xfId="22816"/>
    <cellStyle name="Input [yellow] 2 8 7 22" xfId="33983"/>
    <cellStyle name="Input [yellow] 2 8 7 23" xfId="45169"/>
    <cellStyle name="Input [yellow] 2 8 7 3" xfId="1961"/>
    <cellStyle name="Input [yellow] 2 8 7 3 2" xfId="13158"/>
    <cellStyle name="Input [yellow] 2 8 7 3 3" xfId="24326"/>
    <cellStyle name="Input [yellow] 2 8 7 3 4" xfId="35491"/>
    <cellStyle name="Input [yellow] 2 8 7 3 5" xfId="46684"/>
    <cellStyle name="Input [yellow] 2 8 7 4" xfId="2371"/>
    <cellStyle name="Input [yellow] 2 8 7 4 2" xfId="13568"/>
    <cellStyle name="Input [yellow] 2 8 7 4 3" xfId="24736"/>
    <cellStyle name="Input [yellow] 2 8 7 4 4" xfId="35901"/>
    <cellStyle name="Input [yellow] 2 8 7 4 5" xfId="47094"/>
    <cellStyle name="Input [yellow] 2 8 7 5" xfId="2796"/>
    <cellStyle name="Input [yellow] 2 8 7 5 2" xfId="13993"/>
    <cellStyle name="Input [yellow] 2 8 7 5 3" xfId="25161"/>
    <cellStyle name="Input [yellow] 2 8 7 5 4" xfId="36326"/>
    <cellStyle name="Input [yellow] 2 8 7 5 5" xfId="47519"/>
    <cellStyle name="Input [yellow] 2 8 7 6" xfId="3430"/>
    <cellStyle name="Input [yellow] 2 8 7 6 2" xfId="14627"/>
    <cellStyle name="Input [yellow] 2 8 7 6 3" xfId="25795"/>
    <cellStyle name="Input [yellow] 2 8 7 6 4" xfId="36960"/>
    <cellStyle name="Input [yellow] 2 8 7 6 5" xfId="48153"/>
    <cellStyle name="Input [yellow] 2 8 7 7" xfId="4064"/>
    <cellStyle name="Input [yellow] 2 8 7 7 2" xfId="15261"/>
    <cellStyle name="Input [yellow] 2 8 7 7 3" xfId="26429"/>
    <cellStyle name="Input [yellow] 2 8 7 7 4" xfId="37594"/>
    <cellStyle name="Input [yellow] 2 8 7 7 5" xfId="48787"/>
    <cellStyle name="Input [yellow] 2 8 7 8" xfId="4697"/>
    <cellStyle name="Input [yellow] 2 8 7 8 2" xfId="15894"/>
    <cellStyle name="Input [yellow] 2 8 7 8 3" xfId="27062"/>
    <cellStyle name="Input [yellow] 2 8 7 8 4" xfId="38227"/>
    <cellStyle name="Input [yellow] 2 8 7 8 5" xfId="49420"/>
    <cellStyle name="Input [yellow] 2 8 7 9" xfId="5328"/>
    <cellStyle name="Input [yellow] 2 8 7 9 2" xfId="16525"/>
    <cellStyle name="Input [yellow] 2 8 7 9 3" xfId="27693"/>
    <cellStyle name="Input [yellow] 2 8 7 9 4" xfId="38858"/>
    <cellStyle name="Input [yellow] 2 8 7 9 5" xfId="50051"/>
    <cellStyle name="Input [yellow] 2 8 8" xfId="499"/>
    <cellStyle name="Input [yellow] 2 8 8 10" xfId="6001"/>
    <cellStyle name="Input [yellow] 2 8 8 10 2" xfId="17198"/>
    <cellStyle name="Input [yellow] 2 8 8 10 3" xfId="28366"/>
    <cellStyle name="Input [yellow] 2 8 8 10 4" xfId="39531"/>
    <cellStyle name="Input [yellow] 2 8 8 10 5" xfId="50724"/>
    <cellStyle name="Input [yellow] 2 8 8 11" xfId="6435"/>
    <cellStyle name="Input [yellow] 2 8 8 11 2" xfId="17632"/>
    <cellStyle name="Input [yellow] 2 8 8 11 3" xfId="28800"/>
    <cellStyle name="Input [yellow] 2 8 8 11 4" xfId="39965"/>
    <cellStyle name="Input [yellow] 2 8 8 11 5" xfId="51158"/>
    <cellStyle name="Input [yellow] 2 8 8 12" xfId="7068"/>
    <cellStyle name="Input [yellow] 2 8 8 12 2" xfId="18265"/>
    <cellStyle name="Input [yellow] 2 8 8 12 3" xfId="29433"/>
    <cellStyle name="Input [yellow] 2 8 8 12 4" xfId="40598"/>
    <cellStyle name="Input [yellow] 2 8 8 12 5" xfId="51791"/>
    <cellStyle name="Input [yellow] 2 8 8 13" xfId="7702"/>
    <cellStyle name="Input [yellow] 2 8 8 13 2" xfId="18899"/>
    <cellStyle name="Input [yellow] 2 8 8 13 3" xfId="30067"/>
    <cellStyle name="Input [yellow] 2 8 8 13 4" xfId="41232"/>
    <cellStyle name="Input [yellow] 2 8 8 13 5" xfId="52425"/>
    <cellStyle name="Input [yellow] 2 8 8 14" xfId="8336"/>
    <cellStyle name="Input [yellow] 2 8 8 14 2" xfId="19533"/>
    <cellStyle name="Input [yellow] 2 8 8 14 3" xfId="30701"/>
    <cellStyle name="Input [yellow] 2 8 8 14 4" xfId="41866"/>
    <cellStyle name="Input [yellow] 2 8 8 14 5" xfId="53059"/>
    <cellStyle name="Input [yellow] 2 8 8 15" xfId="8964"/>
    <cellStyle name="Input [yellow] 2 8 8 15 2" xfId="20161"/>
    <cellStyle name="Input [yellow] 2 8 8 15 3" xfId="31329"/>
    <cellStyle name="Input [yellow] 2 8 8 15 4" xfId="42494"/>
    <cellStyle name="Input [yellow] 2 8 8 15 5" xfId="53687"/>
    <cellStyle name="Input [yellow] 2 8 8 16" xfId="9387"/>
    <cellStyle name="Input [yellow] 2 8 8 16 2" xfId="20584"/>
    <cellStyle name="Input [yellow] 2 8 8 16 3" xfId="31752"/>
    <cellStyle name="Input [yellow] 2 8 8 16 4" xfId="42917"/>
    <cellStyle name="Input [yellow] 2 8 8 16 5" xfId="54110"/>
    <cellStyle name="Input [yellow] 2 8 8 17" xfId="10013"/>
    <cellStyle name="Input [yellow] 2 8 8 17 2" xfId="21210"/>
    <cellStyle name="Input [yellow] 2 8 8 17 3" xfId="32378"/>
    <cellStyle name="Input [yellow] 2 8 8 17 4" xfId="43543"/>
    <cellStyle name="Input [yellow] 2 8 8 17 5" xfId="54736"/>
    <cellStyle name="Input [yellow] 2 8 8 18" xfId="10493"/>
    <cellStyle name="Input [yellow] 2 8 8 18 2" xfId="21690"/>
    <cellStyle name="Input [yellow] 2 8 8 18 3" xfId="32858"/>
    <cellStyle name="Input [yellow] 2 8 8 18 4" xfId="44023"/>
    <cellStyle name="Input [yellow] 2 8 8 18 5" xfId="55216"/>
    <cellStyle name="Input [yellow] 2 8 8 19" xfId="11052"/>
    <cellStyle name="Input [yellow] 2 8 8 19 2" xfId="22249"/>
    <cellStyle name="Input [yellow] 2 8 8 19 3" xfId="33417"/>
    <cellStyle name="Input [yellow] 2 8 8 19 4" xfId="44582"/>
    <cellStyle name="Input [yellow] 2 8 8 19 5" xfId="55775"/>
    <cellStyle name="Input [yellow] 2 8 8 2" xfId="1148"/>
    <cellStyle name="Input [yellow] 2 8 8 2 2" xfId="12345"/>
    <cellStyle name="Input [yellow] 2 8 8 2 3" xfId="23513"/>
    <cellStyle name="Input [yellow] 2 8 8 2 4" xfId="34678"/>
    <cellStyle name="Input [yellow] 2 8 8 2 5" xfId="45871"/>
    <cellStyle name="Input [yellow] 2 8 8 20" xfId="11699"/>
    <cellStyle name="Input [yellow] 2 8 8 21" xfId="22869"/>
    <cellStyle name="Input [yellow] 2 8 8 22" xfId="34036"/>
    <cellStyle name="Input [yellow] 2 8 8 23" xfId="45222"/>
    <cellStyle name="Input [yellow] 2 8 8 3" xfId="1790"/>
    <cellStyle name="Input [yellow] 2 8 8 3 2" xfId="12987"/>
    <cellStyle name="Input [yellow] 2 8 8 3 3" xfId="24155"/>
    <cellStyle name="Input [yellow] 2 8 8 3 4" xfId="35320"/>
    <cellStyle name="Input [yellow] 2 8 8 3 5" xfId="46513"/>
    <cellStyle name="Input [yellow] 2 8 8 4" xfId="2424"/>
    <cellStyle name="Input [yellow] 2 8 8 4 2" xfId="13621"/>
    <cellStyle name="Input [yellow] 2 8 8 4 3" xfId="24789"/>
    <cellStyle name="Input [yellow] 2 8 8 4 4" xfId="35954"/>
    <cellStyle name="Input [yellow] 2 8 8 4 5" xfId="47147"/>
    <cellStyle name="Input [yellow] 2 8 8 5" xfId="2849"/>
    <cellStyle name="Input [yellow] 2 8 8 5 2" xfId="14046"/>
    <cellStyle name="Input [yellow] 2 8 8 5 3" xfId="25214"/>
    <cellStyle name="Input [yellow] 2 8 8 5 4" xfId="36379"/>
    <cellStyle name="Input [yellow] 2 8 8 5 5" xfId="47572"/>
    <cellStyle name="Input [yellow] 2 8 8 6" xfId="3483"/>
    <cellStyle name="Input [yellow] 2 8 8 6 2" xfId="14680"/>
    <cellStyle name="Input [yellow] 2 8 8 6 3" xfId="25848"/>
    <cellStyle name="Input [yellow] 2 8 8 6 4" xfId="37013"/>
    <cellStyle name="Input [yellow] 2 8 8 6 5" xfId="48206"/>
    <cellStyle name="Input [yellow] 2 8 8 7" xfId="4117"/>
    <cellStyle name="Input [yellow] 2 8 8 7 2" xfId="15314"/>
    <cellStyle name="Input [yellow] 2 8 8 7 3" xfId="26482"/>
    <cellStyle name="Input [yellow] 2 8 8 7 4" xfId="37647"/>
    <cellStyle name="Input [yellow] 2 8 8 7 5" xfId="48840"/>
    <cellStyle name="Input [yellow] 2 8 8 8" xfId="4750"/>
    <cellStyle name="Input [yellow] 2 8 8 8 2" xfId="15947"/>
    <cellStyle name="Input [yellow] 2 8 8 8 3" xfId="27115"/>
    <cellStyle name="Input [yellow] 2 8 8 8 4" xfId="38280"/>
    <cellStyle name="Input [yellow] 2 8 8 8 5" xfId="49473"/>
    <cellStyle name="Input [yellow] 2 8 8 9" xfId="5381"/>
    <cellStyle name="Input [yellow] 2 8 8 9 2" xfId="16578"/>
    <cellStyle name="Input [yellow] 2 8 8 9 3" xfId="27746"/>
    <cellStyle name="Input [yellow] 2 8 8 9 4" xfId="38911"/>
    <cellStyle name="Input [yellow] 2 8 8 9 5" xfId="50104"/>
    <cellStyle name="Input [yellow] 2 8 9" xfId="557"/>
    <cellStyle name="Input [yellow] 2 8 9 10" xfId="6105"/>
    <cellStyle name="Input [yellow] 2 8 9 10 2" xfId="17302"/>
    <cellStyle name="Input [yellow] 2 8 9 10 3" xfId="28470"/>
    <cellStyle name="Input [yellow] 2 8 9 10 4" xfId="39635"/>
    <cellStyle name="Input [yellow] 2 8 9 10 5" xfId="50828"/>
    <cellStyle name="Input [yellow] 2 8 9 11" xfId="6493"/>
    <cellStyle name="Input [yellow] 2 8 9 11 2" xfId="17690"/>
    <cellStyle name="Input [yellow] 2 8 9 11 3" xfId="28858"/>
    <cellStyle name="Input [yellow] 2 8 9 11 4" xfId="40023"/>
    <cellStyle name="Input [yellow] 2 8 9 11 5" xfId="51216"/>
    <cellStyle name="Input [yellow] 2 8 9 12" xfId="7126"/>
    <cellStyle name="Input [yellow] 2 8 9 12 2" xfId="18323"/>
    <cellStyle name="Input [yellow] 2 8 9 12 3" xfId="29491"/>
    <cellStyle name="Input [yellow] 2 8 9 12 4" xfId="40656"/>
    <cellStyle name="Input [yellow] 2 8 9 12 5" xfId="51849"/>
    <cellStyle name="Input [yellow] 2 8 9 13" xfId="7760"/>
    <cellStyle name="Input [yellow] 2 8 9 13 2" xfId="18957"/>
    <cellStyle name="Input [yellow] 2 8 9 13 3" xfId="30125"/>
    <cellStyle name="Input [yellow] 2 8 9 13 4" xfId="41290"/>
    <cellStyle name="Input [yellow] 2 8 9 13 5" xfId="52483"/>
    <cellStyle name="Input [yellow] 2 8 9 14" xfId="8394"/>
    <cellStyle name="Input [yellow] 2 8 9 14 2" xfId="19591"/>
    <cellStyle name="Input [yellow] 2 8 9 14 3" xfId="30759"/>
    <cellStyle name="Input [yellow] 2 8 9 14 4" xfId="41924"/>
    <cellStyle name="Input [yellow] 2 8 9 14 5" xfId="53117"/>
    <cellStyle name="Input [yellow] 2 8 9 15" xfId="9022"/>
    <cellStyle name="Input [yellow] 2 8 9 15 2" xfId="20219"/>
    <cellStyle name="Input [yellow] 2 8 9 15 3" xfId="31387"/>
    <cellStyle name="Input [yellow] 2 8 9 15 4" xfId="42552"/>
    <cellStyle name="Input [yellow] 2 8 9 15 5" xfId="53745"/>
    <cellStyle name="Input [yellow] 2 8 9 16" xfId="9445"/>
    <cellStyle name="Input [yellow] 2 8 9 16 2" xfId="20642"/>
    <cellStyle name="Input [yellow] 2 8 9 16 3" xfId="31810"/>
    <cellStyle name="Input [yellow] 2 8 9 16 4" xfId="42975"/>
    <cellStyle name="Input [yellow] 2 8 9 16 5" xfId="54168"/>
    <cellStyle name="Input [yellow] 2 8 9 17" xfId="10070"/>
    <cellStyle name="Input [yellow] 2 8 9 17 2" xfId="21267"/>
    <cellStyle name="Input [yellow] 2 8 9 17 3" xfId="32435"/>
    <cellStyle name="Input [yellow] 2 8 9 17 4" xfId="43600"/>
    <cellStyle name="Input [yellow] 2 8 9 17 5" xfId="54793"/>
    <cellStyle name="Input [yellow] 2 8 9 18" xfId="10304"/>
    <cellStyle name="Input [yellow] 2 8 9 18 2" xfId="21501"/>
    <cellStyle name="Input [yellow] 2 8 9 18 3" xfId="32669"/>
    <cellStyle name="Input [yellow] 2 8 9 18 4" xfId="43834"/>
    <cellStyle name="Input [yellow] 2 8 9 18 5" xfId="55027"/>
    <cellStyle name="Input [yellow] 2 8 9 19" xfId="11110"/>
    <cellStyle name="Input [yellow] 2 8 9 19 2" xfId="22307"/>
    <cellStyle name="Input [yellow] 2 8 9 19 3" xfId="33475"/>
    <cellStyle name="Input [yellow] 2 8 9 19 4" xfId="44640"/>
    <cellStyle name="Input [yellow] 2 8 9 19 5" xfId="55833"/>
    <cellStyle name="Input [yellow] 2 8 9 2" xfId="1206"/>
    <cellStyle name="Input [yellow] 2 8 9 2 2" xfId="12403"/>
    <cellStyle name="Input [yellow] 2 8 9 2 3" xfId="23571"/>
    <cellStyle name="Input [yellow] 2 8 9 2 4" xfId="34736"/>
    <cellStyle name="Input [yellow] 2 8 9 2 5" xfId="45929"/>
    <cellStyle name="Input [yellow] 2 8 9 20" xfId="11757"/>
    <cellStyle name="Input [yellow] 2 8 9 21" xfId="22927"/>
    <cellStyle name="Input [yellow] 2 8 9 22" xfId="34094"/>
    <cellStyle name="Input [yellow] 2 8 9 23" xfId="45280"/>
    <cellStyle name="Input [yellow] 2 8 9 3" xfId="1579"/>
    <cellStyle name="Input [yellow] 2 8 9 3 2" xfId="12776"/>
    <cellStyle name="Input [yellow] 2 8 9 3 3" xfId="23944"/>
    <cellStyle name="Input [yellow] 2 8 9 3 4" xfId="35109"/>
    <cellStyle name="Input [yellow] 2 8 9 3 5" xfId="46302"/>
    <cellStyle name="Input [yellow] 2 8 9 4" xfId="2482"/>
    <cellStyle name="Input [yellow] 2 8 9 4 2" xfId="13679"/>
    <cellStyle name="Input [yellow] 2 8 9 4 3" xfId="24847"/>
    <cellStyle name="Input [yellow] 2 8 9 4 4" xfId="36012"/>
    <cellStyle name="Input [yellow] 2 8 9 4 5" xfId="47205"/>
    <cellStyle name="Input [yellow] 2 8 9 5" xfId="2907"/>
    <cellStyle name="Input [yellow] 2 8 9 5 2" xfId="14104"/>
    <cellStyle name="Input [yellow] 2 8 9 5 3" xfId="25272"/>
    <cellStyle name="Input [yellow] 2 8 9 5 4" xfId="36437"/>
    <cellStyle name="Input [yellow] 2 8 9 5 5" xfId="47630"/>
    <cellStyle name="Input [yellow] 2 8 9 6" xfId="3541"/>
    <cellStyle name="Input [yellow] 2 8 9 6 2" xfId="14738"/>
    <cellStyle name="Input [yellow] 2 8 9 6 3" xfId="25906"/>
    <cellStyle name="Input [yellow] 2 8 9 6 4" xfId="37071"/>
    <cellStyle name="Input [yellow] 2 8 9 6 5" xfId="48264"/>
    <cellStyle name="Input [yellow] 2 8 9 7" xfId="4175"/>
    <cellStyle name="Input [yellow] 2 8 9 7 2" xfId="15372"/>
    <cellStyle name="Input [yellow] 2 8 9 7 3" xfId="26540"/>
    <cellStyle name="Input [yellow] 2 8 9 7 4" xfId="37705"/>
    <cellStyle name="Input [yellow] 2 8 9 7 5" xfId="48898"/>
    <cellStyle name="Input [yellow] 2 8 9 8" xfId="4808"/>
    <cellStyle name="Input [yellow] 2 8 9 8 2" xfId="16005"/>
    <cellStyle name="Input [yellow] 2 8 9 8 3" xfId="27173"/>
    <cellStyle name="Input [yellow] 2 8 9 8 4" xfId="38338"/>
    <cellStyle name="Input [yellow] 2 8 9 8 5" xfId="49531"/>
    <cellStyle name="Input [yellow] 2 8 9 9" xfId="5439"/>
    <cellStyle name="Input [yellow] 2 8 9 9 2" xfId="16636"/>
    <cellStyle name="Input [yellow] 2 8 9 9 3" xfId="27804"/>
    <cellStyle name="Input [yellow] 2 8 9 9 4" xfId="38969"/>
    <cellStyle name="Input [yellow] 2 8 9 9 5" xfId="50162"/>
    <cellStyle name="Input [yellow] 2 9" xfId="95"/>
    <cellStyle name="Input [yellow] 2 9 10" xfId="613"/>
    <cellStyle name="Input [yellow] 2 9 10 10" xfId="6093"/>
    <cellStyle name="Input [yellow] 2 9 10 10 2" xfId="17290"/>
    <cellStyle name="Input [yellow] 2 9 10 10 3" xfId="28458"/>
    <cellStyle name="Input [yellow] 2 9 10 10 4" xfId="39623"/>
    <cellStyle name="Input [yellow] 2 9 10 10 5" xfId="50816"/>
    <cellStyle name="Input [yellow] 2 9 10 11" xfId="6549"/>
    <cellStyle name="Input [yellow] 2 9 10 11 2" xfId="17746"/>
    <cellStyle name="Input [yellow] 2 9 10 11 3" xfId="28914"/>
    <cellStyle name="Input [yellow] 2 9 10 11 4" xfId="40079"/>
    <cellStyle name="Input [yellow] 2 9 10 11 5" xfId="51272"/>
    <cellStyle name="Input [yellow] 2 9 10 12" xfId="7182"/>
    <cellStyle name="Input [yellow] 2 9 10 12 2" xfId="18379"/>
    <cellStyle name="Input [yellow] 2 9 10 12 3" xfId="29547"/>
    <cellStyle name="Input [yellow] 2 9 10 12 4" xfId="40712"/>
    <cellStyle name="Input [yellow] 2 9 10 12 5" xfId="51905"/>
    <cellStyle name="Input [yellow] 2 9 10 13" xfId="7816"/>
    <cellStyle name="Input [yellow] 2 9 10 13 2" xfId="19013"/>
    <cellStyle name="Input [yellow] 2 9 10 13 3" xfId="30181"/>
    <cellStyle name="Input [yellow] 2 9 10 13 4" xfId="41346"/>
    <cellStyle name="Input [yellow] 2 9 10 13 5" xfId="52539"/>
    <cellStyle name="Input [yellow] 2 9 10 14" xfId="8450"/>
    <cellStyle name="Input [yellow] 2 9 10 14 2" xfId="19647"/>
    <cellStyle name="Input [yellow] 2 9 10 14 3" xfId="30815"/>
    <cellStyle name="Input [yellow] 2 9 10 14 4" xfId="41980"/>
    <cellStyle name="Input [yellow] 2 9 10 14 5" xfId="53173"/>
    <cellStyle name="Input [yellow] 2 9 10 15" xfId="9078"/>
    <cellStyle name="Input [yellow] 2 9 10 15 2" xfId="20275"/>
    <cellStyle name="Input [yellow] 2 9 10 15 3" xfId="31443"/>
    <cellStyle name="Input [yellow] 2 9 10 15 4" xfId="42608"/>
    <cellStyle name="Input [yellow] 2 9 10 15 5" xfId="53801"/>
    <cellStyle name="Input [yellow] 2 9 10 16" xfId="9501"/>
    <cellStyle name="Input [yellow] 2 9 10 16 2" xfId="20698"/>
    <cellStyle name="Input [yellow] 2 9 10 16 3" xfId="31866"/>
    <cellStyle name="Input [yellow] 2 9 10 16 4" xfId="43031"/>
    <cellStyle name="Input [yellow] 2 9 10 16 5" xfId="54224"/>
    <cellStyle name="Input [yellow] 2 9 10 17" xfId="10126"/>
    <cellStyle name="Input [yellow] 2 9 10 17 2" xfId="21323"/>
    <cellStyle name="Input [yellow] 2 9 10 17 3" xfId="32491"/>
    <cellStyle name="Input [yellow] 2 9 10 17 4" xfId="43656"/>
    <cellStyle name="Input [yellow] 2 9 10 17 5" xfId="54849"/>
    <cellStyle name="Input [yellow] 2 9 10 18" xfId="10344"/>
    <cellStyle name="Input [yellow] 2 9 10 18 2" xfId="21541"/>
    <cellStyle name="Input [yellow] 2 9 10 18 3" xfId="32709"/>
    <cellStyle name="Input [yellow] 2 9 10 18 4" xfId="43874"/>
    <cellStyle name="Input [yellow] 2 9 10 18 5" xfId="55067"/>
    <cellStyle name="Input [yellow] 2 9 10 19" xfId="11166"/>
    <cellStyle name="Input [yellow] 2 9 10 19 2" xfId="22363"/>
    <cellStyle name="Input [yellow] 2 9 10 19 3" xfId="33531"/>
    <cellStyle name="Input [yellow] 2 9 10 19 4" xfId="44696"/>
    <cellStyle name="Input [yellow] 2 9 10 19 5" xfId="55889"/>
    <cellStyle name="Input [yellow] 2 9 10 2" xfId="1262"/>
    <cellStyle name="Input [yellow] 2 9 10 2 2" xfId="12459"/>
    <cellStyle name="Input [yellow] 2 9 10 2 3" xfId="23627"/>
    <cellStyle name="Input [yellow] 2 9 10 2 4" xfId="34792"/>
    <cellStyle name="Input [yellow] 2 9 10 2 5" xfId="45985"/>
    <cellStyle name="Input [yellow] 2 9 10 20" xfId="11813"/>
    <cellStyle name="Input [yellow] 2 9 10 21" xfId="22983"/>
    <cellStyle name="Input [yellow] 2 9 10 22" xfId="34150"/>
    <cellStyle name="Input [yellow] 2 9 10 23" xfId="45336"/>
    <cellStyle name="Input [yellow] 2 9 10 3" xfId="1616"/>
    <cellStyle name="Input [yellow] 2 9 10 3 2" xfId="12813"/>
    <cellStyle name="Input [yellow] 2 9 10 3 3" xfId="23981"/>
    <cellStyle name="Input [yellow] 2 9 10 3 4" xfId="35146"/>
    <cellStyle name="Input [yellow] 2 9 10 3 5" xfId="46339"/>
    <cellStyle name="Input [yellow] 2 9 10 4" xfId="2538"/>
    <cellStyle name="Input [yellow] 2 9 10 4 2" xfId="13735"/>
    <cellStyle name="Input [yellow] 2 9 10 4 3" xfId="24903"/>
    <cellStyle name="Input [yellow] 2 9 10 4 4" xfId="36068"/>
    <cellStyle name="Input [yellow] 2 9 10 4 5" xfId="47261"/>
    <cellStyle name="Input [yellow] 2 9 10 5" xfId="2963"/>
    <cellStyle name="Input [yellow] 2 9 10 5 2" xfId="14160"/>
    <cellStyle name="Input [yellow] 2 9 10 5 3" xfId="25328"/>
    <cellStyle name="Input [yellow] 2 9 10 5 4" xfId="36493"/>
    <cellStyle name="Input [yellow] 2 9 10 5 5" xfId="47686"/>
    <cellStyle name="Input [yellow] 2 9 10 6" xfId="3597"/>
    <cellStyle name="Input [yellow] 2 9 10 6 2" xfId="14794"/>
    <cellStyle name="Input [yellow] 2 9 10 6 3" xfId="25962"/>
    <cellStyle name="Input [yellow] 2 9 10 6 4" xfId="37127"/>
    <cellStyle name="Input [yellow] 2 9 10 6 5" xfId="48320"/>
    <cellStyle name="Input [yellow] 2 9 10 7" xfId="4231"/>
    <cellStyle name="Input [yellow] 2 9 10 7 2" xfId="15428"/>
    <cellStyle name="Input [yellow] 2 9 10 7 3" xfId="26596"/>
    <cellStyle name="Input [yellow] 2 9 10 7 4" xfId="37761"/>
    <cellStyle name="Input [yellow] 2 9 10 7 5" xfId="48954"/>
    <cellStyle name="Input [yellow] 2 9 10 8" xfId="4864"/>
    <cellStyle name="Input [yellow] 2 9 10 8 2" xfId="16061"/>
    <cellStyle name="Input [yellow] 2 9 10 8 3" xfId="27229"/>
    <cellStyle name="Input [yellow] 2 9 10 8 4" xfId="38394"/>
    <cellStyle name="Input [yellow] 2 9 10 8 5" xfId="49587"/>
    <cellStyle name="Input [yellow] 2 9 10 9" xfId="5495"/>
    <cellStyle name="Input [yellow] 2 9 10 9 2" xfId="16692"/>
    <cellStyle name="Input [yellow] 2 9 10 9 3" xfId="27860"/>
    <cellStyle name="Input [yellow] 2 9 10 9 4" xfId="39025"/>
    <cellStyle name="Input [yellow] 2 9 10 9 5" xfId="50218"/>
    <cellStyle name="Input [yellow] 2 9 11" xfId="681"/>
    <cellStyle name="Input [yellow] 2 9 11 10" xfId="5665"/>
    <cellStyle name="Input [yellow] 2 9 11 10 2" xfId="16862"/>
    <cellStyle name="Input [yellow] 2 9 11 10 3" xfId="28030"/>
    <cellStyle name="Input [yellow] 2 9 11 10 4" xfId="39195"/>
    <cellStyle name="Input [yellow] 2 9 11 10 5" xfId="50388"/>
    <cellStyle name="Input [yellow] 2 9 11 11" xfId="6617"/>
    <cellStyle name="Input [yellow] 2 9 11 11 2" xfId="17814"/>
    <cellStyle name="Input [yellow] 2 9 11 11 3" xfId="28982"/>
    <cellStyle name="Input [yellow] 2 9 11 11 4" xfId="40147"/>
    <cellStyle name="Input [yellow] 2 9 11 11 5" xfId="51340"/>
    <cellStyle name="Input [yellow] 2 9 11 12" xfId="7250"/>
    <cellStyle name="Input [yellow] 2 9 11 12 2" xfId="18447"/>
    <cellStyle name="Input [yellow] 2 9 11 12 3" xfId="29615"/>
    <cellStyle name="Input [yellow] 2 9 11 12 4" xfId="40780"/>
    <cellStyle name="Input [yellow] 2 9 11 12 5" xfId="51973"/>
    <cellStyle name="Input [yellow] 2 9 11 13" xfId="7884"/>
    <cellStyle name="Input [yellow] 2 9 11 13 2" xfId="19081"/>
    <cellStyle name="Input [yellow] 2 9 11 13 3" xfId="30249"/>
    <cellStyle name="Input [yellow] 2 9 11 13 4" xfId="41414"/>
    <cellStyle name="Input [yellow] 2 9 11 13 5" xfId="52607"/>
    <cellStyle name="Input [yellow] 2 9 11 14" xfId="8518"/>
    <cellStyle name="Input [yellow] 2 9 11 14 2" xfId="19715"/>
    <cellStyle name="Input [yellow] 2 9 11 14 3" xfId="30883"/>
    <cellStyle name="Input [yellow] 2 9 11 14 4" xfId="42048"/>
    <cellStyle name="Input [yellow] 2 9 11 14 5" xfId="53241"/>
    <cellStyle name="Input [yellow] 2 9 11 15" xfId="9146"/>
    <cellStyle name="Input [yellow] 2 9 11 15 2" xfId="20343"/>
    <cellStyle name="Input [yellow] 2 9 11 15 3" xfId="31511"/>
    <cellStyle name="Input [yellow] 2 9 11 15 4" xfId="42676"/>
    <cellStyle name="Input [yellow] 2 9 11 15 5" xfId="53869"/>
    <cellStyle name="Input [yellow] 2 9 11 16" xfId="9569"/>
    <cellStyle name="Input [yellow] 2 9 11 16 2" xfId="20766"/>
    <cellStyle name="Input [yellow] 2 9 11 16 3" xfId="31934"/>
    <cellStyle name="Input [yellow] 2 9 11 16 4" xfId="43099"/>
    <cellStyle name="Input [yellow] 2 9 11 16 5" xfId="54292"/>
    <cellStyle name="Input [yellow] 2 9 11 17" xfId="10193"/>
    <cellStyle name="Input [yellow] 2 9 11 17 2" xfId="21390"/>
    <cellStyle name="Input [yellow] 2 9 11 17 3" xfId="32558"/>
    <cellStyle name="Input [yellow] 2 9 11 17 4" xfId="43723"/>
    <cellStyle name="Input [yellow] 2 9 11 17 5" xfId="54916"/>
    <cellStyle name="Input [yellow] 2 9 11 18" xfId="10224"/>
    <cellStyle name="Input [yellow] 2 9 11 18 2" xfId="21421"/>
    <cellStyle name="Input [yellow] 2 9 11 18 3" xfId="32589"/>
    <cellStyle name="Input [yellow] 2 9 11 18 4" xfId="43754"/>
    <cellStyle name="Input [yellow] 2 9 11 18 5" xfId="54947"/>
    <cellStyle name="Input [yellow] 2 9 11 19" xfId="11234"/>
    <cellStyle name="Input [yellow] 2 9 11 19 2" xfId="22431"/>
    <cellStyle name="Input [yellow] 2 9 11 19 3" xfId="33599"/>
    <cellStyle name="Input [yellow] 2 9 11 19 4" xfId="44764"/>
    <cellStyle name="Input [yellow] 2 9 11 19 5" xfId="55957"/>
    <cellStyle name="Input [yellow] 2 9 11 2" xfId="1330"/>
    <cellStyle name="Input [yellow] 2 9 11 2 2" xfId="12527"/>
    <cellStyle name="Input [yellow] 2 9 11 2 3" xfId="23695"/>
    <cellStyle name="Input [yellow] 2 9 11 2 4" xfId="34860"/>
    <cellStyle name="Input [yellow] 2 9 11 2 5" xfId="46053"/>
    <cellStyle name="Input [yellow] 2 9 11 20" xfId="11881"/>
    <cellStyle name="Input [yellow] 2 9 11 21" xfId="23051"/>
    <cellStyle name="Input [yellow] 2 9 11 22" xfId="34218"/>
    <cellStyle name="Input [yellow] 2 9 11 23" xfId="45404"/>
    <cellStyle name="Input [yellow] 2 9 11 3" xfId="1508"/>
    <cellStyle name="Input [yellow] 2 9 11 3 2" xfId="12705"/>
    <cellStyle name="Input [yellow] 2 9 11 3 3" xfId="23873"/>
    <cellStyle name="Input [yellow] 2 9 11 3 4" xfId="35038"/>
    <cellStyle name="Input [yellow] 2 9 11 3 5" xfId="46231"/>
    <cellStyle name="Input [yellow] 2 9 11 4" xfId="2606"/>
    <cellStyle name="Input [yellow] 2 9 11 4 2" xfId="13803"/>
    <cellStyle name="Input [yellow] 2 9 11 4 3" xfId="24971"/>
    <cellStyle name="Input [yellow] 2 9 11 4 4" xfId="36136"/>
    <cellStyle name="Input [yellow] 2 9 11 4 5" xfId="47329"/>
    <cellStyle name="Input [yellow] 2 9 11 5" xfId="3031"/>
    <cellStyle name="Input [yellow] 2 9 11 5 2" xfId="14228"/>
    <cellStyle name="Input [yellow] 2 9 11 5 3" xfId="25396"/>
    <cellStyle name="Input [yellow] 2 9 11 5 4" xfId="36561"/>
    <cellStyle name="Input [yellow] 2 9 11 5 5" xfId="47754"/>
    <cellStyle name="Input [yellow] 2 9 11 6" xfId="3665"/>
    <cellStyle name="Input [yellow] 2 9 11 6 2" xfId="14862"/>
    <cellStyle name="Input [yellow] 2 9 11 6 3" xfId="26030"/>
    <cellStyle name="Input [yellow] 2 9 11 6 4" xfId="37195"/>
    <cellStyle name="Input [yellow] 2 9 11 6 5" xfId="48388"/>
    <cellStyle name="Input [yellow] 2 9 11 7" xfId="4299"/>
    <cellStyle name="Input [yellow] 2 9 11 7 2" xfId="15496"/>
    <cellStyle name="Input [yellow] 2 9 11 7 3" xfId="26664"/>
    <cellStyle name="Input [yellow] 2 9 11 7 4" xfId="37829"/>
    <cellStyle name="Input [yellow] 2 9 11 7 5" xfId="49022"/>
    <cellStyle name="Input [yellow] 2 9 11 8" xfId="4932"/>
    <cellStyle name="Input [yellow] 2 9 11 8 2" xfId="16129"/>
    <cellStyle name="Input [yellow] 2 9 11 8 3" xfId="27297"/>
    <cellStyle name="Input [yellow] 2 9 11 8 4" xfId="38462"/>
    <cellStyle name="Input [yellow] 2 9 11 8 5" xfId="49655"/>
    <cellStyle name="Input [yellow] 2 9 11 9" xfId="5563"/>
    <cellStyle name="Input [yellow] 2 9 11 9 2" xfId="16760"/>
    <cellStyle name="Input [yellow] 2 9 11 9 3" xfId="27928"/>
    <cellStyle name="Input [yellow] 2 9 11 9 4" xfId="39093"/>
    <cellStyle name="Input [yellow] 2 9 11 9 5" xfId="50286"/>
    <cellStyle name="Input [yellow] 2 9 12" xfId="744"/>
    <cellStyle name="Input [yellow] 2 9 12 2" xfId="11942"/>
    <cellStyle name="Input [yellow] 2 9 12 3" xfId="23110"/>
    <cellStyle name="Input [yellow] 2 9 12 4" xfId="34275"/>
    <cellStyle name="Input [yellow] 2 9 12 5" xfId="45467"/>
    <cellStyle name="Input [yellow] 2 9 13" xfId="1376"/>
    <cellStyle name="Input [yellow] 2 9 13 2" xfId="12573"/>
    <cellStyle name="Input [yellow] 2 9 13 3" xfId="23741"/>
    <cellStyle name="Input [yellow] 2 9 13 4" xfId="34906"/>
    <cellStyle name="Input [yellow] 2 9 13 5" xfId="46099"/>
    <cellStyle name="Input [yellow] 2 9 14" xfId="2021"/>
    <cellStyle name="Input [yellow] 2 9 14 2" xfId="13218"/>
    <cellStyle name="Input [yellow] 2 9 14 3" xfId="24386"/>
    <cellStyle name="Input [yellow] 2 9 14 4" xfId="35551"/>
    <cellStyle name="Input [yellow] 2 9 14 5" xfId="46744"/>
    <cellStyle name="Input [yellow] 2 9 15" xfId="2481"/>
    <cellStyle name="Input [yellow] 2 9 15 2" xfId="13678"/>
    <cellStyle name="Input [yellow] 2 9 15 3" xfId="24846"/>
    <cellStyle name="Input [yellow] 2 9 15 4" xfId="36011"/>
    <cellStyle name="Input [yellow] 2 9 15 5" xfId="47204"/>
    <cellStyle name="Input [yellow] 2 9 16" xfId="3079"/>
    <cellStyle name="Input [yellow] 2 9 16 2" xfId="14276"/>
    <cellStyle name="Input [yellow] 2 9 16 3" xfId="25444"/>
    <cellStyle name="Input [yellow] 2 9 16 4" xfId="36609"/>
    <cellStyle name="Input [yellow] 2 9 16 5" xfId="47802"/>
    <cellStyle name="Input [yellow] 2 9 17" xfId="3713"/>
    <cellStyle name="Input [yellow] 2 9 17 2" xfId="14910"/>
    <cellStyle name="Input [yellow] 2 9 17 3" xfId="26078"/>
    <cellStyle name="Input [yellow] 2 9 17 4" xfId="37243"/>
    <cellStyle name="Input [yellow] 2 9 17 5" xfId="48436"/>
    <cellStyle name="Input [yellow] 2 9 18" xfId="4346"/>
    <cellStyle name="Input [yellow] 2 9 18 2" xfId="15543"/>
    <cellStyle name="Input [yellow] 2 9 18 3" xfId="26711"/>
    <cellStyle name="Input [yellow] 2 9 18 4" xfId="37876"/>
    <cellStyle name="Input [yellow] 2 9 18 5" xfId="49069"/>
    <cellStyle name="Input [yellow] 2 9 19" xfId="4978"/>
    <cellStyle name="Input [yellow] 2 9 19 2" xfId="16175"/>
    <cellStyle name="Input [yellow] 2 9 19 3" xfId="27343"/>
    <cellStyle name="Input [yellow] 2 9 19 4" xfId="38508"/>
    <cellStyle name="Input [yellow] 2 9 19 5" xfId="49701"/>
    <cellStyle name="Input [yellow] 2 9 2" xfId="159"/>
    <cellStyle name="Input [yellow] 2 9 2 10" xfId="5883"/>
    <cellStyle name="Input [yellow] 2 9 2 10 2" xfId="17080"/>
    <cellStyle name="Input [yellow] 2 9 2 10 3" xfId="28248"/>
    <cellStyle name="Input [yellow] 2 9 2 10 4" xfId="39413"/>
    <cellStyle name="Input [yellow] 2 9 2 10 5" xfId="50606"/>
    <cellStyle name="Input [yellow] 2 9 2 11" xfId="5638"/>
    <cellStyle name="Input [yellow] 2 9 2 11 2" xfId="16835"/>
    <cellStyle name="Input [yellow] 2 9 2 11 3" xfId="28003"/>
    <cellStyle name="Input [yellow] 2 9 2 11 4" xfId="39168"/>
    <cellStyle name="Input [yellow] 2 9 2 11 5" xfId="50361"/>
    <cellStyle name="Input [yellow] 2 9 2 12" xfId="6728"/>
    <cellStyle name="Input [yellow] 2 9 2 12 2" xfId="17925"/>
    <cellStyle name="Input [yellow] 2 9 2 12 3" xfId="29093"/>
    <cellStyle name="Input [yellow] 2 9 2 12 4" xfId="40258"/>
    <cellStyle name="Input [yellow] 2 9 2 12 5" xfId="51451"/>
    <cellStyle name="Input [yellow] 2 9 2 13" xfId="7362"/>
    <cellStyle name="Input [yellow] 2 9 2 13 2" xfId="18559"/>
    <cellStyle name="Input [yellow] 2 9 2 13 3" xfId="29727"/>
    <cellStyle name="Input [yellow] 2 9 2 13 4" xfId="40892"/>
    <cellStyle name="Input [yellow] 2 9 2 13 5" xfId="52085"/>
    <cellStyle name="Input [yellow] 2 9 2 14" xfId="7996"/>
    <cellStyle name="Input [yellow] 2 9 2 14 2" xfId="19193"/>
    <cellStyle name="Input [yellow] 2 9 2 14 3" xfId="30361"/>
    <cellStyle name="Input [yellow] 2 9 2 14 4" xfId="41526"/>
    <cellStyle name="Input [yellow] 2 9 2 14 5" xfId="52719"/>
    <cellStyle name="Input [yellow] 2 9 2 15" xfId="8627"/>
    <cellStyle name="Input [yellow] 2 9 2 15 2" xfId="19824"/>
    <cellStyle name="Input [yellow] 2 9 2 15 3" xfId="30992"/>
    <cellStyle name="Input [yellow] 2 9 2 15 4" xfId="42157"/>
    <cellStyle name="Input [yellow] 2 9 2 15 5" xfId="53350"/>
    <cellStyle name="Input [yellow] 2 9 2 16" xfId="8835"/>
    <cellStyle name="Input [yellow] 2 9 2 16 2" xfId="20032"/>
    <cellStyle name="Input [yellow] 2 9 2 16 3" xfId="31200"/>
    <cellStyle name="Input [yellow] 2 9 2 16 4" xfId="42365"/>
    <cellStyle name="Input [yellow] 2 9 2 16 5" xfId="53558"/>
    <cellStyle name="Input [yellow] 2 9 2 17" xfId="9680"/>
    <cellStyle name="Input [yellow] 2 9 2 17 2" xfId="20877"/>
    <cellStyle name="Input [yellow] 2 9 2 17 3" xfId="32045"/>
    <cellStyle name="Input [yellow] 2 9 2 17 4" xfId="43210"/>
    <cellStyle name="Input [yellow] 2 9 2 17 5" xfId="54403"/>
    <cellStyle name="Input [yellow] 2 9 2 18" xfId="10551"/>
    <cellStyle name="Input [yellow] 2 9 2 18 2" xfId="21748"/>
    <cellStyle name="Input [yellow] 2 9 2 18 3" xfId="32916"/>
    <cellStyle name="Input [yellow] 2 9 2 18 4" xfId="44081"/>
    <cellStyle name="Input [yellow] 2 9 2 18 5" xfId="55274"/>
    <cellStyle name="Input [yellow] 2 9 2 19" xfId="10712"/>
    <cellStyle name="Input [yellow] 2 9 2 19 2" xfId="21909"/>
    <cellStyle name="Input [yellow] 2 9 2 19 3" xfId="33077"/>
    <cellStyle name="Input [yellow] 2 9 2 19 4" xfId="44242"/>
    <cellStyle name="Input [yellow] 2 9 2 19 5" xfId="55435"/>
    <cellStyle name="Input [yellow] 2 9 2 2" xfId="808"/>
    <cellStyle name="Input [yellow] 2 9 2 2 2" xfId="12005"/>
    <cellStyle name="Input [yellow] 2 9 2 2 3" xfId="23173"/>
    <cellStyle name="Input [yellow] 2 9 2 2 4" xfId="34338"/>
    <cellStyle name="Input [yellow] 2 9 2 2 5" xfId="45531"/>
    <cellStyle name="Input [yellow] 2 9 2 20" xfId="11359"/>
    <cellStyle name="Input [yellow] 2 9 2 21" xfId="22529"/>
    <cellStyle name="Input [yellow] 2 9 2 22" xfId="33696"/>
    <cellStyle name="Input [yellow] 2 9 2 23" xfId="44882"/>
    <cellStyle name="Input [yellow] 2 9 2 3" xfId="1930"/>
    <cellStyle name="Input [yellow] 2 9 2 3 2" xfId="13127"/>
    <cellStyle name="Input [yellow] 2 9 2 3 3" xfId="24295"/>
    <cellStyle name="Input [yellow] 2 9 2 3 4" xfId="35460"/>
    <cellStyle name="Input [yellow] 2 9 2 3 5" xfId="46653"/>
    <cellStyle name="Input [yellow] 2 9 2 4" xfId="2085"/>
    <cellStyle name="Input [yellow] 2 9 2 4 2" xfId="13282"/>
    <cellStyle name="Input [yellow] 2 9 2 4 3" xfId="24450"/>
    <cellStyle name="Input [yellow] 2 9 2 4 4" xfId="35615"/>
    <cellStyle name="Input [yellow] 2 9 2 4 5" xfId="46808"/>
    <cellStyle name="Input [yellow] 2 9 2 5" xfId="2205"/>
    <cellStyle name="Input [yellow] 2 9 2 5 2" xfId="13402"/>
    <cellStyle name="Input [yellow] 2 9 2 5 3" xfId="24570"/>
    <cellStyle name="Input [yellow] 2 9 2 5 4" xfId="35735"/>
    <cellStyle name="Input [yellow] 2 9 2 5 5" xfId="46928"/>
    <cellStyle name="Input [yellow] 2 9 2 6" xfId="3143"/>
    <cellStyle name="Input [yellow] 2 9 2 6 2" xfId="14340"/>
    <cellStyle name="Input [yellow] 2 9 2 6 3" xfId="25508"/>
    <cellStyle name="Input [yellow] 2 9 2 6 4" xfId="36673"/>
    <cellStyle name="Input [yellow] 2 9 2 6 5" xfId="47866"/>
    <cellStyle name="Input [yellow] 2 9 2 7" xfId="3777"/>
    <cellStyle name="Input [yellow] 2 9 2 7 2" xfId="14974"/>
    <cellStyle name="Input [yellow] 2 9 2 7 3" xfId="26142"/>
    <cellStyle name="Input [yellow] 2 9 2 7 4" xfId="37307"/>
    <cellStyle name="Input [yellow] 2 9 2 7 5" xfId="48500"/>
    <cellStyle name="Input [yellow] 2 9 2 8" xfId="4410"/>
    <cellStyle name="Input [yellow] 2 9 2 8 2" xfId="15607"/>
    <cellStyle name="Input [yellow] 2 9 2 8 3" xfId="26775"/>
    <cellStyle name="Input [yellow] 2 9 2 8 4" xfId="37940"/>
    <cellStyle name="Input [yellow] 2 9 2 8 5" xfId="49133"/>
    <cellStyle name="Input [yellow] 2 9 2 9" xfId="5041"/>
    <cellStyle name="Input [yellow] 2 9 2 9 2" xfId="16238"/>
    <cellStyle name="Input [yellow] 2 9 2 9 3" xfId="27406"/>
    <cellStyle name="Input [yellow] 2 9 2 9 4" xfId="38571"/>
    <cellStyle name="Input [yellow] 2 9 2 9 5" xfId="49764"/>
    <cellStyle name="Input [yellow] 2 9 20" xfId="6191"/>
    <cellStyle name="Input [yellow] 2 9 20 2" xfId="17388"/>
    <cellStyle name="Input [yellow] 2 9 20 3" xfId="28556"/>
    <cellStyle name="Input [yellow] 2 9 20 4" xfId="39721"/>
    <cellStyle name="Input [yellow] 2 9 20 5" xfId="50914"/>
    <cellStyle name="Input [yellow] 2 9 21" xfId="5743"/>
    <cellStyle name="Input [yellow] 2 9 21 2" xfId="16940"/>
    <cellStyle name="Input [yellow] 2 9 21 3" xfId="28108"/>
    <cellStyle name="Input [yellow] 2 9 21 4" xfId="39273"/>
    <cellStyle name="Input [yellow] 2 9 21 5" xfId="50466"/>
    <cellStyle name="Input [yellow] 2 9 22" xfId="6665"/>
    <cellStyle name="Input [yellow] 2 9 22 2" xfId="17862"/>
    <cellStyle name="Input [yellow] 2 9 22 3" xfId="29030"/>
    <cellStyle name="Input [yellow] 2 9 22 4" xfId="40195"/>
    <cellStyle name="Input [yellow] 2 9 22 5" xfId="51388"/>
    <cellStyle name="Input [yellow] 2 9 23" xfId="7298"/>
    <cellStyle name="Input [yellow] 2 9 23 2" xfId="18495"/>
    <cellStyle name="Input [yellow] 2 9 23 3" xfId="29663"/>
    <cellStyle name="Input [yellow] 2 9 23 4" xfId="40828"/>
    <cellStyle name="Input [yellow] 2 9 23 5" xfId="52021"/>
    <cellStyle name="Input [yellow] 2 9 24" xfId="7932"/>
    <cellStyle name="Input [yellow] 2 9 24 2" xfId="19129"/>
    <cellStyle name="Input [yellow] 2 9 24 3" xfId="30297"/>
    <cellStyle name="Input [yellow] 2 9 24 4" xfId="41462"/>
    <cellStyle name="Input [yellow] 2 9 24 5" xfId="52655"/>
    <cellStyle name="Input [yellow] 2 9 25" xfId="8564"/>
    <cellStyle name="Input [yellow] 2 9 25 2" xfId="19761"/>
    <cellStyle name="Input [yellow] 2 9 25 3" xfId="30929"/>
    <cellStyle name="Input [yellow] 2 9 25 4" xfId="42094"/>
    <cellStyle name="Input [yellow] 2 9 25 5" xfId="53287"/>
    <cellStyle name="Input [yellow] 2 9 26" xfId="9149"/>
    <cellStyle name="Input [yellow] 2 9 26 2" xfId="20346"/>
    <cellStyle name="Input [yellow] 2 9 26 3" xfId="31514"/>
    <cellStyle name="Input [yellow] 2 9 26 4" xfId="42679"/>
    <cellStyle name="Input [yellow] 2 9 26 5" xfId="53872"/>
    <cellStyle name="Input [yellow] 2 9 27" xfId="9617"/>
    <cellStyle name="Input [yellow] 2 9 27 2" xfId="20814"/>
    <cellStyle name="Input [yellow] 2 9 27 3" xfId="31982"/>
    <cellStyle name="Input [yellow] 2 9 27 4" xfId="43147"/>
    <cellStyle name="Input [yellow] 2 9 27 5" xfId="54340"/>
    <cellStyle name="Input [yellow] 2 9 28" xfId="10376"/>
    <cellStyle name="Input [yellow] 2 9 28 2" xfId="21573"/>
    <cellStyle name="Input [yellow] 2 9 28 3" xfId="32741"/>
    <cellStyle name="Input [yellow] 2 9 28 4" xfId="43906"/>
    <cellStyle name="Input [yellow] 2 9 28 5" xfId="55099"/>
    <cellStyle name="Input [yellow] 2 9 29" xfId="10649"/>
    <cellStyle name="Input [yellow] 2 9 29 2" xfId="21846"/>
    <cellStyle name="Input [yellow] 2 9 29 3" xfId="33014"/>
    <cellStyle name="Input [yellow] 2 9 29 4" xfId="44179"/>
    <cellStyle name="Input [yellow] 2 9 29 5" xfId="55372"/>
    <cellStyle name="Input [yellow] 2 9 3" xfId="215"/>
    <cellStyle name="Input [yellow] 2 9 3 10" xfId="6108"/>
    <cellStyle name="Input [yellow] 2 9 3 10 2" xfId="17305"/>
    <cellStyle name="Input [yellow] 2 9 3 10 3" xfId="28473"/>
    <cellStyle name="Input [yellow] 2 9 3 10 4" xfId="39638"/>
    <cellStyle name="Input [yellow] 2 9 3 10 5" xfId="50831"/>
    <cellStyle name="Input [yellow] 2 9 3 11" xfId="5641"/>
    <cellStyle name="Input [yellow] 2 9 3 11 2" xfId="16838"/>
    <cellStyle name="Input [yellow] 2 9 3 11 3" xfId="28006"/>
    <cellStyle name="Input [yellow] 2 9 3 11 4" xfId="39171"/>
    <cellStyle name="Input [yellow] 2 9 3 11 5" xfId="50364"/>
    <cellStyle name="Input [yellow] 2 9 3 12" xfId="6784"/>
    <cellStyle name="Input [yellow] 2 9 3 12 2" xfId="17981"/>
    <cellStyle name="Input [yellow] 2 9 3 12 3" xfId="29149"/>
    <cellStyle name="Input [yellow] 2 9 3 12 4" xfId="40314"/>
    <cellStyle name="Input [yellow] 2 9 3 12 5" xfId="51507"/>
    <cellStyle name="Input [yellow] 2 9 3 13" xfId="7418"/>
    <cellStyle name="Input [yellow] 2 9 3 13 2" xfId="18615"/>
    <cellStyle name="Input [yellow] 2 9 3 13 3" xfId="29783"/>
    <cellStyle name="Input [yellow] 2 9 3 13 4" xfId="40948"/>
    <cellStyle name="Input [yellow] 2 9 3 13 5" xfId="52141"/>
    <cellStyle name="Input [yellow] 2 9 3 14" xfId="8052"/>
    <cellStyle name="Input [yellow] 2 9 3 14 2" xfId="19249"/>
    <cellStyle name="Input [yellow] 2 9 3 14 3" xfId="30417"/>
    <cellStyle name="Input [yellow] 2 9 3 14 4" xfId="41582"/>
    <cellStyle name="Input [yellow] 2 9 3 14 5" xfId="52775"/>
    <cellStyle name="Input [yellow] 2 9 3 15" xfId="8683"/>
    <cellStyle name="Input [yellow] 2 9 3 15 2" xfId="19880"/>
    <cellStyle name="Input [yellow] 2 9 3 15 3" xfId="31048"/>
    <cellStyle name="Input [yellow] 2 9 3 15 4" xfId="42213"/>
    <cellStyle name="Input [yellow] 2 9 3 15 5" xfId="53406"/>
    <cellStyle name="Input [yellow] 2 9 3 16" xfId="8703"/>
    <cellStyle name="Input [yellow] 2 9 3 16 2" xfId="19900"/>
    <cellStyle name="Input [yellow] 2 9 3 16 3" xfId="31068"/>
    <cellStyle name="Input [yellow] 2 9 3 16 4" xfId="42233"/>
    <cellStyle name="Input [yellow] 2 9 3 16 5" xfId="53426"/>
    <cellStyle name="Input [yellow] 2 9 3 17" xfId="9734"/>
    <cellStyle name="Input [yellow] 2 9 3 17 2" xfId="20931"/>
    <cellStyle name="Input [yellow] 2 9 3 17 3" xfId="32099"/>
    <cellStyle name="Input [yellow] 2 9 3 17 4" xfId="43264"/>
    <cellStyle name="Input [yellow] 2 9 3 17 5" xfId="54457"/>
    <cellStyle name="Input [yellow] 2 9 3 18" xfId="10526"/>
    <cellStyle name="Input [yellow] 2 9 3 18 2" xfId="21723"/>
    <cellStyle name="Input [yellow] 2 9 3 18 3" xfId="32891"/>
    <cellStyle name="Input [yellow] 2 9 3 18 4" xfId="44056"/>
    <cellStyle name="Input [yellow] 2 9 3 18 5" xfId="55249"/>
    <cellStyle name="Input [yellow] 2 9 3 19" xfId="10768"/>
    <cellStyle name="Input [yellow] 2 9 3 19 2" xfId="21965"/>
    <cellStyle name="Input [yellow] 2 9 3 19 3" xfId="33133"/>
    <cellStyle name="Input [yellow] 2 9 3 19 4" xfId="44298"/>
    <cellStyle name="Input [yellow] 2 9 3 19 5" xfId="55491"/>
    <cellStyle name="Input [yellow] 2 9 3 2" xfId="864"/>
    <cellStyle name="Input [yellow] 2 9 3 2 2" xfId="12061"/>
    <cellStyle name="Input [yellow] 2 9 3 2 3" xfId="23229"/>
    <cellStyle name="Input [yellow] 2 9 3 2 4" xfId="34394"/>
    <cellStyle name="Input [yellow] 2 9 3 2 5" xfId="45587"/>
    <cellStyle name="Input [yellow] 2 9 3 20" xfId="11415"/>
    <cellStyle name="Input [yellow] 2 9 3 21" xfId="22585"/>
    <cellStyle name="Input [yellow] 2 9 3 22" xfId="33752"/>
    <cellStyle name="Input [yellow] 2 9 3 23" xfId="44938"/>
    <cellStyle name="Input [yellow] 2 9 3 3" xfId="1400"/>
    <cellStyle name="Input [yellow] 2 9 3 3 2" xfId="12597"/>
    <cellStyle name="Input [yellow] 2 9 3 3 3" xfId="23765"/>
    <cellStyle name="Input [yellow] 2 9 3 3 4" xfId="34930"/>
    <cellStyle name="Input [yellow] 2 9 3 3 5" xfId="46123"/>
    <cellStyle name="Input [yellow] 2 9 3 4" xfId="2141"/>
    <cellStyle name="Input [yellow] 2 9 3 4 2" xfId="13338"/>
    <cellStyle name="Input [yellow] 2 9 3 4 3" xfId="24506"/>
    <cellStyle name="Input [yellow] 2 9 3 4 4" xfId="35671"/>
    <cellStyle name="Input [yellow] 2 9 3 4 5" xfId="46864"/>
    <cellStyle name="Input [yellow] 2 9 3 5" xfId="2466"/>
    <cellStyle name="Input [yellow] 2 9 3 5 2" xfId="13663"/>
    <cellStyle name="Input [yellow] 2 9 3 5 3" xfId="24831"/>
    <cellStyle name="Input [yellow] 2 9 3 5 4" xfId="35996"/>
    <cellStyle name="Input [yellow] 2 9 3 5 5" xfId="47189"/>
    <cellStyle name="Input [yellow] 2 9 3 6" xfId="3199"/>
    <cellStyle name="Input [yellow] 2 9 3 6 2" xfId="14396"/>
    <cellStyle name="Input [yellow] 2 9 3 6 3" xfId="25564"/>
    <cellStyle name="Input [yellow] 2 9 3 6 4" xfId="36729"/>
    <cellStyle name="Input [yellow] 2 9 3 6 5" xfId="47922"/>
    <cellStyle name="Input [yellow] 2 9 3 7" xfId="3833"/>
    <cellStyle name="Input [yellow] 2 9 3 7 2" xfId="15030"/>
    <cellStyle name="Input [yellow] 2 9 3 7 3" xfId="26198"/>
    <cellStyle name="Input [yellow] 2 9 3 7 4" xfId="37363"/>
    <cellStyle name="Input [yellow] 2 9 3 7 5" xfId="48556"/>
    <cellStyle name="Input [yellow] 2 9 3 8" xfId="4466"/>
    <cellStyle name="Input [yellow] 2 9 3 8 2" xfId="15663"/>
    <cellStyle name="Input [yellow] 2 9 3 8 3" xfId="26831"/>
    <cellStyle name="Input [yellow] 2 9 3 8 4" xfId="37996"/>
    <cellStyle name="Input [yellow] 2 9 3 8 5" xfId="49189"/>
    <cellStyle name="Input [yellow] 2 9 3 9" xfId="5097"/>
    <cellStyle name="Input [yellow] 2 9 3 9 2" xfId="16294"/>
    <cellStyle name="Input [yellow] 2 9 3 9 3" xfId="27462"/>
    <cellStyle name="Input [yellow] 2 9 3 9 4" xfId="38627"/>
    <cellStyle name="Input [yellow] 2 9 3 9 5" xfId="49820"/>
    <cellStyle name="Input [yellow] 2 9 30" xfId="11296"/>
    <cellStyle name="Input [yellow] 2 9 31" xfId="22466"/>
    <cellStyle name="Input [yellow] 2 9 32" xfId="33633"/>
    <cellStyle name="Input [yellow] 2 9 33" xfId="44818"/>
    <cellStyle name="Input [yellow] 2 9 4" xfId="267"/>
    <cellStyle name="Input [yellow] 2 9 4 10" xfId="5747"/>
    <cellStyle name="Input [yellow] 2 9 4 10 2" xfId="16944"/>
    <cellStyle name="Input [yellow] 2 9 4 10 3" xfId="28112"/>
    <cellStyle name="Input [yellow] 2 9 4 10 4" xfId="39277"/>
    <cellStyle name="Input [yellow] 2 9 4 10 5" xfId="50470"/>
    <cellStyle name="Input [yellow] 2 9 4 11" xfId="5777"/>
    <cellStyle name="Input [yellow] 2 9 4 11 2" xfId="16974"/>
    <cellStyle name="Input [yellow] 2 9 4 11 3" xfId="28142"/>
    <cellStyle name="Input [yellow] 2 9 4 11 4" xfId="39307"/>
    <cellStyle name="Input [yellow] 2 9 4 11 5" xfId="50500"/>
    <cellStyle name="Input [yellow] 2 9 4 12" xfId="6836"/>
    <cellStyle name="Input [yellow] 2 9 4 12 2" xfId="18033"/>
    <cellStyle name="Input [yellow] 2 9 4 12 3" xfId="29201"/>
    <cellStyle name="Input [yellow] 2 9 4 12 4" xfId="40366"/>
    <cellStyle name="Input [yellow] 2 9 4 12 5" xfId="51559"/>
    <cellStyle name="Input [yellow] 2 9 4 13" xfId="7470"/>
    <cellStyle name="Input [yellow] 2 9 4 13 2" xfId="18667"/>
    <cellStyle name="Input [yellow] 2 9 4 13 3" xfId="29835"/>
    <cellStyle name="Input [yellow] 2 9 4 13 4" xfId="41000"/>
    <cellStyle name="Input [yellow] 2 9 4 13 5" xfId="52193"/>
    <cellStyle name="Input [yellow] 2 9 4 14" xfId="8104"/>
    <cellStyle name="Input [yellow] 2 9 4 14 2" xfId="19301"/>
    <cellStyle name="Input [yellow] 2 9 4 14 3" xfId="30469"/>
    <cellStyle name="Input [yellow] 2 9 4 14 4" xfId="41634"/>
    <cellStyle name="Input [yellow] 2 9 4 14 5" xfId="52827"/>
    <cellStyle name="Input [yellow] 2 9 4 15" xfId="8734"/>
    <cellStyle name="Input [yellow] 2 9 4 15 2" xfId="19931"/>
    <cellStyle name="Input [yellow] 2 9 4 15 3" xfId="31099"/>
    <cellStyle name="Input [yellow] 2 9 4 15 4" xfId="42264"/>
    <cellStyle name="Input [yellow] 2 9 4 15 5" xfId="53457"/>
    <cellStyle name="Input [yellow] 2 9 4 16" xfId="7905"/>
    <cellStyle name="Input [yellow] 2 9 4 16 2" xfId="19102"/>
    <cellStyle name="Input [yellow] 2 9 4 16 3" xfId="30270"/>
    <cellStyle name="Input [yellow] 2 9 4 16 4" xfId="41435"/>
    <cellStyle name="Input [yellow] 2 9 4 16 5" xfId="52628"/>
    <cellStyle name="Input [yellow] 2 9 4 17" xfId="9784"/>
    <cellStyle name="Input [yellow] 2 9 4 17 2" xfId="20981"/>
    <cellStyle name="Input [yellow] 2 9 4 17 3" xfId="32149"/>
    <cellStyle name="Input [yellow] 2 9 4 17 4" xfId="43314"/>
    <cellStyle name="Input [yellow] 2 9 4 17 5" xfId="54507"/>
    <cellStyle name="Input [yellow] 2 9 4 18" xfId="10041"/>
    <cellStyle name="Input [yellow] 2 9 4 18 2" xfId="21238"/>
    <cellStyle name="Input [yellow] 2 9 4 18 3" xfId="32406"/>
    <cellStyle name="Input [yellow] 2 9 4 18 4" xfId="43571"/>
    <cellStyle name="Input [yellow] 2 9 4 18 5" xfId="54764"/>
    <cellStyle name="Input [yellow] 2 9 4 19" xfId="10820"/>
    <cellStyle name="Input [yellow] 2 9 4 19 2" xfId="22017"/>
    <cellStyle name="Input [yellow] 2 9 4 19 3" xfId="33185"/>
    <cellStyle name="Input [yellow] 2 9 4 19 4" xfId="44350"/>
    <cellStyle name="Input [yellow] 2 9 4 19 5" xfId="55543"/>
    <cellStyle name="Input [yellow] 2 9 4 2" xfId="916"/>
    <cellStyle name="Input [yellow] 2 9 4 2 2" xfId="12113"/>
    <cellStyle name="Input [yellow] 2 9 4 2 3" xfId="23281"/>
    <cellStyle name="Input [yellow] 2 9 4 2 4" xfId="34446"/>
    <cellStyle name="Input [yellow] 2 9 4 2 5" xfId="45639"/>
    <cellStyle name="Input [yellow] 2 9 4 20" xfId="11467"/>
    <cellStyle name="Input [yellow] 2 9 4 21" xfId="22637"/>
    <cellStyle name="Input [yellow] 2 9 4 22" xfId="33804"/>
    <cellStyle name="Input [yellow] 2 9 4 23" xfId="44990"/>
    <cellStyle name="Input [yellow] 2 9 4 3" xfId="1499"/>
    <cellStyle name="Input [yellow] 2 9 4 3 2" xfId="12696"/>
    <cellStyle name="Input [yellow] 2 9 4 3 3" xfId="23864"/>
    <cellStyle name="Input [yellow] 2 9 4 3 4" xfId="35029"/>
    <cellStyle name="Input [yellow] 2 9 4 3 5" xfId="46222"/>
    <cellStyle name="Input [yellow] 2 9 4 4" xfId="2193"/>
    <cellStyle name="Input [yellow] 2 9 4 4 2" xfId="13390"/>
    <cellStyle name="Input [yellow] 2 9 4 4 3" xfId="24558"/>
    <cellStyle name="Input [yellow] 2 9 4 4 4" xfId="35723"/>
    <cellStyle name="Input [yellow] 2 9 4 4 5" xfId="46916"/>
    <cellStyle name="Input [yellow] 2 9 4 5" xfId="2617"/>
    <cellStyle name="Input [yellow] 2 9 4 5 2" xfId="13814"/>
    <cellStyle name="Input [yellow] 2 9 4 5 3" xfId="24982"/>
    <cellStyle name="Input [yellow] 2 9 4 5 4" xfId="36147"/>
    <cellStyle name="Input [yellow] 2 9 4 5 5" xfId="47340"/>
    <cellStyle name="Input [yellow] 2 9 4 6" xfId="3251"/>
    <cellStyle name="Input [yellow] 2 9 4 6 2" xfId="14448"/>
    <cellStyle name="Input [yellow] 2 9 4 6 3" xfId="25616"/>
    <cellStyle name="Input [yellow] 2 9 4 6 4" xfId="36781"/>
    <cellStyle name="Input [yellow] 2 9 4 6 5" xfId="47974"/>
    <cellStyle name="Input [yellow] 2 9 4 7" xfId="3885"/>
    <cellStyle name="Input [yellow] 2 9 4 7 2" xfId="15082"/>
    <cellStyle name="Input [yellow] 2 9 4 7 3" xfId="26250"/>
    <cellStyle name="Input [yellow] 2 9 4 7 4" xfId="37415"/>
    <cellStyle name="Input [yellow] 2 9 4 7 5" xfId="48608"/>
    <cellStyle name="Input [yellow] 2 9 4 8" xfId="4518"/>
    <cellStyle name="Input [yellow] 2 9 4 8 2" xfId="15715"/>
    <cellStyle name="Input [yellow] 2 9 4 8 3" xfId="26883"/>
    <cellStyle name="Input [yellow] 2 9 4 8 4" xfId="38048"/>
    <cellStyle name="Input [yellow] 2 9 4 8 5" xfId="49241"/>
    <cellStyle name="Input [yellow] 2 9 4 9" xfId="5149"/>
    <cellStyle name="Input [yellow] 2 9 4 9 2" xfId="16346"/>
    <cellStyle name="Input [yellow] 2 9 4 9 3" xfId="27514"/>
    <cellStyle name="Input [yellow] 2 9 4 9 4" xfId="38679"/>
    <cellStyle name="Input [yellow] 2 9 4 9 5" xfId="49872"/>
    <cellStyle name="Input [yellow] 2 9 5" xfId="353"/>
    <cellStyle name="Input [yellow] 2 9 5 10" xfId="4317"/>
    <cellStyle name="Input [yellow] 2 9 5 10 2" xfId="15514"/>
    <cellStyle name="Input [yellow] 2 9 5 10 3" xfId="26682"/>
    <cellStyle name="Input [yellow] 2 9 5 10 4" xfId="37847"/>
    <cellStyle name="Input [yellow] 2 9 5 10 5" xfId="49040"/>
    <cellStyle name="Input [yellow] 2 9 5 11" xfId="6289"/>
    <cellStyle name="Input [yellow] 2 9 5 11 2" xfId="17486"/>
    <cellStyle name="Input [yellow] 2 9 5 11 3" xfId="28654"/>
    <cellStyle name="Input [yellow] 2 9 5 11 4" xfId="39819"/>
    <cellStyle name="Input [yellow] 2 9 5 11 5" xfId="51012"/>
    <cellStyle name="Input [yellow] 2 9 5 12" xfId="6922"/>
    <cellStyle name="Input [yellow] 2 9 5 12 2" xfId="18119"/>
    <cellStyle name="Input [yellow] 2 9 5 12 3" xfId="29287"/>
    <cellStyle name="Input [yellow] 2 9 5 12 4" xfId="40452"/>
    <cellStyle name="Input [yellow] 2 9 5 12 5" xfId="51645"/>
    <cellStyle name="Input [yellow] 2 9 5 13" xfId="7556"/>
    <cellStyle name="Input [yellow] 2 9 5 13 2" xfId="18753"/>
    <cellStyle name="Input [yellow] 2 9 5 13 3" xfId="29921"/>
    <cellStyle name="Input [yellow] 2 9 5 13 4" xfId="41086"/>
    <cellStyle name="Input [yellow] 2 9 5 13 5" xfId="52279"/>
    <cellStyle name="Input [yellow] 2 9 5 14" xfId="8190"/>
    <cellStyle name="Input [yellow] 2 9 5 14 2" xfId="19387"/>
    <cellStyle name="Input [yellow] 2 9 5 14 3" xfId="30555"/>
    <cellStyle name="Input [yellow] 2 9 5 14 4" xfId="41720"/>
    <cellStyle name="Input [yellow] 2 9 5 14 5" xfId="52913"/>
    <cellStyle name="Input [yellow] 2 9 5 15" xfId="8819"/>
    <cellStyle name="Input [yellow] 2 9 5 15 2" xfId="20016"/>
    <cellStyle name="Input [yellow] 2 9 5 15 3" xfId="31184"/>
    <cellStyle name="Input [yellow] 2 9 5 15 4" xfId="42349"/>
    <cellStyle name="Input [yellow] 2 9 5 15 5" xfId="53542"/>
    <cellStyle name="Input [yellow] 2 9 5 16" xfId="9241"/>
    <cellStyle name="Input [yellow] 2 9 5 16 2" xfId="20438"/>
    <cellStyle name="Input [yellow] 2 9 5 16 3" xfId="31606"/>
    <cellStyle name="Input [yellow] 2 9 5 16 4" xfId="42771"/>
    <cellStyle name="Input [yellow] 2 9 5 16 5" xfId="53964"/>
    <cellStyle name="Input [yellow] 2 9 5 17" xfId="9868"/>
    <cellStyle name="Input [yellow] 2 9 5 17 2" xfId="21065"/>
    <cellStyle name="Input [yellow] 2 9 5 17 3" xfId="32233"/>
    <cellStyle name="Input [yellow] 2 9 5 17 4" xfId="43398"/>
    <cellStyle name="Input [yellow] 2 9 5 17 5" xfId="54591"/>
    <cellStyle name="Input [yellow] 2 9 5 18" xfId="10402"/>
    <cellStyle name="Input [yellow] 2 9 5 18 2" xfId="21599"/>
    <cellStyle name="Input [yellow] 2 9 5 18 3" xfId="32767"/>
    <cellStyle name="Input [yellow] 2 9 5 18 4" xfId="43932"/>
    <cellStyle name="Input [yellow] 2 9 5 18 5" xfId="55125"/>
    <cellStyle name="Input [yellow] 2 9 5 19" xfId="10906"/>
    <cellStyle name="Input [yellow] 2 9 5 19 2" xfId="22103"/>
    <cellStyle name="Input [yellow] 2 9 5 19 3" xfId="33271"/>
    <cellStyle name="Input [yellow] 2 9 5 19 4" xfId="44436"/>
    <cellStyle name="Input [yellow] 2 9 5 19 5" xfId="55629"/>
    <cellStyle name="Input [yellow] 2 9 5 2" xfId="1002"/>
    <cellStyle name="Input [yellow] 2 9 5 2 2" xfId="12199"/>
    <cellStyle name="Input [yellow] 2 9 5 2 3" xfId="23367"/>
    <cellStyle name="Input [yellow] 2 9 5 2 4" xfId="34532"/>
    <cellStyle name="Input [yellow] 2 9 5 2 5" xfId="45725"/>
    <cellStyle name="Input [yellow] 2 9 5 20" xfId="11553"/>
    <cellStyle name="Input [yellow] 2 9 5 21" xfId="22723"/>
    <cellStyle name="Input [yellow] 2 9 5 22" xfId="33890"/>
    <cellStyle name="Input [yellow] 2 9 5 23" xfId="45076"/>
    <cellStyle name="Input [yellow] 2 9 5 3" xfId="1599"/>
    <cellStyle name="Input [yellow] 2 9 5 3 2" xfId="12796"/>
    <cellStyle name="Input [yellow] 2 9 5 3 3" xfId="23964"/>
    <cellStyle name="Input [yellow] 2 9 5 3 4" xfId="35129"/>
    <cellStyle name="Input [yellow] 2 9 5 3 5" xfId="46322"/>
    <cellStyle name="Input [yellow] 2 9 5 4" xfId="2278"/>
    <cellStyle name="Input [yellow] 2 9 5 4 2" xfId="13475"/>
    <cellStyle name="Input [yellow] 2 9 5 4 3" xfId="24643"/>
    <cellStyle name="Input [yellow] 2 9 5 4 4" xfId="35808"/>
    <cellStyle name="Input [yellow] 2 9 5 4 5" xfId="47001"/>
    <cellStyle name="Input [yellow] 2 9 5 5" xfId="2703"/>
    <cellStyle name="Input [yellow] 2 9 5 5 2" xfId="13900"/>
    <cellStyle name="Input [yellow] 2 9 5 5 3" xfId="25068"/>
    <cellStyle name="Input [yellow] 2 9 5 5 4" xfId="36233"/>
    <cellStyle name="Input [yellow] 2 9 5 5 5" xfId="47426"/>
    <cellStyle name="Input [yellow] 2 9 5 6" xfId="3337"/>
    <cellStyle name="Input [yellow] 2 9 5 6 2" xfId="14534"/>
    <cellStyle name="Input [yellow] 2 9 5 6 3" xfId="25702"/>
    <cellStyle name="Input [yellow] 2 9 5 6 4" xfId="36867"/>
    <cellStyle name="Input [yellow] 2 9 5 6 5" xfId="48060"/>
    <cellStyle name="Input [yellow] 2 9 5 7" xfId="3971"/>
    <cellStyle name="Input [yellow] 2 9 5 7 2" xfId="15168"/>
    <cellStyle name="Input [yellow] 2 9 5 7 3" xfId="26336"/>
    <cellStyle name="Input [yellow] 2 9 5 7 4" xfId="37501"/>
    <cellStyle name="Input [yellow] 2 9 5 7 5" xfId="48694"/>
    <cellStyle name="Input [yellow] 2 9 5 8" xfId="4604"/>
    <cellStyle name="Input [yellow] 2 9 5 8 2" xfId="15801"/>
    <cellStyle name="Input [yellow] 2 9 5 8 3" xfId="26969"/>
    <cellStyle name="Input [yellow] 2 9 5 8 4" xfId="38134"/>
    <cellStyle name="Input [yellow] 2 9 5 8 5" xfId="49327"/>
    <cellStyle name="Input [yellow] 2 9 5 9" xfId="5235"/>
    <cellStyle name="Input [yellow] 2 9 5 9 2" xfId="16432"/>
    <cellStyle name="Input [yellow] 2 9 5 9 3" xfId="27600"/>
    <cellStyle name="Input [yellow] 2 9 5 9 4" xfId="38765"/>
    <cellStyle name="Input [yellow] 2 9 5 9 5" xfId="49958"/>
    <cellStyle name="Input [yellow] 2 9 6" xfId="374"/>
    <cellStyle name="Input [yellow] 2 9 6 10" xfId="5901"/>
    <cellStyle name="Input [yellow] 2 9 6 10 2" xfId="17098"/>
    <cellStyle name="Input [yellow] 2 9 6 10 3" xfId="28266"/>
    <cellStyle name="Input [yellow] 2 9 6 10 4" xfId="39431"/>
    <cellStyle name="Input [yellow] 2 9 6 10 5" xfId="50624"/>
    <cellStyle name="Input [yellow] 2 9 6 11" xfId="6310"/>
    <cellStyle name="Input [yellow] 2 9 6 11 2" xfId="17507"/>
    <cellStyle name="Input [yellow] 2 9 6 11 3" xfId="28675"/>
    <cellStyle name="Input [yellow] 2 9 6 11 4" xfId="39840"/>
    <cellStyle name="Input [yellow] 2 9 6 11 5" xfId="51033"/>
    <cellStyle name="Input [yellow] 2 9 6 12" xfId="6943"/>
    <cellStyle name="Input [yellow] 2 9 6 12 2" xfId="18140"/>
    <cellStyle name="Input [yellow] 2 9 6 12 3" xfId="29308"/>
    <cellStyle name="Input [yellow] 2 9 6 12 4" xfId="40473"/>
    <cellStyle name="Input [yellow] 2 9 6 12 5" xfId="51666"/>
    <cellStyle name="Input [yellow] 2 9 6 13" xfId="7577"/>
    <cellStyle name="Input [yellow] 2 9 6 13 2" xfId="18774"/>
    <cellStyle name="Input [yellow] 2 9 6 13 3" xfId="29942"/>
    <cellStyle name="Input [yellow] 2 9 6 13 4" xfId="41107"/>
    <cellStyle name="Input [yellow] 2 9 6 13 5" xfId="52300"/>
    <cellStyle name="Input [yellow] 2 9 6 14" xfId="8211"/>
    <cellStyle name="Input [yellow] 2 9 6 14 2" xfId="19408"/>
    <cellStyle name="Input [yellow] 2 9 6 14 3" xfId="30576"/>
    <cellStyle name="Input [yellow] 2 9 6 14 4" xfId="41741"/>
    <cellStyle name="Input [yellow] 2 9 6 14 5" xfId="52934"/>
    <cellStyle name="Input [yellow] 2 9 6 15" xfId="8840"/>
    <cellStyle name="Input [yellow] 2 9 6 15 2" xfId="20037"/>
    <cellStyle name="Input [yellow] 2 9 6 15 3" xfId="31205"/>
    <cellStyle name="Input [yellow] 2 9 6 15 4" xfId="42370"/>
    <cellStyle name="Input [yellow] 2 9 6 15 5" xfId="53563"/>
    <cellStyle name="Input [yellow] 2 9 6 16" xfId="9262"/>
    <cellStyle name="Input [yellow] 2 9 6 16 2" xfId="20459"/>
    <cellStyle name="Input [yellow] 2 9 6 16 3" xfId="31627"/>
    <cellStyle name="Input [yellow] 2 9 6 16 4" xfId="42792"/>
    <cellStyle name="Input [yellow] 2 9 6 16 5" xfId="53985"/>
    <cellStyle name="Input [yellow] 2 9 6 17" xfId="9889"/>
    <cellStyle name="Input [yellow] 2 9 6 17 2" xfId="21086"/>
    <cellStyle name="Input [yellow] 2 9 6 17 3" xfId="32254"/>
    <cellStyle name="Input [yellow] 2 9 6 17 4" xfId="43419"/>
    <cellStyle name="Input [yellow] 2 9 6 17 5" xfId="54612"/>
    <cellStyle name="Input [yellow] 2 9 6 18" xfId="10462"/>
    <cellStyle name="Input [yellow] 2 9 6 18 2" xfId="21659"/>
    <cellStyle name="Input [yellow] 2 9 6 18 3" xfId="32827"/>
    <cellStyle name="Input [yellow] 2 9 6 18 4" xfId="43992"/>
    <cellStyle name="Input [yellow] 2 9 6 18 5" xfId="55185"/>
    <cellStyle name="Input [yellow] 2 9 6 19" xfId="10927"/>
    <cellStyle name="Input [yellow] 2 9 6 19 2" xfId="22124"/>
    <cellStyle name="Input [yellow] 2 9 6 19 3" xfId="33292"/>
    <cellStyle name="Input [yellow] 2 9 6 19 4" xfId="44457"/>
    <cellStyle name="Input [yellow] 2 9 6 19 5" xfId="55650"/>
    <cellStyle name="Input [yellow] 2 9 6 2" xfId="1023"/>
    <cellStyle name="Input [yellow] 2 9 6 2 2" xfId="12220"/>
    <cellStyle name="Input [yellow] 2 9 6 2 3" xfId="23388"/>
    <cellStyle name="Input [yellow] 2 9 6 2 4" xfId="34553"/>
    <cellStyle name="Input [yellow] 2 9 6 2 5" xfId="45746"/>
    <cellStyle name="Input [yellow] 2 9 6 20" xfId="11574"/>
    <cellStyle name="Input [yellow] 2 9 6 21" xfId="22744"/>
    <cellStyle name="Input [yellow] 2 9 6 22" xfId="33911"/>
    <cellStyle name="Input [yellow] 2 9 6 23" xfId="45097"/>
    <cellStyle name="Input [yellow] 2 9 6 3" xfId="1718"/>
    <cellStyle name="Input [yellow] 2 9 6 3 2" xfId="12915"/>
    <cellStyle name="Input [yellow] 2 9 6 3 3" xfId="24083"/>
    <cellStyle name="Input [yellow] 2 9 6 3 4" xfId="35248"/>
    <cellStyle name="Input [yellow] 2 9 6 3 5" xfId="46441"/>
    <cellStyle name="Input [yellow] 2 9 6 4" xfId="2299"/>
    <cellStyle name="Input [yellow] 2 9 6 4 2" xfId="13496"/>
    <cellStyle name="Input [yellow] 2 9 6 4 3" xfId="24664"/>
    <cellStyle name="Input [yellow] 2 9 6 4 4" xfId="35829"/>
    <cellStyle name="Input [yellow] 2 9 6 4 5" xfId="47022"/>
    <cellStyle name="Input [yellow] 2 9 6 5" xfId="2724"/>
    <cellStyle name="Input [yellow] 2 9 6 5 2" xfId="13921"/>
    <cellStyle name="Input [yellow] 2 9 6 5 3" xfId="25089"/>
    <cellStyle name="Input [yellow] 2 9 6 5 4" xfId="36254"/>
    <cellStyle name="Input [yellow] 2 9 6 5 5" xfId="47447"/>
    <cellStyle name="Input [yellow] 2 9 6 6" xfId="3358"/>
    <cellStyle name="Input [yellow] 2 9 6 6 2" xfId="14555"/>
    <cellStyle name="Input [yellow] 2 9 6 6 3" xfId="25723"/>
    <cellStyle name="Input [yellow] 2 9 6 6 4" xfId="36888"/>
    <cellStyle name="Input [yellow] 2 9 6 6 5" xfId="48081"/>
    <cellStyle name="Input [yellow] 2 9 6 7" xfId="3992"/>
    <cellStyle name="Input [yellow] 2 9 6 7 2" xfId="15189"/>
    <cellStyle name="Input [yellow] 2 9 6 7 3" xfId="26357"/>
    <cellStyle name="Input [yellow] 2 9 6 7 4" xfId="37522"/>
    <cellStyle name="Input [yellow] 2 9 6 7 5" xfId="48715"/>
    <cellStyle name="Input [yellow] 2 9 6 8" xfId="4625"/>
    <cellStyle name="Input [yellow] 2 9 6 8 2" xfId="15822"/>
    <cellStyle name="Input [yellow] 2 9 6 8 3" xfId="26990"/>
    <cellStyle name="Input [yellow] 2 9 6 8 4" xfId="38155"/>
    <cellStyle name="Input [yellow] 2 9 6 8 5" xfId="49348"/>
    <cellStyle name="Input [yellow] 2 9 6 9" xfId="5256"/>
    <cellStyle name="Input [yellow] 2 9 6 9 2" xfId="16453"/>
    <cellStyle name="Input [yellow] 2 9 6 9 3" xfId="27621"/>
    <cellStyle name="Input [yellow] 2 9 6 9 4" xfId="38786"/>
    <cellStyle name="Input [yellow] 2 9 6 9 5" xfId="49979"/>
    <cellStyle name="Input [yellow] 2 9 7" xfId="477"/>
    <cellStyle name="Input [yellow] 2 9 7 10" xfId="5968"/>
    <cellStyle name="Input [yellow] 2 9 7 10 2" xfId="17165"/>
    <cellStyle name="Input [yellow] 2 9 7 10 3" xfId="28333"/>
    <cellStyle name="Input [yellow] 2 9 7 10 4" xfId="39498"/>
    <cellStyle name="Input [yellow] 2 9 7 10 5" xfId="50691"/>
    <cellStyle name="Input [yellow] 2 9 7 11" xfId="6413"/>
    <cellStyle name="Input [yellow] 2 9 7 11 2" xfId="17610"/>
    <cellStyle name="Input [yellow] 2 9 7 11 3" xfId="28778"/>
    <cellStyle name="Input [yellow] 2 9 7 11 4" xfId="39943"/>
    <cellStyle name="Input [yellow] 2 9 7 11 5" xfId="51136"/>
    <cellStyle name="Input [yellow] 2 9 7 12" xfId="7046"/>
    <cellStyle name="Input [yellow] 2 9 7 12 2" xfId="18243"/>
    <cellStyle name="Input [yellow] 2 9 7 12 3" xfId="29411"/>
    <cellStyle name="Input [yellow] 2 9 7 12 4" xfId="40576"/>
    <cellStyle name="Input [yellow] 2 9 7 12 5" xfId="51769"/>
    <cellStyle name="Input [yellow] 2 9 7 13" xfId="7680"/>
    <cellStyle name="Input [yellow] 2 9 7 13 2" xfId="18877"/>
    <cellStyle name="Input [yellow] 2 9 7 13 3" xfId="30045"/>
    <cellStyle name="Input [yellow] 2 9 7 13 4" xfId="41210"/>
    <cellStyle name="Input [yellow] 2 9 7 13 5" xfId="52403"/>
    <cellStyle name="Input [yellow] 2 9 7 14" xfId="8314"/>
    <cellStyle name="Input [yellow] 2 9 7 14 2" xfId="19511"/>
    <cellStyle name="Input [yellow] 2 9 7 14 3" xfId="30679"/>
    <cellStyle name="Input [yellow] 2 9 7 14 4" xfId="41844"/>
    <cellStyle name="Input [yellow] 2 9 7 14 5" xfId="53037"/>
    <cellStyle name="Input [yellow] 2 9 7 15" xfId="8942"/>
    <cellStyle name="Input [yellow] 2 9 7 15 2" xfId="20139"/>
    <cellStyle name="Input [yellow] 2 9 7 15 3" xfId="31307"/>
    <cellStyle name="Input [yellow] 2 9 7 15 4" xfId="42472"/>
    <cellStyle name="Input [yellow] 2 9 7 15 5" xfId="53665"/>
    <cellStyle name="Input [yellow] 2 9 7 16" xfId="9365"/>
    <cellStyle name="Input [yellow] 2 9 7 16 2" xfId="20562"/>
    <cellStyle name="Input [yellow] 2 9 7 16 3" xfId="31730"/>
    <cellStyle name="Input [yellow] 2 9 7 16 4" xfId="42895"/>
    <cellStyle name="Input [yellow] 2 9 7 16 5" xfId="54088"/>
    <cellStyle name="Input [yellow] 2 9 7 17" xfId="9991"/>
    <cellStyle name="Input [yellow] 2 9 7 17 2" xfId="21188"/>
    <cellStyle name="Input [yellow] 2 9 7 17 3" xfId="32356"/>
    <cellStyle name="Input [yellow] 2 9 7 17 4" xfId="43521"/>
    <cellStyle name="Input [yellow] 2 9 7 17 5" xfId="54714"/>
    <cellStyle name="Input [yellow] 2 9 7 18" xfId="10506"/>
    <cellStyle name="Input [yellow] 2 9 7 18 2" xfId="21703"/>
    <cellStyle name="Input [yellow] 2 9 7 18 3" xfId="32871"/>
    <cellStyle name="Input [yellow] 2 9 7 18 4" xfId="44036"/>
    <cellStyle name="Input [yellow] 2 9 7 18 5" xfId="55229"/>
    <cellStyle name="Input [yellow] 2 9 7 19" xfId="11030"/>
    <cellStyle name="Input [yellow] 2 9 7 19 2" xfId="22227"/>
    <cellStyle name="Input [yellow] 2 9 7 19 3" xfId="33395"/>
    <cellStyle name="Input [yellow] 2 9 7 19 4" xfId="44560"/>
    <cellStyle name="Input [yellow] 2 9 7 19 5" xfId="55753"/>
    <cellStyle name="Input [yellow] 2 9 7 2" xfId="1126"/>
    <cellStyle name="Input [yellow] 2 9 7 2 2" xfId="12323"/>
    <cellStyle name="Input [yellow] 2 9 7 2 3" xfId="23491"/>
    <cellStyle name="Input [yellow] 2 9 7 2 4" xfId="34656"/>
    <cellStyle name="Input [yellow] 2 9 7 2 5" xfId="45849"/>
    <cellStyle name="Input [yellow] 2 9 7 20" xfId="11677"/>
    <cellStyle name="Input [yellow] 2 9 7 21" xfId="22847"/>
    <cellStyle name="Input [yellow] 2 9 7 22" xfId="34014"/>
    <cellStyle name="Input [yellow] 2 9 7 23" xfId="45200"/>
    <cellStyle name="Input [yellow] 2 9 7 3" xfId="1803"/>
    <cellStyle name="Input [yellow] 2 9 7 3 2" xfId="13000"/>
    <cellStyle name="Input [yellow] 2 9 7 3 3" xfId="24168"/>
    <cellStyle name="Input [yellow] 2 9 7 3 4" xfId="35333"/>
    <cellStyle name="Input [yellow] 2 9 7 3 5" xfId="46526"/>
    <cellStyle name="Input [yellow] 2 9 7 4" xfId="2402"/>
    <cellStyle name="Input [yellow] 2 9 7 4 2" xfId="13599"/>
    <cellStyle name="Input [yellow] 2 9 7 4 3" xfId="24767"/>
    <cellStyle name="Input [yellow] 2 9 7 4 4" xfId="35932"/>
    <cellStyle name="Input [yellow] 2 9 7 4 5" xfId="47125"/>
    <cellStyle name="Input [yellow] 2 9 7 5" xfId="2827"/>
    <cellStyle name="Input [yellow] 2 9 7 5 2" xfId="14024"/>
    <cellStyle name="Input [yellow] 2 9 7 5 3" xfId="25192"/>
    <cellStyle name="Input [yellow] 2 9 7 5 4" xfId="36357"/>
    <cellStyle name="Input [yellow] 2 9 7 5 5" xfId="47550"/>
    <cellStyle name="Input [yellow] 2 9 7 6" xfId="3461"/>
    <cellStyle name="Input [yellow] 2 9 7 6 2" xfId="14658"/>
    <cellStyle name="Input [yellow] 2 9 7 6 3" xfId="25826"/>
    <cellStyle name="Input [yellow] 2 9 7 6 4" xfId="36991"/>
    <cellStyle name="Input [yellow] 2 9 7 6 5" xfId="48184"/>
    <cellStyle name="Input [yellow] 2 9 7 7" xfId="4095"/>
    <cellStyle name="Input [yellow] 2 9 7 7 2" xfId="15292"/>
    <cellStyle name="Input [yellow] 2 9 7 7 3" xfId="26460"/>
    <cellStyle name="Input [yellow] 2 9 7 7 4" xfId="37625"/>
    <cellStyle name="Input [yellow] 2 9 7 7 5" xfId="48818"/>
    <cellStyle name="Input [yellow] 2 9 7 8" xfId="4728"/>
    <cellStyle name="Input [yellow] 2 9 7 8 2" xfId="15925"/>
    <cellStyle name="Input [yellow] 2 9 7 8 3" xfId="27093"/>
    <cellStyle name="Input [yellow] 2 9 7 8 4" xfId="38258"/>
    <cellStyle name="Input [yellow] 2 9 7 8 5" xfId="49451"/>
    <cellStyle name="Input [yellow] 2 9 7 9" xfId="5359"/>
    <cellStyle name="Input [yellow] 2 9 7 9 2" xfId="16556"/>
    <cellStyle name="Input [yellow] 2 9 7 9 3" xfId="27724"/>
    <cellStyle name="Input [yellow] 2 9 7 9 4" xfId="38889"/>
    <cellStyle name="Input [yellow] 2 9 7 9 5" xfId="50082"/>
    <cellStyle name="Input [yellow] 2 9 8" xfId="504"/>
    <cellStyle name="Input [yellow] 2 9 8 10" xfId="5721"/>
    <cellStyle name="Input [yellow] 2 9 8 10 2" xfId="16918"/>
    <cellStyle name="Input [yellow] 2 9 8 10 3" xfId="28086"/>
    <cellStyle name="Input [yellow] 2 9 8 10 4" xfId="39251"/>
    <cellStyle name="Input [yellow] 2 9 8 10 5" xfId="50444"/>
    <cellStyle name="Input [yellow] 2 9 8 11" xfId="6440"/>
    <cellStyle name="Input [yellow] 2 9 8 11 2" xfId="17637"/>
    <cellStyle name="Input [yellow] 2 9 8 11 3" xfId="28805"/>
    <cellStyle name="Input [yellow] 2 9 8 11 4" xfId="39970"/>
    <cellStyle name="Input [yellow] 2 9 8 11 5" xfId="51163"/>
    <cellStyle name="Input [yellow] 2 9 8 12" xfId="7073"/>
    <cellStyle name="Input [yellow] 2 9 8 12 2" xfId="18270"/>
    <cellStyle name="Input [yellow] 2 9 8 12 3" xfId="29438"/>
    <cellStyle name="Input [yellow] 2 9 8 12 4" xfId="40603"/>
    <cellStyle name="Input [yellow] 2 9 8 12 5" xfId="51796"/>
    <cellStyle name="Input [yellow] 2 9 8 13" xfId="7707"/>
    <cellStyle name="Input [yellow] 2 9 8 13 2" xfId="18904"/>
    <cellStyle name="Input [yellow] 2 9 8 13 3" xfId="30072"/>
    <cellStyle name="Input [yellow] 2 9 8 13 4" xfId="41237"/>
    <cellStyle name="Input [yellow] 2 9 8 13 5" xfId="52430"/>
    <cellStyle name="Input [yellow] 2 9 8 14" xfId="8341"/>
    <cellStyle name="Input [yellow] 2 9 8 14 2" xfId="19538"/>
    <cellStyle name="Input [yellow] 2 9 8 14 3" xfId="30706"/>
    <cellStyle name="Input [yellow] 2 9 8 14 4" xfId="41871"/>
    <cellStyle name="Input [yellow] 2 9 8 14 5" xfId="53064"/>
    <cellStyle name="Input [yellow] 2 9 8 15" xfId="8969"/>
    <cellStyle name="Input [yellow] 2 9 8 15 2" xfId="20166"/>
    <cellStyle name="Input [yellow] 2 9 8 15 3" xfId="31334"/>
    <cellStyle name="Input [yellow] 2 9 8 15 4" xfId="42499"/>
    <cellStyle name="Input [yellow] 2 9 8 15 5" xfId="53692"/>
    <cellStyle name="Input [yellow] 2 9 8 16" xfId="9392"/>
    <cellStyle name="Input [yellow] 2 9 8 16 2" xfId="20589"/>
    <cellStyle name="Input [yellow] 2 9 8 16 3" xfId="31757"/>
    <cellStyle name="Input [yellow] 2 9 8 16 4" xfId="42922"/>
    <cellStyle name="Input [yellow] 2 9 8 16 5" xfId="54115"/>
    <cellStyle name="Input [yellow] 2 9 8 17" xfId="10017"/>
    <cellStyle name="Input [yellow] 2 9 8 17 2" xfId="21214"/>
    <cellStyle name="Input [yellow] 2 9 8 17 3" xfId="32382"/>
    <cellStyle name="Input [yellow] 2 9 8 17 4" xfId="43547"/>
    <cellStyle name="Input [yellow] 2 9 8 17 5" xfId="54740"/>
    <cellStyle name="Input [yellow] 2 9 8 18" xfId="10223"/>
    <cellStyle name="Input [yellow] 2 9 8 18 2" xfId="21420"/>
    <cellStyle name="Input [yellow] 2 9 8 18 3" xfId="32588"/>
    <cellStyle name="Input [yellow] 2 9 8 18 4" xfId="43753"/>
    <cellStyle name="Input [yellow] 2 9 8 18 5" xfId="54946"/>
    <cellStyle name="Input [yellow] 2 9 8 19" xfId="11057"/>
    <cellStyle name="Input [yellow] 2 9 8 19 2" xfId="22254"/>
    <cellStyle name="Input [yellow] 2 9 8 19 3" xfId="33422"/>
    <cellStyle name="Input [yellow] 2 9 8 19 4" xfId="44587"/>
    <cellStyle name="Input [yellow] 2 9 8 19 5" xfId="55780"/>
    <cellStyle name="Input [yellow] 2 9 8 2" xfId="1153"/>
    <cellStyle name="Input [yellow] 2 9 8 2 2" xfId="12350"/>
    <cellStyle name="Input [yellow] 2 9 8 2 3" xfId="23518"/>
    <cellStyle name="Input [yellow] 2 9 8 2 4" xfId="34683"/>
    <cellStyle name="Input [yellow] 2 9 8 2 5" xfId="45876"/>
    <cellStyle name="Input [yellow] 2 9 8 20" xfId="11704"/>
    <cellStyle name="Input [yellow] 2 9 8 21" xfId="22874"/>
    <cellStyle name="Input [yellow] 2 9 8 22" xfId="34041"/>
    <cellStyle name="Input [yellow] 2 9 8 23" xfId="45227"/>
    <cellStyle name="Input [yellow] 2 9 8 3" xfId="1505"/>
    <cellStyle name="Input [yellow] 2 9 8 3 2" xfId="12702"/>
    <cellStyle name="Input [yellow] 2 9 8 3 3" xfId="23870"/>
    <cellStyle name="Input [yellow] 2 9 8 3 4" xfId="35035"/>
    <cellStyle name="Input [yellow] 2 9 8 3 5" xfId="46228"/>
    <cellStyle name="Input [yellow] 2 9 8 4" xfId="2429"/>
    <cellStyle name="Input [yellow] 2 9 8 4 2" xfId="13626"/>
    <cellStyle name="Input [yellow] 2 9 8 4 3" xfId="24794"/>
    <cellStyle name="Input [yellow] 2 9 8 4 4" xfId="35959"/>
    <cellStyle name="Input [yellow] 2 9 8 4 5" xfId="47152"/>
    <cellStyle name="Input [yellow] 2 9 8 5" xfId="2854"/>
    <cellStyle name="Input [yellow] 2 9 8 5 2" xfId="14051"/>
    <cellStyle name="Input [yellow] 2 9 8 5 3" xfId="25219"/>
    <cellStyle name="Input [yellow] 2 9 8 5 4" xfId="36384"/>
    <cellStyle name="Input [yellow] 2 9 8 5 5" xfId="47577"/>
    <cellStyle name="Input [yellow] 2 9 8 6" xfId="3488"/>
    <cellStyle name="Input [yellow] 2 9 8 6 2" xfId="14685"/>
    <cellStyle name="Input [yellow] 2 9 8 6 3" xfId="25853"/>
    <cellStyle name="Input [yellow] 2 9 8 6 4" xfId="37018"/>
    <cellStyle name="Input [yellow] 2 9 8 6 5" xfId="48211"/>
    <cellStyle name="Input [yellow] 2 9 8 7" xfId="4122"/>
    <cellStyle name="Input [yellow] 2 9 8 7 2" xfId="15319"/>
    <cellStyle name="Input [yellow] 2 9 8 7 3" xfId="26487"/>
    <cellStyle name="Input [yellow] 2 9 8 7 4" xfId="37652"/>
    <cellStyle name="Input [yellow] 2 9 8 7 5" xfId="48845"/>
    <cellStyle name="Input [yellow] 2 9 8 8" xfId="4755"/>
    <cellStyle name="Input [yellow] 2 9 8 8 2" xfId="15952"/>
    <cellStyle name="Input [yellow] 2 9 8 8 3" xfId="27120"/>
    <cellStyle name="Input [yellow] 2 9 8 8 4" xfId="38285"/>
    <cellStyle name="Input [yellow] 2 9 8 8 5" xfId="49478"/>
    <cellStyle name="Input [yellow] 2 9 8 9" xfId="5386"/>
    <cellStyle name="Input [yellow] 2 9 8 9 2" xfId="16583"/>
    <cellStyle name="Input [yellow] 2 9 8 9 3" xfId="27751"/>
    <cellStyle name="Input [yellow] 2 9 8 9 4" xfId="38916"/>
    <cellStyle name="Input [yellow] 2 9 8 9 5" xfId="50109"/>
    <cellStyle name="Input [yellow] 2 9 9" xfId="562"/>
    <cellStyle name="Input [yellow] 2 9 9 10" xfId="5810"/>
    <cellStyle name="Input [yellow] 2 9 9 10 2" xfId="17007"/>
    <cellStyle name="Input [yellow] 2 9 9 10 3" xfId="28175"/>
    <cellStyle name="Input [yellow] 2 9 9 10 4" xfId="39340"/>
    <cellStyle name="Input [yellow] 2 9 9 10 5" xfId="50533"/>
    <cellStyle name="Input [yellow] 2 9 9 11" xfId="6498"/>
    <cellStyle name="Input [yellow] 2 9 9 11 2" xfId="17695"/>
    <cellStyle name="Input [yellow] 2 9 9 11 3" xfId="28863"/>
    <cellStyle name="Input [yellow] 2 9 9 11 4" xfId="40028"/>
    <cellStyle name="Input [yellow] 2 9 9 11 5" xfId="51221"/>
    <cellStyle name="Input [yellow] 2 9 9 12" xfId="7131"/>
    <cellStyle name="Input [yellow] 2 9 9 12 2" xfId="18328"/>
    <cellStyle name="Input [yellow] 2 9 9 12 3" xfId="29496"/>
    <cellStyle name="Input [yellow] 2 9 9 12 4" xfId="40661"/>
    <cellStyle name="Input [yellow] 2 9 9 12 5" xfId="51854"/>
    <cellStyle name="Input [yellow] 2 9 9 13" xfId="7765"/>
    <cellStyle name="Input [yellow] 2 9 9 13 2" xfId="18962"/>
    <cellStyle name="Input [yellow] 2 9 9 13 3" xfId="30130"/>
    <cellStyle name="Input [yellow] 2 9 9 13 4" xfId="41295"/>
    <cellStyle name="Input [yellow] 2 9 9 13 5" xfId="52488"/>
    <cellStyle name="Input [yellow] 2 9 9 14" xfId="8399"/>
    <cellStyle name="Input [yellow] 2 9 9 14 2" xfId="19596"/>
    <cellStyle name="Input [yellow] 2 9 9 14 3" xfId="30764"/>
    <cellStyle name="Input [yellow] 2 9 9 14 4" xfId="41929"/>
    <cellStyle name="Input [yellow] 2 9 9 14 5" xfId="53122"/>
    <cellStyle name="Input [yellow] 2 9 9 15" xfId="9027"/>
    <cellStyle name="Input [yellow] 2 9 9 15 2" xfId="20224"/>
    <cellStyle name="Input [yellow] 2 9 9 15 3" xfId="31392"/>
    <cellStyle name="Input [yellow] 2 9 9 15 4" xfId="42557"/>
    <cellStyle name="Input [yellow] 2 9 9 15 5" xfId="53750"/>
    <cellStyle name="Input [yellow] 2 9 9 16" xfId="9450"/>
    <cellStyle name="Input [yellow] 2 9 9 16 2" xfId="20647"/>
    <cellStyle name="Input [yellow] 2 9 9 16 3" xfId="31815"/>
    <cellStyle name="Input [yellow] 2 9 9 16 4" xfId="42980"/>
    <cellStyle name="Input [yellow] 2 9 9 16 5" xfId="54173"/>
    <cellStyle name="Input [yellow] 2 9 9 17" xfId="10075"/>
    <cellStyle name="Input [yellow] 2 9 9 17 2" xfId="21272"/>
    <cellStyle name="Input [yellow] 2 9 9 17 3" xfId="32440"/>
    <cellStyle name="Input [yellow] 2 9 9 17 4" xfId="43605"/>
    <cellStyle name="Input [yellow] 2 9 9 17 5" xfId="54798"/>
    <cellStyle name="Input [yellow] 2 9 9 18" xfId="10597"/>
    <cellStyle name="Input [yellow] 2 9 9 18 2" xfId="21794"/>
    <cellStyle name="Input [yellow] 2 9 9 18 3" xfId="32962"/>
    <cellStyle name="Input [yellow] 2 9 9 18 4" xfId="44127"/>
    <cellStyle name="Input [yellow] 2 9 9 18 5" xfId="55320"/>
    <cellStyle name="Input [yellow] 2 9 9 19" xfId="11115"/>
    <cellStyle name="Input [yellow] 2 9 9 19 2" xfId="22312"/>
    <cellStyle name="Input [yellow] 2 9 9 19 3" xfId="33480"/>
    <cellStyle name="Input [yellow] 2 9 9 19 4" xfId="44645"/>
    <cellStyle name="Input [yellow] 2 9 9 19 5" xfId="55838"/>
    <cellStyle name="Input [yellow] 2 9 9 2" xfId="1211"/>
    <cellStyle name="Input [yellow] 2 9 9 2 2" xfId="12408"/>
    <cellStyle name="Input [yellow] 2 9 9 2 3" xfId="23576"/>
    <cellStyle name="Input [yellow] 2 9 9 2 4" xfId="34741"/>
    <cellStyle name="Input [yellow] 2 9 9 2 5" xfId="45934"/>
    <cellStyle name="Input [yellow] 2 9 9 20" xfId="11762"/>
    <cellStyle name="Input [yellow] 2 9 9 21" xfId="22932"/>
    <cellStyle name="Input [yellow] 2 9 9 22" xfId="34099"/>
    <cellStyle name="Input [yellow] 2 9 9 23" xfId="45285"/>
    <cellStyle name="Input [yellow] 2 9 9 3" xfId="1886"/>
    <cellStyle name="Input [yellow] 2 9 9 3 2" xfId="13083"/>
    <cellStyle name="Input [yellow] 2 9 9 3 3" xfId="24251"/>
    <cellStyle name="Input [yellow] 2 9 9 3 4" xfId="35416"/>
    <cellStyle name="Input [yellow] 2 9 9 3 5" xfId="46609"/>
    <cellStyle name="Input [yellow] 2 9 9 4" xfId="2487"/>
    <cellStyle name="Input [yellow] 2 9 9 4 2" xfId="13684"/>
    <cellStyle name="Input [yellow] 2 9 9 4 3" xfId="24852"/>
    <cellStyle name="Input [yellow] 2 9 9 4 4" xfId="36017"/>
    <cellStyle name="Input [yellow] 2 9 9 4 5" xfId="47210"/>
    <cellStyle name="Input [yellow] 2 9 9 5" xfId="2912"/>
    <cellStyle name="Input [yellow] 2 9 9 5 2" xfId="14109"/>
    <cellStyle name="Input [yellow] 2 9 9 5 3" xfId="25277"/>
    <cellStyle name="Input [yellow] 2 9 9 5 4" xfId="36442"/>
    <cellStyle name="Input [yellow] 2 9 9 5 5" xfId="47635"/>
    <cellStyle name="Input [yellow] 2 9 9 6" xfId="3546"/>
    <cellStyle name="Input [yellow] 2 9 9 6 2" xfId="14743"/>
    <cellStyle name="Input [yellow] 2 9 9 6 3" xfId="25911"/>
    <cellStyle name="Input [yellow] 2 9 9 6 4" xfId="37076"/>
    <cellStyle name="Input [yellow] 2 9 9 6 5" xfId="48269"/>
    <cellStyle name="Input [yellow] 2 9 9 7" xfId="4180"/>
    <cellStyle name="Input [yellow] 2 9 9 7 2" xfId="15377"/>
    <cellStyle name="Input [yellow] 2 9 9 7 3" xfId="26545"/>
    <cellStyle name="Input [yellow] 2 9 9 7 4" xfId="37710"/>
    <cellStyle name="Input [yellow] 2 9 9 7 5" xfId="48903"/>
    <cellStyle name="Input [yellow] 2 9 9 8" xfId="4813"/>
    <cellStyle name="Input [yellow] 2 9 9 8 2" xfId="16010"/>
    <cellStyle name="Input [yellow] 2 9 9 8 3" xfId="27178"/>
    <cellStyle name="Input [yellow] 2 9 9 8 4" xfId="38343"/>
    <cellStyle name="Input [yellow] 2 9 9 8 5" xfId="49536"/>
    <cellStyle name="Input [yellow] 2 9 9 9" xfId="5444"/>
    <cellStyle name="Input [yellow] 2 9 9 9 2" xfId="16641"/>
    <cellStyle name="Input [yellow] 2 9 9 9 3" xfId="27809"/>
    <cellStyle name="Input [yellow] 2 9 9 9 4" xfId="38974"/>
    <cellStyle name="Input [yellow] 2 9 9 9 5" xfId="50167"/>
    <cellStyle name="Input [yellow] 3" xfId="61"/>
    <cellStyle name="Input [yellow] 3 10" xfId="99"/>
    <cellStyle name="Input [yellow] 3 10 10" xfId="598"/>
    <cellStyle name="Input [yellow] 3 10 10 10" xfId="5964"/>
    <cellStyle name="Input [yellow] 3 10 10 10 2" xfId="17161"/>
    <cellStyle name="Input [yellow] 3 10 10 10 3" xfId="28329"/>
    <cellStyle name="Input [yellow] 3 10 10 10 4" xfId="39494"/>
    <cellStyle name="Input [yellow] 3 10 10 10 5" xfId="50687"/>
    <cellStyle name="Input [yellow] 3 10 10 11" xfId="6534"/>
    <cellStyle name="Input [yellow] 3 10 10 11 2" xfId="17731"/>
    <cellStyle name="Input [yellow] 3 10 10 11 3" xfId="28899"/>
    <cellStyle name="Input [yellow] 3 10 10 11 4" xfId="40064"/>
    <cellStyle name="Input [yellow] 3 10 10 11 5" xfId="51257"/>
    <cellStyle name="Input [yellow] 3 10 10 12" xfId="7167"/>
    <cellStyle name="Input [yellow] 3 10 10 12 2" xfId="18364"/>
    <cellStyle name="Input [yellow] 3 10 10 12 3" xfId="29532"/>
    <cellStyle name="Input [yellow] 3 10 10 12 4" xfId="40697"/>
    <cellStyle name="Input [yellow] 3 10 10 12 5" xfId="51890"/>
    <cellStyle name="Input [yellow] 3 10 10 13" xfId="7801"/>
    <cellStyle name="Input [yellow] 3 10 10 13 2" xfId="18998"/>
    <cellStyle name="Input [yellow] 3 10 10 13 3" xfId="30166"/>
    <cellStyle name="Input [yellow] 3 10 10 13 4" xfId="41331"/>
    <cellStyle name="Input [yellow] 3 10 10 13 5" xfId="52524"/>
    <cellStyle name="Input [yellow] 3 10 10 14" xfId="8435"/>
    <cellStyle name="Input [yellow] 3 10 10 14 2" xfId="19632"/>
    <cellStyle name="Input [yellow] 3 10 10 14 3" xfId="30800"/>
    <cellStyle name="Input [yellow] 3 10 10 14 4" xfId="41965"/>
    <cellStyle name="Input [yellow] 3 10 10 14 5" xfId="53158"/>
    <cellStyle name="Input [yellow] 3 10 10 15" xfId="9063"/>
    <cellStyle name="Input [yellow] 3 10 10 15 2" xfId="20260"/>
    <cellStyle name="Input [yellow] 3 10 10 15 3" xfId="31428"/>
    <cellStyle name="Input [yellow] 3 10 10 15 4" xfId="42593"/>
    <cellStyle name="Input [yellow] 3 10 10 15 5" xfId="53786"/>
    <cellStyle name="Input [yellow] 3 10 10 16" xfId="9486"/>
    <cellStyle name="Input [yellow] 3 10 10 16 2" xfId="20683"/>
    <cellStyle name="Input [yellow] 3 10 10 16 3" xfId="31851"/>
    <cellStyle name="Input [yellow] 3 10 10 16 4" xfId="43016"/>
    <cellStyle name="Input [yellow] 3 10 10 16 5" xfId="54209"/>
    <cellStyle name="Input [yellow] 3 10 10 17" xfId="10111"/>
    <cellStyle name="Input [yellow] 3 10 10 17 2" xfId="21308"/>
    <cellStyle name="Input [yellow] 3 10 10 17 3" xfId="32476"/>
    <cellStyle name="Input [yellow] 3 10 10 17 4" xfId="43641"/>
    <cellStyle name="Input [yellow] 3 10 10 17 5" xfId="54834"/>
    <cellStyle name="Input [yellow] 3 10 10 18" xfId="9605"/>
    <cellStyle name="Input [yellow] 3 10 10 18 2" xfId="20802"/>
    <cellStyle name="Input [yellow] 3 10 10 18 3" xfId="31970"/>
    <cellStyle name="Input [yellow] 3 10 10 18 4" xfId="43135"/>
    <cellStyle name="Input [yellow] 3 10 10 18 5" xfId="54328"/>
    <cellStyle name="Input [yellow] 3 10 10 19" xfId="11151"/>
    <cellStyle name="Input [yellow] 3 10 10 19 2" xfId="22348"/>
    <cellStyle name="Input [yellow] 3 10 10 19 3" xfId="33516"/>
    <cellStyle name="Input [yellow] 3 10 10 19 4" xfId="44681"/>
    <cellStyle name="Input [yellow] 3 10 10 19 5" xfId="55874"/>
    <cellStyle name="Input [yellow] 3 10 10 2" xfId="1247"/>
    <cellStyle name="Input [yellow] 3 10 10 2 2" xfId="12444"/>
    <cellStyle name="Input [yellow] 3 10 10 2 3" xfId="23612"/>
    <cellStyle name="Input [yellow] 3 10 10 2 4" xfId="34777"/>
    <cellStyle name="Input [yellow] 3 10 10 2 5" xfId="45970"/>
    <cellStyle name="Input [yellow] 3 10 10 20" xfId="11798"/>
    <cellStyle name="Input [yellow] 3 10 10 21" xfId="22968"/>
    <cellStyle name="Input [yellow] 3 10 10 22" xfId="34135"/>
    <cellStyle name="Input [yellow] 3 10 10 23" xfId="45321"/>
    <cellStyle name="Input [yellow] 3 10 10 3" xfId="1876"/>
    <cellStyle name="Input [yellow] 3 10 10 3 2" xfId="13073"/>
    <cellStyle name="Input [yellow] 3 10 10 3 3" xfId="24241"/>
    <cellStyle name="Input [yellow] 3 10 10 3 4" xfId="35406"/>
    <cellStyle name="Input [yellow] 3 10 10 3 5" xfId="46599"/>
    <cellStyle name="Input [yellow] 3 10 10 4" xfId="2523"/>
    <cellStyle name="Input [yellow] 3 10 10 4 2" xfId="13720"/>
    <cellStyle name="Input [yellow] 3 10 10 4 3" xfId="24888"/>
    <cellStyle name="Input [yellow] 3 10 10 4 4" xfId="36053"/>
    <cellStyle name="Input [yellow] 3 10 10 4 5" xfId="47246"/>
    <cellStyle name="Input [yellow] 3 10 10 5" xfId="2948"/>
    <cellStyle name="Input [yellow] 3 10 10 5 2" xfId="14145"/>
    <cellStyle name="Input [yellow] 3 10 10 5 3" xfId="25313"/>
    <cellStyle name="Input [yellow] 3 10 10 5 4" xfId="36478"/>
    <cellStyle name="Input [yellow] 3 10 10 5 5" xfId="47671"/>
    <cellStyle name="Input [yellow] 3 10 10 6" xfId="3582"/>
    <cellStyle name="Input [yellow] 3 10 10 6 2" xfId="14779"/>
    <cellStyle name="Input [yellow] 3 10 10 6 3" xfId="25947"/>
    <cellStyle name="Input [yellow] 3 10 10 6 4" xfId="37112"/>
    <cellStyle name="Input [yellow] 3 10 10 6 5" xfId="48305"/>
    <cellStyle name="Input [yellow] 3 10 10 7" xfId="4216"/>
    <cellStyle name="Input [yellow] 3 10 10 7 2" xfId="15413"/>
    <cellStyle name="Input [yellow] 3 10 10 7 3" xfId="26581"/>
    <cellStyle name="Input [yellow] 3 10 10 7 4" xfId="37746"/>
    <cellStyle name="Input [yellow] 3 10 10 7 5" xfId="48939"/>
    <cellStyle name="Input [yellow] 3 10 10 8" xfId="4849"/>
    <cellStyle name="Input [yellow] 3 10 10 8 2" xfId="16046"/>
    <cellStyle name="Input [yellow] 3 10 10 8 3" xfId="27214"/>
    <cellStyle name="Input [yellow] 3 10 10 8 4" xfId="38379"/>
    <cellStyle name="Input [yellow] 3 10 10 8 5" xfId="49572"/>
    <cellStyle name="Input [yellow] 3 10 10 9" xfId="5480"/>
    <cellStyle name="Input [yellow] 3 10 10 9 2" xfId="16677"/>
    <cellStyle name="Input [yellow] 3 10 10 9 3" xfId="27845"/>
    <cellStyle name="Input [yellow] 3 10 10 9 4" xfId="39010"/>
    <cellStyle name="Input [yellow] 3 10 10 9 5" xfId="50203"/>
    <cellStyle name="Input [yellow] 3 10 11" xfId="670"/>
    <cellStyle name="Input [yellow] 3 10 11 10" xfId="6006"/>
    <cellStyle name="Input [yellow] 3 10 11 10 2" xfId="17203"/>
    <cellStyle name="Input [yellow] 3 10 11 10 3" xfId="28371"/>
    <cellStyle name="Input [yellow] 3 10 11 10 4" xfId="39536"/>
    <cellStyle name="Input [yellow] 3 10 11 10 5" xfId="50729"/>
    <cellStyle name="Input [yellow] 3 10 11 11" xfId="6606"/>
    <cellStyle name="Input [yellow] 3 10 11 11 2" xfId="17803"/>
    <cellStyle name="Input [yellow] 3 10 11 11 3" xfId="28971"/>
    <cellStyle name="Input [yellow] 3 10 11 11 4" xfId="40136"/>
    <cellStyle name="Input [yellow] 3 10 11 11 5" xfId="51329"/>
    <cellStyle name="Input [yellow] 3 10 11 12" xfId="7239"/>
    <cellStyle name="Input [yellow] 3 10 11 12 2" xfId="18436"/>
    <cellStyle name="Input [yellow] 3 10 11 12 3" xfId="29604"/>
    <cellStyle name="Input [yellow] 3 10 11 12 4" xfId="40769"/>
    <cellStyle name="Input [yellow] 3 10 11 12 5" xfId="51962"/>
    <cellStyle name="Input [yellow] 3 10 11 13" xfId="7873"/>
    <cellStyle name="Input [yellow] 3 10 11 13 2" xfId="19070"/>
    <cellStyle name="Input [yellow] 3 10 11 13 3" xfId="30238"/>
    <cellStyle name="Input [yellow] 3 10 11 13 4" xfId="41403"/>
    <cellStyle name="Input [yellow] 3 10 11 13 5" xfId="52596"/>
    <cellStyle name="Input [yellow] 3 10 11 14" xfId="8507"/>
    <cellStyle name="Input [yellow] 3 10 11 14 2" xfId="19704"/>
    <cellStyle name="Input [yellow] 3 10 11 14 3" xfId="30872"/>
    <cellStyle name="Input [yellow] 3 10 11 14 4" xfId="42037"/>
    <cellStyle name="Input [yellow] 3 10 11 14 5" xfId="53230"/>
    <cellStyle name="Input [yellow] 3 10 11 15" xfId="9135"/>
    <cellStyle name="Input [yellow] 3 10 11 15 2" xfId="20332"/>
    <cellStyle name="Input [yellow] 3 10 11 15 3" xfId="31500"/>
    <cellStyle name="Input [yellow] 3 10 11 15 4" xfId="42665"/>
    <cellStyle name="Input [yellow] 3 10 11 15 5" xfId="53858"/>
    <cellStyle name="Input [yellow] 3 10 11 16" xfId="9558"/>
    <cellStyle name="Input [yellow] 3 10 11 16 2" xfId="20755"/>
    <cellStyle name="Input [yellow] 3 10 11 16 3" xfId="31923"/>
    <cellStyle name="Input [yellow] 3 10 11 16 4" xfId="43088"/>
    <cellStyle name="Input [yellow] 3 10 11 16 5" xfId="54281"/>
    <cellStyle name="Input [yellow] 3 10 11 17" xfId="10183"/>
    <cellStyle name="Input [yellow] 3 10 11 17 2" xfId="21380"/>
    <cellStyle name="Input [yellow] 3 10 11 17 3" xfId="32548"/>
    <cellStyle name="Input [yellow] 3 10 11 17 4" xfId="43713"/>
    <cellStyle name="Input [yellow] 3 10 11 17 5" xfId="54906"/>
    <cellStyle name="Input [yellow] 3 10 11 18" xfId="10228"/>
    <cellStyle name="Input [yellow] 3 10 11 18 2" xfId="21425"/>
    <cellStyle name="Input [yellow] 3 10 11 18 3" xfId="32593"/>
    <cellStyle name="Input [yellow] 3 10 11 18 4" xfId="43758"/>
    <cellStyle name="Input [yellow] 3 10 11 18 5" xfId="54951"/>
    <cellStyle name="Input [yellow] 3 10 11 19" xfId="11223"/>
    <cellStyle name="Input [yellow] 3 10 11 19 2" xfId="22420"/>
    <cellStyle name="Input [yellow] 3 10 11 19 3" xfId="33588"/>
    <cellStyle name="Input [yellow] 3 10 11 19 4" xfId="44753"/>
    <cellStyle name="Input [yellow] 3 10 11 19 5" xfId="55946"/>
    <cellStyle name="Input [yellow] 3 10 11 2" xfId="1319"/>
    <cellStyle name="Input [yellow] 3 10 11 2 2" xfId="12516"/>
    <cellStyle name="Input [yellow] 3 10 11 2 3" xfId="23684"/>
    <cellStyle name="Input [yellow] 3 10 11 2 4" xfId="34849"/>
    <cellStyle name="Input [yellow] 3 10 11 2 5" xfId="46042"/>
    <cellStyle name="Input [yellow] 3 10 11 20" xfId="11870"/>
    <cellStyle name="Input [yellow] 3 10 11 21" xfId="23040"/>
    <cellStyle name="Input [yellow] 3 10 11 22" xfId="34207"/>
    <cellStyle name="Input [yellow] 3 10 11 23" xfId="45393"/>
    <cellStyle name="Input [yellow] 3 10 11 3" xfId="1511"/>
    <cellStyle name="Input [yellow] 3 10 11 3 2" xfId="12708"/>
    <cellStyle name="Input [yellow] 3 10 11 3 3" xfId="23876"/>
    <cellStyle name="Input [yellow] 3 10 11 3 4" xfId="35041"/>
    <cellStyle name="Input [yellow] 3 10 11 3 5" xfId="46234"/>
    <cellStyle name="Input [yellow] 3 10 11 4" xfId="2595"/>
    <cellStyle name="Input [yellow] 3 10 11 4 2" xfId="13792"/>
    <cellStyle name="Input [yellow] 3 10 11 4 3" xfId="24960"/>
    <cellStyle name="Input [yellow] 3 10 11 4 4" xfId="36125"/>
    <cellStyle name="Input [yellow] 3 10 11 4 5" xfId="47318"/>
    <cellStyle name="Input [yellow] 3 10 11 5" xfId="3020"/>
    <cellStyle name="Input [yellow] 3 10 11 5 2" xfId="14217"/>
    <cellStyle name="Input [yellow] 3 10 11 5 3" xfId="25385"/>
    <cellStyle name="Input [yellow] 3 10 11 5 4" xfId="36550"/>
    <cellStyle name="Input [yellow] 3 10 11 5 5" xfId="47743"/>
    <cellStyle name="Input [yellow] 3 10 11 6" xfId="3654"/>
    <cellStyle name="Input [yellow] 3 10 11 6 2" xfId="14851"/>
    <cellStyle name="Input [yellow] 3 10 11 6 3" xfId="26019"/>
    <cellStyle name="Input [yellow] 3 10 11 6 4" xfId="37184"/>
    <cellStyle name="Input [yellow] 3 10 11 6 5" xfId="48377"/>
    <cellStyle name="Input [yellow] 3 10 11 7" xfId="4288"/>
    <cellStyle name="Input [yellow] 3 10 11 7 2" xfId="15485"/>
    <cellStyle name="Input [yellow] 3 10 11 7 3" xfId="26653"/>
    <cellStyle name="Input [yellow] 3 10 11 7 4" xfId="37818"/>
    <cellStyle name="Input [yellow] 3 10 11 7 5" xfId="49011"/>
    <cellStyle name="Input [yellow] 3 10 11 8" xfId="4921"/>
    <cellStyle name="Input [yellow] 3 10 11 8 2" xfId="16118"/>
    <cellStyle name="Input [yellow] 3 10 11 8 3" xfId="27286"/>
    <cellStyle name="Input [yellow] 3 10 11 8 4" xfId="38451"/>
    <cellStyle name="Input [yellow] 3 10 11 8 5" xfId="49644"/>
    <cellStyle name="Input [yellow] 3 10 11 9" xfId="5552"/>
    <cellStyle name="Input [yellow] 3 10 11 9 2" xfId="16749"/>
    <cellStyle name="Input [yellow] 3 10 11 9 3" xfId="27917"/>
    <cellStyle name="Input [yellow] 3 10 11 9 4" xfId="39082"/>
    <cellStyle name="Input [yellow] 3 10 11 9 5" xfId="50275"/>
    <cellStyle name="Input [yellow] 3 10 12" xfId="748"/>
    <cellStyle name="Input [yellow] 3 10 12 2" xfId="11946"/>
    <cellStyle name="Input [yellow] 3 10 12 3" xfId="23114"/>
    <cellStyle name="Input [yellow] 3 10 12 4" xfId="34279"/>
    <cellStyle name="Input [yellow] 3 10 12 5" xfId="45471"/>
    <cellStyle name="Input [yellow] 3 10 13" xfId="1668"/>
    <cellStyle name="Input [yellow] 3 10 13 2" xfId="12865"/>
    <cellStyle name="Input [yellow] 3 10 13 3" xfId="24033"/>
    <cellStyle name="Input [yellow] 3 10 13 4" xfId="35198"/>
    <cellStyle name="Input [yellow] 3 10 13 5" xfId="46391"/>
    <cellStyle name="Input [yellow] 3 10 14" xfId="2025"/>
    <cellStyle name="Input [yellow] 3 10 14 2" xfId="13222"/>
    <cellStyle name="Input [yellow] 3 10 14 3" xfId="24390"/>
    <cellStyle name="Input [yellow] 3 10 14 4" xfId="35555"/>
    <cellStyle name="Input [yellow] 3 10 14 5" xfId="46748"/>
    <cellStyle name="Input [yellow] 3 10 15" xfId="2291"/>
    <cellStyle name="Input [yellow] 3 10 15 2" xfId="13488"/>
    <cellStyle name="Input [yellow] 3 10 15 3" xfId="24656"/>
    <cellStyle name="Input [yellow] 3 10 15 4" xfId="35821"/>
    <cellStyle name="Input [yellow] 3 10 15 5" xfId="47014"/>
    <cellStyle name="Input [yellow] 3 10 16" xfId="3083"/>
    <cellStyle name="Input [yellow] 3 10 16 2" xfId="14280"/>
    <cellStyle name="Input [yellow] 3 10 16 3" xfId="25448"/>
    <cellStyle name="Input [yellow] 3 10 16 4" xfId="36613"/>
    <cellStyle name="Input [yellow] 3 10 16 5" xfId="47806"/>
    <cellStyle name="Input [yellow] 3 10 17" xfId="3717"/>
    <cellStyle name="Input [yellow] 3 10 17 2" xfId="14914"/>
    <cellStyle name="Input [yellow] 3 10 17 3" xfId="26082"/>
    <cellStyle name="Input [yellow] 3 10 17 4" xfId="37247"/>
    <cellStyle name="Input [yellow] 3 10 17 5" xfId="48440"/>
    <cellStyle name="Input [yellow] 3 10 18" xfId="4350"/>
    <cellStyle name="Input [yellow] 3 10 18 2" xfId="15547"/>
    <cellStyle name="Input [yellow] 3 10 18 3" xfId="26715"/>
    <cellStyle name="Input [yellow] 3 10 18 4" xfId="37880"/>
    <cellStyle name="Input [yellow] 3 10 18 5" xfId="49073"/>
    <cellStyle name="Input [yellow] 3 10 19" xfId="4982"/>
    <cellStyle name="Input [yellow] 3 10 19 2" xfId="16179"/>
    <cellStyle name="Input [yellow] 3 10 19 3" xfId="27347"/>
    <cellStyle name="Input [yellow] 3 10 19 4" xfId="38512"/>
    <cellStyle name="Input [yellow] 3 10 19 5" xfId="49705"/>
    <cellStyle name="Input [yellow] 3 10 2" xfId="163"/>
    <cellStyle name="Input [yellow] 3 10 2 10" xfId="6068"/>
    <cellStyle name="Input [yellow] 3 10 2 10 2" xfId="17265"/>
    <cellStyle name="Input [yellow] 3 10 2 10 3" xfId="28433"/>
    <cellStyle name="Input [yellow] 3 10 2 10 4" xfId="39598"/>
    <cellStyle name="Input [yellow] 3 10 2 10 5" xfId="50791"/>
    <cellStyle name="Input [yellow] 3 10 2 11" xfId="5661"/>
    <cellStyle name="Input [yellow] 3 10 2 11 2" xfId="16858"/>
    <cellStyle name="Input [yellow] 3 10 2 11 3" xfId="28026"/>
    <cellStyle name="Input [yellow] 3 10 2 11 4" xfId="39191"/>
    <cellStyle name="Input [yellow] 3 10 2 11 5" xfId="50384"/>
    <cellStyle name="Input [yellow] 3 10 2 12" xfId="6732"/>
    <cellStyle name="Input [yellow] 3 10 2 12 2" xfId="17929"/>
    <cellStyle name="Input [yellow] 3 10 2 12 3" xfId="29097"/>
    <cellStyle name="Input [yellow] 3 10 2 12 4" xfId="40262"/>
    <cellStyle name="Input [yellow] 3 10 2 12 5" xfId="51455"/>
    <cellStyle name="Input [yellow] 3 10 2 13" xfId="7366"/>
    <cellStyle name="Input [yellow] 3 10 2 13 2" xfId="18563"/>
    <cellStyle name="Input [yellow] 3 10 2 13 3" xfId="29731"/>
    <cellStyle name="Input [yellow] 3 10 2 13 4" xfId="40896"/>
    <cellStyle name="Input [yellow] 3 10 2 13 5" xfId="52089"/>
    <cellStyle name="Input [yellow] 3 10 2 14" xfId="8000"/>
    <cellStyle name="Input [yellow] 3 10 2 14 2" xfId="19197"/>
    <cellStyle name="Input [yellow] 3 10 2 14 3" xfId="30365"/>
    <cellStyle name="Input [yellow] 3 10 2 14 4" xfId="41530"/>
    <cellStyle name="Input [yellow] 3 10 2 14 5" xfId="52723"/>
    <cellStyle name="Input [yellow] 3 10 2 15" xfId="8631"/>
    <cellStyle name="Input [yellow] 3 10 2 15 2" xfId="19828"/>
    <cellStyle name="Input [yellow] 3 10 2 15 3" xfId="30996"/>
    <cellStyle name="Input [yellow] 3 10 2 15 4" xfId="42161"/>
    <cellStyle name="Input [yellow] 3 10 2 15 5" xfId="53354"/>
    <cellStyle name="Input [yellow] 3 10 2 16" xfId="9004"/>
    <cellStyle name="Input [yellow] 3 10 2 16 2" xfId="20201"/>
    <cellStyle name="Input [yellow] 3 10 2 16 3" xfId="31369"/>
    <cellStyle name="Input [yellow] 3 10 2 16 4" xfId="42534"/>
    <cellStyle name="Input [yellow] 3 10 2 16 5" xfId="53727"/>
    <cellStyle name="Input [yellow] 3 10 2 17" xfId="9684"/>
    <cellStyle name="Input [yellow] 3 10 2 17 2" xfId="20881"/>
    <cellStyle name="Input [yellow] 3 10 2 17 3" xfId="32049"/>
    <cellStyle name="Input [yellow] 3 10 2 17 4" xfId="43214"/>
    <cellStyle name="Input [yellow] 3 10 2 17 5" xfId="54407"/>
    <cellStyle name="Input [yellow] 3 10 2 18" xfId="10460"/>
    <cellStyle name="Input [yellow] 3 10 2 18 2" xfId="21657"/>
    <cellStyle name="Input [yellow] 3 10 2 18 3" xfId="32825"/>
    <cellStyle name="Input [yellow] 3 10 2 18 4" xfId="43990"/>
    <cellStyle name="Input [yellow] 3 10 2 18 5" xfId="55183"/>
    <cellStyle name="Input [yellow] 3 10 2 19" xfId="10716"/>
    <cellStyle name="Input [yellow] 3 10 2 19 2" xfId="21913"/>
    <cellStyle name="Input [yellow] 3 10 2 19 3" xfId="33081"/>
    <cellStyle name="Input [yellow] 3 10 2 19 4" xfId="44246"/>
    <cellStyle name="Input [yellow] 3 10 2 19 5" xfId="55439"/>
    <cellStyle name="Input [yellow] 3 10 2 2" xfId="812"/>
    <cellStyle name="Input [yellow] 3 10 2 2 2" xfId="12009"/>
    <cellStyle name="Input [yellow] 3 10 2 2 3" xfId="23177"/>
    <cellStyle name="Input [yellow] 3 10 2 2 4" xfId="34342"/>
    <cellStyle name="Input [yellow] 3 10 2 2 5" xfId="45535"/>
    <cellStyle name="Input [yellow] 3 10 2 20" xfId="11363"/>
    <cellStyle name="Input [yellow] 3 10 2 21" xfId="22533"/>
    <cellStyle name="Input [yellow] 3 10 2 22" xfId="33700"/>
    <cellStyle name="Input [yellow] 3 10 2 23" xfId="44886"/>
    <cellStyle name="Input [yellow] 3 10 2 3" xfId="1735"/>
    <cellStyle name="Input [yellow] 3 10 2 3 2" xfId="12932"/>
    <cellStyle name="Input [yellow] 3 10 2 3 3" xfId="24100"/>
    <cellStyle name="Input [yellow] 3 10 2 3 4" xfId="35265"/>
    <cellStyle name="Input [yellow] 3 10 2 3 5" xfId="46458"/>
    <cellStyle name="Input [yellow] 3 10 2 4" xfId="2089"/>
    <cellStyle name="Input [yellow] 3 10 2 4 2" xfId="13286"/>
    <cellStyle name="Input [yellow] 3 10 2 4 3" xfId="24454"/>
    <cellStyle name="Input [yellow] 3 10 2 4 4" xfId="35619"/>
    <cellStyle name="Input [yellow] 3 10 2 4 5" xfId="46812"/>
    <cellStyle name="Input [yellow] 3 10 2 5" xfId="2263"/>
    <cellStyle name="Input [yellow] 3 10 2 5 2" xfId="13460"/>
    <cellStyle name="Input [yellow] 3 10 2 5 3" xfId="24628"/>
    <cellStyle name="Input [yellow] 3 10 2 5 4" xfId="35793"/>
    <cellStyle name="Input [yellow] 3 10 2 5 5" xfId="46986"/>
    <cellStyle name="Input [yellow] 3 10 2 6" xfId="3147"/>
    <cellStyle name="Input [yellow] 3 10 2 6 2" xfId="14344"/>
    <cellStyle name="Input [yellow] 3 10 2 6 3" xfId="25512"/>
    <cellStyle name="Input [yellow] 3 10 2 6 4" xfId="36677"/>
    <cellStyle name="Input [yellow] 3 10 2 6 5" xfId="47870"/>
    <cellStyle name="Input [yellow] 3 10 2 7" xfId="3781"/>
    <cellStyle name="Input [yellow] 3 10 2 7 2" xfId="14978"/>
    <cellStyle name="Input [yellow] 3 10 2 7 3" xfId="26146"/>
    <cellStyle name="Input [yellow] 3 10 2 7 4" xfId="37311"/>
    <cellStyle name="Input [yellow] 3 10 2 7 5" xfId="48504"/>
    <cellStyle name="Input [yellow] 3 10 2 8" xfId="4414"/>
    <cellStyle name="Input [yellow] 3 10 2 8 2" xfId="15611"/>
    <cellStyle name="Input [yellow] 3 10 2 8 3" xfId="26779"/>
    <cellStyle name="Input [yellow] 3 10 2 8 4" xfId="37944"/>
    <cellStyle name="Input [yellow] 3 10 2 8 5" xfId="49137"/>
    <cellStyle name="Input [yellow] 3 10 2 9" xfId="5045"/>
    <cellStyle name="Input [yellow] 3 10 2 9 2" xfId="16242"/>
    <cellStyle name="Input [yellow] 3 10 2 9 3" xfId="27410"/>
    <cellStyle name="Input [yellow] 3 10 2 9 4" xfId="38575"/>
    <cellStyle name="Input [yellow] 3 10 2 9 5" xfId="49768"/>
    <cellStyle name="Input [yellow] 3 10 20" xfId="5678"/>
    <cellStyle name="Input [yellow] 3 10 20 2" xfId="16875"/>
    <cellStyle name="Input [yellow] 3 10 20 3" xfId="28043"/>
    <cellStyle name="Input [yellow] 3 10 20 4" xfId="39208"/>
    <cellStyle name="Input [yellow] 3 10 20 5" xfId="50401"/>
    <cellStyle name="Input [yellow] 3 10 21" xfId="5817"/>
    <cellStyle name="Input [yellow] 3 10 21 2" xfId="17014"/>
    <cellStyle name="Input [yellow] 3 10 21 3" xfId="28182"/>
    <cellStyle name="Input [yellow] 3 10 21 4" xfId="39347"/>
    <cellStyle name="Input [yellow] 3 10 21 5" xfId="50540"/>
    <cellStyle name="Input [yellow] 3 10 22" xfId="6669"/>
    <cellStyle name="Input [yellow] 3 10 22 2" xfId="17866"/>
    <cellStyle name="Input [yellow] 3 10 22 3" xfId="29034"/>
    <cellStyle name="Input [yellow] 3 10 22 4" xfId="40199"/>
    <cellStyle name="Input [yellow] 3 10 22 5" xfId="51392"/>
    <cellStyle name="Input [yellow] 3 10 23" xfId="7302"/>
    <cellStyle name="Input [yellow] 3 10 23 2" xfId="18499"/>
    <cellStyle name="Input [yellow] 3 10 23 3" xfId="29667"/>
    <cellStyle name="Input [yellow] 3 10 23 4" xfId="40832"/>
    <cellStyle name="Input [yellow] 3 10 23 5" xfId="52025"/>
    <cellStyle name="Input [yellow] 3 10 24" xfId="7936"/>
    <cellStyle name="Input [yellow] 3 10 24 2" xfId="19133"/>
    <cellStyle name="Input [yellow] 3 10 24 3" xfId="30301"/>
    <cellStyle name="Input [yellow] 3 10 24 4" xfId="41466"/>
    <cellStyle name="Input [yellow] 3 10 24 5" xfId="52659"/>
    <cellStyle name="Input [yellow] 3 10 25" xfId="8568"/>
    <cellStyle name="Input [yellow] 3 10 25 2" xfId="19765"/>
    <cellStyle name="Input [yellow] 3 10 25 3" xfId="30933"/>
    <cellStyle name="Input [yellow] 3 10 25 4" xfId="42098"/>
    <cellStyle name="Input [yellow] 3 10 25 5" xfId="53291"/>
    <cellStyle name="Input [yellow] 3 10 26" xfId="8963"/>
    <cellStyle name="Input [yellow] 3 10 26 2" xfId="20160"/>
    <cellStyle name="Input [yellow] 3 10 26 3" xfId="31328"/>
    <cellStyle name="Input [yellow] 3 10 26 4" xfId="42493"/>
    <cellStyle name="Input [yellow] 3 10 26 5" xfId="53686"/>
    <cellStyle name="Input [yellow] 3 10 27" xfId="9621"/>
    <cellStyle name="Input [yellow] 3 10 27 2" xfId="20818"/>
    <cellStyle name="Input [yellow] 3 10 27 3" xfId="31986"/>
    <cellStyle name="Input [yellow] 3 10 27 4" xfId="43151"/>
    <cellStyle name="Input [yellow] 3 10 27 5" xfId="54344"/>
    <cellStyle name="Input [yellow] 3 10 28" xfId="10396"/>
    <cellStyle name="Input [yellow] 3 10 28 2" xfId="21593"/>
    <cellStyle name="Input [yellow] 3 10 28 3" xfId="32761"/>
    <cellStyle name="Input [yellow] 3 10 28 4" xfId="43926"/>
    <cellStyle name="Input [yellow] 3 10 28 5" xfId="55119"/>
    <cellStyle name="Input [yellow] 3 10 29" xfId="10653"/>
    <cellStyle name="Input [yellow] 3 10 29 2" xfId="21850"/>
    <cellStyle name="Input [yellow] 3 10 29 3" xfId="33018"/>
    <cellStyle name="Input [yellow] 3 10 29 4" xfId="44183"/>
    <cellStyle name="Input [yellow] 3 10 29 5" xfId="55376"/>
    <cellStyle name="Input [yellow] 3 10 3" xfId="219"/>
    <cellStyle name="Input [yellow] 3 10 3 10" xfId="5617"/>
    <cellStyle name="Input [yellow] 3 10 3 10 2" xfId="16814"/>
    <cellStyle name="Input [yellow] 3 10 3 10 3" xfId="27982"/>
    <cellStyle name="Input [yellow] 3 10 3 10 4" xfId="39147"/>
    <cellStyle name="Input [yellow] 3 10 3 10 5" xfId="50340"/>
    <cellStyle name="Input [yellow] 3 10 3 11" xfId="5832"/>
    <cellStyle name="Input [yellow] 3 10 3 11 2" xfId="17029"/>
    <cellStyle name="Input [yellow] 3 10 3 11 3" xfId="28197"/>
    <cellStyle name="Input [yellow] 3 10 3 11 4" xfId="39362"/>
    <cellStyle name="Input [yellow] 3 10 3 11 5" xfId="50555"/>
    <cellStyle name="Input [yellow] 3 10 3 12" xfId="6788"/>
    <cellStyle name="Input [yellow] 3 10 3 12 2" xfId="17985"/>
    <cellStyle name="Input [yellow] 3 10 3 12 3" xfId="29153"/>
    <cellStyle name="Input [yellow] 3 10 3 12 4" xfId="40318"/>
    <cellStyle name="Input [yellow] 3 10 3 12 5" xfId="51511"/>
    <cellStyle name="Input [yellow] 3 10 3 13" xfId="7422"/>
    <cellStyle name="Input [yellow] 3 10 3 13 2" xfId="18619"/>
    <cellStyle name="Input [yellow] 3 10 3 13 3" xfId="29787"/>
    <cellStyle name="Input [yellow] 3 10 3 13 4" xfId="40952"/>
    <cellStyle name="Input [yellow] 3 10 3 13 5" xfId="52145"/>
    <cellStyle name="Input [yellow] 3 10 3 14" xfId="8056"/>
    <cellStyle name="Input [yellow] 3 10 3 14 2" xfId="19253"/>
    <cellStyle name="Input [yellow] 3 10 3 14 3" xfId="30421"/>
    <cellStyle name="Input [yellow] 3 10 3 14 4" xfId="41586"/>
    <cellStyle name="Input [yellow] 3 10 3 14 5" xfId="52779"/>
    <cellStyle name="Input [yellow] 3 10 3 15" xfId="8687"/>
    <cellStyle name="Input [yellow] 3 10 3 15 2" xfId="19884"/>
    <cellStyle name="Input [yellow] 3 10 3 15 3" xfId="31052"/>
    <cellStyle name="Input [yellow] 3 10 3 15 4" xfId="42217"/>
    <cellStyle name="Input [yellow] 3 10 3 15 5" xfId="53410"/>
    <cellStyle name="Input [yellow] 3 10 3 16" xfId="8584"/>
    <cellStyle name="Input [yellow] 3 10 3 16 2" xfId="19781"/>
    <cellStyle name="Input [yellow] 3 10 3 16 3" xfId="30949"/>
    <cellStyle name="Input [yellow] 3 10 3 16 4" xfId="42114"/>
    <cellStyle name="Input [yellow] 3 10 3 16 5" xfId="53307"/>
    <cellStyle name="Input [yellow] 3 10 3 17" xfId="9738"/>
    <cellStyle name="Input [yellow] 3 10 3 17 2" xfId="20935"/>
    <cellStyle name="Input [yellow] 3 10 3 17 3" xfId="32103"/>
    <cellStyle name="Input [yellow] 3 10 3 17 4" xfId="43268"/>
    <cellStyle name="Input [yellow] 3 10 3 17 5" xfId="54461"/>
    <cellStyle name="Input [yellow] 3 10 3 18" xfId="10388"/>
    <cellStyle name="Input [yellow] 3 10 3 18 2" xfId="21585"/>
    <cellStyle name="Input [yellow] 3 10 3 18 3" xfId="32753"/>
    <cellStyle name="Input [yellow] 3 10 3 18 4" xfId="43918"/>
    <cellStyle name="Input [yellow] 3 10 3 18 5" xfId="55111"/>
    <cellStyle name="Input [yellow] 3 10 3 19" xfId="10772"/>
    <cellStyle name="Input [yellow] 3 10 3 19 2" xfId="21969"/>
    <cellStyle name="Input [yellow] 3 10 3 19 3" xfId="33137"/>
    <cellStyle name="Input [yellow] 3 10 3 19 4" xfId="44302"/>
    <cellStyle name="Input [yellow] 3 10 3 19 5" xfId="55495"/>
    <cellStyle name="Input [yellow] 3 10 3 2" xfId="868"/>
    <cellStyle name="Input [yellow] 3 10 3 2 2" xfId="12065"/>
    <cellStyle name="Input [yellow] 3 10 3 2 3" xfId="23233"/>
    <cellStyle name="Input [yellow] 3 10 3 2 4" xfId="34398"/>
    <cellStyle name="Input [yellow] 3 10 3 2 5" xfId="45591"/>
    <cellStyle name="Input [yellow] 3 10 3 20" xfId="11419"/>
    <cellStyle name="Input [yellow] 3 10 3 21" xfId="22589"/>
    <cellStyle name="Input [yellow] 3 10 3 22" xfId="33756"/>
    <cellStyle name="Input [yellow] 3 10 3 23" xfId="44942"/>
    <cellStyle name="Input [yellow] 3 10 3 3" xfId="1695"/>
    <cellStyle name="Input [yellow] 3 10 3 3 2" xfId="12892"/>
    <cellStyle name="Input [yellow] 3 10 3 3 3" xfId="24060"/>
    <cellStyle name="Input [yellow] 3 10 3 3 4" xfId="35225"/>
    <cellStyle name="Input [yellow] 3 10 3 3 5" xfId="46418"/>
    <cellStyle name="Input [yellow] 3 10 3 4" xfId="2145"/>
    <cellStyle name="Input [yellow] 3 10 3 4 2" xfId="13342"/>
    <cellStyle name="Input [yellow] 3 10 3 4 3" xfId="24510"/>
    <cellStyle name="Input [yellow] 3 10 3 4 4" xfId="35675"/>
    <cellStyle name="Input [yellow] 3 10 3 4 5" xfId="46868"/>
    <cellStyle name="Input [yellow] 3 10 3 5" xfId="2401"/>
    <cellStyle name="Input [yellow] 3 10 3 5 2" xfId="13598"/>
    <cellStyle name="Input [yellow] 3 10 3 5 3" xfId="24766"/>
    <cellStyle name="Input [yellow] 3 10 3 5 4" xfId="35931"/>
    <cellStyle name="Input [yellow] 3 10 3 5 5" xfId="47124"/>
    <cellStyle name="Input [yellow] 3 10 3 6" xfId="3203"/>
    <cellStyle name="Input [yellow] 3 10 3 6 2" xfId="14400"/>
    <cellStyle name="Input [yellow] 3 10 3 6 3" xfId="25568"/>
    <cellStyle name="Input [yellow] 3 10 3 6 4" xfId="36733"/>
    <cellStyle name="Input [yellow] 3 10 3 6 5" xfId="47926"/>
    <cellStyle name="Input [yellow] 3 10 3 7" xfId="3837"/>
    <cellStyle name="Input [yellow] 3 10 3 7 2" xfId="15034"/>
    <cellStyle name="Input [yellow] 3 10 3 7 3" xfId="26202"/>
    <cellStyle name="Input [yellow] 3 10 3 7 4" xfId="37367"/>
    <cellStyle name="Input [yellow] 3 10 3 7 5" xfId="48560"/>
    <cellStyle name="Input [yellow] 3 10 3 8" xfId="4470"/>
    <cellStyle name="Input [yellow] 3 10 3 8 2" xfId="15667"/>
    <cellStyle name="Input [yellow] 3 10 3 8 3" xfId="26835"/>
    <cellStyle name="Input [yellow] 3 10 3 8 4" xfId="38000"/>
    <cellStyle name="Input [yellow] 3 10 3 8 5" xfId="49193"/>
    <cellStyle name="Input [yellow] 3 10 3 9" xfId="5101"/>
    <cellStyle name="Input [yellow] 3 10 3 9 2" xfId="16298"/>
    <cellStyle name="Input [yellow] 3 10 3 9 3" xfId="27466"/>
    <cellStyle name="Input [yellow] 3 10 3 9 4" xfId="38631"/>
    <cellStyle name="Input [yellow] 3 10 3 9 5" xfId="49824"/>
    <cellStyle name="Input [yellow] 3 10 30" xfId="11300"/>
    <cellStyle name="Input [yellow] 3 10 31" xfId="22470"/>
    <cellStyle name="Input [yellow] 3 10 32" xfId="33637"/>
    <cellStyle name="Input [yellow] 3 10 33" xfId="44822"/>
    <cellStyle name="Input [yellow] 3 10 4" xfId="266"/>
    <cellStyle name="Input [yellow] 3 10 4 10" xfId="5969"/>
    <cellStyle name="Input [yellow] 3 10 4 10 2" xfId="17166"/>
    <cellStyle name="Input [yellow] 3 10 4 10 3" xfId="28334"/>
    <cellStyle name="Input [yellow] 3 10 4 10 4" xfId="39499"/>
    <cellStyle name="Input [yellow] 3 10 4 10 5" xfId="50692"/>
    <cellStyle name="Input [yellow] 3 10 4 11" xfId="5751"/>
    <cellStyle name="Input [yellow] 3 10 4 11 2" xfId="16948"/>
    <cellStyle name="Input [yellow] 3 10 4 11 3" xfId="28116"/>
    <cellStyle name="Input [yellow] 3 10 4 11 4" xfId="39281"/>
    <cellStyle name="Input [yellow] 3 10 4 11 5" xfId="50474"/>
    <cellStyle name="Input [yellow] 3 10 4 12" xfId="6835"/>
    <cellStyle name="Input [yellow] 3 10 4 12 2" xfId="18032"/>
    <cellStyle name="Input [yellow] 3 10 4 12 3" xfId="29200"/>
    <cellStyle name="Input [yellow] 3 10 4 12 4" xfId="40365"/>
    <cellStyle name="Input [yellow] 3 10 4 12 5" xfId="51558"/>
    <cellStyle name="Input [yellow] 3 10 4 13" xfId="7469"/>
    <cellStyle name="Input [yellow] 3 10 4 13 2" xfId="18666"/>
    <cellStyle name="Input [yellow] 3 10 4 13 3" xfId="29834"/>
    <cellStyle name="Input [yellow] 3 10 4 13 4" xfId="40999"/>
    <cellStyle name="Input [yellow] 3 10 4 13 5" xfId="52192"/>
    <cellStyle name="Input [yellow] 3 10 4 14" xfId="8103"/>
    <cellStyle name="Input [yellow] 3 10 4 14 2" xfId="19300"/>
    <cellStyle name="Input [yellow] 3 10 4 14 3" xfId="30468"/>
    <cellStyle name="Input [yellow] 3 10 4 14 4" xfId="41633"/>
    <cellStyle name="Input [yellow] 3 10 4 14 5" xfId="52826"/>
    <cellStyle name="Input [yellow] 3 10 4 15" xfId="8733"/>
    <cellStyle name="Input [yellow] 3 10 4 15 2" xfId="19930"/>
    <cellStyle name="Input [yellow] 3 10 4 15 3" xfId="31098"/>
    <cellStyle name="Input [yellow] 3 10 4 15 4" xfId="42263"/>
    <cellStyle name="Input [yellow] 3 10 4 15 5" xfId="53456"/>
    <cellStyle name="Input [yellow] 3 10 4 16" xfId="7904"/>
    <cellStyle name="Input [yellow] 3 10 4 16 2" xfId="19101"/>
    <cellStyle name="Input [yellow] 3 10 4 16 3" xfId="30269"/>
    <cellStyle name="Input [yellow] 3 10 4 16 4" xfId="41434"/>
    <cellStyle name="Input [yellow] 3 10 4 16 5" xfId="52627"/>
    <cellStyle name="Input [yellow] 3 10 4 17" xfId="9783"/>
    <cellStyle name="Input [yellow] 3 10 4 17 2" xfId="20980"/>
    <cellStyle name="Input [yellow] 3 10 4 17 3" xfId="32148"/>
    <cellStyle name="Input [yellow] 3 10 4 17 4" xfId="43313"/>
    <cellStyle name="Input [yellow] 3 10 4 17 5" xfId="54506"/>
    <cellStyle name="Input [yellow] 3 10 4 18" xfId="10254"/>
    <cellStyle name="Input [yellow] 3 10 4 18 2" xfId="21451"/>
    <cellStyle name="Input [yellow] 3 10 4 18 3" xfId="32619"/>
    <cellStyle name="Input [yellow] 3 10 4 18 4" xfId="43784"/>
    <cellStyle name="Input [yellow] 3 10 4 18 5" xfId="54977"/>
    <cellStyle name="Input [yellow] 3 10 4 19" xfId="10819"/>
    <cellStyle name="Input [yellow] 3 10 4 19 2" xfId="22016"/>
    <cellStyle name="Input [yellow] 3 10 4 19 3" xfId="33184"/>
    <cellStyle name="Input [yellow] 3 10 4 19 4" xfId="44349"/>
    <cellStyle name="Input [yellow] 3 10 4 19 5" xfId="55542"/>
    <cellStyle name="Input [yellow] 3 10 4 2" xfId="915"/>
    <cellStyle name="Input [yellow] 3 10 4 2 2" xfId="12112"/>
    <cellStyle name="Input [yellow] 3 10 4 2 3" xfId="23280"/>
    <cellStyle name="Input [yellow] 3 10 4 2 4" xfId="34445"/>
    <cellStyle name="Input [yellow] 3 10 4 2 5" xfId="45638"/>
    <cellStyle name="Input [yellow] 3 10 4 20" xfId="11466"/>
    <cellStyle name="Input [yellow] 3 10 4 21" xfId="22636"/>
    <cellStyle name="Input [yellow] 3 10 4 22" xfId="33803"/>
    <cellStyle name="Input [yellow] 3 10 4 23" xfId="44989"/>
    <cellStyle name="Input [yellow] 3 10 4 3" xfId="1487"/>
    <cellStyle name="Input [yellow] 3 10 4 3 2" xfId="12684"/>
    <cellStyle name="Input [yellow] 3 10 4 3 3" xfId="23852"/>
    <cellStyle name="Input [yellow] 3 10 4 3 4" xfId="35017"/>
    <cellStyle name="Input [yellow] 3 10 4 3 5" xfId="46210"/>
    <cellStyle name="Input [yellow] 3 10 4 4" xfId="2192"/>
    <cellStyle name="Input [yellow] 3 10 4 4 2" xfId="13389"/>
    <cellStyle name="Input [yellow] 3 10 4 4 3" xfId="24557"/>
    <cellStyle name="Input [yellow] 3 10 4 4 4" xfId="35722"/>
    <cellStyle name="Input [yellow] 3 10 4 4 5" xfId="46915"/>
    <cellStyle name="Input [yellow] 3 10 4 5" xfId="1440"/>
    <cellStyle name="Input [yellow] 3 10 4 5 2" xfId="12637"/>
    <cellStyle name="Input [yellow] 3 10 4 5 3" xfId="23805"/>
    <cellStyle name="Input [yellow] 3 10 4 5 4" xfId="34970"/>
    <cellStyle name="Input [yellow] 3 10 4 5 5" xfId="46163"/>
    <cellStyle name="Input [yellow] 3 10 4 6" xfId="3250"/>
    <cellStyle name="Input [yellow] 3 10 4 6 2" xfId="14447"/>
    <cellStyle name="Input [yellow] 3 10 4 6 3" xfId="25615"/>
    <cellStyle name="Input [yellow] 3 10 4 6 4" xfId="36780"/>
    <cellStyle name="Input [yellow] 3 10 4 6 5" xfId="47973"/>
    <cellStyle name="Input [yellow] 3 10 4 7" xfId="3884"/>
    <cellStyle name="Input [yellow] 3 10 4 7 2" xfId="15081"/>
    <cellStyle name="Input [yellow] 3 10 4 7 3" xfId="26249"/>
    <cellStyle name="Input [yellow] 3 10 4 7 4" xfId="37414"/>
    <cellStyle name="Input [yellow] 3 10 4 7 5" xfId="48607"/>
    <cellStyle name="Input [yellow] 3 10 4 8" xfId="4517"/>
    <cellStyle name="Input [yellow] 3 10 4 8 2" xfId="15714"/>
    <cellStyle name="Input [yellow] 3 10 4 8 3" xfId="26882"/>
    <cellStyle name="Input [yellow] 3 10 4 8 4" xfId="38047"/>
    <cellStyle name="Input [yellow] 3 10 4 8 5" xfId="49240"/>
    <cellStyle name="Input [yellow] 3 10 4 9" xfId="5148"/>
    <cellStyle name="Input [yellow] 3 10 4 9 2" xfId="16345"/>
    <cellStyle name="Input [yellow] 3 10 4 9 3" xfId="27513"/>
    <cellStyle name="Input [yellow] 3 10 4 9 4" xfId="38678"/>
    <cellStyle name="Input [yellow] 3 10 4 9 5" xfId="49871"/>
    <cellStyle name="Input [yellow] 3 10 5" xfId="347"/>
    <cellStyle name="Input [yellow] 3 10 5 10" xfId="6201"/>
    <cellStyle name="Input [yellow] 3 10 5 10 2" xfId="17398"/>
    <cellStyle name="Input [yellow] 3 10 5 10 3" xfId="28566"/>
    <cellStyle name="Input [yellow] 3 10 5 10 4" xfId="39731"/>
    <cellStyle name="Input [yellow] 3 10 5 10 5" xfId="50924"/>
    <cellStyle name="Input [yellow] 3 10 5 11" xfId="6283"/>
    <cellStyle name="Input [yellow] 3 10 5 11 2" xfId="17480"/>
    <cellStyle name="Input [yellow] 3 10 5 11 3" xfId="28648"/>
    <cellStyle name="Input [yellow] 3 10 5 11 4" xfId="39813"/>
    <cellStyle name="Input [yellow] 3 10 5 11 5" xfId="51006"/>
    <cellStyle name="Input [yellow] 3 10 5 12" xfId="6916"/>
    <cellStyle name="Input [yellow] 3 10 5 12 2" xfId="18113"/>
    <cellStyle name="Input [yellow] 3 10 5 12 3" xfId="29281"/>
    <cellStyle name="Input [yellow] 3 10 5 12 4" xfId="40446"/>
    <cellStyle name="Input [yellow] 3 10 5 12 5" xfId="51639"/>
    <cellStyle name="Input [yellow] 3 10 5 13" xfId="7550"/>
    <cellStyle name="Input [yellow] 3 10 5 13 2" xfId="18747"/>
    <cellStyle name="Input [yellow] 3 10 5 13 3" xfId="29915"/>
    <cellStyle name="Input [yellow] 3 10 5 13 4" xfId="41080"/>
    <cellStyle name="Input [yellow] 3 10 5 13 5" xfId="52273"/>
    <cellStyle name="Input [yellow] 3 10 5 14" xfId="8184"/>
    <cellStyle name="Input [yellow] 3 10 5 14 2" xfId="19381"/>
    <cellStyle name="Input [yellow] 3 10 5 14 3" xfId="30549"/>
    <cellStyle name="Input [yellow] 3 10 5 14 4" xfId="41714"/>
    <cellStyle name="Input [yellow] 3 10 5 14 5" xfId="52907"/>
    <cellStyle name="Input [yellow] 3 10 5 15" xfId="8813"/>
    <cellStyle name="Input [yellow] 3 10 5 15 2" xfId="20010"/>
    <cellStyle name="Input [yellow] 3 10 5 15 3" xfId="31178"/>
    <cellStyle name="Input [yellow] 3 10 5 15 4" xfId="42343"/>
    <cellStyle name="Input [yellow] 3 10 5 15 5" xfId="53536"/>
    <cellStyle name="Input [yellow] 3 10 5 16" xfId="9235"/>
    <cellStyle name="Input [yellow] 3 10 5 16 2" xfId="20432"/>
    <cellStyle name="Input [yellow] 3 10 5 16 3" xfId="31600"/>
    <cellStyle name="Input [yellow] 3 10 5 16 4" xfId="42765"/>
    <cellStyle name="Input [yellow] 3 10 5 16 5" xfId="53958"/>
    <cellStyle name="Input [yellow] 3 10 5 17" xfId="9862"/>
    <cellStyle name="Input [yellow] 3 10 5 17 2" xfId="21059"/>
    <cellStyle name="Input [yellow] 3 10 5 17 3" xfId="32227"/>
    <cellStyle name="Input [yellow] 3 10 5 17 4" xfId="43392"/>
    <cellStyle name="Input [yellow] 3 10 5 17 5" xfId="54585"/>
    <cellStyle name="Input [yellow] 3 10 5 18" xfId="9927"/>
    <cellStyle name="Input [yellow] 3 10 5 18 2" xfId="21124"/>
    <cellStyle name="Input [yellow] 3 10 5 18 3" xfId="32292"/>
    <cellStyle name="Input [yellow] 3 10 5 18 4" xfId="43457"/>
    <cellStyle name="Input [yellow] 3 10 5 18 5" xfId="54650"/>
    <cellStyle name="Input [yellow] 3 10 5 19" xfId="10900"/>
    <cellStyle name="Input [yellow] 3 10 5 19 2" xfId="22097"/>
    <cellStyle name="Input [yellow] 3 10 5 19 3" xfId="33265"/>
    <cellStyle name="Input [yellow] 3 10 5 19 4" xfId="44430"/>
    <cellStyle name="Input [yellow] 3 10 5 19 5" xfId="55623"/>
    <cellStyle name="Input [yellow] 3 10 5 2" xfId="996"/>
    <cellStyle name="Input [yellow] 3 10 5 2 2" xfId="12193"/>
    <cellStyle name="Input [yellow] 3 10 5 2 3" xfId="23361"/>
    <cellStyle name="Input [yellow] 3 10 5 2 4" xfId="34526"/>
    <cellStyle name="Input [yellow] 3 10 5 2 5" xfId="45719"/>
    <cellStyle name="Input [yellow] 3 10 5 20" xfId="11547"/>
    <cellStyle name="Input [yellow] 3 10 5 21" xfId="22717"/>
    <cellStyle name="Input [yellow] 3 10 5 22" xfId="33884"/>
    <cellStyle name="Input [yellow] 3 10 5 23" xfId="45070"/>
    <cellStyle name="Input [yellow] 3 10 5 3" xfId="1887"/>
    <cellStyle name="Input [yellow] 3 10 5 3 2" xfId="13084"/>
    <cellStyle name="Input [yellow] 3 10 5 3 3" xfId="24252"/>
    <cellStyle name="Input [yellow] 3 10 5 3 4" xfId="35417"/>
    <cellStyle name="Input [yellow] 3 10 5 3 5" xfId="46610"/>
    <cellStyle name="Input [yellow] 3 10 5 4" xfId="2272"/>
    <cellStyle name="Input [yellow] 3 10 5 4 2" xfId="13469"/>
    <cellStyle name="Input [yellow] 3 10 5 4 3" xfId="24637"/>
    <cellStyle name="Input [yellow] 3 10 5 4 4" xfId="35802"/>
    <cellStyle name="Input [yellow] 3 10 5 4 5" xfId="46995"/>
    <cellStyle name="Input [yellow] 3 10 5 5" xfId="2697"/>
    <cellStyle name="Input [yellow] 3 10 5 5 2" xfId="13894"/>
    <cellStyle name="Input [yellow] 3 10 5 5 3" xfId="25062"/>
    <cellStyle name="Input [yellow] 3 10 5 5 4" xfId="36227"/>
    <cellStyle name="Input [yellow] 3 10 5 5 5" xfId="47420"/>
    <cellStyle name="Input [yellow] 3 10 5 6" xfId="3331"/>
    <cellStyle name="Input [yellow] 3 10 5 6 2" xfId="14528"/>
    <cellStyle name="Input [yellow] 3 10 5 6 3" xfId="25696"/>
    <cellStyle name="Input [yellow] 3 10 5 6 4" xfId="36861"/>
    <cellStyle name="Input [yellow] 3 10 5 6 5" xfId="48054"/>
    <cellStyle name="Input [yellow] 3 10 5 7" xfId="3965"/>
    <cellStyle name="Input [yellow] 3 10 5 7 2" xfId="15162"/>
    <cellStyle name="Input [yellow] 3 10 5 7 3" xfId="26330"/>
    <cellStyle name="Input [yellow] 3 10 5 7 4" xfId="37495"/>
    <cellStyle name="Input [yellow] 3 10 5 7 5" xfId="48688"/>
    <cellStyle name="Input [yellow] 3 10 5 8" xfId="4598"/>
    <cellStyle name="Input [yellow] 3 10 5 8 2" xfId="15795"/>
    <cellStyle name="Input [yellow] 3 10 5 8 3" xfId="26963"/>
    <cellStyle name="Input [yellow] 3 10 5 8 4" xfId="38128"/>
    <cellStyle name="Input [yellow] 3 10 5 8 5" xfId="49321"/>
    <cellStyle name="Input [yellow] 3 10 5 9" xfId="5229"/>
    <cellStyle name="Input [yellow] 3 10 5 9 2" xfId="16426"/>
    <cellStyle name="Input [yellow] 3 10 5 9 3" xfId="27594"/>
    <cellStyle name="Input [yellow] 3 10 5 9 4" xfId="38759"/>
    <cellStyle name="Input [yellow] 3 10 5 9 5" xfId="49952"/>
    <cellStyle name="Input [yellow] 3 10 6" xfId="393"/>
    <cellStyle name="Input [yellow] 3 10 6 10" xfId="6101"/>
    <cellStyle name="Input [yellow] 3 10 6 10 2" xfId="17298"/>
    <cellStyle name="Input [yellow] 3 10 6 10 3" xfId="28466"/>
    <cellStyle name="Input [yellow] 3 10 6 10 4" xfId="39631"/>
    <cellStyle name="Input [yellow] 3 10 6 10 5" xfId="50824"/>
    <cellStyle name="Input [yellow] 3 10 6 11" xfId="6329"/>
    <cellStyle name="Input [yellow] 3 10 6 11 2" xfId="17526"/>
    <cellStyle name="Input [yellow] 3 10 6 11 3" xfId="28694"/>
    <cellStyle name="Input [yellow] 3 10 6 11 4" xfId="39859"/>
    <cellStyle name="Input [yellow] 3 10 6 11 5" xfId="51052"/>
    <cellStyle name="Input [yellow] 3 10 6 12" xfId="6962"/>
    <cellStyle name="Input [yellow] 3 10 6 12 2" xfId="18159"/>
    <cellStyle name="Input [yellow] 3 10 6 12 3" xfId="29327"/>
    <cellStyle name="Input [yellow] 3 10 6 12 4" xfId="40492"/>
    <cellStyle name="Input [yellow] 3 10 6 12 5" xfId="51685"/>
    <cellStyle name="Input [yellow] 3 10 6 13" xfId="7596"/>
    <cellStyle name="Input [yellow] 3 10 6 13 2" xfId="18793"/>
    <cellStyle name="Input [yellow] 3 10 6 13 3" xfId="29961"/>
    <cellStyle name="Input [yellow] 3 10 6 13 4" xfId="41126"/>
    <cellStyle name="Input [yellow] 3 10 6 13 5" xfId="52319"/>
    <cellStyle name="Input [yellow] 3 10 6 14" xfId="8230"/>
    <cellStyle name="Input [yellow] 3 10 6 14 2" xfId="19427"/>
    <cellStyle name="Input [yellow] 3 10 6 14 3" xfId="30595"/>
    <cellStyle name="Input [yellow] 3 10 6 14 4" xfId="41760"/>
    <cellStyle name="Input [yellow] 3 10 6 14 5" xfId="52953"/>
    <cellStyle name="Input [yellow] 3 10 6 15" xfId="8858"/>
    <cellStyle name="Input [yellow] 3 10 6 15 2" xfId="20055"/>
    <cellStyle name="Input [yellow] 3 10 6 15 3" xfId="31223"/>
    <cellStyle name="Input [yellow] 3 10 6 15 4" xfId="42388"/>
    <cellStyle name="Input [yellow] 3 10 6 15 5" xfId="53581"/>
    <cellStyle name="Input [yellow] 3 10 6 16" xfId="9281"/>
    <cellStyle name="Input [yellow] 3 10 6 16 2" xfId="20478"/>
    <cellStyle name="Input [yellow] 3 10 6 16 3" xfId="31646"/>
    <cellStyle name="Input [yellow] 3 10 6 16 4" xfId="42811"/>
    <cellStyle name="Input [yellow] 3 10 6 16 5" xfId="54004"/>
    <cellStyle name="Input [yellow] 3 10 6 17" xfId="9907"/>
    <cellStyle name="Input [yellow] 3 10 6 17 2" xfId="21104"/>
    <cellStyle name="Input [yellow] 3 10 6 17 3" xfId="32272"/>
    <cellStyle name="Input [yellow] 3 10 6 17 4" xfId="43437"/>
    <cellStyle name="Input [yellow] 3 10 6 17 5" xfId="54630"/>
    <cellStyle name="Input [yellow] 3 10 6 18" xfId="10548"/>
    <cellStyle name="Input [yellow] 3 10 6 18 2" xfId="21745"/>
    <cellStyle name="Input [yellow] 3 10 6 18 3" xfId="32913"/>
    <cellStyle name="Input [yellow] 3 10 6 18 4" xfId="44078"/>
    <cellStyle name="Input [yellow] 3 10 6 18 5" xfId="55271"/>
    <cellStyle name="Input [yellow] 3 10 6 19" xfId="10946"/>
    <cellStyle name="Input [yellow] 3 10 6 19 2" xfId="22143"/>
    <cellStyle name="Input [yellow] 3 10 6 19 3" xfId="33311"/>
    <cellStyle name="Input [yellow] 3 10 6 19 4" xfId="44476"/>
    <cellStyle name="Input [yellow] 3 10 6 19 5" xfId="55669"/>
    <cellStyle name="Input [yellow] 3 10 6 2" xfId="1042"/>
    <cellStyle name="Input [yellow] 3 10 6 2 2" xfId="12239"/>
    <cellStyle name="Input [yellow] 3 10 6 2 3" xfId="23407"/>
    <cellStyle name="Input [yellow] 3 10 6 2 4" xfId="34572"/>
    <cellStyle name="Input [yellow] 3 10 6 2 5" xfId="45765"/>
    <cellStyle name="Input [yellow] 3 10 6 20" xfId="11593"/>
    <cellStyle name="Input [yellow] 3 10 6 21" xfId="22763"/>
    <cellStyle name="Input [yellow] 3 10 6 22" xfId="33930"/>
    <cellStyle name="Input [yellow] 3 10 6 23" xfId="45116"/>
    <cellStyle name="Input [yellow] 3 10 6 3" xfId="1410"/>
    <cellStyle name="Input [yellow] 3 10 6 3 2" xfId="12607"/>
    <cellStyle name="Input [yellow] 3 10 6 3 3" xfId="23775"/>
    <cellStyle name="Input [yellow] 3 10 6 3 4" xfId="34940"/>
    <cellStyle name="Input [yellow] 3 10 6 3 5" xfId="46133"/>
    <cellStyle name="Input [yellow] 3 10 6 4" xfId="2318"/>
    <cellStyle name="Input [yellow] 3 10 6 4 2" xfId="13515"/>
    <cellStyle name="Input [yellow] 3 10 6 4 3" xfId="24683"/>
    <cellStyle name="Input [yellow] 3 10 6 4 4" xfId="35848"/>
    <cellStyle name="Input [yellow] 3 10 6 4 5" xfId="47041"/>
    <cellStyle name="Input [yellow] 3 10 6 5" xfId="2743"/>
    <cellStyle name="Input [yellow] 3 10 6 5 2" xfId="13940"/>
    <cellStyle name="Input [yellow] 3 10 6 5 3" xfId="25108"/>
    <cellStyle name="Input [yellow] 3 10 6 5 4" xfId="36273"/>
    <cellStyle name="Input [yellow] 3 10 6 5 5" xfId="47466"/>
    <cellStyle name="Input [yellow] 3 10 6 6" xfId="3377"/>
    <cellStyle name="Input [yellow] 3 10 6 6 2" xfId="14574"/>
    <cellStyle name="Input [yellow] 3 10 6 6 3" xfId="25742"/>
    <cellStyle name="Input [yellow] 3 10 6 6 4" xfId="36907"/>
    <cellStyle name="Input [yellow] 3 10 6 6 5" xfId="48100"/>
    <cellStyle name="Input [yellow] 3 10 6 7" xfId="4011"/>
    <cellStyle name="Input [yellow] 3 10 6 7 2" xfId="15208"/>
    <cellStyle name="Input [yellow] 3 10 6 7 3" xfId="26376"/>
    <cellStyle name="Input [yellow] 3 10 6 7 4" xfId="37541"/>
    <cellStyle name="Input [yellow] 3 10 6 7 5" xfId="48734"/>
    <cellStyle name="Input [yellow] 3 10 6 8" xfId="4644"/>
    <cellStyle name="Input [yellow] 3 10 6 8 2" xfId="15841"/>
    <cellStyle name="Input [yellow] 3 10 6 8 3" xfId="27009"/>
    <cellStyle name="Input [yellow] 3 10 6 8 4" xfId="38174"/>
    <cellStyle name="Input [yellow] 3 10 6 8 5" xfId="49367"/>
    <cellStyle name="Input [yellow] 3 10 6 9" xfId="5275"/>
    <cellStyle name="Input [yellow] 3 10 6 9 2" xfId="16472"/>
    <cellStyle name="Input [yellow] 3 10 6 9 3" xfId="27640"/>
    <cellStyle name="Input [yellow] 3 10 6 9 4" xfId="38805"/>
    <cellStyle name="Input [yellow] 3 10 6 9 5" xfId="49998"/>
    <cellStyle name="Input [yellow] 3 10 7" xfId="346"/>
    <cellStyle name="Input [yellow] 3 10 7 10" xfId="6113"/>
    <cellStyle name="Input [yellow] 3 10 7 10 2" xfId="17310"/>
    <cellStyle name="Input [yellow] 3 10 7 10 3" xfId="28478"/>
    <cellStyle name="Input [yellow] 3 10 7 10 4" xfId="39643"/>
    <cellStyle name="Input [yellow] 3 10 7 10 5" xfId="50836"/>
    <cellStyle name="Input [yellow] 3 10 7 11" xfId="6282"/>
    <cellStyle name="Input [yellow] 3 10 7 11 2" xfId="17479"/>
    <cellStyle name="Input [yellow] 3 10 7 11 3" xfId="28647"/>
    <cellStyle name="Input [yellow] 3 10 7 11 4" xfId="39812"/>
    <cellStyle name="Input [yellow] 3 10 7 11 5" xfId="51005"/>
    <cellStyle name="Input [yellow] 3 10 7 12" xfId="6915"/>
    <cellStyle name="Input [yellow] 3 10 7 12 2" xfId="18112"/>
    <cellStyle name="Input [yellow] 3 10 7 12 3" xfId="29280"/>
    <cellStyle name="Input [yellow] 3 10 7 12 4" xfId="40445"/>
    <cellStyle name="Input [yellow] 3 10 7 12 5" xfId="51638"/>
    <cellStyle name="Input [yellow] 3 10 7 13" xfId="7549"/>
    <cellStyle name="Input [yellow] 3 10 7 13 2" xfId="18746"/>
    <cellStyle name="Input [yellow] 3 10 7 13 3" xfId="29914"/>
    <cellStyle name="Input [yellow] 3 10 7 13 4" xfId="41079"/>
    <cellStyle name="Input [yellow] 3 10 7 13 5" xfId="52272"/>
    <cellStyle name="Input [yellow] 3 10 7 14" xfId="8183"/>
    <cellStyle name="Input [yellow] 3 10 7 14 2" xfId="19380"/>
    <cellStyle name="Input [yellow] 3 10 7 14 3" xfId="30548"/>
    <cellStyle name="Input [yellow] 3 10 7 14 4" xfId="41713"/>
    <cellStyle name="Input [yellow] 3 10 7 14 5" xfId="52906"/>
    <cellStyle name="Input [yellow] 3 10 7 15" xfId="8812"/>
    <cellStyle name="Input [yellow] 3 10 7 15 2" xfId="20009"/>
    <cellStyle name="Input [yellow] 3 10 7 15 3" xfId="31177"/>
    <cellStyle name="Input [yellow] 3 10 7 15 4" xfId="42342"/>
    <cellStyle name="Input [yellow] 3 10 7 15 5" xfId="53535"/>
    <cellStyle name="Input [yellow] 3 10 7 16" xfId="9234"/>
    <cellStyle name="Input [yellow] 3 10 7 16 2" xfId="20431"/>
    <cellStyle name="Input [yellow] 3 10 7 16 3" xfId="31599"/>
    <cellStyle name="Input [yellow] 3 10 7 16 4" xfId="42764"/>
    <cellStyle name="Input [yellow] 3 10 7 16 5" xfId="53957"/>
    <cellStyle name="Input [yellow] 3 10 7 17" xfId="9861"/>
    <cellStyle name="Input [yellow] 3 10 7 17 2" xfId="21058"/>
    <cellStyle name="Input [yellow] 3 10 7 17 3" xfId="32226"/>
    <cellStyle name="Input [yellow] 3 10 7 17 4" xfId="43391"/>
    <cellStyle name="Input [yellow] 3 10 7 17 5" xfId="54584"/>
    <cellStyle name="Input [yellow] 3 10 7 18" xfId="9767"/>
    <cellStyle name="Input [yellow] 3 10 7 18 2" xfId="20964"/>
    <cellStyle name="Input [yellow] 3 10 7 18 3" xfId="32132"/>
    <cellStyle name="Input [yellow] 3 10 7 18 4" xfId="43297"/>
    <cellStyle name="Input [yellow] 3 10 7 18 5" xfId="54490"/>
    <cellStyle name="Input [yellow] 3 10 7 19" xfId="10899"/>
    <cellStyle name="Input [yellow] 3 10 7 19 2" xfId="22096"/>
    <cellStyle name="Input [yellow] 3 10 7 19 3" xfId="33264"/>
    <cellStyle name="Input [yellow] 3 10 7 19 4" xfId="44429"/>
    <cellStyle name="Input [yellow] 3 10 7 19 5" xfId="55622"/>
    <cellStyle name="Input [yellow] 3 10 7 2" xfId="995"/>
    <cellStyle name="Input [yellow] 3 10 7 2 2" xfId="12192"/>
    <cellStyle name="Input [yellow] 3 10 7 2 3" xfId="23360"/>
    <cellStyle name="Input [yellow] 3 10 7 2 4" xfId="34525"/>
    <cellStyle name="Input [yellow] 3 10 7 2 5" xfId="45718"/>
    <cellStyle name="Input [yellow] 3 10 7 20" xfId="11546"/>
    <cellStyle name="Input [yellow] 3 10 7 21" xfId="22716"/>
    <cellStyle name="Input [yellow] 3 10 7 22" xfId="33883"/>
    <cellStyle name="Input [yellow] 3 10 7 23" xfId="45069"/>
    <cellStyle name="Input [yellow] 3 10 7 3" xfId="1478"/>
    <cellStyle name="Input [yellow] 3 10 7 3 2" xfId="12675"/>
    <cellStyle name="Input [yellow] 3 10 7 3 3" xfId="23843"/>
    <cellStyle name="Input [yellow] 3 10 7 3 4" xfId="35008"/>
    <cellStyle name="Input [yellow] 3 10 7 3 5" xfId="46201"/>
    <cellStyle name="Input [yellow] 3 10 7 4" xfId="2271"/>
    <cellStyle name="Input [yellow] 3 10 7 4 2" xfId="13468"/>
    <cellStyle name="Input [yellow] 3 10 7 4 3" xfId="24636"/>
    <cellStyle name="Input [yellow] 3 10 7 4 4" xfId="35801"/>
    <cellStyle name="Input [yellow] 3 10 7 4 5" xfId="46994"/>
    <cellStyle name="Input [yellow] 3 10 7 5" xfId="2696"/>
    <cellStyle name="Input [yellow] 3 10 7 5 2" xfId="13893"/>
    <cellStyle name="Input [yellow] 3 10 7 5 3" xfId="25061"/>
    <cellStyle name="Input [yellow] 3 10 7 5 4" xfId="36226"/>
    <cellStyle name="Input [yellow] 3 10 7 5 5" xfId="47419"/>
    <cellStyle name="Input [yellow] 3 10 7 6" xfId="3330"/>
    <cellStyle name="Input [yellow] 3 10 7 6 2" xfId="14527"/>
    <cellStyle name="Input [yellow] 3 10 7 6 3" xfId="25695"/>
    <cellStyle name="Input [yellow] 3 10 7 6 4" xfId="36860"/>
    <cellStyle name="Input [yellow] 3 10 7 6 5" xfId="48053"/>
    <cellStyle name="Input [yellow] 3 10 7 7" xfId="3964"/>
    <cellStyle name="Input [yellow] 3 10 7 7 2" xfId="15161"/>
    <cellStyle name="Input [yellow] 3 10 7 7 3" xfId="26329"/>
    <cellStyle name="Input [yellow] 3 10 7 7 4" xfId="37494"/>
    <cellStyle name="Input [yellow] 3 10 7 7 5" xfId="48687"/>
    <cellStyle name="Input [yellow] 3 10 7 8" xfId="4597"/>
    <cellStyle name="Input [yellow] 3 10 7 8 2" xfId="15794"/>
    <cellStyle name="Input [yellow] 3 10 7 8 3" xfId="26962"/>
    <cellStyle name="Input [yellow] 3 10 7 8 4" xfId="38127"/>
    <cellStyle name="Input [yellow] 3 10 7 8 5" xfId="49320"/>
    <cellStyle name="Input [yellow] 3 10 7 9" xfId="5228"/>
    <cellStyle name="Input [yellow] 3 10 7 9 2" xfId="16425"/>
    <cellStyle name="Input [yellow] 3 10 7 9 3" xfId="27593"/>
    <cellStyle name="Input [yellow] 3 10 7 9 4" xfId="38758"/>
    <cellStyle name="Input [yellow] 3 10 7 9 5" xfId="49951"/>
    <cellStyle name="Input [yellow] 3 10 8" xfId="508"/>
    <cellStyle name="Input [yellow] 3 10 8 10" xfId="5635"/>
    <cellStyle name="Input [yellow] 3 10 8 10 2" xfId="16832"/>
    <cellStyle name="Input [yellow] 3 10 8 10 3" xfId="28000"/>
    <cellStyle name="Input [yellow] 3 10 8 10 4" xfId="39165"/>
    <cellStyle name="Input [yellow] 3 10 8 10 5" xfId="50358"/>
    <cellStyle name="Input [yellow] 3 10 8 11" xfId="6444"/>
    <cellStyle name="Input [yellow] 3 10 8 11 2" xfId="17641"/>
    <cellStyle name="Input [yellow] 3 10 8 11 3" xfId="28809"/>
    <cellStyle name="Input [yellow] 3 10 8 11 4" xfId="39974"/>
    <cellStyle name="Input [yellow] 3 10 8 11 5" xfId="51167"/>
    <cellStyle name="Input [yellow] 3 10 8 12" xfId="7077"/>
    <cellStyle name="Input [yellow] 3 10 8 12 2" xfId="18274"/>
    <cellStyle name="Input [yellow] 3 10 8 12 3" xfId="29442"/>
    <cellStyle name="Input [yellow] 3 10 8 12 4" xfId="40607"/>
    <cellStyle name="Input [yellow] 3 10 8 12 5" xfId="51800"/>
    <cellStyle name="Input [yellow] 3 10 8 13" xfId="7711"/>
    <cellStyle name="Input [yellow] 3 10 8 13 2" xfId="18908"/>
    <cellStyle name="Input [yellow] 3 10 8 13 3" xfId="30076"/>
    <cellStyle name="Input [yellow] 3 10 8 13 4" xfId="41241"/>
    <cellStyle name="Input [yellow] 3 10 8 13 5" xfId="52434"/>
    <cellStyle name="Input [yellow] 3 10 8 14" xfId="8345"/>
    <cellStyle name="Input [yellow] 3 10 8 14 2" xfId="19542"/>
    <cellStyle name="Input [yellow] 3 10 8 14 3" xfId="30710"/>
    <cellStyle name="Input [yellow] 3 10 8 14 4" xfId="41875"/>
    <cellStyle name="Input [yellow] 3 10 8 14 5" xfId="53068"/>
    <cellStyle name="Input [yellow] 3 10 8 15" xfId="8973"/>
    <cellStyle name="Input [yellow] 3 10 8 15 2" xfId="20170"/>
    <cellStyle name="Input [yellow] 3 10 8 15 3" xfId="31338"/>
    <cellStyle name="Input [yellow] 3 10 8 15 4" xfId="42503"/>
    <cellStyle name="Input [yellow] 3 10 8 15 5" xfId="53696"/>
    <cellStyle name="Input [yellow] 3 10 8 16" xfId="9396"/>
    <cellStyle name="Input [yellow] 3 10 8 16 2" xfId="20593"/>
    <cellStyle name="Input [yellow] 3 10 8 16 3" xfId="31761"/>
    <cellStyle name="Input [yellow] 3 10 8 16 4" xfId="42926"/>
    <cellStyle name="Input [yellow] 3 10 8 16 5" xfId="54119"/>
    <cellStyle name="Input [yellow] 3 10 8 17" xfId="10021"/>
    <cellStyle name="Input [yellow] 3 10 8 17 2" xfId="21218"/>
    <cellStyle name="Input [yellow] 3 10 8 17 3" xfId="32386"/>
    <cellStyle name="Input [yellow] 3 10 8 17 4" xfId="43551"/>
    <cellStyle name="Input [yellow] 3 10 8 17 5" xfId="54744"/>
    <cellStyle name="Input [yellow] 3 10 8 18" xfId="10558"/>
    <cellStyle name="Input [yellow] 3 10 8 18 2" xfId="21755"/>
    <cellStyle name="Input [yellow] 3 10 8 18 3" xfId="32923"/>
    <cellStyle name="Input [yellow] 3 10 8 18 4" xfId="44088"/>
    <cellStyle name="Input [yellow] 3 10 8 18 5" xfId="55281"/>
    <cellStyle name="Input [yellow] 3 10 8 19" xfId="11061"/>
    <cellStyle name="Input [yellow] 3 10 8 19 2" xfId="22258"/>
    <cellStyle name="Input [yellow] 3 10 8 19 3" xfId="33426"/>
    <cellStyle name="Input [yellow] 3 10 8 19 4" xfId="44591"/>
    <cellStyle name="Input [yellow] 3 10 8 19 5" xfId="55784"/>
    <cellStyle name="Input [yellow] 3 10 8 2" xfId="1157"/>
    <cellStyle name="Input [yellow] 3 10 8 2 2" xfId="12354"/>
    <cellStyle name="Input [yellow] 3 10 8 2 3" xfId="23522"/>
    <cellStyle name="Input [yellow] 3 10 8 2 4" xfId="34687"/>
    <cellStyle name="Input [yellow] 3 10 8 2 5" xfId="45880"/>
    <cellStyle name="Input [yellow] 3 10 8 20" xfId="11708"/>
    <cellStyle name="Input [yellow] 3 10 8 21" xfId="22878"/>
    <cellStyle name="Input [yellow] 3 10 8 22" xfId="34045"/>
    <cellStyle name="Input [yellow] 3 10 8 23" xfId="45231"/>
    <cellStyle name="Input [yellow] 3 10 8 3" xfId="1388"/>
    <cellStyle name="Input [yellow] 3 10 8 3 2" xfId="12585"/>
    <cellStyle name="Input [yellow] 3 10 8 3 3" xfId="23753"/>
    <cellStyle name="Input [yellow] 3 10 8 3 4" xfId="34918"/>
    <cellStyle name="Input [yellow] 3 10 8 3 5" xfId="46111"/>
    <cellStyle name="Input [yellow] 3 10 8 4" xfId="2433"/>
    <cellStyle name="Input [yellow] 3 10 8 4 2" xfId="13630"/>
    <cellStyle name="Input [yellow] 3 10 8 4 3" xfId="24798"/>
    <cellStyle name="Input [yellow] 3 10 8 4 4" xfId="35963"/>
    <cellStyle name="Input [yellow] 3 10 8 4 5" xfId="47156"/>
    <cellStyle name="Input [yellow] 3 10 8 5" xfId="2858"/>
    <cellStyle name="Input [yellow] 3 10 8 5 2" xfId="14055"/>
    <cellStyle name="Input [yellow] 3 10 8 5 3" xfId="25223"/>
    <cellStyle name="Input [yellow] 3 10 8 5 4" xfId="36388"/>
    <cellStyle name="Input [yellow] 3 10 8 5 5" xfId="47581"/>
    <cellStyle name="Input [yellow] 3 10 8 6" xfId="3492"/>
    <cellStyle name="Input [yellow] 3 10 8 6 2" xfId="14689"/>
    <cellStyle name="Input [yellow] 3 10 8 6 3" xfId="25857"/>
    <cellStyle name="Input [yellow] 3 10 8 6 4" xfId="37022"/>
    <cellStyle name="Input [yellow] 3 10 8 6 5" xfId="48215"/>
    <cellStyle name="Input [yellow] 3 10 8 7" xfId="4126"/>
    <cellStyle name="Input [yellow] 3 10 8 7 2" xfId="15323"/>
    <cellStyle name="Input [yellow] 3 10 8 7 3" xfId="26491"/>
    <cellStyle name="Input [yellow] 3 10 8 7 4" xfId="37656"/>
    <cellStyle name="Input [yellow] 3 10 8 7 5" xfId="48849"/>
    <cellStyle name="Input [yellow] 3 10 8 8" xfId="4759"/>
    <cellStyle name="Input [yellow] 3 10 8 8 2" xfId="15956"/>
    <cellStyle name="Input [yellow] 3 10 8 8 3" xfId="27124"/>
    <cellStyle name="Input [yellow] 3 10 8 8 4" xfId="38289"/>
    <cellStyle name="Input [yellow] 3 10 8 8 5" xfId="49482"/>
    <cellStyle name="Input [yellow] 3 10 8 9" xfId="5390"/>
    <cellStyle name="Input [yellow] 3 10 8 9 2" xfId="16587"/>
    <cellStyle name="Input [yellow] 3 10 8 9 3" xfId="27755"/>
    <cellStyle name="Input [yellow] 3 10 8 9 4" xfId="38920"/>
    <cellStyle name="Input [yellow] 3 10 8 9 5" xfId="50113"/>
    <cellStyle name="Input [yellow] 3 10 9" xfId="566"/>
    <cellStyle name="Input [yellow] 3 10 9 10" xfId="5626"/>
    <cellStyle name="Input [yellow] 3 10 9 10 2" xfId="16823"/>
    <cellStyle name="Input [yellow] 3 10 9 10 3" xfId="27991"/>
    <cellStyle name="Input [yellow] 3 10 9 10 4" xfId="39156"/>
    <cellStyle name="Input [yellow] 3 10 9 10 5" xfId="50349"/>
    <cellStyle name="Input [yellow] 3 10 9 11" xfId="6502"/>
    <cellStyle name="Input [yellow] 3 10 9 11 2" xfId="17699"/>
    <cellStyle name="Input [yellow] 3 10 9 11 3" xfId="28867"/>
    <cellStyle name="Input [yellow] 3 10 9 11 4" xfId="40032"/>
    <cellStyle name="Input [yellow] 3 10 9 11 5" xfId="51225"/>
    <cellStyle name="Input [yellow] 3 10 9 12" xfId="7135"/>
    <cellStyle name="Input [yellow] 3 10 9 12 2" xfId="18332"/>
    <cellStyle name="Input [yellow] 3 10 9 12 3" xfId="29500"/>
    <cellStyle name="Input [yellow] 3 10 9 12 4" xfId="40665"/>
    <cellStyle name="Input [yellow] 3 10 9 12 5" xfId="51858"/>
    <cellStyle name="Input [yellow] 3 10 9 13" xfId="7769"/>
    <cellStyle name="Input [yellow] 3 10 9 13 2" xfId="18966"/>
    <cellStyle name="Input [yellow] 3 10 9 13 3" xfId="30134"/>
    <cellStyle name="Input [yellow] 3 10 9 13 4" xfId="41299"/>
    <cellStyle name="Input [yellow] 3 10 9 13 5" xfId="52492"/>
    <cellStyle name="Input [yellow] 3 10 9 14" xfId="8403"/>
    <cellStyle name="Input [yellow] 3 10 9 14 2" xfId="19600"/>
    <cellStyle name="Input [yellow] 3 10 9 14 3" xfId="30768"/>
    <cellStyle name="Input [yellow] 3 10 9 14 4" xfId="41933"/>
    <cellStyle name="Input [yellow] 3 10 9 14 5" xfId="53126"/>
    <cellStyle name="Input [yellow] 3 10 9 15" xfId="9031"/>
    <cellStyle name="Input [yellow] 3 10 9 15 2" xfId="20228"/>
    <cellStyle name="Input [yellow] 3 10 9 15 3" xfId="31396"/>
    <cellStyle name="Input [yellow] 3 10 9 15 4" xfId="42561"/>
    <cellStyle name="Input [yellow] 3 10 9 15 5" xfId="53754"/>
    <cellStyle name="Input [yellow] 3 10 9 16" xfId="9454"/>
    <cellStyle name="Input [yellow] 3 10 9 16 2" xfId="20651"/>
    <cellStyle name="Input [yellow] 3 10 9 16 3" xfId="31819"/>
    <cellStyle name="Input [yellow] 3 10 9 16 4" xfId="42984"/>
    <cellStyle name="Input [yellow] 3 10 9 16 5" xfId="54177"/>
    <cellStyle name="Input [yellow] 3 10 9 17" xfId="10079"/>
    <cellStyle name="Input [yellow] 3 10 9 17 2" xfId="21276"/>
    <cellStyle name="Input [yellow] 3 10 9 17 3" xfId="32444"/>
    <cellStyle name="Input [yellow] 3 10 9 17 4" xfId="43609"/>
    <cellStyle name="Input [yellow] 3 10 9 17 5" xfId="54802"/>
    <cellStyle name="Input [yellow] 3 10 9 18" xfId="10415"/>
    <cellStyle name="Input [yellow] 3 10 9 18 2" xfId="21612"/>
    <cellStyle name="Input [yellow] 3 10 9 18 3" xfId="32780"/>
    <cellStyle name="Input [yellow] 3 10 9 18 4" xfId="43945"/>
    <cellStyle name="Input [yellow] 3 10 9 18 5" xfId="55138"/>
    <cellStyle name="Input [yellow] 3 10 9 19" xfId="11119"/>
    <cellStyle name="Input [yellow] 3 10 9 19 2" xfId="22316"/>
    <cellStyle name="Input [yellow] 3 10 9 19 3" xfId="33484"/>
    <cellStyle name="Input [yellow] 3 10 9 19 4" xfId="44649"/>
    <cellStyle name="Input [yellow] 3 10 9 19 5" xfId="55842"/>
    <cellStyle name="Input [yellow] 3 10 9 2" xfId="1215"/>
    <cellStyle name="Input [yellow] 3 10 9 2 2" xfId="12412"/>
    <cellStyle name="Input [yellow] 3 10 9 2 3" xfId="23580"/>
    <cellStyle name="Input [yellow] 3 10 9 2 4" xfId="34745"/>
    <cellStyle name="Input [yellow] 3 10 9 2 5" xfId="45938"/>
    <cellStyle name="Input [yellow] 3 10 9 20" xfId="11766"/>
    <cellStyle name="Input [yellow] 3 10 9 21" xfId="22936"/>
    <cellStyle name="Input [yellow] 3 10 9 22" xfId="34103"/>
    <cellStyle name="Input [yellow] 3 10 9 23" xfId="45289"/>
    <cellStyle name="Input [yellow] 3 10 9 3" xfId="1716"/>
    <cellStyle name="Input [yellow] 3 10 9 3 2" xfId="12913"/>
    <cellStyle name="Input [yellow] 3 10 9 3 3" xfId="24081"/>
    <cellStyle name="Input [yellow] 3 10 9 3 4" xfId="35246"/>
    <cellStyle name="Input [yellow] 3 10 9 3 5" xfId="46439"/>
    <cellStyle name="Input [yellow] 3 10 9 4" xfId="2491"/>
    <cellStyle name="Input [yellow] 3 10 9 4 2" xfId="13688"/>
    <cellStyle name="Input [yellow] 3 10 9 4 3" xfId="24856"/>
    <cellStyle name="Input [yellow] 3 10 9 4 4" xfId="36021"/>
    <cellStyle name="Input [yellow] 3 10 9 4 5" xfId="47214"/>
    <cellStyle name="Input [yellow] 3 10 9 5" xfId="2916"/>
    <cellStyle name="Input [yellow] 3 10 9 5 2" xfId="14113"/>
    <cellStyle name="Input [yellow] 3 10 9 5 3" xfId="25281"/>
    <cellStyle name="Input [yellow] 3 10 9 5 4" xfId="36446"/>
    <cellStyle name="Input [yellow] 3 10 9 5 5" xfId="47639"/>
    <cellStyle name="Input [yellow] 3 10 9 6" xfId="3550"/>
    <cellStyle name="Input [yellow] 3 10 9 6 2" xfId="14747"/>
    <cellStyle name="Input [yellow] 3 10 9 6 3" xfId="25915"/>
    <cellStyle name="Input [yellow] 3 10 9 6 4" xfId="37080"/>
    <cellStyle name="Input [yellow] 3 10 9 6 5" xfId="48273"/>
    <cellStyle name="Input [yellow] 3 10 9 7" xfId="4184"/>
    <cellStyle name="Input [yellow] 3 10 9 7 2" xfId="15381"/>
    <cellStyle name="Input [yellow] 3 10 9 7 3" xfId="26549"/>
    <cellStyle name="Input [yellow] 3 10 9 7 4" xfId="37714"/>
    <cellStyle name="Input [yellow] 3 10 9 7 5" xfId="48907"/>
    <cellStyle name="Input [yellow] 3 10 9 8" xfId="4817"/>
    <cellStyle name="Input [yellow] 3 10 9 8 2" xfId="16014"/>
    <cellStyle name="Input [yellow] 3 10 9 8 3" xfId="27182"/>
    <cellStyle name="Input [yellow] 3 10 9 8 4" xfId="38347"/>
    <cellStyle name="Input [yellow] 3 10 9 8 5" xfId="49540"/>
    <cellStyle name="Input [yellow] 3 10 9 9" xfId="5448"/>
    <cellStyle name="Input [yellow] 3 10 9 9 2" xfId="16645"/>
    <cellStyle name="Input [yellow] 3 10 9 9 3" xfId="27813"/>
    <cellStyle name="Input [yellow] 3 10 9 9 4" xfId="38978"/>
    <cellStyle name="Input [yellow] 3 10 9 9 5" xfId="50171"/>
    <cellStyle name="Input [yellow] 3 11" xfId="102"/>
    <cellStyle name="Input [yellow] 3 11 10" xfId="501"/>
    <cellStyle name="Input [yellow] 3 11 10 10" xfId="5684"/>
    <cellStyle name="Input [yellow] 3 11 10 10 2" xfId="16881"/>
    <cellStyle name="Input [yellow] 3 11 10 10 3" xfId="28049"/>
    <cellStyle name="Input [yellow] 3 11 10 10 4" xfId="39214"/>
    <cellStyle name="Input [yellow] 3 11 10 10 5" xfId="50407"/>
    <cellStyle name="Input [yellow] 3 11 10 11" xfId="6437"/>
    <cellStyle name="Input [yellow] 3 11 10 11 2" xfId="17634"/>
    <cellStyle name="Input [yellow] 3 11 10 11 3" xfId="28802"/>
    <cellStyle name="Input [yellow] 3 11 10 11 4" xfId="39967"/>
    <cellStyle name="Input [yellow] 3 11 10 11 5" xfId="51160"/>
    <cellStyle name="Input [yellow] 3 11 10 12" xfId="7070"/>
    <cellStyle name="Input [yellow] 3 11 10 12 2" xfId="18267"/>
    <cellStyle name="Input [yellow] 3 11 10 12 3" xfId="29435"/>
    <cellStyle name="Input [yellow] 3 11 10 12 4" xfId="40600"/>
    <cellStyle name="Input [yellow] 3 11 10 12 5" xfId="51793"/>
    <cellStyle name="Input [yellow] 3 11 10 13" xfId="7704"/>
    <cellStyle name="Input [yellow] 3 11 10 13 2" xfId="18901"/>
    <cellStyle name="Input [yellow] 3 11 10 13 3" xfId="30069"/>
    <cellStyle name="Input [yellow] 3 11 10 13 4" xfId="41234"/>
    <cellStyle name="Input [yellow] 3 11 10 13 5" xfId="52427"/>
    <cellStyle name="Input [yellow] 3 11 10 14" xfId="8338"/>
    <cellStyle name="Input [yellow] 3 11 10 14 2" xfId="19535"/>
    <cellStyle name="Input [yellow] 3 11 10 14 3" xfId="30703"/>
    <cellStyle name="Input [yellow] 3 11 10 14 4" xfId="41868"/>
    <cellStyle name="Input [yellow] 3 11 10 14 5" xfId="53061"/>
    <cellStyle name="Input [yellow] 3 11 10 15" xfId="8966"/>
    <cellStyle name="Input [yellow] 3 11 10 15 2" xfId="20163"/>
    <cellStyle name="Input [yellow] 3 11 10 15 3" xfId="31331"/>
    <cellStyle name="Input [yellow] 3 11 10 15 4" xfId="42496"/>
    <cellStyle name="Input [yellow] 3 11 10 15 5" xfId="53689"/>
    <cellStyle name="Input [yellow] 3 11 10 16" xfId="9389"/>
    <cellStyle name="Input [yellow] 3 11 10 16 2" xfId="20586"/>
    <cellStyle name="Input [yellow] 3 11 10 16 3" xfId="31754"/>
    <cellStyle name="Input [yellow] 3 11 10 16 4" xfId="42919"/>
    <cellStyle name="Input [yellow] 3 11 10 16 5" xfId="54112"/>
    <cellStyle name="Input [yellow] 3 11 10 17" xfId="10014"/>
    <cellStyle name="Input [yellow] 3 11 10 17 2" xfId="21211"/>
    <cellStyle name="Input [yellow] 3 11 10 17 3" xfId="32379"/>
    <cellStyle name="Input [yellow] 3 11 10 17 4" xfId="43544"/>
    <cellStyle name="Input [yellow] 3 11 10 17 5" xfId="54737"/>
    <cellStyle name="Input [yellow] 3 11 10 18" xfId="10375"/>
    <cellStyle name="Input [yellow] 3 11 10 18 2" xfId="21572"/>
    <cellStyle name="Input [yellow] 3 11 10 18 3" xfId="32740"/>
    <cellStyle name="Input [yellow] 3 11 10 18 4" xfId="43905"/>
    <cellStyle name="Input [yellow] 3 11 10 18 5" xfId="55098"/>
    <cellStyle name="Input [yellow] 3 11 10 19" xfId="11054"/>
    <cellStyle name="Input [yellow] 3 11 10 19 2" xfId="22251"/>
    <cellStyle name="Input [yellow] 3 11 10 19 3" xfId="33419"/>
    <cellStyle name="Input [yellow] 3 11 10 19 4" xfId="44584"/>
    <cellStyle name="Input [yellow] 3 11 10 19 5" xfId="55777"/>
    <cellStyle name="Input [yellow] 3 11 10 2" xfId="1150"/>
    <cellStyle name="Input [yellow] 3 11 10 2 2" xfId="12347"/>
    <cellStyle name="Input [yellow] 3 11 10 2 3" xfId="23515"/>
    <cellStyle name="Input [yellow] 3 11 10 2 4" xfId="34680"/>
    <cellStyle name="Input [yellow] 3 11 10 2 5" xfId="45873"/>
    <cellStyle name="Input [yellow] 3 11 10 20" xfId="11701"/>
    <cellStyle name="Input [yellow] 3 11 10 21" xfId="22871"/>
    <cellStyle name="Input [yellow] 3 11 10 22" xfId="34038"/>
    <cellStyle name="Input [yellow] 3 11 10 23" xfId="45224"/>
    <cellStyle name="Input [yellow] 3 11 10 3" xfId="1662"/>
    <cellStyle name="Input [yellow] 3 11 10 3 2" xfId="12859"/>
    <cellStyle name="Input [yellow] 3 11 10 3 3" xfId="24027"/>
    <cellStyle name="Input [yellow] 3 11 10 3 4" xfId="35192"/>
    <cellStyle name="Input [yellow] 3 11 10 3 5" xfId="46385"/>
    <cellStyle name="Input [yellow] 3 11 10 4" xfId="2426"/>
    <cellStyle name="Input [yellow] 3 11 10 4 2" xfId="13623"/>
    <cellStyle name="Input [yellow] 3 11 10 4 3" xfId="24791"/>
    <cellStyle name="Input [yellow] 3 11 10 4 4" xfId="35956"/>
    <cellStyle name="Input [yellow] 3 11 10 4 5" xfId="47149"/>
    <cellStyle name="Input [yellow] 3 11 10 5" xfId="2851"/>
    <cellStyle name="Input [yellow] 3 11 10 5 2" xfId="14048"/>
    <cellStyle name="Input [yellow] 3 11 10 5 3" xfId="25216"/>
    <cellStyle name="Input [yellow] 3 11 10 5 4" xfId="36381"/>
    <cellStyle name="Input [yellow] 3 11 10 5 5" xfId="47574"/>
    <cellStyle name="Input [yellow] 3 11 10 6" xfId="3485"/>
    <cellStyle name="Input [yellow] 3 11 10 6 2" xfId="14682"/>
    <cellStyle name="Input [yellow] 3 11 10 6 3" xfId="25850"/>
    <cellStyle name="Input [yellow] 3 11 10 6 4" xfId="37015"/>
    <cellStyle name="Input [yellow] 3 11 10 6 5" xfId="48208"/>
    <cellStyle name="Input [yellow] 3 11 10 7" xfId="4119"/>
    <cellStyle name="Input [yellow] 3 11 10 7 2" xfId="15316"/>
    <cellStyle name="Input [yellow] 3 11 10 7 3" xfId="26484"/>
    <cellStyle name="Input [yellow] 3 11 10 7 4" xfId="37649"/>
    <cellStyle name="Input [yellow] 3 11 10 7 5" xfId="48842"/>
    <cellStyle name="Input [yellow] 3 11 10 8" xfId="4752"/>
    <cellStyle name="Input [yellow] 3 11 10 8 2" xfId="15949"/>
    <cellStyle name="Input [yellow] 3 11 10 8 3" xfId="27117"/>
    <cellStyle name="Input [yellow] 3 11 10 8 4" xfId="38282"/>
    <cellStyle name="Input [yellow] 3 11 10 8 5" xfId="49475"/>
    <cellStyle name="Input [yellow] 3 11 10 9" xfId="5383"/>
    <cellStyle name="Input [yellow] 3 11 10 9 2" xfId="16580"/>
    <cellStyle name="Input [yellow] 3 11 10 9 3" xfId="27748"/>
    <cellStyle name="Input [yellow] 3 11 10 9 4" xfId="38913"/>
    <cellStyle name="Input [yellow] 3 11 10 9 5" xfId="50106"/>
    <cellStyle name="Input [yellow] 3 11 11" xfId="608"/>
    <cellStyle name="Input [yellow] 3 11 11 10" xfId="5692"/>
    <cellStyle name="Input [yellow] 3 11 11 10 2" xfId="16889"/>
    <cellStyle name="Input [yellow] 3 11 11 10 3" xfId="28057"/>
    <cellStyle name="Input [yellow] 3 11 11 10 4" xfId="39222"/>
    <cellStyle name="Input [yellow] 3 11 11 10 5" xfId="50415"/>
    <cellStyle name="Input [yellow] 3 11 11 11" xfId="6544"/>
    <cellStyle name="Input [yellow] 3 11 11 11 2" xfId="17741"/>
    <cellStyle name="Input [yellow] 3 11 11 11 3" xfId="28909"/>
    <cellStyle name="Input [yellow] 3 11 11 11 4" xfId="40074"/>
    <cellStyle name="Input [yellow] 3 11 11 11 5" xfId="51267"/>
    <cellStyle name="Input [yellow] 3 11 11 12" xfId="7177"/>
    <cellStyle name="Input [yellow] 3 11 11 12 2" xfId="18374"/>
    <cellStyle name="Input [yellow] 3 11 11 12 3" xfId="29542"/>
    <cellStyle name="Input [yellow] 3 11 11 12 4" xfId="40707"/>
    <cellStyle name="Input [yellow] 3 11 11 12 5" xfId="51900"/>
    <cellStyle name="Input [yellow] 3 11 11 13" xfId="7811"/>
    <cellStyle name="Input [yellow] 3 11 11 13 2" xfId="19008"/>
    <cellStyle name="Input [yellow] 3 11 11 13 3" xfId="30176"/>
    <cellStyle name="Input [yellow] 3 11 11 13 4" xfId="41341"/>
    <cellStyle name="Input [yellow] 3 11 11 13 5" xfId="52534"/>
    <cellStyle name="Input [yellow] 3 11 11 14" xfId="8445"/>
    <cellStyle name="Input [yellow] 3 11 11 14 2" xfId="19642"/>
    <cellStyle name="Input [yellow] 3 11 11 14 3" xfId="30810"/>
    <cellStyle name="Input [yellow] 3 11 11 14 4" xfId="41975"/>
    <cellStyle name="Input [yellow] 3 11 11 14 5" xfId="53168"/>
    <cellStyle name="Input [yellow] 3 11 11 15" xfId="9073"/>
    <cellStyle name="Input [yellow] 3 11 11 15 2" xfId="20270"/>
    <cellStyle name="Input [yellow] 3 11 11 15 3" xfId="31438"/>
    <cellStyle name="Input [yellow] 3 11 11 15 4" xfId="42603"/>
    <cellStyle name="Input [yellow] 3 11 11 15 5" xfId="53796"/>
    <cellStyle name="Input [yellow] 3 11 11 16" xfId="9496"/>
    <cellStyle name="Input [yellow] 3 11 11 16 2" xfId="20693"/>
    <cellStyle name="Input [yellow] 3 11 11 16 3" xfId="31861"/>
    <cellStyle name="Input [yellow] 3 11 11 16 4" xfId="43026"/>
    <cellStyle name="Input [yellow] 3 11 11 16 5" xfId="54219"/>
    <cellStyle name="Input [yellow] 3 11 11 17" xfId="10121"/>
    <cellStyle name="Input [yellow] 3 11 11 17 2" xfId="21318"/>
    <cellStyle name="Input [yellow] 3 11 11 17 3" xfId="32486"/>
    <cellStyle name="Input [yellow] 3 11 11 17 4" xfId="43651"/>
    <cellStyle name="Input [yellow] 3 11 11 17 5" xfId="54844"/>
    <cellStyle name="Input [yellow] 3 11 11 18" xfId="10577"/>
    <cellStyle name="Input [yellow] 3 11 11 18 2" xfId="21774"/>
    <cellStyle name="Input [yellow] 3 11 11 18 3" xfId="32942"/>
    <cellStyle name="Input [yellow] 3 11 11 18 4" xfId="44107"/>
    <cellStyle name="Input [yellow] 3 11 11 18 5" xfId="55300"/>
    <cellStyle name="Input [yellow] 3 11 11 19" xfId="11161"/>
    <cellStyle name="Input [yellow] 3 11 11 19 2" xfId="22358"/>
    <cellStyle name="Input [yellow] 3 11 11 19 3" xfId="33526"/>
    <cellStyle name="Input [yellow] 3 11 11 19 4" xfId="44691"/>
    <cellStyle name="Input [yellow] 3 11 11 19 5" xfId="55884"/>
    <cellStyle name="Input [yellow] 3 11 11 2" xfId="1257"/>
    <cellStyle name="Input [yellow] 3 11 11 2 2" xfId="12454"/>
    <cellStyle name="Input [yellow] 3 11 11 2 3" xfId="23622"/>
    <cellStyle name="Input [yellow] 3 11 11 2 4" xfId="34787"/>
    <cellStyle name="Input [yellow] 3 11 11 2 5" xfId="45980"/>
    <cellStyle name="Input [yellow] 3 11 11 20" xfId="11808"/>
    <cellStyle name="Input [yellow] 3 11 11 21" xfId="22978"/>
    <cellStyle name="Input [yellow] 3 11 11 22" xfId="34145"/>
    <cellStyle name="Input [yellow] 3 11 11 23" xfId="45331"/>
    <cellStyle name="Input [yellow] 3 11 11 3" xfId="1416"/>
    <cellStyle name="Input [yellow] 3 11 11 3 2" xfId="12613"/>
    <cellStyle name="Input [yellow] 3 11 11 3 3" xfId="23781"/>
    <cellStyle name="Input [yellow] 3 11 11 3 4" xfId="34946"/>
    <cellStyle name="Input [yellow] 3 11 11 3 5" xfId="46139"/>
    <cellStyle name="Input [yellow] 3 11 11 4" xfId="2533"/>
    <cellStyle name="Input [yellow] 3 11 11 4 2" xfId="13730"/>
    <cellStyle name="Input [yellow] 3 11 11 4 3" xfId="24898"/>
    <cellStyle name="Input [yellow] 3 11 11 4 4" xfId="36063"/>
    <cellStyle name="Input [yellow] 3 11 11 4 5" xfId="47256"/>
    <cellStyle name="Input [yellow] 3 11 11 5" xfId="2958"/>
    <cellStyle name="Input [yellow] 3 11 11 5 2" xfId="14155"/>
    <cellStyle name="Input [yellow] 3 11 11 5 3" xfId="25323"/>
    <cellStyle name="Input [yellow] 3 11 11 5 4" xfId="36488"/>
    <cellStyle name="Input [yellow] 3 11 11 5 5" xfId="47681"/>
    <cellStyle name="Input [yellow] 3 11 11 6" xfId="3592"/>
    <cellStyle name="Input [yellow] 3 11 11 6 2" xfId="14789"/>
    <cellStyle name="Input [yellow] 3 11 11 6 3" xfId="25957"/>
    <cellStyle name="Input [yellow] 3 11 11 6 4" xfId="37122"/>
    <cellStyle name="Input [yellow] 3 11 11 6 5" xfId="48315"/>
    <cellStyle name="Input [yellow] 3 11 11 7" xfId="4226"/>
    <cellStyle name="Input [yellow] 3 11 11 7 2" xfId="15423"/>
    <cellStyle name="Input [yellow] 3 11 11 7 3" xfId="26591"/>
    <cellStyle name="Input [yellow] 3 11 11 7 4" xfId="37756"/>
    <cellStyle name="Input [yellow] 3 11 11 7 5" xfId="48949"/>
    <cellStyle name="Input [yellow] 3 11 11 8" xfId="4859"/>
    <cellStyle name="Input [yellow] 3 11 11 8 2" xfId="16056"/>
    <cellStyle name="Input [yellow] 3 11 11 8 3" xfId="27224"/>
    <cellStyle name="Input [yellow] 3 11 11 8 4" xfId="38389"/>
    <cellStyle name="Input [yellow] 3 11 11 8 5" xfId="49582"/>
    <cellStyle name="Input [yellow] 3 11 11 9" xfId="5490"/>
    <cellStyle name="Input [yellow] 3 11 11 9 2" xfId="16687"/>
    <cellStyle name="Input [yellow] 3 11 11 9 3" xfId="27855"/>
    <cellStyle name="Input [yellow] 3 11 11 9 4" xfId="39020"/>
    <cellStyle name="Input [yellow] 3 11 11 9 5" xfId="50213"/>
    <cellStyle name="Input [yellow] 3 11 12" xfId="751"/>
    <cellStyle name="Input [yellow] 3 11 12 2" xfId="11949"/>
    <cellStyle name="Input [yellow] 3 11 12 3" xfId="23117"/>
    <cellStyle name="Input [yellow] 3 11 12 4" xfId="34282"/>
    <cellStyle name="Input [yellow] 3 11 12 5" xfId="45474"/>
    <cellStyle name="Input [yellow] 3 11 13" xfId="1491"/>
    <cellStyle name="Input [yellow] 3 11 13 2" xfId="12688"/>
    <cellStyle name="Input [yellow] 3 11 13 3" xfId="23856"/>
    <cellStyle name="Input [yellow] 3 11 13 4" xfId="35021"/>
    <cellStyle name="Input [yellow] 3 11 13 5" xfId="46214"/>
    <cellStyle name="Input [yellow] 3 11 14" xfId="2028"/>
    <cellStyle name="Input [yellow] 3 11 14 2" xfId="13225"/>
    <cellStyle name="Input [yellow] 3 11 14 3" xfId="24393"/>
    <cellStyle name="Input [yellow] 3 11 14 4" xfId="35558"/>
    <cellStyle name="Input [yellow] 3 11 14 5" xfId="46751"/>
    <cellStyle name="Input [yellow] 3 11 15" xfId="2080"/>
    <cellStyle name="Input [yellow] 3 11 15 2" xfId="13277"/>
    <cellStyle name="Input [yellow] 3 11 15 3" xfId="24445"/>
    <cellStyle name="Input [yellow] 3 11 15 4" xfId="35610"/>
    <cellStyle name="Input [yellow] 3 11 15 5" xfId="46803"/>
    <cellStyle name="Input [yellow] 3 11 16" xfId="3086"/>
    <cellStyle name="Input [yellow] 3 11 16 2" xfId="14283"/>
    <cellStyle name="Input [yellow] 3 11 16 3" xfId="25451"/>
    <cellStyle name="Input [yellow] 3 11 16 4" xfId="36616"/>
    <cellStyle name="Input [yellow] 3 11 16 5" xfId="47809"/>
    <cellStyle name="Input [yellow] 3 11 17" xfId="3720"/>
    <cellStyle name="Input [yellow] 3 11 17 2" xfId="14917"/>
    <cellStyle name="Input [yellow] 3 11 17 3" xfId="26085"/>
    <cellStyle name="Input [yellow] 3 11 17 4" xfId="37250"/>
    <cellStyle name="Input [yellow] 3 11 17 5" xfId="48443"/>
    <cellStyle name="Input [yellow] 3 11 18" xfId="4353"/>
    <cellStyle name="Input [yellow] 3 11 18 2" xfId="15550"/>
    <cellStyle name="Input [yellow] 3 11 18 3" xfId="26718"/>
    <cellStyle name="Input [yellow] 3 11 18 4" xfId="37883"/>
    <cellStyle name="Input [yellow] 3 11 18 5" xfId="49076"/>
    <cellStyle name="Input [yellow] 3 11 19" xfId="4985"/>
    <cellStyle name="Input [yellow] 3 11 19 2" xfId="16182"/>
    <cellStyle name="Input [yellow] 3 11 19 3" xfId="27350"/>
    <cellStyle name="Input [yellow] 3 11 19 4" xfId="38515"/>
    <cellStyle name="Input [yellow] 3 11 19 5" xfId="49708"/>
    <cellStyle name="Input [yellow] 3 11 2" xfId="166"/>
    <cellStyle name="Input [yellow] 3 11 2 10" xfId="5606"/>
    <cellStyle name="Input [yellow] 3 11 2 10 2" xfId="16803"/>
    <cellStyle name="Input [yellow] 3 11 2 10 3" xfId="27971"/>
    <cellStyle name="Input [yellow] 3 11 2 10 4" xfId="39136"/>
    <cellStyle name="Input [yellow] 3 11 2 10 5" xfId="50329"/>
    <cellStyle name="Input [yellow] 3 11 2 11" xfId="5998"/>
    <cellStyle name="Input [yellow] 3 11 2 11 2" xfId="17195"/>
    <cellStyle name="Input [yellow] 3 11 2 11 3" xfId="28363"/>
    <cellStyle name="Input [yellow] 3 11 2 11 4" xfId="39528"/>
    <cellStyle name="Input [yellow] 3 11 2 11 5" xfId="50721"/>
    <cellStyle name="Input [yellow] 3 11 2 12" xfId="6735"/>
    <cellStyle name="Input [yellow] 3 11 2 12 2" xfId="17932"/>
    <cellStyle name="Input [yellow] 3 11 2 12 3" xfId="29100"/>
    <cellStyle name="Input [yellow] 3 11 2 12 4" xfId="40265"/>
    <cellStyle name="Input [yellow] 3 11 2 12 5" xfId="51458"/>
    <cellStyle name="Input [yellow] 3 11 2 13" xfId="7369"/>
    <cellStyle name="Input [yellow] 3 11 2 13 2" xfId="18566"/>
    <cellStyle name="Input [yellow] 3 11 2 13 3" xfId="29734"/>
    <cellStyle name="Input [yellow] 3 11 2 13 4" xfId="40899"/>
    <cellStyle name="Input [yellow] 3 11 2 13 5" xfId="52092"/>
    <cellStyle name="Input [yellow] 3 11 2 14" xfId="8003"/>
    <cellStyle name="Input [yellow] 3 11 2 14 2" xfId="19200"/>
    <cellStyle name="Input [yellow] 3 11 2 14 3" xfId="30368"/>
    <cellStyle name="Input [yellow] 3 11 2 14 4" xfId="41533"/>
    <cellStyle name="Input [yellow] 3 11 2 14 5" xfId="52726"/>
    <cellStyle name="Input [yellow] 3 11 2 15" xfId="8634"/>
    <cellStyle name="Input [yellow] 3 11 2 15 2" xfId="19831"/>
    <cellStyle name="Input [yellow] 3 11 2 15 3" xfId="30999"/>
    <cellStyle name="Input [yellow] 3 11 2 15 4" xfId="42164"/>
    <cellStyle name="Input [yellow] 3 11 2 15 5" xfId="53357"/>
    <cellStyle name="Input [yellow] 3 11 2 16" xfId="8804"/>
    <cellStyle name="Input [yellow] 3 11 2 16 2" xfId="20001"/>
    <cellStyle name="Input [yellow] 3 11 2 16 3" xfId="31169"/>
    <cellStyle name="Input [yellow] 3 11 2 16 4" xfId="42334"/>
    <cellStyle name="Input [yellow] 3 11 2 16 5" xfId="53527"/>
    <cellStyle name="Input [yellow] 3 11 2 17" xfId="9687"/>
    <cellStyle name="Input [yellow] 3 11 2 17 2" xfId="20884"/>
    <cellStyle name="Input [yellow] 3 11 2 17 3" xfId="32052"/>
    <cellStyle name="Input [yellow] 3 11 2 17 4" xfId="43217"/>
    <cellStyle name="Input [yellow] 3 11 2 17 5" xfId="54410"/>
    <cellStyle name="Input [yellow] 3 11 2 18" xfId="10205"/>
    <cellStyle name="Input [yellow] 3 11 2 18 2" xfId="21402"/>
    <cellStyle name="Input [yellow] 3 11 2 18 3" xfId="32570"/>
    <cellStyle name="Input [yellow] 3 11 2 18 4" xfId="43735"/>
    <cellStyle name="Input [yellow] 3 11 2 18 5" xfId="54928"/>
    <cellStyle name="Input [yellow] 3 11 2 19" xfId="10719"/>
    <cellStyle name="Input [yellow] 3 11 2 19 2" xfId="21916"/>
    <cellStyle name="Input [yellow] 3 11 2 19 3" xfId="33084"/>
    <cellStyle name="Input [yellow] 3 11 2 19 4" xfId="44249"/>
    <cellStyle name="Input [yellow] 3 11 2 19 5" xfId="55442"/>
    <cellStyle name="Input [yellow] 3 11 2 2" xfId="815"/>
    <cellStyle name="Input [yellow] 3 11 2 2 2" xfId="12012"/>
    <cellStyle name="Input [yellow] 3 11 2 2 3" xfId="23180"/>
    <cellStyle name="Input [yellow] 3 11 2 2 4" xfId="34345"/>
    <cellStyle name="Input [yellow] 3 11 2 2 5" xfId="45538"/>
    <cellStyle name="Input [yellow] 3 11 2 20" xfId="11366"/>
    <cellStyle name="Input [yellow] 3 11 2 21" xfId="22536"/>
    <cellStyle name="Input [yellow] 3 11 2 22" xfId="33703"/>
    <cellStyle name="Input [yellow] 3 11 2 23" xfId="44889"/>
    <cellStyle name="Input [yellow] 3 11 2 3" xfId="1424"/>
    <cellStyle name="Input [yellow] 3 11 2 3 2" xfId="12621"/>
    <cellStyle name="Input [yellow] 3 11 2 3 3" xfId="23789"/>
    <cellStyle name="Input [yellow] 3 11 2 3 4" xfId="34954"/>
    <cellStyle name="Input [yellow] 3 11 2 3 5" xfId="46147"/>
    <cellStyle name="Input [yellow] 3 11 2 4" xfId="2092"/>
    <cellStyle name="Input [yellow] 3 11 2 4 2" xfId="13289"/>
    <cellStyle name="Input [yellow] 3 11 2 4 3" xfId="24457"/>
    <cellStyle name="Input [yellow] 3 11 2 4 4" xfId="35622"/>
    <cellStyle name="Input [yellow] 3 11 2 4 5" xfId="46815"/>
    <cellStyle name="Input [yellow] 3 11 2 5" xfId="2119"/>
    <cellStyle name="Input [yellow] 3 11 2 5 2" xfId="13316"/>
    <cellStyle name="Input [yellow] 3 11 2 5 3" xfId="24484"/>
    <cellStyle name="Input [yellow] 3 11 2 5 4" xfId="35649"/>
    <cellStyle name="Input [yellow] 3 11 2 5 5" xfId="46842"/>
    <cellStyle name="Input [yellow] 3 11 2 6" xfId="3150"/>
    <cellStyle name="Input [yellow] 3 11 2 6 2" xfId="14347"/>
    <cellStyle name="Input [yellow] 3 11 2 6 3" xfId="25515"/>
    <cellStyle name="Input [yellow] 3 11 2 6 4" xfId="36680"/>
    <cellStyle name="Input [yellow] 3 11 2 6 5" xfId="47873"/>
    <cellStyle name="Input [yellow] 3 11 2 7" xfId="3784"/>
    <cellStyle name="Input [yellow] 3 11 2 7 2" xfId="14981"/>
    <cellStyle name="Input [yellow] 3 11 2 7 3" xfId="26149"/>
    <cellStyle name="Input [yellow] 3 11 2 7 4" xfId="37314"/>
    <cellStyle name="Input [yellow] 3 11 2 7 5" xfId="48507"/>
    <cellStyle name="Input [yellow] 3 11 2 8" xfId="4417"/>
    <cellStyle name="Input [yellow] 3 11 2 8 2" xfId="15614"/>
    <cellStyle name="Input [yellow] 3 11 2 8 3" xfId="26782"/>
    <cellStyle name="Input [yellow] 3 11 2 8 4" xfId="37947"/>
    <cellStyle name="Input [yellow] 3 11 2 8 5" xfId="49140"/>
    <cellStyle name="Input [yellow] 3 11 2 9" xfId="5048"/>
    <cellStyle name="Input [yellow] 3 11 2 9 2" xfId="16245"/>
    <cellStyle name="Input [yellow] 3 11 2 9 3" xfId="27413"/>
    <cellStyle name="Input [yellow] 3 11 2 9 4" xfId="38578"/>
    <cellStyle name="Input [yellow] 3 11 2 9 5" xfId="49771"/>
    <cellStyle name="Input [yellow] 3 11 20" xfId="5708"/>
    <cellStyle name="Input [yellow] 3 11 20 2" xfId="16905"/>
    <cellStyle name="Input [yellow] 3 11 20 3" xfId="28073"/>
    <cellStyle name="Input [yellow] 3 11 20 4" xfId="39238"/>
    <cellStyle name="Input [yellow] 3 11 20 5" xfId="50431"/>
    <cellStyle name="Input [yellow] 3 11 21" xfId="6149"/>
    <cellStyle name="Input [yellow] 3 11 21 2" xfId="17346"/>
    <cellStyle name="Input [yellow] 3 11 21 3" xfId="28514"/>
    <cellStyle name="Input [yellow] 3 11 21 4" xfId="39679"/>
    <cellStyle name="Input [yellow] 3 11 21 5" xfId="50872"/>
    <cellStyle name="Input [yellow] 3 11 22" xfId="6672"/>
    <cellStyle name="Input [yellow] 3 11 22 2" xfId="17869"/>
    <cellStyle name="Input [yellow] 3 11 22 3" xfId="29037"/>
    <cellStyle name="Input [yellow] 3 11 22 4" xfId="40202"/>
    <cellStyle name="Input [yellow] 3 11 22 5" xfId="51395"/>
    <cellStyle name="Input [yellow] 3 11 23" xfId="7305"/>
    <cellStyle name="Input [yellow] 3 11 23 2" xfId="18502"/>
    <cellStyle name="Input [yellow] 3 11 23 3" xfId="29670"/>
    <cellStyle name="Input [yellow] 3 11 23 4" xfId="40835"/>
    <cellStyle name="Input [yellow] 3 11 23 5" xfId="52028"/>
    <cellStyle name="Input [yellow] 3 11 24" xfId="7939"/>
    <cellStyle name="Input [yellow] 3 11 24 2" xfId="19136"/>
    <cellStyle name="Input [yellow] 3 11 24 3" xfId="30304"/>
    <cellStyle name="Input [yellow] 3 11 24 4" xfId="41469"/>
    <cellStyle name="Input [yellow] 3 11 24 5" xfId="52662"/>
    <cellStyle name="Input [yellow] 3 11 25" xfId="8571"/>
    <cellStyle name="Input [yellow] 3 11 25 2" xfId="19768"/>
    <cellStyle name="Input [yellow] 3 11 25 3" xfId="30936"/>
    <cellStyle name="Input [yellow] 3 11 25 4" xfId="42101"/>
    <cellStyle name="Input [yellow] 3 11 25 5" xfId="53294"/>
    <cellStyle name="Input [yellow] 3 11 26" xfId="8832"/>
    <cellStyle name="Input [yellow] 3 11 26 2" xfId="20029"/>
    <cellStyle name="Input [yellow] 3 11 26 3" xfId="31197"/>
    <cellStyle name="Input [yellow] 3 11 26 4" xfId="42362"/>
    <cellStyle name="Input [yellow] 3 11 26 5" xfId="53555"/>
    <cellStyle name="Input [yellow] 3 11 27" xfId="9623"/>
    <cellStyle name="Input [yellow] 3 11 27 2" xfId="20820"/>
    <cellStyle name="Input [yellow] 3 11 27 3" xfId="31988"/>
    <cellStyle name="Input [yellow] 3 11 27 4" xfId="43153"/>
    <cellStyle name="Input [yellow] 3 11 27 5" xfId="54346"/>
    <cellStyle name="Input [yellow] 3 11 28" xfId="9999"/>
    <cellStyle name="Input [yellow] 3 11 28 2" xfId="21196"/>
    <cellStyle name="Input [yellow] 3 11 28 3" xfId="32364"/>
    <cellStyle name="Input [yellow] 3 11 28 4" xfId="43529"/>
    <cellStyle name="Input [yellow] 3 11 28 5" xfId="54722"/>
    <cellStyle name="Input [yellow] 3 11 29" xfId="10656"/>
    <cellStyle name="Input [yellow] 3 11 29 2" xfId="21853"/>
    <cellStyle name="Input [yellow] 3 11 29 3" xfId="33021"/>
    <cellStyle name="Input [yellow] 3 11 29 4" xfId="44186"/>
    <cellStyle name="Input [yellow] 3 11 29 5" xfId="55379"/>
    <cellStyle name="Input [yellow] 3 11 3" xfId="222"/>
    <cellStyle name="Input [yellow] 3 11 3 10" xfId="5718"/>
    <cellStyle name="Input [yellow] 3 11 3 10 2" xfId="16915"/>
    <cellStyle name="Input [yellow] 3 11 3 10 3" xfId="28083"/>
    <cellStyle name="Input [yellow] 3 11 3 10 4" xfId="39248"/>
    <cellStyle name="Input [yellow] 3 11 3 10 5" xfId="50441"/>
    <cellStyle name="Input [yellow] 3 11 3 11" xfId="5580"/>
    <cellStyle name="Input [yellow] 3 11 3 11 2" xfId="16777"/>
    <cellStyle name="Input [yellow] 3 11 3 11 3" xfId="27945"/>
    <cellStyle name="Input [yellow] 3 11 3 11 4" xfId="39110"/>
    <cellStyle name="Input [yellow] 3 11 3 11 5" xfId="50303"/>
    <cellStyle name="Input [yellow] 3 11 3 12" xfId="6791"/>
    <cellStyle name="Input [yellow] 3 11 3 12 2" xfId="17988"/>
    <cellStyle name="Input [yellow] 3 11 3 12 3" xfId="29156"/>
    <cellStyle name="Input [yellow] 3 11 3 12 4" xfId="40321"/>
    <cellStyle name="Input [yellow] 3 11 3 12 5" xfId="51514"/>
    <cellStyle name="Input [yellow] 3 11 3 13" xfId="7425"/>
    <cellStyle name="Input [yellow] 3 11 3 13 2" xfId="18622"/>
    <cellStyle name="Input [yellow] 3 11 3 13 3" xfId="29790"/>
    <cellStyle name="Input [yellow] 3 11 3 13 4" xfId="40955"/>
    <cellStyle name="Input [yellow] 3 11 3 13 5" xfId="52148"/>
    <cellStyle name="Input [yellow] 3 11 3 14" xfId="8059"/>
    <cellStyle name="Input [yellow] 3 11 3 14 2" xfId="19256"/>
    <cellStyle name="Input [yellow] 3 11 3 14 3" xfId="30424"/>
    <cellStyle name="Input [yellow] 3 11 3 14 4" xfId="41589"/>
    <cellStyle name="Input [yellow] 3 11 3 14 5" xfId="52782"/>
    <cellStyle name="Input [yellow] 3 11 3 15" xfId="8690"/>
    <cellStyle name="Input [yellow] 3 11 3 15 2" xfId="19887"/>
    <cellStyle name="Input [yellow] 3 11 3 15 3" xfId="31055"/>
    <cellStyle name="Input [yellow] 3 11 3 15 4" xfId="42220"/>
    <cellStyle name="Input [yellow] 3 11 3 15 5" xfId="53413"/>
    <cellStyle name="Input [yellow] 3 11 3 16" xfId="8941"/>
    <cellStyle name="Input [yellow] 3 11 3 16 2" xfId="20138"/>
    <cellStyle name="Input [yellow] 3 11 3 16 3" xfId="31306"/>
    <cellStyle name="Input [yellow] 3 11 3 16 4" xfId="42471"/>
    <cellStyle name="Input [yellow] 3 11 3 16 5" xfId="53664"/>
    <cellStyle name="Input [yellow] 3 11 3 17" xfId="9741"/>
    <cellStyle name="Input [yellow] 3 11 3 17 2" xfId="20938"/>
    <cellStyle name="Input [yellow] 3 11 3 17 3" xfId="32106"/>
    <cellStyle name="Input [yellow] 3 11 3 17 4" xfId="43271"/>
    <cellStyle name="Input [yellow] 3 11 3 17 5" xfId="54464"/>
    <cellStyle name="Input [yellow] 3 11 3 18" xfId="10233"/>
    <cellStyle name="Input [yellow] 3 11 3 18 2" xfId="21430"/>
    <cellStyle name="Input [yellow] 3 11 3 18 3" xfId="32598"/>
    <cellStyle name="Input [yellow] 3 11 3 18 4" xfId="43763"/>
    <cellStyle name="Input [yellow] 3 11 3 18 5" xfId="54956"/>
    <cellStyle name="Input [yellow] 3 11 3 19" xfId="10775"/>
    <cellStyle name="Input [yellow] 3 11 3 19 2" xfId="21972"/>
    <cellStyle name="Input [yellow] 3 11 3 19 3" xfId="33140"/>
    <cellStyle name="Input [yellow] 3 11 3 19 4" xfId="44305"/>
    <cellStyle name="Input [yellow] 3 11 3 19 5" xfId="55498"/>
    <cellStyle name="Input [yellow] 3 11 3 2" xfId="871"/>
    <cellStyle name="Input [yellow] 3 11 3 2 2" xfId="12068"/>
    <cellStyle name="Input [yellow] 3 11 3 2 3" xfId="23236"/>
    <cellStyle name="Input [yellow] 3 11 3 2 4" xfId="34401"/>
    <cellStyle name="Input [yellow] 3 11 3 2 5" xfId="45594"/>
    <cellStyle name="Input [yellow] 3 11 3 20" xfId="11422"/>
    <cellStyle name="Input [yellow] 3 11 3 21" xfId="22592"/>
    <cellStyle name="Input [yellow] 3 11 3 22" xfId="33759"/>
    <cellStyle name="Input [yellow] 3 11 3 23" xfId="44945"/>
    <cellStyle name="Input [yellow] 3 11 3 3" xfId="1514"/>
    <cellStyle name="Input [yellow] 3 11 3 3 2" xfId="12711"/>
    <cellStyle name="Input [yellow] 3 11 3 3 3" xfId="23879"/>
    <cellStyle name="Input [yellow] 3 11 3 3 4" xfId="35044"/>
    <cellStyle name="Input [yellow] 3 11 3 3 5" xfId="46237"/>
    <cellStyle name="Input [yellow] 3 11 3 4" xfId="2148"/>
    <cellStyle name="Input [yellow] 3 11 3 4 2" xfId="13345"/>
    <cellStyle name="Input [yellow] 3 11 3 4 3" xfId="24513"/>
    <cellStyle name="Input [yellow] 3 11 3 4 4" xfId="35678"/>
    <cellStyle name="Input [yellow] 3 11 3 4 5" xfId="46871"/>
    <cellStyle name="Input [yellow] 3 11 3 5" xfId="2121"/>
    <cellStyle name="Input [yellow] 3 11 3 5 2" xfId="13318"/>
    <cellStyle name="Input [yellow] 3 11 3 5 3" xfId="24486"/>
    <cellStyle name="Input [yellow] 3 11 3 5 4" xfId="35651"/>
    <cellStyle name="Input [yellow] 3 11 3 5 5" xfId="46844"/>
    <cellStyle name="Input [yellow] 3 11 3 6" xfId="3206"/>
    <cellStyle name="Input [yellow] 3 11 3 6 2" xfId="14403"/>
    <cellStyle name="Input [yellow] 3 11 3 6 3" xfId="25571"/>
    <cellStyle name="Input [yellow] 3 11 3 6 4" xfId="36736"/>
    <cellStyle name="Input [yellow] 3 11 3 6 5" xfId="47929"/>
    <cellStyle name="Input [yellow] 3 11 3 7" xfId="3840"/>
    <cellStyle name="Input [yellow] 3 11 3 7 2" xfId="15037"/>
    <cellStyle name="Input [yellow] 3 11 3 7 3" xfId="26205"/>
    <cellStyle name="Input [yellow] 3 11 3 7 4" xfId="37370"/>
    <cellStyle name="Input [yellow] 3 11 3 7 5" xfId="48563"/>
    <cellStyle name="Input [yellow] 3 11 3 8" xfId="4473"/>
    <cellStyle name="Input [yellow] 3 11 3 8 2" xfId="15670"/>
    <cellStyle name="Input [yellow] 3 11 3 8 3" xfId="26838"/>
    <cellStyle name="Input [yellow] 3 11 3 8 4" xfId="38003"/>
    <cellStyle name="Input [yellow] 3 11 3 8 5" xfId="49196"/>
    <cellStyle name="Input [yellow] 3 11 3 9" xfId="5104"/>
    <cellStyle name="Input [yellow] 3 11 3 9 2" xfId="16301"/>
    <cellStyle name="Input [yellow] 3 11 3 9 3" xfId="27469"/>
    <cellStyle name="Input [yellow] 3 11 3 9 4" xfId="38634"/>
    <cellStyle name="Input [yellow] 3 11 3 9 5" xfId="49827"/>
    <cellStyle name="Input [yellow] 3 11 30" xfId="11303"/>
    <cellStyle name="Input [yellow] 3 11 31" xfId="22473"/>
    <cellStyle name="Input [yellow] 3 11 32" xfId="33640"/>
    <cellStyle name="Input [yellow] 3 11 33" xfId="44825"/>
    <cellStyle name="Input [yellow] 3 11 4" xfId="251"/>
    <cellStyle name="Input [yellow] 3 11 4 10" xfId="5597"/>
    <cellStyle name="Input [yellow] 3 11 4 10 2" xfId="16794"/>
    <cellStyle name="Input [yellow] 3 11 4 10 3" xfId="27962"/>
    <cellStyle name="Input [yellow] 3 11 4 10 4" xfId="39127"/>
    <cellStyle name="Input [yellow] 3 11 4 10 5" xfId="50320"/>
    <cellStyle name="Input [yellow] 3 11 4 11" xfId="5797"/>
    <cellStyle name="Input [yellow] 3 11 4 11 2" xfId="16994"/>
    <cellStyle name="Input [yellow] 3 11 4 11 3" xfId="28162"/>
    <cellStyle name="Input [yellow] 3 11 4 11 4" xfId="39327"/>
    <cellStyle name="Input [yellow] 3 11 4 11 5" xfId="50520"/>
    <cellStyle name="Input [yellow] 3 11 4 12" xfId="6820"/>
    <cellStyle name="Input [yellow] 3 11 4 12 2" xfId="18017"/>
    <cellStyle name="Input [yellow] 3 11 4 12 3" xfId="29185"/>
    <cellStyle name="Input [yellow] 3 11 4 12 4" xfId="40350"/>
    <cellStyle name="Input [yellow] 3 11 4 12 5" xfId="51543"/>
    <cellStyle name="Input [yellow] 3 11 4 13" xfId="7454"/>
    <cellStyle name="Input [yellow] 3 11 4 13 2" xfId="18651"/>
    <cellStyle name="Input [yellow] 3 11 4 13 3" xfId="29819"/>
    <cellStyle name="Input [yellow] 3 11 4 13 4" xfId="40984"/>
    <cellStyle name="Input [yellow] 3 11 4 13 5" xfId="52177"/>
    <cellStyle name="Input [yellow] 3 11 4 14" xfId="8088"/>
    <cellStyle name="Input [yellow] 3 11 4 14 2" xfId="19285"/>
    <cellStyle name="Input [yellow] 3 11 4 14 3" xfId="30453"/>
    <cellStyle name="Input [yellow] 3 11 4 14 4" xfId="41618"/>
    <cellStyle name="Input [yellow] 3 11 4 14 5" xfId="52811"/>
    <cellStyle name="Input [yellow] 3 11 4 15" xfId="8719"/>
    <cellStyle name="Input [yellow] 3 11 4 15 2" xfId="19916"/>
    <cellStyle name="Input [yellow] 3 11 4 15 3" xfId="31084"/>
    <cellStyle name="Input [yellow] 3 11 4 15 4" xfId="42249"/>
    <cellStyle name="Input [yellow] 3 11 4 15 5" xfId="53442"/>
    <cellStyle name="Input [yellow] 3 11 4 16" xfId="9107"/>
    <cellStyle name="Input [yellow] 3 11 4 16 2" xfId="20304"/>
    <cellStyle name="Input [yellow] 3 11 4 16 3" xfId="31472"/>
    <cellStyle name="Input [yellow] 3 11 4 16 4" xfId="42637"/>
    <cellStyle name="Input [yellow] 3 11 4 16 5" xfId="53830"/>
    <cellStyle name="Input [yellow] 3 11 4 17" xfId="9770"/>
    <cellStyle name="Input [yellow] 3 11 4 17 2" xfId="20967"/>
    <cellStyle name="Input [yellow] 3 11 4 17 3" xfId="32135"/>
    <cellStyle name="Input [yellow] 3 11 4 17 4" xfId="43300"/>
    <cellStyle name="Input [yellow] 3 11 4 17 5" xfId="54493"/>
    <cellStyle name="Input [yellow] 3 11 4 18" xfId="10491"/>
    <cellStyle name="Input [yellow] 3 11 4 18 2" xfId="21688"/>
    <cellStyle name="Input [yellow] 3 11 4 18 3" xfId="32856"/>
    <cellStyle name="Input [yellow] 3 11 4 18 4" xfId="44021"/>
    <cellStyle name="Input [yellow] 3 11 4 18 5" xfId="55214"/>
    <cellStyle name="Input [yellow] 3 11 4 19" xfId="10804"/>
    <cellStyle name="Input [yellow] 3 11 4 19 2" xfId="22001"/>
    <cellStyle name="Input [yellow] 3 11 4 19 3" xfId="33169"/>
    <cellStyle name="Input [yellow] 3 11 4 19 4" xfId="44334"/>
    <cellStyle name="Input [yellow] 3 11 4 19 5" xfId="55527"/>
    <cellStyle name="Input [yellow] 3 11 4 2" xfId="900"/>
    <cellStyle name="Input [yellow] 3 11 4 2 2" xfId="12097"/>
    <cellStyle name="Input [yellow] 3 11 4 2 3" xfId="23265"/>
    <cellStyle name="Input [yellow] 3 11 4 2 4" xfId="34430"/>
    <cellStyle name="Input [yellow] 3 11 4 2 5" xfId="45623"/>
    <cellStyle name="Input [yellow] 3 11 4 20" xfId="11451"/>
    <cellStyle name="Input [yellow] 3 11 4 21" xfId="22621"/>
    <cellStyle name="Input [yellow] 3 11 4 22" xfId="33788"/>
    <cellStyle name="Input [yellow] 3 11 4 23" xfId="44974"/>
    <cellStyle name="Input [yellow] 3 11 4 3" xfId="1788"/>
    <cellStyle name="Input [yellow] 3 11 4 3 2" xfId="12985"/>
    <cellStyle name="Input [yellow] 3 11 4 3 3" xfId="24153"/>
    <cellStyle name="Input [yellow] 3 11 4 3 4" xfId="35318"/>
    <cellStyle name="Input [yellow] 3 11 4 3 5" xfId="46511"/>
    <cellStyle name="Input [yellow] 3 11 4 4" xfId="2177"/>
    <cellStyle name="Input [yellow] 3 11 4 4 2" xfId="13374"/>
    <cellStyle name="Input [yellow] 3 11 4 4 3" xfId="24542"/>
    <cellStyle name="Input [yellow] 3 11 4 4 4" xfId="35707"/>
    <cellStyle name="Input [yellow] 3 11 4 4 5" xfId="46900"/>
    <cellStyle name="Input [yellow] 3 11 4 5" xfId="2434"/>
    <cellStyle name="Input [yellow] 3 11 4 5 2" xfId="13631"/>
    <cellStyle name="Input [yellow] 3 11 4 5 3" xfId="24799"/>
    <cellStyle name="Input [yellow] 3 11 4 5 4" xfId="35964"/>
    <cellStyle name="Input [yellow] 3 11 4 5 5" xfId="47157"/>
    <cellStyle name="Input [yellow] 3 11 4 6" xfId="3235"/>
    <cellStyle name="Input [yellow] 3 11 4 6 2" xfId="14432"/>
    <cellStyle name="Input [yellow] 3 11 4 6 3" xfId="25600"/>
    <cellStyle name="Input [yellow] 3 11 4 6 4" xfId="36765"/>
    <cellStyle name="Input [yellow] 3 11 4 6 5" xfId="47958"/>
    <cellStyle name="Input [yellow] 3 11 4 7" xfId="3869"/>
    <cellStyle name="Input [yellow] 3 11 4 7 2" xfId="15066"/>
    <cellStyle name="Input [yellow] 3 11 4 7 3" xfId="26234"/>
    <cellStyle name="Input [yellow] 3 11 4 7 4" xfId="37399"/>
    <cellStyle name="Input [yellow] 3 11 4 7 5" xfId="48592"/>
    <cellStyle name="Input [yellow] 3 11 4 8" xfId="4502"/>
    <cellStyle name="Input [yellow] 3 11 4 8 2" xfId="15699"/>
    <cellStyle name="Input [yellow] 3 11 4 8 3" xfId="26867"/>
    <cellStyle name="Input [yellow] 3 11 4 8 4" xfId="38032"/>
    <cellStyle name="Input [yellow] 3 11 4 8 5" xfId="49225"/>
    <cellStyle name="Input [yellow] 3 11 4 9" xfId="5133"/>
    <cellStyle name="Input [yellow] 3 11 4 9 2" xfId="16330"/>
    <cellStyle name="Input [yellow] 3 11 4 9 3" xfId="27498"/>
    <cellStyle name="Input [yellow] 3 11 4 9 4" xfId="38663"/>
    <cellStyle name="Input [yellow] 3 11 4 9 5" xfId="49856"/>
    <cellStyle name="Input [yellow] 3 11 5" xfId="348"/>
    <cellStyle name="Input [yellow] 3 11 5 10" xfId="5705"/>
    <cellStyle name="Input [yellow] 3 11 5 10 2" xfId="16902"/>
    <cellStyle name="Input [yellow] 3 11 5 10 3" xfId="28070"/>
    <cellStyle name="Input [yellow] 3 11 5 10 4" xfId="39235"/>
    <cellStyle name="Input [yellow] 3 11 5 10 5" xfId="50428"/>
    <cellStyle name="Input [yellow] 3 11 5 11" xfId="6284"/>
    <cellStyle name="Input [yellow] 3 11 5 11 2" xfId="17481"/>
    <cellStyle name="Input [yellow] 3 11 5 11 3" xfId="28649"/>
    <cellStyle name="Input [yellow] 3 11 5 11 4" xfId="39814"/>
    <cellStyle name="Input [yellow] 3 11 5 11 5" xfId="51007"/>
    <cellStyle name="Input [yellow] 3 11 5 12" xfId="6917"/>
    <cellStyle name="Input [yellow] 3 11 5 12 2" xfId="18114"/>
    <cellStyle name="Input [yellow] 3 11 5 12 3" xfId="29282"/>
    <cellStyle name="Input [yellow] 3 11 5 12 4" xfId="40447"/>
    <cellStyle name="Input [yellow] 3 11 5 12 5" xfId="51640"/>
    <cellStyle name="Input [yellow] 3 11 5 13" xfId="7551"/>
    <cellStyle name="Input [yellow] 3 11 5 13 2" xfId="18748"/>
    <cellStyle name="Input [yellow] 3 11 5 13 3" xfId="29916"/>
    <cellStyle name="Input [yellow] 3 11 5 13 4" xfId="41081"/>
    <cellStyle name="Input [yellow] 3 11 5 13 5" xfId="52274"/>
    <cellStyle name="Input [yellow] 3 11 5 14" xfId="8185"/>
    <cellStyle name="Input [yellow] 3 11 5 14 2" xfId="19382"/>
    <cellStyle name="Input [yellow] 3 11 5 14 3" xfId="30550"/>
    <cellStyle name="Input [yellow] 3 11 5 14 4" xfId="41715"/>
    <cellStyle name="Input [yellow] 3 11 5 14 5" xfId="52908"/>
    <cellStyle name="Input [yellow] 3 11 5 15" xfId="8814"/>
    <cellStyle name="Input [yellow] 3 11 5 15 2" xfId="20011"/>
    <cellStyle name="Input [yellow] 3 11 5 15 3" xfId="31179"/>
    <cellStyle name="Input [yellow] 3 11 5 15 4" xfId="42344"/>
    <cellStyle name="Input [yellow] 3 11 5 15 5" xfId="53537"/>
    <cellStyle name="Input [yellow] 3 11 5 16" xfId="9236"/>
    <cellStyle name="Input [yellow] 3 11 5 16 2" xfId="20433"/>
    <cellStyle name="Input [yellow] 3 11 5 16 3" xfId="31601"/>
    <cellStyle name="Input [yellow] 3 11 5 16 4" xfId="42766"/>
    <cellStyle name="Input [yellow] 3 11 5 16 5" xfId="53959"/>
    <cellStyle name="Input [yellow] 3 11 5 17" xfId="9863"/>
    <cellStyle name="Input [yellow] 3 11 5 17 2" xfId="21060"/>
    <cellStyle name="Input [yellow] 3 11 5 17 3" xfId="32228"/>
    <cellStyle name="Input [yellow] 3 11 5 17 4" xfId="43393"/>
    <cellStyle name="Input [yellow] 3 11 5 17 5" xfId="54586"/>
    <cellStyle name="Input [yellow] 3 11 5 18" xfId="10533"/>
    <cellStyle name="Input [yellow] 3 11 5 18 2" xfId="21730"/>
    <cellStyle name="Input [yellow] 3 11 5 18 3" xfId="32898"/>
    <cellStyle name="Input [yellow] 3 11 5 18 4" xfId="44063"/>
    <cellStyle name="Input [yellow] 3 11 5 18 5" xfId="55256"/>
    <cellStyle name="Input [yellow] 3 11 5 19" xfId="10901"/>
    <cellStyle name="Input [yellow] 3 11 5 19 2" xfId="22098"/>
    <cellStyle name="Input [yellow] 3 11 5 19 3" xfId="33266"/>
    <cellStyle name="Input [yellow] 3 11 5 19 4" xfId="44431"/>
    <cellStyle name="Input [yellow] 3 11 5 19 5" xfId="55624"/>
    <cellStyle name="Input [yellow] 3 11 5 2" xfId="997"/>
    <cellStyle name="Input [yellow] 3 11 5 2 2" xfId="12194"/>
    <cellStyle name="Input [yellow] 3 11 5 2 3" xfId="23362"/>
    <cellStyle name="Input [yellow] 3 11 5 2 4" xfId="34527"/>
    <cellStyle name="Input [yellow] 3 11 5 2 5" xfId="45720"/>
    <cellStyle name="Input [yellow] 3 11 5 20" xfId="11548"/>
    <cellStyle name="Input [yellow] 3 11 5 21" xfId="22718"/>
    <cellStyle name="Input [yellow] 3 11 5 22" xfId="33885"/>
    <cellStyle name="Input [yellow] 3 11 5 23" xfId="45071"/>
    <cellStyle name="Input [yellow] 3 11 5 3" xfId="1932"/>
    <cellStyle name="Input [yellow] 3 11 5 3 2" xfId="13129"/>
    <cellStyle name="Input [yellow] 3 11 5 3 3" xfId="24297"/>
    <cellStyle name="Input [yellow] 3 11 5 3 4" xfId="35462"/>
    <cellStyle name="Input [yellow] 3 11 5 3 5" xfId="46655"/>
    <cellStyle name="Input [yellow] 3 11 5 4" xfId="2273"/>
    <cellStyle name="Input [yellow] 3 11 5 4 2" xfId="13470"/>
    <cellStyle name="Input [yellow] 3 11 5 4 3" xfId="24638"/>
    <cellStyle name="Input [yellow] 3 11 5 4 4" xfId="35803"/>
    <cellStyle name="Input [yellow] 3 11 5 4 5" xfId="46996"/>
    <cellStyle name="Input [yellow] 3 11 5 5" xfId="2698"/>
    <cellStyle name="Input [yellow] 3 11 5 5 2" xfId="13895"/>
    <cellStyle name="Input [yellow] 3 11 5 5 3" xfId="25063"/>
    <cellStyle name="Input [yellow] 3 11 5 5 4" xfId="36228"/>
    <cellStyle name="Input [yellow] 3 11 5 5 5" xfId="47421"/>
    <cellStyle name="Input [yellow] 3 11 5 6" xfId="3332"/>
    <cellStyle name="Input [yellow] 3 11 5 6 2" xfId="14529"/>
    <cellStyle name="Input [yellow] 3 11 5 6 3" xfId="25697"/>
    <cellStyle name="Input [yellow] 3 11 5 6 4" xfId="36862"/>
    <cellStyle name="Input [yellow] 3 11 5 6 5" xfId="48055"/>
    <cellStyle name="Input [yellow] 3 11 5 7" xfId="3966"/>
    <cellStyle name="Input [yellow] 3 11 5 7 2" xfId="15163"/>
    <cellStyle name="Input [yellow] 3 11 5 7 3" xfId="26331"/>
    <cellStyle name="Input [yellow] 3 11 5 7 4" xfId="37496"/>
    <cellStyle name="Input [yellow] 3 11 5 7 5" xfId="48689"/>
    <cellStyle name="Input [yellow] 3 11 5 8" xfId="4599"/>
    <cellStyle name="Input [yellow] 3 11 5 8 2" xfId="15796"/>
    <cellStyle name="Input [yellow] 3 11 5 8 3" xfId="26964"/>
    <cellStyle name="Input [yellow] 3 11 5 8 4" xfId="38129"/>
    <cellStyle name="Input [yellow] 3 11 5 8 5" xfId="49322"/>
    <cellStyle name="Input [yellow] 3 11 5 9" xfId="5230"/>
    <cellStyle name="Input [yellow] 3 11 5 9 2" xfId="16427"/>
    <cellStyle name="Input [yellow] 3 11 5 9 3" xfId="27595"/>
    <cellStyle name="Input [yellow] 3 11 5 9 4" xfId="38760"/>
    <cellStyle name="Input [yellow] 3 11 5 9 5" xfId="49953"/>
    <cellStyle name="Input [yellow] 3 11 6" xfId="375"/>
    <cellStyle name="Input [yellow] 3 11 6 10" xfId="6175"/>
    <cellStyle name="Input [yellow] 3 11 6 10 2" xfId="17372"/>
    <cellStyle name="Input [yellow] 3 11 6 10 3" xfId="28540"/>
    <cellStyle name="Input [yellow] 3 11 6 10 4" xfId="39705"/>
    <cellStyle name="Input [yellow] 3 11 6 10 5" xfId="50898"/>
    <cellStyle name="Input [yellow] 3 11 6 11" xfId="6311"/>
    <cellStyle name="Input [yellow] 3 11 6 11 2" xfId="17508"/>
    <cellStyle name="Input [yellow] 3 11 6 11 3" xfId="28676"/>
    <cellStyle name="Input [yellow] 3 11 6 11 4" xfId="39841"/>
    <cellStyle name="Input [yellow] 3 11 6 11 5" xfId="51034"/>
    <cellStyle name="Input [yellow] 3 11 6 12" xfId="6944"/>
    <cellStyle name="Input [yellow] 3 11 6 12 2" xfId="18141"/>
    <cellStyle name="Input [yellow] 3 11 6 12 3" xfId="29309"/>
    <cellStyle name="Input [yellow] 3 11 6 12 4" xfId="40474"/>
    <cellStyle name="Input [yellow] 3 11 6 12 5" xfId="51667"/>
    <cellStyle name="Input [yellow] 3 11 6 13" xfId="7578"/>
    <cellStyle name="Input [yellow] 3 11 6 13 2" xfId="18775"/>
    <cellStyle name="Input [yellow] 3 11 6 13 3" xfId="29943"/>
    <cellStyle name="Input [yellow] 3 11 6 13 4" xfId="41108"/>
    <cellStyle name="Input [yellow] 3 11 6 13 5" xfId="52301"/>
    <cellStyle name="Input [yellow] 3 11 6 14" xfId="8212"/>
    <cellStyle name="Input [yellow] 3 11 6 14 2" xfId="19409"/>
    <cellStyle name="Input [yellow] 3 11 6 14 3" xfId="30577"/>
    <cellStyle name="Input [yellow] 3 11 6 14 4" xfId="41742"/>
    <cellStyle name="Input [yellow] 3 11 6 14 5" xfId="52935"/>
    <cellStyle name="Input [yellow] 3 11 6 15" xfId="8841"/>
    <cellStyle name="Input [yellow] 3 11 6 15 2" xfId="20038"/>
    <cellStyle name="Input [yellow] 3 11 6 15 3" xfId="31206"/>
    <cellStyle name="Input [yellow] 3 11 6 15 4" xfId="42371"/>
    <cellStyle name="Input [yellow] 3 11 6 15 5" xfId="53564"/>
    <cellStyle name="Input [yellow] 3 11 6 16" xfId="9263"/>
    <cellStyle name="Input [yellow] 3 11 6 16 2" xfId="20460"/>
    <cellStyle name="Input [yellow] 3 11 6 16 3" xfId="31628"/>
    <cellStyle name="Input [yellow] 3 11 6 16 4" xfId="42793"/>
    <cellStyle name="Input [yellow] 3 11 6 16 5" xfId="53986"/>
    <cellStyle name="Input [yellow] 3 11 6 17" xfId="9890"/>
    <cellStyle name="Input [yellow] 3 11 6 17 2" xfId="21087"/>
    <cellStyle name="Input [yellow] 3 11 6 17 3" xfId="32255"/>
    <cellStyle name="Input [yellow] 3 11 6 17 4" xfId="43420"/>
    <cellStyle name="Input [yellow] 3 11 6 17 5" xfId="54613"/>
    <cellStyle name="Input [yellow] 3 11 6 18" xfId="10365"/>
    <cellStyle name="Input [yellow] 3 11 6 18 2" xfId="21562"/>
    <cellStyle name="Input [yellow] 3 11 6 18 3" xfId="32730"/>
    <cellStyle name="Input [yellow] 3 11 6 18 4" xfId="43895"/>
    <cellStyle name="Input [yellow] 3 11 6 18 5" xfId="55088"/>
    <cellStyle name="Input [yellow] 3 11 6 19" xfId="10928"/>
    <cellStyle name="Input [yellow] 3 11 6 19 2" xfId="22125"/>
    <cellStyle name="Input [yellow] 3 11 6 19 3" xfId="33293"/>
    <cellStyle name="Input [yellow] 3 11 6 19 4" xfId="44458"/>
    <cellStyle name="Input [yellow] 3 11 6 19 5" xfId="55651"/>
    <cellStyle name="Input [yellow] 3 11 6 2" xfId="1024"/>
    <cellStyle name="Input [yellow] 3 11 6 2 2" xfId="12221"/>
    <cellStyle name="Input [yellow] 3 11 6 2 3" xfId="23389"/>
    <cellStyle name="Input [yellow] 3 11 6 2 4" xfId="34554"/>
    <cellStyle name="Input [yellow] 3 11 6 2 5" xfId="45747"/>
    <cellStyle name="Input [yellow] 3 11 6 20" xfId="11575"/>
    <cellStyle name="Input [yellow] 3 11 6 21" xfId="22745"/>
    <cellStyle name="Input [yellow] 3 11 6 22" xfId="33912"/>
    <cellStyle name="Input [yellow] 3 11 6 23" xfId="45098"/>
    <cellStyle name="Input [yellow] 3 11 6 3" xfId="1636"/>
    <cellStyle name="Input [yellow] 3 11 6 3 2" xfId="12833"/>
    <cellStyle name="Input [yellow] 3 11 6 3 3" xfId="24001"/>
    <cellStyle name="Input [yellow] 3 11 6 3 4" xfId="35166"/>
    <cellStyle name="Input [yellow] 3 11 6 3 5" xfId="46359"/>
    <cellStyle name="Input [yellow] 3 11 6 4" xfId="2300"/>
    <cellStyle name="Input [yellow] 3 11 6 4 2" xfId="13497"/>
    <cellStyle name="Input [yellow] 3 11 6 4 3" xfId="24665"/>
    <cellStyle name="Input [yellow] 3 11 6 4 4" xfId="35830"/>
    <cellStyle name="Input [yellow] 3 11 6 4 5" xfId="47023"/>
    <cellStyle name="Input [yellow] 3 11 6 5" xfId="2725"/>
    <cellStyle name="Input [yellow] 3 11 6 5 2" xfId="13922"/>
    <cellStyle name="Input [yellow] 3 11 6 5 3" xfId="25090"/>
    <cellStyle name="Input [yellow] 3 11 6 5 4" xfId="36255"/>
    <cellStyle name="Input [yellow] 3 11 6 5 5" xfId="47448"/>
    <cellStyle name="Input [yellow] 3 11 6 6" xfId="3359"/>
    <cellStyle name="Input [yellow] 3 11 6 6 2" xfId="14556"/>
    <cellStyle name="Input [yellow] 3 11 6 6 3" xfId="25724"/>
    <cellStyle name="Input [yellow] 3 11 6 6 4" xfId="36889"/>
    <cellStyle name="Input [yellow] 3 11 6 6 5" xfId="48082"/>
    <cellStyle name="Input [yellow] 3 11 6 7" xfId="3993"/>
    <cellStyle name="Input [yellow] 3 11 6 7 2" xfId="15190"/>
    <cellStyle name="Input [yellow] 3 11 6 7 3" xfId="26358"/>
    <cellStyle name="Input [yellow] 3 11 6 7 4" xfId="37523"/>
    <cellStyle name="Input [yellow] 3 11 6 7 5" xfId="48716"/>
    <cellStyle name="Input [yellow] 3 11 6 8" xfId="4626"/>
    <cellStyle name="Input [yellow] 3 11 6 8 2" xfId="15823"/>
    <cellStyle name="Input [yellow] 3 11 6 8 3" xfId="26991"/>
    <cellStyle name="Input [yellow] 3 11 6 8 4" xfId="38156"/>
    <cellStyle name="Input [yellow] 3 11 6 8 5" xfId="49349"/>
    <cellStyle name="Input [yellow] 3 11 6 9" xfId="5257"/>
    <cellStyle name="Input [yellow] 3 11 6 9 2" xfId="16454"/>
    <cellStyle name="Input [yellow] 3 11 6 9 3" xfId="27622"/>
    <cellStyle name="Input [yellow] 3 11 6 9 4" xfId="38787"/>
    <cellStyle name="Input [yellow] 3 11 6 9 5" xfId="49980"/>
    <cellStyle name="Input [yellow] 3 11 7" xfId="426"/>
    <cellStyle name="Input [yellow] 3 11 7 10" xfId="5754"/>
    <cellStyle name="Input [yellow] 3 11 7 10 2" xfId="16951"/>
    <cellStyle name="Input [yellow] 3 11 7 10 3" xfId="28119"/>
    <cellStyle name="Input [yellow] 3 11 7 10 4" xfId="39284"/>
    <cellStyle name="Input [yellow] 3 11 7 10 5" xfId="50477"/>
    <cellStyle name="Input [yellow] 3 11 7 11" xfId="6362"/>
    <cellStyle name="Input [yellow] 3 11 7 11 2" xfId="17559"/>
    <cellStyle name="Input [yellow] 3 11 7 11 3" xfId="28727"/>
    <cellStyle name="Input [yellow] 3 11 7 11 4" xfId="39892"/>
    <cellStyle name="Input [yellow] 3 11 7 11 5" xfId="51085"/>
    <cellStyle name="Input [yellow] 3 11 7 12" xfId="6995"/>
    <cellStyle name="Input [yellow] 3 11 7 12 2" xfId="18192"/>
    <cellStyle name="Input [yellow] 3 11 7 12 3" xfId="29360"/>
    <cellStyle name="Input [yellow] 3 11 7 12 4" xfId="40525"/>
    <cellStyle name="Input [yellow] 3 11 7 12 5" xfId="51718"/>
    <cellStyle name="Input [yellow] 3 11 7 13" xfId="7629"/>
    <cellStyle name="Input [yellow] 3 11 7 13 2" xfId="18826"/>
    <cellStyle name="Input [yellow] 3 11 7 13 3" xfId="29994"/>
    <cellStyle name="Input [yellow] 3 11 7 13 4" xfId="41159"/>
    <cellStyle name="Input [yellow] 3 11 7 13 5" xfId="52352"/>
    <cellStyle name="Input [yellow] 3 11 7 14" xfId="8263"/>
    <cellStyle name="Input [yellow] 3 11 7 14 2" xfId="19460"/>
    <cellStyle name="Input [yellow] 3 11 7 14 3" xfId="30628"/>
    <cellStyle name="Input [yellow] 3 11 7 14 4" xfId="41793"/>
    <cellStyle name="Input [yellow] 3 11 7 14 5" xfId="52986"/>
    <cellStyle name="Input [yellow] 3 11 7 15" xfId="8891"/>
    <cellStyle name="Input [yellow] 3 11 7 15 2" xfId="20088"/>
    <cellStyle name="Input [yellow] 3 11 7 15 3" xfId="31256"/>
    <cellStyle name="Input [yellow] 3 11 7 15 4" xfId="42421"/>
    <cellStyle name="Input [yellow] 3 11 7 15 5" xfId="53614"/>
    <cellStyle name="Input [yellow] 3 11 7 16" xfId="9314"/>
    <cellStyle name="Input [yellow] 3 11 7 16 2" xfId="20511"/>
    <cellStyle name="Input [yellow] 3 11 7 16 3" xfId="31679"/>
    <cellStyle name="Input [yellow] 3 11 7 16 4" xfId="42844"/>
    <cellStyle name="Input [yellow] 3 11 7 16 5" xfId="54037"/>
    <cellStyle name="Input [yellow] 3 11 7 17" xfId="9940"/>
    <cellStyle name="Input [yellow] 3 11 7 17 2" xfId="21137"/>
    <cellStyle name="Input [yellow] 3 11 7 17 3" xfId="32305"/>
    <cellStyle name="Input [yellow] 3 11 7 17 4" xfId="43470"/>
    <cellStyle name="Input [yellow] 3 11 7 17 5" xfId="54663"/>
    <cellStyle name="Input [yellow] 3 11 7 18" xfId="10554"/>
    <cellStyle name="Input [yellow] 3 11 7 18 2" xfId="21751"/>
    <cellStyle name="Input [yellow] 3 11 7 18 3" xfId="32919"/>
    <cellStyle name="Input [yellow] 3 11 7 18 4" xfId="44084"/>
    <cellStyle name="Input [yellow] 3 11 7 18 5" xfId="55277"/>
    <cellStyle name="Input [yellow] 3 11 7 19" xfId="10979"/>
    <cellStyle name="Input [yellow] 3 11 7 19 2" xfId="22176"/>
    <cellStyle name="Input [yellow] 3 11 7 19 3" xfId="33344"/>
    <cellStyle name="Input [yellow] 3 11 7 19 4" xfId="44509"/>
    <cellStyle name="Input [yellow] 3 11 7 19 5" xfId="55702"/>
    <cellStyle name="Input [yellow] 3 11 7 2" xfId="1075"/>
    <cellStyle name="Input [yellow] 3 11 7 2 2" xfId="12272"/>
    <cellStyle name="Input [yellow] 3 11 7 2 3" xfId="23440"/>
    <cellStyle name="Input [yellow] 3 11 7 2 4" xfId="34605"/>
    <cellStyle name="Input [yellow] 3 11 7 2 5" xfId="45798"/>
    <cellStyle name="Input [yellow] 3 11 7 20" xfId="11626"/>
    <cellStyle name="Input [yellow] 3 11 7 21" xfId="22796"/>
    <cellStyle name="Input [yellow] 3 11 7 22" xfId="33963"/>
    <cellStyle name="Input [yellow] 3 11 7 23" xfId="45149"/>
    <cellStyle name="Input [yellow] 3 11 7 3" xfId="1399"/>
    <cellStyle name="Input [yellow] 3 11 7 3 2" xfId="12596"/>
    <cellStyle name="Input [yellow] 3 11 7 3 3" xfId="23764"/>
    <cellStyle name="Input [yellow] 3 11 7 3 4" xfId="34929"/>
    <cellStyle name="Input [yellow] 3 11 7 3 5" xfId="46122"/>
    <cellStyle name="Input [yellow] 3 11 7 4" xfId="2351"/>
    <cellStyle name="Input [yellow] 3 11 7 4 2" xfId="13548"/>
    <cellStyle name="Input [yellow] 3 11 7 4 3" xfId="24716"/>
    <cellStyle name="Input [yellow] 3 11 7 4 4" xfId="35881"/>
    <cellStyle name="Input [yellow] 3 11 7 4 5" xfId="47074"/>
    <cellStyle name="Input [yellow] 3 11 7 5" xfId="2776"/>
    <cellStyle name="Input [yellow] 3 11 7 5 2" xfId="13973"/>
    <cellStyle name="Input [yellow] 3 11 7 5 3" xfId="25141"/>
    <cellStyle name="Input [yellow] 3 11 7 5 4" xfId="36306"/>
    <cellStyle name="Input [yellow] 3 11 7 5 5" xfId="47499"/>
    <cellStyle name="Input [yellow] 3 11 7 6" xfId="3410"/>
    <cellStyle name="Input [yellow] 3 11 7 6 2" xfId="14607"/>
    <cellStyle name="Input [yellow] 3 11 7 6 3" xfId="25775"/>
    <cellStyle name="Input [yellow] 3 11 7 6 4" xfId="36940"/>
    <cellStyle name="Input [yellow] 3 11 7 6 5" xfId="48133"/>
    <cellStyle name="Input [yellow] 3 11 7 7" xfId="4044"/>
    <cellStyle name="Input [yellow] 3 11 7 7 2" xfId="15241"/>
    <cellStyle name="Input [yellow] 3 11 7 7 3" xfId="26409"/>
    <cellStyle name="Input [yellow] 3 11 7 7 4" xfId="37574"/>
    <cellStyle name="Input [yellow] 3 11 7 7 5" xfId="48767"/>
    <cellStyle name="Input [yellow] 3 11 7 8" xfId="4677"/>
    <cellStyle name="Input [yellow] 3 11 7 8 2" xfId="15874"/>
    <cellStyle name="Input [yellow] 3 11 7 8 3" xfId="27042"/>
    <cellStyle name="Input [yellow] 3 11 7 8 4" xfId="38207"/>
    <cellStyle name="Input [yellow] 3 11 7 8 5" xfId="49400"/>
    <cellStyle name="Input [yellow] 3 11 7 9" xfId="5308"/>
    <cellStyle name="Input [yellow] 3 11 7 9 2" xfId="16505"/>
    <cellStyle name="Input [yellow] 3 11 7 9 3" xfId="27673"/>
    <cellStyle name="Input [yellow] 3 11 7 9 4" xfId="38838"/>
    <cellStyle name="Input [yellow] 3 11 7 9 5" xfId="50031"/>
    <cellStyle name="Input [yellow] 3 11 8" xfId="511"/>
    <cellStyle name="Input [yellow] 3 11 8 10" xfId="5733"/>
    <cellStyle name="Input [yellow] 3 11 8 10 2" xfId="16930"/>
    <cellStyle name="Input [yellow] 3 11 8 10 3" xfId="28098"/>
    <cellStyle name="Input [yellow] 3 11 8 10 4" xfId="39263"/>
    <cellStyle name="Input [yellow] 3 11 8 10 5" xfId="50456"/>
    <cellStyle name="Input [yellow] 3 11 8 11" xfId="6447"/>
    <cellStyle name="Input [yellow] 3 11 8 11 2" xfId="17644"/>
    <cellStyle name="Input [yellow] 3 11 8 11 3" xfId="28812"/>
    <cellStyle name="Input [yellow] 3 11 8 11 4" xfId="39977"/>
    <cellStyle name="Input [yellow] 3 11 8 11 5" xfId="51170"/>
    <cellStyle name="Input [yellow] 3 11 8 12" xfId="7080"/>
    <cellStyle name="Input [yellow] 3 11 8 12 2" xfId="18277"/>
    <cellStyle name="Input [yellow] 3 11 8 12 3" xfId="29445"/>
    <cellStyle name="Input [yellow] 3 11 8 12 4" xfId="40610"/>
    <cellStyle name="Input [yellow] 3 11 8 12 5" xfId="51803"/>
    <cellStyle name="Input [yellow] 3 11 8 13" xfId="7714"/>
    <cellStyle name="Input [yellow] 3 11 8 13 2" xfId="18911"/>
    <cellStyle name="Input [yellow] 3 11 8 13 3" xfId="30079"/>
    <cellStyle name="Input [yellow] 3 11 8 13 4" xfId="41244"/>
    <cellStyle name="Input [yellow] 3 11 8 13 5" xfId="52437"/>
    <cellStyle name="Input [yellow] 3 11 8 14" xfId="8348"/>
    <cellStyle name="Input [yellow] 3 11 8 14 2" xfId="19545"/>
    <cellStyle name="Input [yellow] 3 11 8 14 3" xfId="30713"/>
    <cellStyle name="Input [yellow] 3 11 8 14 4" xfId="41878"/>
    <cellStyle name="Input [yellow] 3 11 8 14 5" xfId="53071"/>
    <cellStyle name="Input [yellow] 3 11 8 15" xfId="8976"/>
    <cellStyle name="Input [yellow] 3 11 8 15 2" xfId="20173"/>
    <cellStyle name="Input [yellow] 3 11 8 15 3" xfId="31341"/>
    <cellStyle name="Input [yellow] 3 11 8 15 4" xfId="42506"/>
    <cellStyle name="Input [yellow] 3 11 8 15 5" xfId="53699"/>
    <cellStyle name="Input [yellow] 3 11 8 16" xfId="9399"/>
    <cellStyle name="Input [yellow] 3 11 8 16 2" xfId="20596"/>
    <cellStyle name="Input [yellow] 3 11 8 16 3" xfId="31764"/>
    <cellStyle name="Input [yellow] 3 11 8 16 4" xfId="42929"/>
    <cellStyle name="Input [yellow] 3 11 8 16 5" xfId="54122"/>
    <cellStyle name="Input [yellow] 3 11 8 17" xfId="10024"/>
    <cellStyle name="Input [yellow] 3 11 8 17 2" xfId="21221"/>
    <cellStyle name="Input [yellow] 3 11 8 17 3" xfId="32389"/>
    <cellStyle name="Input [yellow] 3 11 8 17 4" xfId="43554"/>
    <cellStyle name="Input [yellow] 3 11 8 17 5" xfId="54747"/>
    <cellStyle name="Input [yellow] 3 11 8 18" xfId="10433"/>
    <cellStyle name="Input [yellow] 3 11 8 18 2" xfId="21630"/>
    <cellStyle name="Input [yellow] 3 11 8 18 3" xfId="32798"/>
    <cellStyle name="Input [yellow] 3 11 8 18 4" xfId="43963"/>
    <cellStyle name="Input [yellow] 3 11 8 18 5" xfId="55156"/>
    <cellStyle name="Input [yellow] 3 11 8 19" xfId="11064"/>
    <cellStyle name="Input [yellow] 3 11 8 19 2" xfId="22261"/>
    <cellStyle name="Input [yellow] 3 11 8 19 3" xfId="33429"/>
    <cellStyle name="Input [yellow] 3 11 8 19 4" xfId="44594"/>
    <cellStyle name="Input [yellow] 3 11 8 19 5" xfId="55787"/>
    <cellStyle name="Input [yellow] 3 11 8 2" xfId="1160"/>
    <cellStyle name="Input [yellow] 3 11 8 2 2" xfId="12357"/>
    <cellStyle name="Input [yellow] 3 11 8 2 3" xfId="23525"/>
    <cellStyle name="Input [yellow] 3 11 8 2 4" xfId="34690"/>
    <cellStyle name="Input [yellow] 3 11 8 2 5" xfId="45883"/>
    <cellStyle name="Input [yellow] 3 11 8 20" xfId="11711"/>
    <cellStyle name="Input [yellow] 3 11 8 21" xfId="22881"/>
    <cellStyle name="Input [yellow] 3 11 8 22" xfId="34048"/>
    <cellStyle name="Input [yellow] 3 11 8 23" xfId="45234"/>
    <cellStyle name="Input [yellow] 3 11 8 3" xfId="1752"/>
    <cellStyle name="Input [yellow] 3 11 8 3 2" xfId="12949"/>
    <cellStyle name="Input [yellow] 3 11 8 3 3" xfId="24117"/>
    <cellStyle name="Input [yellow] 3 11 8 3 4" xfId="35282"/>
    <cellStyle name="Input [yellow] 3 11 8 3 5" xfId="46475"/>
    <cellStyle name="Input [yellow] 3 11 8 4" xfId="2436"/>
    <cellStyle name="Input [yellow] 3 11 8 4 2" xfId="13633"/>
    <cellStyle name="Input [yellow] 3 11 8 4 3" xfId="24801"/>
    <cellStyle name="Input [yellow] 3 11 8 4 4" xfId="35966"/>
    <cellStyle name="Input [yellow] 3 11 8 4 5" xfId="47159"/>
    <cellStyle name="Input [yellow] 3 11 8 5" xfId="2861"/>
    <cellStyle name="Input [yellow] 3 11 8 5 2" xfId="14058"/>
    <cellStyle name="Input [yellow] 3 11 8 5 3" xfId="25226"/>
    <cellStyle name="Input [yellow] 3 11 8 5 4" xfId="36391"/>
    <cellStyle name="Input [yellow] 3 11 8 5 5" xfId="47584"/>
    <cellStyle name="Input [yellow] 3 11 8 6" xfId="3495"/>
    <cellStyle name="Input [yellow] 3 11 8 6 2" xfId="14692"/>
    <cellStyle name="Input [yellow] 3 11 8 6 3" xfId="25860"/>
    <cellStyle name="Input [yellow] 3 11 8 6 4" xfId="37025"/>
    <cellStyle name="Input [yellow] 3 11 8 6 5" xfId="48218"/>
    <cellStyle name="Input [yellow] 3 11 8 7" xfId="4129"/>
    <cellStyle name="Input [yellow] 3 11 8 7 2" xfId="15326"/>
    <cellStyle name="Input [yellow] 3 11 8 7 3" xfId="26494"/>
    <cellStyle name="Input [yellow] 3 11 8 7 4" xfId="37659"/>
    <cellStyle name="Input [yellow] 3 11 8 7 5" xfId="48852"/>
    <cellStyle name="Input [yellow] 3 11 8 8" xfId="4762"/>
    <cellStyle name="Input [yellow] 3 11 8 8 2" xfId="15959"/>
    <cellStyle name="Input [yellow] 3 11 8 8 3" xfId="27127"/>
    <cellStyle name="Input [yellow] 3 11 8 8 4" xfId="38292"/>
    <cellStyle name="Input [yellow] 3 11 8 8 5" xfId="49485"/>
    <cellStyle name="Input [yellow] 3 11 8 9" xfId="5393"/>
    <cellStyle name="Input [yellow] 3 11 8 9 2" xfId="16590"/>
    <cellStyle name="Input [yellow] 3 11 8 9 3" xfId="27758"/>
    <cellStyle name="Input [yellow] 3 11 8 9 4" xfId="38923"/>
    <cellStyle name="Input [yellow] 3 11 8 9 5" xfId="50116"/>
    <cellStyle name="Input [yellow] 3 11 9" xfId="569"/>
    <cellStyle name="Input [yellow] 3 11 9 10" xfId="6143"/>
    <cellStyle name="Input [yellow] 3 11 9 10 2" xfId="17340"/>
    <cellStyle name="Input [yellow] 3 11 9 10 3" xfId="28508"/>
    <cellStyle name="Input [yellow] 3 11 9 10 4" xfId="39673"/>
    <cellStyle name="Input [yellow] 3 11 9 10 5" xfId="50866"/>
    <cellStyle name="Input [yellow] 3 11 9 11" xfId="6505"/>
    <cellStyle name="Input [yellow] 3 11 9 11 2" xfId="17702"/>
    <cellStyle name="Input [yellow] 3 11 9 11 3" xfId="28870"/>
    <cellStyle name="Input [yellow] 3 11 9 11 4" xfId="40035"/>
    <cellStyle name="Input [yellow] 3 11 9 11 5" xfId="51228"/>
    <cellStyle name="Input [yellow] 3 11 9 12" xfId="7138"/>
    <cellStyle name="Input [yellow] 3 11 9 12 2" xfId="18335"/>
    <cellStyle name="Input [yellow] 3 11 9 12 3" xfId="29503"/>
    <cellStyle name="Input [yellow] 3 11 9 12 4" xfId="40668"/>
    <cellStyle name="Input [yellow] 3 11 9 12 5" xfId="51861"/>
    <cellStyle name="Input [yellow] 3 11 9 13" xfId="7772"/>
    <cellStyle name="Input [yellow] 3 11 9 13 2" xfId="18969"/>
    <cellStyle name="Input [yellow] 3 11 9 13 3" xfId="30137"/>
    <cellStyle name="Input [yellow] 3 11 9 13 4" xfId="41302"/>
    <cellStyle name="Input [yellow] 3 11 9 13 5" xfId="52495"/>
    <cellStyle name="Input [yellow] 3 11 9 14" xfId="8406"/>
    <cellStyle name="Input [yellow] 3 11 9 14 2" xfId="19603"/>
    <cellStyle name="Input [yellow] 3 11 9 14 3" xfId="30771"/>
    <cellStyle name="Input [yellow] 3 11 9 14 4" xfId="41936"/>
    <cellStyle name="Input [yellow] 3 11 9 14 5" xfId="53129"/>
    <cellStyle name="Input [yellow] 3 11 9 15" xfId="9034"/>
    <cellStyle name="Input [yellow] 3 11 9 15 2" xfId="20231"/>
    <cellStyle name="Input [yellow] 3 11 9 15 3" xfId="31399"/>
    <cellStyle name="Input [yellow] 3 11 9 15 4" xfId="42564"/>
    <cellStyle name="Input [yellow] 3 11 9 15 5" xfId="53757"/>
    <cellStyle name="Input [yellow] 3 11 9 16" xfId="9457"/>
    <cellStyle name="Input [yellow] 3 11 9 16 2" xfId="20654"/>
    <cellStyle name="Input [yellow] 3 11 9 16 3" xfId="31822"/>
    <cellStyle name="Input [yellow] 3 11 9 16 4" xfId="42987"/>
    <cellStyle name="Input [yellow] 3 11 9 16 5" xfId="54180"/>
    <cellStyle name="Input [yellow] 3 11 9 17" xfId="10082"/>
    <cellStyle name="Input [yellow] 3 11 9 17 2" xfId="21279"/>
    <cellStyle name="Input [yellow] 3 11 9 17 3" xfId="32447"/>
    <cellStyle name="Input [yellow] 3 11 9 17 4" xfId="43612"/>
    <cellStyle name="Input [yellow] 3 11 9 17 5" xfId="54805"/>
    <cellStyle name="Input [yellow] 3 11 9 18" xfId="10292"/>
    <cellStyle name="Input [yellow] 3 11 9 18 2" xfId="21489"/>
    <cellStyle name="Input [yellow] 3 11 9 18 3" xfId="32657"/>
    <cellStyle name="Input [yellow] 3 11 9 18 4" xfId="43822"/>
    <cellStyle name="Input [yellow] 3 11 9 18 5" xfId="55015"/>
    <cellStyle name="Input [yellow] 3 11 9 19" xfId="11122"/>
    <cellStyle name="Input [yellow] 3 11 9 19 2" xfId="22319"/>
    <cellStyle name="Input [yellow] 3 11 9 19 3" xfId="33487"/>
    <cellStyle name="Input [yellow] 3 11 9 19 4" xfId="44652"/>
    <cellStyle name="Input [yellow] 3 11 9 19 5" xfId="55845"/>
    <cellStyle name="Input [yellow] 3 11 9 2" xfId="1218"/>
    <cellStyle name="Input [yellow] 3 11 9 2 2" xfId="12415"/>
    <cellStyle name="Input [yellow] 3 11 9 2 3" xfId="23583"/>
    <cellStyle name="Input [yellow] 3 11 9 2 4" xfId="34748"/>
    <cellStyle name="Input [yellow] 3 11 9 2 5" xfId="45941"/>
    <cellStyle name="Input [yellow] 3 11 9 20" xfId="11769"/>
    <cellStyle name="Input [yellow] 3 11 9 21" xfId="22939"/>
    <cellStyle name="Input [yellow] 3 11 9 22" xfId="34106"/>
    <cellStyle name="Input [yellow] 3 11 9 23" xfId="45292"/>
    <cellStyle name="Input [yellow] 3 11 9 3" xfId="1551"/>
    <cellStyle name="Input [yellow] 3 11 9 3 2" xfId="12748"/>
    <cellStyle name="Input [yellow] 3 11 9 3 3" xfId="23916"/>
    <cellStyle name="Input [yellow] 3 11 9 3 4" xfId="35081"/>
    <cellStyle name="Input [yellow] 3 11 9 3 5" xfId="46274"/>
    <cellStyle name="Input [yellow] 3 11 9 4" xfId="2494"/>
    <cellStyle name="Input [yellow] 3 11 9 4 2" xfId="13691"/>
    <cellStyle name="Input [yellow] 3 11 9 4 3" xfId="24859"/>
    <cellStyle name="Input [yellow] 3 11 9 4 4" xfId="36024"/>
    <cellStyle name="Input [yellow] 3 11 9 4 5" xfId="47217"/>
    <cellStyle name="Input [yellow] 3 11 9 5" xfId="2919"/>
    <cellStyle name="Input [yellow] 3 11 9 5 2" xfId="14116"/>
    <cellStyle name="Input [yellow] 3 11 9 5 3" xfId="25284"/>
    <cellStyle name="Input [yellow] 3 11 9 5 4" xfId="36449"/>
    <cellStyle name="Input [yellow] 3 11 9 5 5" xfId="47642"/>
    <cellStyle name="Input [yellow] 3 11 9 6" xfId="3553"/>
    <cellStyle name="Input [yellow] 3 11 9 6 2" xfId="14750"/>
    <cellStyle name="Input [yellow] 3 11 9 6 3" xfId="25918"/>
    <cellStyle name="Input [yellow] 3 11 9 6 4" xfId="37083"/>
    <cellStyle name="Input [yellow] 3 11 9 6 5" xfId="48276"/>
    <cellStyle name="Input [yellow] 3 11 9 7" xfId="4187"/>
    <cellStyle name="Input [yellow] 3 11 9 7 2" xfId="15384"/>
    <cellStyle name="Input [yellow] 3 11 9 7 3" xfId="26552"/>
    <cellStyle name="Input [yellow] 3 11 9 7 4" xfId="37717"/>
    <cellStyle name="Input [yellow] 3 11 9 7 5" xfId="48910"/>
    <cellStyle name="Input [yellow] 3 11 9 8" xfId="4820"/>
    <cellStyle name="Input [yellow] 3 11 9 8 2" xfId="16017"/>
    <cellStyle name="Input [yellow] 3 11 9 8 3" xfId="27185"/>
    <cellStyle name="Input [yellow] 3 11 9 8 4" xfId="38350"/>
    <cellStyle name="Input [yellow] 3 11 9 8 5" xfId="49543"/>
    <cellStyle name="Input [yellow] 3 11 9 9" xfId="5451"/>
    <cellStyle name="Input [yellow] 3 11 9 9 2" xfId="16648"/>
    <cellStyle name="Input [yellow] 3 11 9 9 3" xfId="27816"/>
    <cellStyle name="Input [yellow] 3 11 9 9 4" xfId="38981"/>
    <cellStyle name="Input [yellow] 3 11 9 9 5" xfId="50174"/>
    <cellStyle name="Input [yellow] 3 12" xfId="106"/>
    <cellStyle name="Input [yellow] 3 12 10" xfId="602"/>
    <cellStyle name="Input [yellow] 3 12 10 10" xfId="6173"/>
    <cellStyle name="Input [yellow] 3 12 10 10 2" xfId="17370"/>
    <cellStyle name="Input [yellow] 3 12 10 10 3" xfId="28538"/>
    <cellStyle name="Input [yellow] 3 12 10 10 4" xfId="39703"/>
    <cellStyle name="Input [yellow] 3 12 10 10 5" xfId="50896"/>
    <cellStyle name="Input [yellow] 3 12 10 11" xfId="6538"/>
    <cellStyle name="Input [yellow] 3 12 10 11 2" xfId="17735"/>
    <cellStyle name="Input [yellow] 3 12 10 11 3" xfId="28903"/>
    <cellStyle name="Input [yellow] 3 12 10 11 4" xfId="40068"/>
    <cellStyle name="Input [yellow] 3 12 10 11 5" xfId="51261"/>
    <cellStyle name="Input [yellow] 3 12 10 12" xfId="7171"/>
    <cellStyle name="Input [yellow] 3 12 10 12 2" xfId="18368"/>
    <cellStyle name="Input [yellow] 3 12 10 12 3" xfId="29536"/>
    <cellStyle name="Input [yellow] 3 12 10 12 4" xfId="40701"/>
    <cellStyle name="Input [yellow] 3 12 10 12 5" xfId="51894"/>
    <cellStyle name="Input [yellow] 3 12 10 13" xfId="7805"/>
    <cellStyle name="Input [yellow] 3 12 10 13 2" xfId="19002"/>
    <cellStyle name="Input [yellow] 3 12 10 13 3" xfId="30170"/>
    <cellStyle name="Input [yellow] 3 12 10 13 4" xfId="41335"/>
    <cellStyle name="Input [yellow] 3 12 10 13 5" xfId="52528"/>
    <cellStyle name="Input [yellow] 3 12 10 14" xfId="8439"/>
    <cellStyle name="Input [yellow] 3 12 10 14 2" xfId="19636"/>
    <cellStyle name="Input [yellow] 3 12 10 14 3" xfId="30804"/>
    <cellStyle name="Input [yellow] 3 12 10 14 4" xfId="41969"/>
    <cellStyle name="Input [yellow] 3 12 10 14 5" xfId="53162"/>
    <cellStyle name="Input [yellow] 3 12 10 15" xfId="9067"/>
    <cellStyle name="Input [yellow] 3 12 10 15 2" xfId="20264"/>
    <cellStyle name="Input [yellow] 3 12 10 15 3" xfId="31432"/>
    <cellStyle name="Input [yellow] 3 12 10 15 4" xfId="42597"/>
    <cellStyle name="Input [yellow] 3 12 10 15 5" xfId="53790"/>
    <cellStyle name="Input [yellow] 3 12 10 16" xfId="9490"/>
    <cellStyle name="Input [yellow] 3 12 10 16 2" xfId="20687"/>
    <cellStyle name="Input [yellow] 3 12 10 16 3" xfId="31855"/>
    <cellStyle name="Input [yellow] 3 12 10 16 4" xfId="43020"/>
    <cellStyle name="Input [yellow] 3 12 10 16 5" xfId="54213"/>
    <cellStyle name="Input [yellow] 3 12 10 17" xfId="10115"/>
    <cellStyle name="Input [yellow] 3 12 10 17 2" xfId="21312"/>
    <cellStyle name="Input [yellow] 3 12 10 17 3" xfId="32480"/>
    <cellStyle name="Input [yellow] 3 12 10 17 4" xfId="43645"/>
    <cellStyle name="Input [yellow] 3 12 10 17 5" xfId="54838"/>
    <cellStyle name="Input [yellow] 3 12 10 18" xfId="10354"/>
    <cellStyle name="Input [yellow] 3 12 10 18 2" xfId="21551"/>
    <cellStyle name="Input [yellow] 3 12 10 18 3" xfId="32719"/>
    <cellStyle name="Input [yellow] 3 12 10 18 4" xfId="43884"/>
    <cellStyle name="Input [yellow] 3 12 10 18 5" xfId="55077"/>
    <cellStyle name="Input [yellow] 3 12 10 19" xfId="11155"/>
    <cellStyle name="Input [yellow] 3 12 10 19 2" xfId="22352"/>
    <cellStyle name="Input [yellow] 3 12 10 19 3" xfId="33520"/>
    <cellStyle name="Input [yellow] 3 12 10 19 4" xfId="44685"/>
    <cellStyle name="Input [yellow] 3 12 10 19 5" xfId="55878"/>
    <cellStyle name="Input [yellow] 3 12 10 2" xfId="1251"/>
    <cellStyle name="Input [yellow] 3 12 10 2 2" xfId="12448"/>
    <cellStyle name="Input [yellow] 3 12 10 2 3" xfId="23616"/>
    <cellStyle name="Input [yellow] 3 12 10 2 4" xfId="34781"/>
    <cellStyle name="Input [yellow] 3 12 10 2 5" xfId="45974"/>
    <cellStyle name="Input [yellow] 3 12 10 20" xfId="11802"/>
    <cellStyle name="Input [yellow] 3 12 10 21" xfId="22972"/>
    <cellStyle name="Input [yellow] 3 12 10 22" xfId="34139"/>
    <cellStyle name="Input [yellow] 3 12 10 23" xfId="45325"/>
    <cellStyle name="Input [yellow] 3 12 10 3" xfId="1602"/>
    <cellStyle name="Input [yellow] 3 12 10 3 2" xfId="12799"/>
    <cellStyle name="Input [yellow] 3 12 10 3 3" xfId="23967"/>
    <cellStyle name="Input [yellow] 3 12 10 3 4" xfId="35132"/>
    <cellStyle name="Input [yellow] 3 12 10 3 5" xfId="46325"/>
    <cellStyle name="Input [yellow] 3 12 10 4" xfId="2527"/>
    <cellStyle name="Input [yellow] 3 12 10 4 2" xfId="13724"/>
    <cellStyle name="Input [yellow] 3 12 10 4 3" xfId="24892"/>
    <cellStyle name="Input [yellow] 3 12 10 4 4" xfId="36057"/>
    <cellStyle name="Input [yellow] 3 12 10 4 5" xfId="47250"/>
    <cellStyle name="Input [yellow] 3 12 10 5" xfId="2952"/>
    <cellStyle name="Input [yellow] 3 12 10 5 2" xfId="14149"/>
    <cellStyle name="Input [yellow] 3 12 10 5 3" xfId="25317"/>
    <cellStyle name="Input [yellow] 3 12 10 5 4" xfId="36482"/>
    <cellStyle name="Input [yellow] 3 12 10 5 5" xfId="47675"/>
    <cellStyle name="Input [yellow] 3 12 10 6" xfId="3586"/>
    <cellStyle name="Input [yellow] 3 12 10 6 2" xfId="14783"/>
    <cellStyle name="Input [yellow] 3 12 10 6 3" xfId="25951"/>
    <cellStyle name="Input [yellow] 3 12 10 6 4" xfId="37116"/>
    <cellStyle name="Input [yellow] 3 12 10 6 5" xfId="48309"/>
    <cellStyle name="Input [yellow] 3 12 10 7" xfId="4220"/>
    <cellStyle name="Input [yellow] 3 12 10 7 2" xfId="15417"/>
    <cellStyle name="Input [yellow] 3 12 10 7 3" xfId="26585"/>
    <cellStyle name="Input [yellow] 3 12 10 7 4" xfId="37750"/>
    <cellStyle name="Input [yellow] 3 12 10 7 5" xfId="48943"/>
    <cellStyle name="Input [yellow] 3 12 10 8" xfId="4853"/>
    <cellStyle name="Input [yellow] 3 12 10 8 2" xfId="16050"/>
    <cellStyle name="Input [yellow] 3 12 10 8 3" xfId="27218"/>
    <cellStyle name="Input [yellow] 3 12 10 8 4" xfId="38383"/>
    <cellStyle name="Input [yellow] 3 12 10 8 5" xfId="49576"/>
    <cellStyle name="Input [yellow] 3 12 10 9" xfId="5484"/>
    <cellStyle name="Input [yellow] 3 12 10 9 2" xfId="16681"/>
    <cellStyle name="Input [yellow] 3 12 10 9 3" xfId="27849"/>
    <cellStyle name="Input [yellow] 3 12 10 9 4" xfId="39014"/>
    <cellStyle name="Input [yellow] 3 12 10 9 5" xfId="50207"/>
    <cellStyle name="Input [yellow] 3 12 11" xfId="666"/>
    <cellStyle name="Input [yellow] 3 12 11 10" xfId="5856"/>
    <cellStyle name="Input [yellow] 3 12 11 10 2" xfId="17053"/>
    <cellStyle name="Input [yellow] 3 12 11 10 3" xfId="28221"/>
    <cellStyle name="Input [yellow] 3 12 11 10 4" xfId="39386"/>
    <cellStyle name="Input [yellow] 3 12 11 10 5" xfId="50579"/>
    <cellStyle name="Input [yellow] 3 12 11 11" xfId="6602"/>
    <cellStyle name="Input [yellow] 3 12 11 11 2" xfId="17799"/>
    <cellStyle name="Input [yellow] 3 12 11 11 3" xfId="28967"/>
    <cellStyle name="Input [yellow] 3 12 11 11 4" xfId="40132"/>
    <cellStyle name="Input [yellow] 3 12 11 11 5" xfId="51325"/>
    <cellStyle name="Input [yellow] 3 12 11 12" xfId="7235"/>
    <cellStyle name="Input [yellow] 3 12 11 12 2" xfId="18432"/>
    <cellStyle name="Input [yellow] 3 12 11 12 3" xfId="29600"/>
    <cellStyle name="Input [yellow] 3 12 11 12 4" xfId="40765"/>
    <cellStyle name="Input [yellow] 3 12 11 12 5" xfId="51958"/>
    <cellStyle name="Input [yellow] 3 12 11 13" xfId="7869"/>
    <cellStyle name="Input [yellow] 3 12 11 13 2" xfId="19066"/>
    <cellStyle name="Input [yellow] 3 12 11 13 3" xfId="30234"/>
    <cellStyle name="Input [yellow] 3 12 11 13 4" xfId="41399"/>
    <cellStyle name="Input [yellow] 3 12 11 13 5" xfId="52592"/>
    <cellStyle name="Input [yellow] 3 12 11 14" xfId="8503"/>
    <cellStyle name="Input [yellow] 3 12 11 14 2" xfId="19700"/>
    <cellStyle name="Input [yellow] 3 12 11 14 3" xfId="30868"/>
    <cellStyle name="Input [yellow] 3 12 11 14 4" xfId="42033"/>
    <cellStyle name="Input [yellow] 3 12 11 14 5" xfId="53226"/>
    <cellStyle name="Input [yellow] 3 12 11 15" xfId="9131"/>
    <cellStyle name="Input [yellow] 3 12 11 15 2" xfId="20328"/>
    <cellStyle name="Input [yellow] 3 12 11 15 3" xfId="31496"/>
    <cellStyle name="Input [yellow] 3 12 11 15 4" xfId="42661"/>
    <cellStyle name="Input [yellow] 3 12 11 15 5" xfId="53854"/>
    <cellStyle name="Input [yellow] 3 12 11 16" xfId="9554"/>
    <cellStyle name="Input [yellow] 3 12 11 16 2" xfId="20751"/>
    <cellStyle name="Input [yellow] 3 12 11 16 3" xfId="31919"/>
    <cellStyle name="Input [yellow] 3 12 11 16 4" xfId="43084"/>
    <cellStyle name="Input [yellow] 3 12 11 16 5" xfId="54277"/>
    <cellStyle name="Input [yellow] 3 12 11 17" xfId="10179"/>
    <cellStyle name="Input [yellow] 3 12 11 17 2" xfId="21376"/>
    <cellStyle name="Input [yellow] 3 12 11 17 3" xfId="32544"/>
    <cellStyle name="Input [yellow] 3 12 11 17 4" xfId="43709"/>
    <cellStyle name="Input [yellow] 3 12 11 17 5" xfId="54902"/>
    <cellStyle name="Input [yellow] 3 12 11 18" xfId="10442"/>
    <cellStyle name="Input [yellow] 3 12 11 18 2" xfId="21639"/>
    <cellStyle name="Input [yellow] 3 12 11 18 3" xfId="32807"/>
    <cellStyle name="Input [yellow] 3 12 11 18 4" xfId="43972"/>
    <cellStyle name="Input [yellow] 3 12 11 18 5" xfId="55165"/>
    <cellStyle name="Input [yellow] 3 12 11 19" xfId="11219"/>
    <cellStyle name="Input [yellow] 3 12 11 19 2" xfId="22416"/>
    <cellStyle name="Input [yellow] 3 12 11 19 3" xfId="33584"/>
    <cellStyle name="Input [yellow] 3 12 11 19 4" xfId="44749"/>
    <cellStyle name="Input [yellow] 3 12 11 19 5" xfId="55942"/>
    <cellStyle name="Input [yellow] 3 12 11 2" xfId="1315"/>
    <cellStyle name="Input [yellow] 3 12 11 2 2" xfId="12512"/>
    <cellStyle name="Input [yellow] 3 12 11 2 3" xfId="23680"/>
    <cellStyle name="Input [yellow] 3 12 11 2 4" xfId="34845"/>
    <cellStyle name="Input [yellow] 3 12 11 2 5" xfId="46038"/>
    <cellStyle name="Input [yellow] 3 12 11 20" xfId="11866"/>
    <cellStyle name="Input [yellow] 3 12 11 21" xfId="23036"/>
    <cellStyle name="Input [yellow] 3 12 11 22" xfId="34203"/>
    <cellStyle name="Input [yellow] 3 12 11 23" xfId="45389"/>
    <cellStyle name="Input [yellow] 3 12 11 3" xfId="1714"/>
    <cellStyle name="Input [yellow] 3 12 11 3 2" xfId="12911"/>
    <cellStyle name="Input [yellow] 3 12 11 3 3" xfId="24079"/>
    <cellStyle name="Input [yellow] 3 12 11 3 4" xfId="35244"/>
    <cellStyle name="Input [yellow] 3 12 11 3 5" xfId="46437"/>
    <cellStyle name="Input [yellow] 3 12 11 4" xfId="2591"/>
    <cellStyle name="Input [yellow] 3 12 11 4 2" xfId="13788"/>
    <cellStyle name="Input [yellow] 3 12 11 4 3" xfId="24956"/>
    <cellStyle name="Input [yellow] 3 12 11 4 4" xfId="36121"/>
    <cellStyle name="Input [yellow] 3 12 11 4 5" xfId="47314"/>
    <cellStyle name="Input [yellow] 3 12 11 5" xfId="3016"/>
    <cellStyle name="Input [yellow] 3 12 11 5 2" xfId="14213"/>
    <cellStyle name="Input [yellow] 3 12 11 5 3" xfId="25381"/>
    <cellStyle name="Input [yellow] 3 12 11 5 4" xfId="36546"/>
    <cellStyle name="Input [yellow] 3 12 11 5 5" xfId="47739"/>
    <cellStyle name="Input [yellow] 3 12 11 6" xfId="3650"/>
    <cellStyle name="Input [yellow] 3 12 11 6 2" xfId="14847"/>
    <cellStyle name="Input [yellow] 3 12 11 6 3" xfId="26015"/>
    <cellStyle name="Input [yellow] 3 12 11 6 4" xfId="37180"/>
    <cellStyle name="Input [yellow] 3 12 11 6 5" xfId="48373"/>
    <cellStyle name="Input [yellow] 3 12 11 7" xfId="4284"/>
    <cellStyle name="Input [yellow] 3 12 11 7 2" xfId="15481"/>
    <cellStyle name="Input [yellow] 3 12 11 7 3" xfId="26649"/>
    <cellStyle name="Input [yellow] 3 12 11 7 4" xfId="37814"/>
    <cellStyle name="Input [yellow] 3 12 11 7 5" xfId="49007"/>
    <cellStyle name="Input [yellow] 3 12 11 8" xfId="4917"/>
    <cellStyle name="Input [yellow] 3 12 11 8 2" xfId="16114"/>
    <cellStyle name="Input [yellow] 3 12 11 8 3" xfId="27282"/>
    <cellStyle name="Input [yellow] 3 12 11 8 4" xfId="38447"/>
    <cellStyle name="Input [yellow] 3 12 11 8 5" xfId="49640"/>
    <cellStyle name="Input [yellow] 3 12 11 9" xfId="5548"/>
    <cellStyle name="Input [yellow] 3 12 11 9 2" xfId="16745"/>
    <cellStyle name="Input [yellow] 3 12 11 9 3" xfId="27913"/>
    <cellStyle name="Input [yellow] 3 12 11 9 4" xfId="39078"/>
    <cellStyle name="Input [yellow] 3 12 11 9 5" xfId="50271"/>
    <cellStyle name="Input [yellow] 3 12 12" xfId="755"/>
    <cellStyle name="Input [yellow] 3 12 12 2" xfId="11953"/>
    <cellStyle name="Input [yellow] 3 12 12 3" xfId="23121"/>
    <cellStyle name="Input [yellow] 3 12 12 4" xfId="34286"/>
    <cellStyle name="Input [yellow] 3 12 12 5" xfId="45478"/>
    <cellStyle name="Input [yellow] 3 12 13" xfId="1373"/>
    <cellStyle name="Input [yellow] 3 12 13 2" xfId="12570"/>
    <cellStyle name="Input [yellow] 3 12 13 3" xfId="23738"/>
    <cellStyle name="Input [yellow] 3 12 13 4" xfId="34903"/>
    <cellStyle name="Input [yellow] 3 12 13 5" xfId="46096"/>
    <cellStyle name="Input [yellow] 3 12 14" xfId="2032"/>
    <cellStyle name="Input [yellow] 3 12 14 2" xfId="13229"/>
    <cellStyle name="Input [yellow] 3 12 14 3" xfId="24397"/>
    <cellStyle name="Input [yellow] 3 12 14 4" xfId="35562"/>
    <cellStyle name="Input [yellow] 3 12 14 5" xfId="46755"/>
    <cellStyle name="Input [yellow] 3 12 15" xfId="2478"/>
    <cellStyle name="Input [yellow] 3 12 15 2" xfId="13675"/>
    <cellStyle name="Input [yellow] 3 12 15 3" xfId="24843"/>
    <cellStyle name="Input [yellow] 3 12 15 4" xfId="36008"/>
    <cellStyle name="Input [yellow] 3 12 15 5" xfId="47201"/>
    <cellStyle name="Input [yellow] 3 12 16" xfId="3090"/>
    <cellStyle name="Input [yellow] 3 12 16 2" xfId="14287"/>
    <cellStyle name="Input [yellow] 3 12 16 3" xfId="25455"/>
    <cellStyle name="Input [yellow] 3 12 16 4" xfId="36620"/>
    <cellStyle name="Input [yellow] 3 12 16 5" xfId="47813"/>
    <cellStyle name="Input [yellow] 3 12 17" xfId="3724"/>
    <cellStyle name="Input [yellow] 3 12 17 2" xfId="14921"/>
    <cellStyle name="Input [yellow] 3 12 17 3" xfId="26089"/>
    <cellStyle name="Input [yellow] 3 12 17 4" xfId="37254"/>
    <cellStyle name="Input [yellow] 3 12 17 5" xfId="48447"/>
    <cellStyle name="Input [yellow] 3 12 18" xfId="4357"/>
    <cellStyle name="Input [yellow] 3 12 18 2" xfId="15554"/>
    <cellStyle name="Input [yellow] 3 12 18 3" xfId="26722"/>
    <cellStyle name="Input [yellow] 3 12 18 4" xfId="37887"/>
    <cellStyle name="Input [yellow] 3 12 18 5" xfId="49080"/>
    <cellStyle name="Input [yellow] 3 12 19" xfId="4989"/>
    <cellStyle name="Input [yellow] 3 12 19 2" xfId="16186"/>
    <cellStyle name="Input [yellow] 3 12 19 3" xfId="27354"/>
    <cellStyle name="Input [yellow] 3 12 19 4" xfId="38519"/>
    <cellStyle name="Input [yellow] 3 12 19 5" xfId="49712"/>
    <cellStyle name="Input [yellow] 3 12 2" xfId="170"/>
    <cellStyle name="Input [yellow] 3 12 2 10" xfId="5739"/>
    <cellStyle name="Input [yellow] 3 12 2 10 2" xfId="16936"/>
    <cellStyle name="Input [yellow] 3 12 2 10 3" xfId="28104"/>
    <cellStyle name="Input [yellow] 3 12 2 10 4" xfId="39269"/>
    <cellStyle name="Input [yellow] 3 12 2 10 5" xfId="50462"/>
    <cellStyle name="Input [yellow] 3 12 2 11" xfId="6059"/>
    <cellStyle name="Input [yellow] 3 12 2 11 2" xfId="17256"/>
    <cellStyle name="Input [yellow] 3 12 2 11 3" xfId="28424"/>
    <cellStyle name="Input [yellow] 3 12 2 11 4" xfId="39589"/>
    <cellStyle name="Input [yellow] 3 12 2 11 5" xfId="50782"/>
    <cellStyle name="Input [yellow] 3 12 2 12" xfId="6739"/>
    <cellStyle name="Input [yellow] 3 12 2 12 2" xfId="17936"/>
    <cellStyle name="Input [yellow] 3 12 2 12 3" xfId="29104"/>
    <cellStyle name="Input [yellow] 3 12 2 12 4" xfId="40269"/>
    <cellStyle name="Input [yellow] 3 12 2 12 5" xfId="51462"/>
    <cellStyle name="Input [yellow] 3 12 2 13" xfId="7373"/>
    <cellStyle name="Input [yellow] 3 12 2 13 2" xfId="18570"/>
    <cellStyle name="Input [yellow] 3 12 2 13 3" xfId="29738"/>
    <cellStyle name="Input [yellow] 3 12 2 13 4" xfId="40903"/>
    <cellStyle name="Input [yellow] 3 12 2 13 5" xfId="52096"/>
    <cellStyle name="Input [yellow] 3 12 2 14" xfId="8007"/>
    <cellStyle name="Input [yellow] 3 12 2 14 2" xfId="19204"/>
    <cellStyle name="Input [yellow] 3 12 2 14 3" xfId="30372"/>
    <cellStyle name="Input [yellow] 3 12 2 14 4" xfId="41537"/>
    <cellStyle name="Input [yellow] 3 12 2 14 5" xfId="52730"/>
    <cellStyle name="Input [yellow] 3 12 2 15" xfId="8638"/>
    <cellStyle name="Input [yellow] 3 12 2 15 2" xfId="19835"/>
    <cellStyle name="Input [yellow] 3 12 2 15 3" xfId="31003"/>
    <cellStyle name="Input [yellow] 3 12 2 15 4" xfId="42168"/>
    <cellStyle name="Input [yellow] 3 12 2 15 5" xfId="53361"/>
    <cellStyle name="Input [yellow] 3 12 2 16" xfId="8606"/>
    <cellStyle name="Input [yellow] 3 12 2 16 2" xfId="19803"/>
    <cellStyle name="Input [yellow] 3 12 2 16 3" xfId="30971"/>
    <cellStyle name="Input [yellow] 3 12 2 16 4" xfId="42136"/>
    <cellStyle name="Input [yellow] 3 12 2 16 5" xfId="53329"/>
    <cellStyle name="Input [yellow] 3 12 2 17" xfId="9691"/>
    <cellStyle name="Input [yellow] 3 12 2 17 2" xfId="20888"/>
    <cellStyle name="Input [yellow] 3 12 2 17 3" xfId="32056"/>
    <cellStyle name="Input [yellow] 3 12 2 17 4" xfId="43221"/>
    <cellStyle name="Input [yellow] 3 12 2 17 5" xfId="54414"/>
    <cellStyle name="Input [yellow] 3 12 2 18" xfId="10598"/>
    <cellStyle name="Input [yellow] 3 12 2 18 2" xfId="21795"/>
    <cellStyle name="Input [yellow] 3 12 2 18 3" xfId="32963"/>
    <cellStyle name="Input [yellow] 3 12 2 18 4" xfId="44128"/>
    <cellStyle name="Input [yellow] 3 12 2 18 5" xfId="55321"/>
    <cellStyle name="Input [yellow] 3 12 2 19" xfId="10723"/>
    <cellStyle name="Input [yellow] 3 12 2 19 2" xfId="21920"/>
    <cellStyle name="Input [yellow] 3 12 2 19 3" xfId="33088"/>
    <cellStyle name="Input [yellow] 3 12 2 19 4" xfId="44253"/>
    <cellStyle name="Input [yellow] 3 12 2 19 5" xfId="55446"/>
    <cellStyle name="Input [yellow] 3 12 2 2" xfId="819"/>
    <cellStyle name="Input [yellow] 3 12 2 2 2" xfId="12016"/>
    <cellStyle name="Input [yellow] 3 12 2 2 3" xfId="23184"/>
    <cellStyle name="Input [yellow] 3 12 2 2 4" xfId="34349"/>
    <cellStyle name="Input [yellow] 3 12 2 2 5" xfId="45542"/>
    <cellStyle name="Input [yellow] 3 12 2 20" xfId="11370"/>
    <cellStyle name="Input [yellow] 3 12 2 21" xfId="22540"/>
    <cellStyle name="Input [yellow] 3 12 2 22" xfId="33707"/>
    <cellStyle name="Input [yellow] 3 12 2 23" xfId="44893"/>
    <cellStyle name="Input [yellow] 3 12 2 3" xfId="1890"/>
    <cellStyle name="Input [yellow] 3 12 2 3 2" xfId="13087"/>
    <cellStyle name="Input [yellow] 3 12 2 3 3" xfId="24255"/>
    <cellStyle name="Input [yellow] 3 12 2 3 4" xfId="35420"/>
    <cellStyle name="Input [yellow] 3 12 2 3 5" xfId="46613"/>
    <cellStyle name="Input [yellow] 3 12 2 4" xfId="2096"/>
    <cellStyle name="Input [yellow] 3 12 2 4 2" xfId="13293"/>
    <cellStyle name="Input [yellow] 3 12 2 4 3" xfId="24461"/>
    <cellStyle name="Input [yellow] 3 12 2 4 4" xfId="35626"/>
    <cellStyle name="Input [yellow] 3 12 2 4 5" xfId="46819"/>
    <cellStyle name="Input [yellow] 3 12 2 5" xfId="1998"/>
    <cellStyle name="Input [yellow] 3 12 2 5 2" xfId="13195"/>
    <cellStyle name="Input [yellow] 3 12 2 5 3" xfId="24363"/>
    <cellStyle name="Input [yellow] 3 12 2 5 4" xfId="35528"/>
    <cellStyle name="Input [yellow] 3 12 2 5 5" xfId="46721"/>
    <cellStyle name="Input [yellow] 3 12 2 6" xfId="3154"/>
    <cellStyle name="Input [yellow] 3 12 2 6 2" xfId="14351"/>
    <cellStyle name="Input [yellow] 3 12 2 6 3" xfId="25519"/>
    <cellStyle name="Input [yellow] 3 12 2 6 4" xfId="36684"/>
    <cellStyle name="Input [yellow] 3 12 2 6 5" xfId="47877"/>
    <cellStyle name="Input [yellow] 3 12 2 7" xfId="3788"/>
    <cellStyle name="Input [yellow] 3 12 2 7 2" xfId="14985"/>
    <cellStyle name="Input [yellow] 3 12 2 7 3" xfId="26153"/>
    <cellStyle name="Input [yellow] 3 12 2 7 4" xfId="37318"/>
    <cellStyle name="Input [yellow] 3 12 2 7 5" xfId="48511"/>
    <cellStyle name="Input [yellow] 3 12 2 8" xfId="4421"/>
    <cellStyle name="Input [yellow] 3 12 2 8 2" xfId="15618"/>
    <cellStyle name="Input [yellow] 3 12 2 8 3" xfId="26786"/>
    <cellStyle name="Input [yellow] 3 12 2 8 4" xfId="37951"/>
    <cellStyle name="Input [yellow] 3 12 2 8 5" xfId="49144"/>
    <cellStyle name="Input [yellow] 3 12 2 9" xfId="5052"/>
    <cellStyle name="Input [yellow] 3 12 2 9 2" xfId="16249"/>
    <cellStyle name="Input [yellow] 3 12 2 9 3" xfId="27417"/>
    <cellStyle name="Input [yellow] 3 12 2 9 4" xfId="38582"/>
    <cellStyle name="Input [yellow] 3 12 2 9 5" xfId="49775"/>
    <cellStyle name="Input [yellow] 3 12 20" xfId="5826"/>
    <cellStyle name="Input [yellow] 3 12 20 2" xfId="17023"/>
    <cellStyle name="Input [yellow] 3 12 20 3" xfId="28191"/>
    <cellStyle name="Input [yellow] 3 12 20 4" xfId="39356"/>
    <cellStyle name="Input [yellow] 3 12 20 5" xfId="50549"/>
    <cellStyle name="Input [yellow] 3 12 21" xfId="5924"/>
    <cellStyle name="Input [yellow] 3 12 21 2" xfId="17121"/>
    <cellStyle name="Input [yellow] 3 12 21 3" xfId="28289"/>
    <cellStyle name="Input [yellow] 3 12 21 4" xfId="39454"/>
    <cellStyle name="Input [yellow] 3 12 21 5" xfId="50647"/>
    <cellStyle name="Input [yellow] 3 12 22" xfId="6676"/>
    <cellStyle name="Input [yellow] 3 12 22 2" xfId="17873"/>
    <cellStyle name="Input [yellow] 3 12 22 3" xfId="29041"/>
    <cellStyle name="Input [yellow] 3 12 22 4" xfId="40206"/>
    <cellStyle name="Input [yellow] 3 12 22 5" xfId="51399"/>
    <cellStyle name="Input [yellow] 3 12 23" xfId="7309"/>
    <cellStyle name="Input [yellow] 3 12 23 2" xfId="18506"/>
    <cellStyle name="Input [yellow] 3 12 23 3" xfId="29674"/>
    <cellStyle name="Input [yellow] 3 12 23 4" xfId="40839"/>
    <cellStyle name="Input [yellow] 3 12 23 5" xfId="52032"/>
    <cellStyle name="Input [yellow] 3 12 24" xfId="7943"/>
    <cellStyle name="Input [yellow] 3 12 24 2" xfId="19140"/>
    <cellStyle name="Input [yellow] 3 12 24 3" xfId="30308"/>
    <cellStyle name="Input [yellow] 3 12 24 4" xfId="41473"/>
    <cellStyle name="Input [yellow] 3 12 24 5" xfId="52666"/>
    <cellStyle name="Input [yellow] 3 12 25" xfId="8575"/>
    <cellStyle name="Input [yellow] 3 12 25 2" xfId="19772"/>
    <cellStyle name="Input [yellow] 3 12 25 3" xfId="30940"/>
    <cellStyle name="Input [yellow] 3 12 25 4" xfId="42105"/>
    <cellStyle name="Input [yellow] 3 12 25 5" xfId="53298"/>
    <cellStyle name="Input [yellow] 3 12 26" xfId="9157"/>
    <cellStyle name="Input [yellow] 3 12 26 2" xfId="20354"/>
    <cellStyle name="Input [yellow] 3 12 26 3" xfId="31522"/>
    <cellStyle name="Input [yellow] 3 12 26 4" xfId="42687"/>
    <cellStyle name="Input [yellow] 3 12 26 5" xfId="53880"/>
    <cellStyle name="Input [yellow] 3 12 27" xfId="9627"/>
    <cellStyle name="Input [yellow] 3 12 27 2" xfId="20824"/>
    <cellStyle name="Input [yellow] 3 12 27 3" xfId="31992"/>
    <cellStyle name="Input [yellow] 3 12 27 4" xfId="43157"/>
    <cellStyle name="Input [yellow] 3 12 27 5" xfId="54350"/>
    <cellStyle name="Input [yellow] 3 12 28" xfId="10372"/>
    <cellStyle name="Input [yellow] 3 12 28 2" xfId="21569"/>
    <cellStyle name="Input [yellow] 3 12 28 3" xfId="32737"/>
    <cellStyle name="Input [yellow] 3 12 28 4" xfId="43902"/>
    <cellStyle name="Input [yellow] 3 12 28 5" xfId="55095"/>
    <cellStyle name="Input [yellow] 3 12 29" xfId="10660"/>
    <cellStyle name="Input [yellow] 3 12 29 2" xfId="21857"/>
    <cellStyle name="Input [yellow] 3 12 29 3" xfId="33025"/>
    <cellStyle name="Input [yellow] 3 12 29 4" xfId="44190"/>
    <cellStyle name="Input [yellow] 3 12 29 5" xfId="55383"/>
    <cellStyle name="Input [yellow] 3 12 3" xfId="226"/>
    <cellStyle name="Input [yellow] 3 12 3 10" xfId="5821"/>
    <cellStyle name="Input [yellow] 3 12 3 10 2" xfId="17018"/>
    <cellStyle name="Input [yellow] 3 12 3 10 3" xfId="28186"/>
    <cellStyle name="Input [yellow] 3 12 3 10 4" xfId="39351"/>
    <cellStyle name="Input [yellow] 3 12 3 10 5" xfId="50544"/>
    <cellStyle name="Input [yellow] 3 12 3 11" xfId="5621"/>
    <cellStyle name="Input [yellow] 3 12 3 11 2" xfId="16818"/>
    <cellStyle name="Input [yellow] 3 12 3 11 3" xfId="27986"/>
    <cellStyle name="Input [yellow] 3 12 3 11 4" xfId="39151"/>
    <cellStyle name="Input [yellow] 3 12 3 11 5" xfId="50344"/>
    <cellStyle name="Input [yellow] 3 12 3 12" xfId="6795"/>
    <cellStyle name="Input [yellow] 3 12 3 12 2" xfId="17992"/>
    <cellStyle name="Input [yellow] 3 12 3 12 3" xfId="29160"/>
    <cellStyle name="Input [yellow] 3 12 3 12 4" xfId="40325"/>
    <cellStyle name="Input [yellow] 3 12 3 12 5" xfId="51518"/>
    <cellStyle name="Input [yellow] 3 12 3 13" xfId="7429"/>
    <cellStyle name="Input [yellow] 3 12 3 13 2" xfId="18626"/>
    <cellStyle name="Input [yellow] 3 12 3 13 3" xfId="29794"/>
    <cellStyle name="Input [yellow] 3 12 3 13 4" xfId="40959"/>
    <cellStyle name="Input [yellow] 3 12 3 13 5" xfId="52152"/>
    <cellStyle name="Input [yellow] 3 12 3 14" xfId="8063"/>
    <cellStyle name="Input [yellow] 3 12 3 14 2" xfId="19260"/>
    <cellStyle name="Input [yellow] 3 12 3 14 3" xfId="30428"/>
    <cellStyle name="Input [yellow] 3 12 3 14 4" xfId="41593"/>
    <cellStyle name="Input [yellow] 3 12 3 14 5" xfId="52786"/>
    <cellStyle name="Input [yellow] 3 12 3 15" xfId="8694"/>
    <cellStyle name="Input [yellow] 3 12 3 15 2" xfId="19891"/>
    <cellStyle name="Input [yellow] 3 12 3 15 3" xfId="31059"/>
    <cellStyle name="Input [yellow] 3 12 3 15 4" xfId="42224"/>
    <cellStyle name="Input [yellow] 3 12 3 15 5" xfId="53417"/>
    <cellStyle name="Input [yellow] 3 12 3 16" xfId="8700"/>
    <cellStyle name="Input [yellow] 3 12 3 16 2" xfId="19897"/>
    <cellStyle name="Input [yellow] 3 12 3 16 3" xfId="31065"/>
    <cellStyle name="Input [yellow] 3 12 3 16 4" xfId="42230"/>
    <cellStyle name="Input [yellow] 3 12 3 16 5" xfId="53423"/>
    <cellStyle name="Input [yellow] 3 12 3 17" xfId="9745"/>
    <cellStyle name="Input [yellow] 3 12 3 17 2" xfId="20942"/>
    <cellStyle name="Input [yellow] 3 12 3 17 3" xfId="32110"/>
    <cellStyle name="Input [yellow] 3 12 3 17 4" xfId="43275"/>
    <cellStyle name="Input [yellow] 3 12 3 17 5" xfId="54468"/>
    <cellStyle name="Input [yellow] 3 12 3 18" xfId="10531"/>
    <cellStyle name="Input [yellow] 3 12 3 18 2" xfId="21728"/>
    <cellStyle name="Input [yellow] 3 12 3 18 3" xfId="32896"/>
    <cellStyle name="Input [yellow] 3 12 3 18 4" xfId="44061"/>
    <cellStyle name="Input [yellow] 3 12 3 18 5" xfId="55254"/>
    <cellStyle name="Input [yellow] 3 12 3 19" xfId="10779"/>
    <cellStyle name="Input [yellow] 3 12 3 19 2" xfId="21976"/>
    <cellStyle name="Input [yellow] 3 12 3 19 3" xfId="33144"/>
    <cellStyle name="Input [yellow] 3 12 3 19 4" xfId="44309"/>
    <cellStyle name="Input [yellow] 3 12 3 19 5" xfId="55502"/>
    <cellStyle name="Input [yellow] 3 12 3 2" xfId="875"/>
    <cellStyle name="Input [yellow] 3 12 3 2 2" xfId="12072"/>
    <cellStyle name="Input [yellow] 3 12 3 2 3" xfId="23240"/>
    <cellStyle name="Input [yellow] 3 12 3 2 4" xfId="34405"/>
    <cellStyle name="Input [yellow] 3 12 3 2 5" xfId="45598"/>
    <cellStyle name="Input [yellow] 3 12 3 20" xfId="11426"/>
    <cellStyle name="Input [yellow] 3 12 3 21" xfId="22596"/>
    <cellStyle name="Input [yellow] 3 12 3 22" xfId="33763"/>
    <cellStyle name="Input [yellow] 3 12 3 23" xfId="44949"/>
    <cellStyle name="Input [yellow] 3 12 3 3" xfId="1397"/>
    <cellStyle name="Input [yellow] 3 12 3 3 2" xfId="12594"/>
    <cellStyle name="Input [yellow] 3 12 3 3 3" xfId="23762"/>
    <cellStyle name="Input [yellow] 3 12 3 3 4" xfId="34927"/>
    <cellStyle name="Input [yellow] 3 12 3 3 5" xfId="46120"/>
    <cellStyle name="Input [yellow] 3 12 3 4" xfId="2152"/>
    <cellStyle name="Input [yellow] 3 12 3 4 2" xfId="13349"/>
    <cellStyle name="Input [yellow] 3 12 3 4 3" xfId="24517"/>
    <cellStyle name="Input [yellow] 3 12 3 4 4" xfId="35682"/>
    <cellStyle name="Input [yellow] 3 12 3 4 5" xfId="46875"/>
    <cellStyle name="Input [yellow] 3 12 3 5" xfId="2565"/>
    <cellStyle name="Input [yellow] 3 12 3 5 2" xfId="13762"/>
    <cellStyle name="Input [yellow] 3 12 3 5 3" xfId="24930"/>
    <cellStyle name="Input [yellow] 3 12 3 5 4" xfId="36095"/>
    <cellStyle name="Input [yellow] 3 12 3 5 5" xfId="47288"/>
    <cellStyle name="Input [yellow] 3 12 3 6" xfId="3210"/>
    <cellStyle name="Input [yellow] 3 12 3 6 2" xfId="14407"/>
    <cellStyle name="Input [yellow] 3 12 3 6 3" xfId="25575"/>
    <cellStyle name="Input [yellow] 3 12 3 6 4" xfId="36740"/>
    <cellStyle name="Input [yellow] 3 12 3 6 5" xfId="47933"/>
    <cellStyle name="Input [yellow] 3 12 3 7" xfId="3844"/>
    <cellStyle name="Input [yellow] 3 12 3 7 2" xfId="15041"/>
    <cellStyle name="Input [yellow] 3 12 3 7 3" xfId="26209"/>
    <cellStyle name="Input [yellow] 3 12 3 7 4" xfId="37374"/>
    <cellStyle name="Input [yellow] 3 12 3 7 5" xfId="48567"/>
    <cellStyle name="Input [yellow] 3 12 3 8" xfId="4477"/>
    <cellStyle name="Input [yellow] 3 12 3 8 2" xfId="15674"/>
    <cellStyle name="Input [yellow] 3 12 3 8 3" xfId="26842"/>
    <cellStyle name="Input [yellow] 3 12 3 8 4" xfId="38007"/>
    <cellStyle name="Input [yellow] 3 12 3 8 5" xfId="49200"/>
    <cellStyle name="Input [yellow] 3 12 3 9" xfId="5108"/>
    <cellStyle name="Input [yellow] 3 12 3 9 2" xfId="16305"/>
    <cellStyle name="Input [yellow] 3 12 3 9 3" xfId="27473"/>
    <cellStyle name="Input [yellow] 3 12 3 9 4" xfId="38638"/>
    <cellStyle name="Input [yellow] 3 12 3 9 5" xfId="49831"/>
    <cellStyle name="Input [yellow] 3 12 30" xfId="11307"/>
    <cellStyle name="Input [yellow] 3 12 31" xfId="22477"/>
    <cellStyle name="Input [yellow] 3 12 32" xfId="33644"/>
    <cellStyle name="Input [yellow] 3 12 33" xfId="44829"/>
    <cellStyle name="Input [yellow] 3 12 4" xfId="299"/>
    <cellStyle name="Input [yellow] 3 12 4 10" xfId="5920"/>
    <cellStyle name="Input [yellow] 3 12 4 10 2" xfId="17117"/>
    <cellStyle name="Input [yellow] 3 12 4 10 3" xfId="28285"/>
    <cellStyle name="Input [yellow] 3 12 4 10 4" xfId="39450"/>
    <cellStyle name="Input [yellow] 3 12 4 10 5" xfId="50643"/>
    <cellStyle name="Input [yellow] 3 12 4 11" xfId="6235"/>
    <cellStyle name="Input [yellow] 3 12 4 11 2" xfId="17432"/>
    <cellStyle name="Input [yellow] 3 12 4 11 3" xfId="28600"/>
    <cellStyle name="Input [yellow] 3 12 4 11 4" xfId="39765"/>
    <cellStyle name="Input [yellow] 3 12 4 11 5" xfId="50958"/>
    <cellStyle name="Input [yellow] 3 12 4 12" xfId="6868"/>
    <cellStyle name="Input [yellow] 3 12 4 12 2" xfId="18065"/>
    <cellStyle name="Input [yellow] 3 12 4 12 3" xfId="29233"/>
    <cellStyle name="Input [yellow] 3 12 4 12 4" xfId="40398"/>
    <cellStyle name="Input [yellow] 3 12 4 12 5" xfId="51591"/>
    <cellStyle name="Input [yellow] 3 12 4 13" xfId="7502"/>
    <cellStyle name="Input [yellow] 3 12 4 13 2" xfId="18699"/>
    <cellStyle name="Input [yellow] 3 12 4 13 3" xfId="29867"/>
    <cellStyle name="Input [yellow] 3 12 4 13 4" xfId="41032"/>
    <cellStyle name="Input [yellow] 3 12 4 13 5" xfId="52225"/>
    <cellStyle name="Input [yellow] 3 12 4 14" xfId="8136"/>
    <cellStyle name="Input [yellow] 3 12 4 14 2" xfId="19333"/>
    <cellStyle name="Input [yellow] 3 12 4 14 3" xfId="30501"/>
    <cellStyle name="Input [yellow] 3 12 4 14 4" xfId="41666"/>
    <cellStyle name="Input [yellow] 3 12 4 14 5" xfId="52859"/>
    <cellStyle name="Input [yellow] 3 12 4 15" xfId="8765"/>
    <cellStyle name="Input [yellow] 3 12 4 15 2" xfId="19962"/>
    <cellStyle name="Input [yellow] 3 12 4 15 3" xfId="31130"/>
    <cellStyle name="Input [yellow] 3 12 4 15 4" xfId="42295"/>
    <cellStyle name="Input [yellow] 3 12 4 15 5" xfId="53488"/>
    <cellStyle name="Input [yellow] 3 12 4 16" xfId="9187"/>
    <cellStyle name="Input [yellow] 3 12 4 16 2" xfId="20384"/>
    <cellStyle name="Input [yellow] 3 12 4 16 3" xfId="31552"/>
    <cellStyle name="Input [yellow] 3 12 4 16 4" xfId="42717"/>
    <cellStyle name="Input [yellow] 3 12 4 16 5" xfId="53910"/>
    <cellStyle name="Input [yellow] 3 12 4 17" xfId="9814"/>
    <cellStyle name="Input [yellow] 3 12 4 17 2" xfId="21011"/>
    <cellStyle name="Input [yellow] 3 12 4 17 3" xfId="32179"/>
    <cellStyle name="Input [yellow] 3 12 4 17 4" xfId="43344"/>
    <cellStyle name="Input [yellow] 3 12 4 17 5" xfId="54537"/>
    <cellStyle name="Input [yellow] 3 12 4 18" xfId="10267"/>
    <cellStyle name="Input [yellow] 3 12 4 18 2" xfId="21464"/>
    <cellStyle name="Input [yellow] 3 12 4 18 3" xfId="32632"/>
    <cellStyle name="Input [yellow] 3 12 4 18 4" xfId="43797"/>
    <cellStyle name="Input [yellow] 3 12 4 18 5" xfId="54990"/>
    <cellStyle name="Input [yellow] 3 12 4 19" xfId="10852"/>
    <cellStyle name="Input [yellow] 3 12 4 19 2" xfId="22049"/>
    <cellStyle name="Input [yellow] 3 12 4 19 3" xfId="33217"/>
    <cellStyle name="Input [yellow] 3 12 4 19 4" xfId="44382"/>
    <cellStyle name="Input [yellow] 3 12 4 19 5" xfId="55575"/>
    <cellStyle name="Input [yellow] 3 12 4 2" xfId="948"/>
    <cellStyle name="Input [yellow] 3 12 4 2 2" xfId="12145"/>
    <cellStyle name="Input [yellow] 3 12 4 2 3" xfId="23313"/>
    <cellStyle name="Input [yellow] 3 12 4 2 4" xfId="34478"/>
    <cellStyle name="Input [yellow] 3 12 4 2 5" xfId="45671"/>
    <cellStyle name="Input [yellow] 3 12 4 20" xfId="11499"/>
    <cellStyle name="Input [yellow] 3 12 4 21" xfId="22669"/>
    <cellStyle name="Input [yellow] 3 12 4 22" xfId="33836"/>
    <cellStyle name="Input [yellow] 3 12 4 23" xfId="45022"/>
    <cellStyle name="Input [yellow] 3 12 4 3" xfId="1582"/>
    <cellStyle name="Input [yellow] 3 12 4 3 2" xfId="12779"/>
    <cellStyle name="Input [yellow] 3 12 4 3 3" xfId="23947"/>
    <cellStyle name="Input [yellow] 3 12 4 3 4" xfId="35112"/>
    <cellStyle name="Input [yellow] 3 12 4 3 5" xfId="46305"/>
    <cellStyle name="Input [yellow] 3 12 4 4" xfId="2224"/>
    <cellStyle name="Input [yellow] 3 12 4 4 2" xfId="13421"/>
    <cellStyle name="Input [yellow] 3 12 4 4 3" xfId="24589"/>
    <cellStyle name="Input [yellow] 3 12 4 4 4" xfId="35754"/>
    <cellStyle name="Input [yellow] 3 12 4 4 5" xfId="46947"/>
    <cellStyle name="Input [yellow] 3 12 4 5" xfId="2649"/>
    <cellStyle name="Input [yellow] 3 12 4 5 2" xfId="13846"/>
    <cellStyle name="Input [yellow] 3 12 4 5 3" xfId="25014"/>
    <cellStyle name="Input [yellow] 3 12 4 5 4" xfId="36179"/>
    <cellStyle name="Input [yellow] 3 12 4 5 5" xfId="47372"/>
    <cellStyle name="Input [yellow] 3 12 4 6" xfId="3283"/>
    <cellStyle name="Input [yellow] 3 12 4 6 2" xfId="14480"/>
    <cellStyle name="Input [yellow] 3 12 4 6 3" xfId="25648"/>
    <cellStyle name="Input [yellow] 3 12 4 6 4" xfId="36813"/>
    <cellStyle name="Input [yellow] 3 12 4 6 5" xfId="48006"/>
    <cellStyle name="Input [yellow] 3 12 4 7" xfId="3917"/>
    <cellStyle name="Input [yellow] 3 12 4 7 2" xfId="15114"/>
    <cellStyle name="Input [yellow] 3 12 4 7 3" xfId="26282"/>
    <cellStyle name="Input [yellow] 3 12 4 7 4" xfId="37447"/>
    <cellStyle name="Input [yellow] 3 12 4 7 5" xfId="48640"/>
    <cellStyle name="Input [yellow] 3 12 4 8" xfId="4550"/>
    <cellStyle name="Input [yellow] 3 12 4 8 2" xfId="15747"/>
    <cellStyle name="Input [yellow] 3 12 4 8 3" xfId="26915"/>
    <cellStyle name="Input [yellow] 3 12 4 8 4" xfId="38080"/>
    <cellStyle name="Input [yellow] 3 12 4 8 5" xfId="49273"/>
    <cellStyle name="Input [yellow] 3 12 4 9" xfId="5181"/>
    <cellStyle name="Input [yellow] 3 12 4 9 2" xfId="16378"/>
    <cellStyle name="Input [yellow] 3 12 4 9 3" xfId="27546"/>
    <cellStyle name="Input [yellow] 3 12 4 9 4" xfId="38711"/>
    <cellStyle name="Input [yellow] 3 12 4 9 5" xfId="49904"/>
    <cellStyle name="Input [yellow] 3 12 5" xfId="335"/>
    <cellStyle name="Input [yellow] 3 12 5 10" xfId="6096"/>
    <cellStyle name="Input [yellow] 3 12 5 10 2" xfId="17293"/>
    <cellStyle name="Input [yellow] 3 12 5 10 3" xfId="28461"/>
    <cellStyle name="Input [yellow] 3 12 5 10 4" xfId="39626"/>
    <cellStyle name="Input [yellow] 3 12 5 10 5" xfId="50819"/>
    <cellStyle name="Input [yellow] 3 12 5 11" xfId="6271"/>
    <cellStyle name="Input [yellow] 3 12 5 11 2" xfId="17468"/>
    <cellStyle name="Input [yellow] 3 12 5 11 3" xfId="28636"/>
    <cellStyle name="Input [yellow] 3 12 5 11 4" xfId="39801"/>
    <cellStyle name="Input [yellow] 3 12 5 11 5" xfId="50994"/>
    <cellStyle name="Input [yellow] 3 12 5 12" xfId="6904"/>
    <cellStyle name="Input [yellow] 3 12 5 12 2" xfId="18101"/>
    <cellStyle name="Input [yellow] 3 12 5 12 3" xfId="29269"/>
    <cellStyle name="Input [yellow] 3 12 5 12 4" xfId="40434"/>
    <cellStyle name="Input [yellow] 3 12 5 12 5" xfId="51627"/>
    <cellStyle name="Input [yellow] 3 12 5 13" xfId="7538"/>
    <cellStyle name="Input [yellow] 3 12 5 13 2" xfId="18735"/>
    <cellStyle name="Input [yellow] 3 12 5 13 3" xfId="29903"/>
    <cellStyle name="Input [yellow] 3 12 5 13 4" xfId="41068"/>
    <cellStyle name="Input [yellow] 3 12 5 13 5" xfId="52261"/>
    <cellStyle name="Input [yellow] 3 12 5 14" xfId="8172"/>
    <cellStyle name="Input [yellow] 3 12 5 14 2" xfId="19369"/>
    <cellStyle name="Input [yellow] 3 12 5 14 3" xfId="30537"/>
    <cellStyle name="Input [yellow] 3 12 5 14 4" xfId="41702"/>
    <cellStyle name="Input [yellow] 3 12 5 14 5" xfId="52895"/>
    <cellStyle name="Input [yellow] 3 12 5 15" xfId="8801"/>
    <cellStyle name="Input [yellow] 3 12 5 15 2" xfId="19998"/>
    <cellStyle name="Input [yellow] 3 12 5 15 3" xfId="31166"/>
    <cellStyle name="Input [yellow] 3 12 5 15 4" xfId="42331"/>
    <cellStyle name="Input [yellow] 3 12 5 15 5" xfId="53524"/>
    <cellStyle name="Input [yellow] 3 12 5 16" xfId="9223"/>
    <cellStyle name="Input [yellow] 3 12 5 16 2" xfId="20420"/>
    <cellStyle name="Input [yellow] 3 12 5 16 3" xfId="31588"/>
    <cellStyle name="Input [yellow] 3 12 5 16 4" xfId="42753"/>
    <cellStyle name="Input [yellow] 3 12 5 16 5" xfId="53946"/>
    <cellStyle name="Input [yellow] 3 12 5 17" xfId="9850"/>
    <cellStyle name="Input [yellow] 3 12 5 17 2" xfId="21047"/>
    <cellStyle name="Input [yellow] 3 12 5 17 3" xfId="32215"/>
    <cellStyle name="Input [yellow] 3 12 5 17 4" xfId="43380"/>
    <cellStyle name="Input [yellow] 3 12 5 17 5" xfId="54573"/>
    <cellStyle name="Input [yellow] 3 12 5 18" xfId="10335"/>
    <cellStyle name="Input [yellow] 3 12 5 18 2" xfId="21532"/>
    <cellStyle name="Input [yellow] 3 12 5 18 3" xfId="32700"/>
    <cellStyle name="Input [yellow] 3 12 5 18 4" xfId="43865"/>
    <cellStyle name="Input [yellow] 3 12 5 18 5" xfId="55058"/>
    <cellStyle name="Input [yellow] 3 12 5 19" xfId="10888"/>
    <cellStyle name="Input [yellow] 3 12 5 19 2" xfId="22085"/>
    <cellStyle name="Input [yellow] 3 12 5 19 3" xfId="33253"/>
    <cellStyle name="Input [yellow] 3 12 5 19 4" xfId="44418"/>
    <cellStyle name="Input [yellow] 3 12 5 19 5" xfId="55611"/>
    <cellStyle name="Input [yellow] 3 12 5 2" xfId="984"/>
    <cellStyle name="Input [yellow] 3 12 5 2 2" xfId="12181"/>
    <cellStyle name="Input [yellow] 3 12 5 2 3" xfId="23349"/>
    <cellStyle name="Input [yellow] 3 12 5 2 4" xfId="34514"/>
    <cellStyle name="Input [yellow] 3 12 5 2 5" xfId="45707"/>
    <cellStyle name="Input [yellow] 3 12 5 20" xfId="11535"/>
    <cellStyle name="Input [yellow] 3 12 5 21" xfId="22705"/>
    <cellStyle name="Input [yellow] 3 12 5 22" xfId="33872"/>
    <cellStyle name="Input [yellow] 3 12 5 23" xfId="45058"/>
    <cellStyle name="Input [yellow] 3 12 5 3" xfId="1593"/>
    <cellStyle name="Input [yellow] 3 12 5 3 2" xfId="12790"/>
    <cellStyle name="Input [yellow] 3 12 5 3 3" xfId="23958"/>
    <cellStyle name="Input [yellow] 3 12 5 3 4" xfId="35123"/>
    <cellStyle name="Input [yellow] 3 12 5 3 5" xfId="46316"/>
    <cellStyle name="Input [yellow] 3 12 5 4" xfId="2260"/>
    <cellStyle name="Input [yellow] 3 12 5 4 2" xfId="13457"/>
    <cellStyle name="Input [yellow] 3 12 5 4 3" xfId="24625"/>
    <cellStyle name="Input [yellow] 3 12 5 4 4" xfId="35790"/>
    <cellStyle name="Input [yellow] 3 12 5 4 5" xfId="46983"/>
    <cellStyle name="Input [yellow] 3 12 5 5" xfId="2685"/>
    <cellStyle name="Input [yellow] 3 12 5 5 2" xfId="13882"/>
    <cellStyle name="Input [yellow] 3 12 5 5 3" xfId="25050"/>
    <cellStyle name="Input [yellow] 3 12 5 5 4" xfId="36215"/>
    <cellStyle name="Input [yellow] 3 12 5 5 5" xfId="47408"/>
    <cellStyle name="Input [yellow] 3 12 5 6" xfId="3319"/>
    <cellStyle name="Input [yellow] 3 12 5 6 2" xfId="14516"/>
    <cellStyle name="Input [yellow] 3 12 5 6 3" xfId="25684"/>
    <cellStyle name="Input [yellow] 3 12 5 6 4" xfId="36849"/>
    <cellStyle name="Input [yellow] 3 12 5 6 5" xfId="48042"/>
    <cellStyle name="Input [yellow] 3 12 5 7" xfId="3953"/>
    <cellStyle name="Input [yellow] 3 12 5 7 2" xfId="15150"/>
    <cellStyle name="Input [yellow] 3 12 5 7 3" xfId="26318"/>
    <cellStyle name="Input [yellow] 3 12 5 7 4" xfId="37483"/>
    <cellStyle name="Input [yellow] 3 12 5 7 5" xfId="48676"/>
    <cellStyle name="Input [yellow] 3 12 5 8" xfId="4586"/>
    <cellStyle name="Input [yellow] 3 12 5 8 2" xfId="15783"/>
    <cellStyle name="Input [yellow] 3 12 5 8 3" xfId="26951"/>
    <cellStyle name="Input [yellow] 3 12 5 8 4" xfId="38116"/>
    <cellStyle name="Input [yellow] 3 12 5 8 5" xfId="49309"/>
    <cellStyle name="Input [yellow] 3 12 5 9" xfId="5217"/>
    <cellStyle name="Input [yellow] 3 12 5 9 2" xfId="16414"/>
    <cellStyle name="Input [yellow] 3 12 5 9 3" xfId="27582"/>
    <cellStyle name="Input [yellow] 3 12 5 9 4" xfId="38747"/>
    <cellStyle name="Input [yellow] 3 12 5 9 5" xfId="49940"/>
    <cellStyle name="Input [yellow] 3 12 6" xfId="411"/>
    <cellStyle name="Input [yellow] 3 12 6 10" xfId="5894"/>
    <cellStyle name="Input [yellow] 3 12 6 10 2" xfId="17091"/>
    <cellStyle name="Input [yellow] 3 12 6 10 3" xfId="28259"/>
    <cellStyle name="Input [yellow] 3 12 6 10 4" xfId="39424"/>
    <cellStyle name="Input [yellow] 3 12 6 10 5" xfId="50617"/>
    <cellStyle name="Input [yellow] 3 12 6 11" xfId="6347"/>
    <cellStyle name="Input [yellow] 3 12 6 11 2" xfId="17544"/>
    <cellStyle name="Input [yellow] 3 12 6 11 3" xfId="28712"/>
    <cellStyle name="Input [yellow] 3 12 6 11 4" xfId="39877"/>
    <cellStyle name="Input [yellow] 3 12 6 11 5" xfId="51070"/>
    <cellStyle name="Input [yellow] 3 12 6 12" xfId="6980"/>
    <cellStyle name="Input [yellow] 3 12 6 12 2" xfId="18177"/>
    <cellStyle name="Input [yellow] 3 12 6 12 3" xfId="29345"/>
    <cellStyle name="Input [yellow] 3 12 6 12 4" xfId="40510"/>
    <cellStyle name="Input [yellow] 3 12 6 12 5" xfId="51703"/>
    <cellStyle name="Input [yellow] 3 12 6 13" xfId="7614"/>
    <cellStyle name="Input [yellow] 3 12 6 13 2" xfId="18811"/>
    <cellStyle name="Input [yellow] 3 12 6 13 3" xfId="29979"/>
    <cellStyle name="Input [yellow] 3 12 6 13 4" xfId="41144"/>
    <cellStyle name="Input [yellow] 3 12 6 13 5" xfId="52337"/>
    <cellStyle name="Input [yellow] 3 12 6 14" xfId="8248"/>
    <cellStyle name="Input [yellow] 3 12 6 14 2" xfId="19445"/>
    <cellStyle name="Input [yellow] 3 12 6 14 3" xfId="30613"/>
    <cellStyle name="Input [yellow] 3 12 6 14 4" xfId="41778"/>
    <cellStyle name="Input [yellow] 3 12 6 14 5" xfId="52971"/>
    <cellStyle name="Input [yellow] 3 12 6 15" xfId="8876"/>
    <cellStyle name="Input [yellow] 3 12 6 15 2" xfId="20073"/>
    <cellStyle name="Input [yellow] 3 12 6 15 3" xfId="31241"/>
    <cellStyle name="Input [yellow] 3 12 6 15 4" xfId="42406"/>
    <cellStyle name="Input [yellow] 3 12 6 15 5" xfId="53599"/>
    <cellStyle name="Input [yellow] 3 12 6 16" xfId="9299"/>
    <cellStyle name="Input [yellow] 3 12 6 16 2" xfId="20496"/>
    <cellStyle name="Input [yellow] 3 12 6 16 3" xfId="31664"/>
    <cellStyle name="Input [yellow] 3 12 6 16 4" xfId="42829"/>
    <cellStyle name="Input [yellow] 3 12 6 16 5" xfId="54022"/>
    <cellStyle name="Input [yellow] 3 12 6 17" xfId="9925"/>
    <cellStyle name="Input [yellow] 3 12 6 17 2" xfId="21122"/>
    <cellStyle name="Input [yellow] 3 12 6 17 3" xfId="32290"/>
    <cellStyle name="Input [yellow] 3 12 6 17 4" xfId="43455"/>
    <cellStyle name="Input [yellow] 3 12 6 17 5" xfId="54648"/>
    <cellStyle name="Input [yellow] 3 12 6 18" xfId="9968"/>
    <cellStyle name="Input [yellow] 3 12 6 18 2" xfId="21165"/>
    <cellStyle name="Input [yellow] 3 12 6 18 3" xfId="32333"/>
    <cellStyle name="Input [yellow] 3 12 6 18 4" xfId="43498"/>
    <cellStyle name="Input [yellow] 3 12 6 18 5" xfId="54691"/>
    <cellStyle name="Input [yellow] 3 12 6 19" xfId="10964"/>
    <cellStyle name="Input [yellow] 3 12 6 19 2" xfId="22161"/>
    <cellStyle name="Input [yellow] 3 12 6 19 3" xfId="33329"/>
    <cellStyle name="Input [yellow] 3 12 6 19 4" xfId="44494"/>
    <cellStyle name="Input [yellow] 3 12 6 19 5" xfId="55687"/>
    <cellStyle name="Input [yellow] 3 12 6 2" xfId="1060"/>
    <cellStyle name="Input [yellow] 3 12 6 2 2" xfId="12257"/>
    <cellStyle name="Input [yellow] 3 12 6 2 3" xfId="23425"/>
    <cellStyle name="Input [yellow] 3 12 6 2 4" xfId="34590"/>
    <cellStyle name="Input [yellow] 3 12 6 2 5" xfId="45783"/>
    <cellStyle name="Input [yellow] 3 12 6 20" xfId="11611"/>
    <cellStyle name="Input [yellow] 3 12 6 21" xfId="22781"/>
    <cellStyle name="Input [yellow] 3 12 6 22" xfId="33948"/>
    <cellStyle name="Input [yellow] 3 12 6 23" xfId="45134"/>
    <cellStyle name="Input [yellow] 3 12 6 3" xfId="1521"/>
    <cellStyle name="Input [yellow] 3 12 6 3 2" xfId="12718"/>
    <cellStyle name="Input [yellow] 3 12 6 3 3" xfId="23886"/>
    <cellStyle name="Input [yellow] 3 12 6 3 4" xfId="35051"/>
    <cellStyle name="Input [yellow] 3 12 6 3 5" xfId="46244"/>
    <cellStyle name="Input [yellow] 3 12 6 4" xfId="2336"/>
    <cellStyle name="Input [yellow] 3 12 6 4 2" xfId="13533"/>
    <cellStyle name="Input [yellow] 3 12 6 4 3" xfId="24701"/>
    <cellStyle name="Input [yellow] 3 12 6 4 4" xfId="35866"/>
    <cellStyle name="Input [yellow] 3 12 6 4 5" xfId="47059"/>
    <cellStyle name="Input [yellow] 3 12 6 5" xfId="2761"/>
    <cellStyle name="Input [yellow] 3 12 6 5 2" xfId="13958"/>
    <cellStyle name="Input [yellow] 3 12 6 5 3" xfId="25126"/>
    <cellStyle name="Input [yellow] 3 12 6 5 4" xfId="36291"/>
    <cellStyle name="Input [yellow] 3 12 6 5 5" xfId="47484"/>
    <cellStyle name="Input [yellow] 3 12 6 6" xfId="3395"/>
    <cellStyle name="Input [yellow] 3 12 6 6 2" xfId="14592"/>
    <cellStyle name="Input [yellow] 3 12 6 6 3" xfId="25760"/>
    <cellStyle name="Input [yellow] 3 12 6 6 4" xfId="36925"/>
    <cellStyle name="Input [yellow] 3 12 6 6 5" xfId="48118"/>
    <cellStyle name="Input [yellow] 3 12 6 7" xfId="4029"/>
    <cellStyle name="Input [yellow] 3 12 6 7 2" xfId="15226"/>
    <cellStyle name="Input [yellow] 3 12 6 7 3" xfId="26394"/>
    <cellStyle name="Input [yellow] 3 12 6 7 4" xfId="37559"/>
    <cellStyle name="Input [yellow] 3 12 6 7 5" xfId="48752"/>
    <cellStyle name="Input [yellow] 3 12 6 8" xfId="4662"/>
    <cellStyle name="Input [yellow] 3 12 6 8 2" xfId="15859"/>
    <cellStyle name="Input [yellow] 3 12 6 8 3" xfId="27027"/>
    <cellStyle name="Input [yellow] 3 12 6 8 4" xfId="38192"/>
    <cellStyle name="Input [yellow] 3 12 6 8 5" xfId="49385"/>
    <cellStyle name="Input [yellow] 3 12 6 9" xfId="5293"/>
    <cellStyle name="Input [yellow] 3 12 6 9 2" xfId="16490"/>
    <cellStyle name="Input [yellow] 3 12 6 9 3" xfId="27658"/>
    <cellStyle name="Input [yellow] 3 12 6 9 4" xfId="38823"/>
    <cellStyle name="Input [yellow] 3 12 6 9 5" xfId="50016"/>
    <cellStyle name="Input [yellow] 3 12 7" xfId="458"/>
    <cellStyle name="Input [yellow] 3 12 7 10" xfId="5976"/>
    <cellStyle name="Input [yellow] 3 12 7 10 2" xfId="17173"/>
    <cellStyle name="Input [yellow] 3 12 7 10 3" xfId="28341"/>
    <cellStyle name="Input [yellow] 3 12 7 10 4" xfId="39506"/>
    <cellStyle name="Input [yellow] 3 12 7 10 5" xfId="50699"/>
    <cellStyle name="Input [yellow] 3 12 7 11" xfId="6394"/>
    <cellStyle name="Input [yellow] 3 12 7 11 2" xfId="17591"/>
    <cellStyle name="Input [yellow] 3 12 7 11 3" xfId="28759"/>
    <cellStyle name="Input [yellow] 3 12 7 11 4" xfId="39924"/>
    <cellStyle name="Input [yellow] 3 12 7 11 5" xfId="51117"/>
    <cellStyle name="Input [yellow] 3 12 7 12" xfId="7027"/>
    <cellStyle name="Input [yellow] 3 12 7 12 2" xfId="18224"/>
    <cellStyle name="Input [yellow] 3 12 7 12 3" xfId="29392"/>
    <cellStyle name="Input [yellow] 3 12 7 12 4" xfId="40557"/>
    <cellStyle name="Input [yellow] 3 12 7 12 5" xfId="51750"/>
    <cellStyle name="Input [yellow] 3 12 7 13" xfId="7661"/>
    <cellStyle name="Input [yellow] 3 12 7 13 2" xfId="18858"/>
    <cellStyle name="Input [yellow] 3 12 7 13 3" xfId="30026"/>
    <cellStyle name="Input [yellow] 3 12 7 13 4" xfId="41191"/>
    <cellStyle name="Input [yellow] 3 12 7 13 5" xfId="52384"/>
    <cellStyle name="Input [yellow] 3 12 7 14" xfId="8295"/>
    <cellStyle name="Input [yellow] 3 12 7 14 2" xfId="19492"/>
    <cellStyle name="Input [yellow] 3 12 7 14 3" xfId="30660"/>
    <cellStyle name="Input [yellow] 3 12 7 14 4" xfId="41825"/>
    <cellStyle name="Input [yellow] 3 12 7 14 5" xfId="53018"/>
    <cellStyle name="Input [yellow] 3 12 7 15" xfId="8923"/>
    <cellStyle name="Input [yellow] 3 12 7 15 2" xfId="20120"/>
    <cellStyle name="Input [yellow] 3 12 7 15 3" xfId="31288"/>
    <cellStyle name="Input [yellow] 3 12 7 15 4" xfId="42453"/>
    <cellStyle name="Input [yellow] 3 12 7 15 5" xfId="53646"/>
    <cellStyle name="Input [yellow] 3 12 7 16" xfId="9346"/>
    <cellStyle name="Input [yellow] 3 12 7 16 2" xfId="20543"/>
    <cellStyle name="Input [yellow] 3 12 7 16 3" xfId="31711"/>
    <cellStyle name="Input [yellow] 3 12 7 16 4" xfId="42876"/>
    <cellStyle name="Input [yellow] 3 12 7 16 5" xfId="54069"/>
    <cellStyle name="Input [yellow] 3 12 7 17" xfId="9972"/>
    <cellStyle name="Input [yellow] 3 12 7 17 2" xfId="21169"/>
    <cellStyle name="Input [yellow] 3 12 7 17 3" xfId="32337"/>
    <cellStyle name="Input [yellow] 3 12 7 17 4" xfId="43502"/>
    <cellStyle name="Input [yellow] 3 12 7 17 5" xfId="54695"/>
    <cellStyle name="Input [yellow] 3 12 7 18" xfId="10561"/>
    <cellStyle name="Input [yellow] 3 12 7 18 2" xfId="21758"/>
    <cellStyle name="Input [yellow] 3 12 7 18 3" xfId="32926"/>
    <cellStyle name="Input [yellow] 3 12 7 18 4" xfId="44091"/>
    <cellStyle name="Input [yellow] 3 12 7 18 5" xfId="55284"/>
    <cellStyle name="Input [yellow] 3 12 7 19" xfId="11011"/>
    <cellStyle name="Input [yellow] 3 12 7 19 2" xfId="22208"/>
    <cellStyle name="Input [yellow] 3 12 7 19 3" xfId="33376"/>
    <cellStyle name="Input [yellow] 3 12 7 19 4" xfId="44541"/>
    <cellStyle name="Input [yellow] 3 12 7 19 5" xfId="55734"/>
    <cellStyle name="Input [yellow] 3 12 7 2" xfId="1107"/>
    <cellStyle name="Input [yellow] 3 12 7 2 2" xfId="12304"/>
    <cellStyle name="Input [yellow] 3 12 7 2 3" xfId="23472"/>
    <cellStyle name="Input [yellow] 3 12 7 2 4" xfId="34637"/>
    <cellStyle name="Input [yellow] 3 12 7 2 5" xfId="45830"/>
    <cellStyle name="Input [yellow] 3 12 7 20" xfId="11658"/>
    <cellStyle name="Input [yellow] 3 12 7 21" xfId="22828"/>
    <cellStyle name="Input [yellow] 3 12 7 22" xfId="33995"/>
    <cellStyle name="Input [yellow] 3 12 7 23" xfId="45181"/>
    <cellStyle name="Input [yellow] 3 12 7 3" xfId="1749"/>
    <cellStyle name="Input [yellow] 3 12 7 3 2" xfId="12946"/>
    <cellStyle name="Input [yellow] 3 12 7 3 3" xfId="24114"/>
    <cellStyle name="Input [yellow] 3 12 7 3 4" xfId="35279"/>
    <cellStyle name="Input [yellow] 3 12 7 3 5" xfId="46472"/>
    <cellStyle name="Input [yellow] 3 12 7 4" xfId="2383"/>
    <cellStyle name="Input [yellow] 3 12 7 4 2" xfId="13580"/>
    <cellStyle name="Input [yellow] 3 12 7 4 3" xfId="24748"/>
    <cellStyle name="Input [yellow] 3 12 7 4 4" xfId="35913"/>
    <cellStyle name="Input [yellow] 3 12 7 4 5" xfId="47106"/>
    <cellStyle name="Input [yellow] 3 12 7 5" xfId="2808"/>
    <cellStyle name="Input [yellow] 3 12 7 5 2" xfId="14005"/>
    <cellStyle name="Input [yellow] 3 12 7 5 3" xfId="25173"/>
    <cellStyle name="Input [yellow] 3 12 7 5 4" xfId="36338"/>
    <cellStyle name="Input [yellow] 3 12 7 5 5" xfId="47531"/>
    <cellStyle name="Input [yellow] 3 12 7 6" xfId="3442"/>
    <cellStyle name="Input [yellow] 3 12 7 6 2" xfId="14639"/>
    <cellStyle name="Input [yellow] 3 12 7 6 3" xfId="25807"/>
    <cellStyle name="Input [yellow] 3 12 7 6 4" xfId="36972"/>
    <cellStyle name="Input [yellow] 3 12 7 6 5" xfId="48165"/>
    <cellStyle name="Input [yellow] 3 12 7 7" xfId="4076"/>
    <cellStyle name="Input [yellow] 3 12 7 7 2" xfId="15273"/>
    <cellStyle name="Input [yellow] 3 12 7 7 3" xfId="26441"/>
    <cellStyle name="Input [yellow] 3 12 7 7 4" xfId="37606"/>
    <cellStyle name="Input [yellow] 3 12 7 7 5" xfId="48799"/>
    <cellStyle name="Input [yellow] 3 12 7 8" xfId="4709"/>
    <cellStyle name="Input [yellow] 3 12 7 8 2" xfId="15906"/>
    <cellStyle name="Input [yellow] 3 12 7 8 3" xfId="27074"/>
    <cellStyle name="Input [yellow] 3 12 7 8 4" xfId="38239"/>
    <cellStyle name="Input [yellow] 3 12 7 8 5" xfId="49432"/>
    <cellStyle name="Input [yellow] 3 12 7 9" xfId="5340"/>
    <cellStyle name="Input [yellow] 3 12 7 9 2" xfId="16537"/>
    <cellStyle name="Input [yellow] 3 12 7 9 3" xfId="27705"/>
    <cellStyle name="Input [yellow] 3 12 7 9 4" xfId="38870"/>
    <cellStyle name="Input [yellow] 3 12 7 9 5" xfId="50063"/>
    <cellStyle name="Input [yellow] 3 12 8" xfId="515"/>
    <cellStyle name="Input [yellow] 3 12 8 10" xfId="5611"/>
    <cellStyle name="Input [yellow] 3 12 8 10 2" xfId="16808"/>
    <cellStyle name="Input [yellow] 3 12 8 10 3" xfId="27976"/>
    <cellStyle name="Input [yellow] 3 12 8 10 4" xfId="39141"/>
    <cellStyle name="Input [yellow] 3 12 8 10 5" xfId="50334"/>
    <cellStyle name="Input [yellow] 3 12 8 11" xfId="6451"/>
    <cellStyle name="Input [yellow] 3 12 8 11 2" xfId="17648"/>
    <cellStyle name="Input [yellow] 3 12 8 11 3" xfId="28816"/>
    <cellStyle name="Input [yellow] 3 12 8 11 4" xfId="39981"/>
    <cellStyle name="Input [yellow] 3 12 8 11 5" xfId="51174"/>
    <cellStyle name="Input [yellow] 3 12 8 12" xfId="7084"/>
    <cellStyle name="Input [yellow] 3 12 8 12 2" xfId="18281"/>
    <cellStyle name="Input [yellow] 3 12 8 12 3" xfId="29449"/>
    <cellStyle name="Input [yellow] 3 12 8 12 4" xfId="40614"/>
    <cellStyle name="Input [yellow] 3 12 8 12 5" xfId="51807"/>
    <cellStyle name="Input [yellow] 3 12 8 13" xfId="7718"/>
    <cellStyle name="Input [yellow] 3 12 8 13 2" xfId="18915"/>
    <cellStyle name="Input [yellow] 3 12 8 13 3" xfId="30083"/>
    <cellStyle name="Input [yellow] 3 12 8 13 4" xfId="41248"/>
    <cellStyle name="Input [yellow] 3 12 8 13 5" xfId="52441"/>
    <cellStyle name="Input [yellow] 3 12 8 14" xfId="8352"/>
    <cellStyle name="Input [yellow] 3 12 8 14 2" xfId="19549"/>
    <cellStyle name="Input [yellow] 3 12 8 14 3" xfId="30717"/>
    <cellStyle name="Input [yellow] 3 12 8 14 4" xfId="41882"/>
    <cellStyle name="Input [yellow] 3 12 8 14 5" xfId="53075"/>
    <cellStyle name="Input [yellow] 3 12 8 15" xfId="8980"/>
    <cellStyle name="Input [yellow] 3 12 8 15 2" xfId="20177"/>
    <cellStyle name="Input [yellow] 3 12 8 15 3" xfId="31345"/>
    <cellStyle name="Input [yellow] 3 12 8 15 4" xfId="42510"/>
    <cellStyle name="Input [yellow] 3 12 8 15 5" xfId="53703"/>
    <cellStyle name="Input [yellow] 3 12 8 16" xfId="9403"/>
    <cellStyle name="Input [yellow] 3 12 8 16 2" xfId="20600"/>
    <cellStyle name="Input [yellow] 3 12 8 16 3" xfId="31768"/>
    <cellStyle name="Input [yellow] 3 12 8 16 4" xfId="42933"/>
    <cellStyle name="Input [yellow] 3 12 8 16 5" xfId="54126"/>
    <cellStyle name="Input [yellow] 3 12 8 17" xfId="10028"/>
    <cellStyle name="Input [yellow] 3 12 8 17 2" xfId="21225"/>
    <cellStyle name="Input [yellow] 3 12 8 17 3" xfId="32393"/>
    <cellStyle name="Input [yellow] 3 12 8 17 4" xfId="43558"/>
    <cellStyle name="Input [yellow] 3 12 8 17 5" xfId="54751"/>
    <cellStyle name="Input [yellow] 3 12 8 18" xfId="9739"/>
    <cellStyle name="Input [yellow] 3 12 8 18 2" xfId="20936"/>
    <cellStyle name="Input [yellow] 3 12 8 18 3" xfId="32104"/>
    <cellStyle name="Input [yellow] 3 12 8 18 4" xfId="43269"/>
    <cellStyle name="Input [yellow] 3 12 8 18 5" xfId="54462"/>
    <cellStyle name="Input [yellow] 3 12 8 19" xfId="11068"/>
    <cellStyle name="Input [yellow] 3 12 8 19 2" xfId="22265"/>
    <cellStyle name="Input [yellow] 3 12 8 19 3" xfId="33433"/>
    <cellStyle name="Input [yellow] 3 12 8 19 4" xfId="44598"/>
    <cellStyle name="Input [yellow] 3 12 8 19 5" xfId="55791"/>
    <cellStyle name="Input [yellow] 3 12 8 2" xfId="1164"/>
    <cellStyle name="Input [yellow] 3 12 8 2 2" xfId="12361"/>
    <cellStyle name="Input [yellow] 3 12 8 2 3" xfId="23529"/>
    <cellStyle name="Input [yellow] 3 12 8 2 4" xfId="34694"/>
    <cellStyle name="Input [yellow] 3 12 8 2 5" xfId="45887"/>
    <cellStyle name="Input [yellow] 3 12 8 20" xfId="11715"/>
    <cellStyle name="Input [yellow] 3 12 8 21" xfId="22885"/>
    <cellStyle name="Input [yellow] 3 12 8 22" xfId="34052"/>
    <cellStyle name="Input [yellow] 3 12 8 23" xfId="45238"/>
    <cellStyle name="Input [yellow] 3 12 8 3" xfId="1502"/>
    <cellStyle name="Input [yellow] 3 12 8 3 2" xfId="12699"/>
    <cellStyle name="Input [yellow] 3 12 8 3 3" xfId="23867"/>
    <cellStyle name="Input [yellow] 3 12 8 3 4" xfId="35032"/>
    <cellStyle name="Input [yellow] 3 12 8 3 5" xfId="46225"/>
    <cellStyle name="Input [yellow] 3 12 8 4" xfId="2440"/>
    <cellStyle name="Input [yellow] 3 12 8 4 2" xfId="13637"/>
    <cellStyle name="Input [yellow] 3 12 8 4 3" xfId="24805"/>
    <cellStyle name="Input [yellow] 3 12 8 4 4" xfId="35970"/>
    <cellStyle name="Input [yellow] 3 12 8 4 5" xfId="47163"/>
    <cellStyle name="Input [yellow] 3 12 8 5" xfId="2865"/>
    <cellStyle name="Input [yellow] 3 12 8 5 2" xfId="14062"/>
    <cellStyle name="Input [yellow] 3 12 8 5 3" xfId="25230"/>
    <cellStyle name="Input [yellow] 3 12 8 5 4" xfId="36395"/>
    <cellStyle name="Input [yellow] 3 12 8 5 5" xfId="47588"/>
    <cellStyle name="Input [yellow] 3 12 8 6" xfId="3499"/>
    <cellStyle name="Input [yellow] 3 12 8 6 2" xfId="14696"/>
    <cellStyle name="Input [yellow] 3 12 8 6 3" xfId="25864"/>
    <cellStyle name="Input [yellow] 3 12 8 6 4" xfId="37029"/>
    <cellStyle name="Input [yellow] 3 12 8 6 5" xfId="48222"/>
    <cellStyle name="Input [yellow] 3 12 8 7" xfId="4133"/>
    <cellStyle name="Input [yellow] 3 12 8 7 2" xfId="15330"/>
    <cellStyle name="Input [yellow] 3 12 8 7 3" xfId="26498"/>
    <cellStyle name="Input [yellow] 3 12 8 7 4" xfId="37663"/>
    <cellStyle name="Input [yellow] 3 12 8 7 5" xfId="48856"/>
    <cellStyle name="Input [yellow] 3 12 8 8" xfId="4766"/>
    <cellStyle name="Input [yellow] 3 12 8 8 2" xfId="15963"/>
    <cellStyle name="Input [yellow] 3 12 8 8 3" xfId="27131"/>
    <cellStyle name="Input [yellow] 3 12 8 8 4" xfId="38296"/>
    <cellStyle name="Input [yellow] 3 12 8 8 5" xfId="49489"/>
    <cellStyle name="Input [yellow] 3 12 8 9" xfId="5397"/>
    <cellStyle name="Input [yellow] 3 12 8 9 2" xfId="16594"/>
    <cellStyle name="Input [yellow] 3 12 8 9 3" xfId="27762"/>
    <cellStyle name="Input [yellow] 3 12 8 9 4" xfId="38927"/>
    <cellStyle name="Input [yellow] 3 12 8 9 5" xfId="50120"/>
    <cellStyle name="Input [yellow] 3 12 9" xfId="573"/>
    <cellStyle name="Input [yellow] 3 12 9 10" xfId="5805"/>
    <cellStyle name="Input [yellow] 3 12 9 10 2" xfId="17002"/>
    <cellStyle name="Input [yellow] 3 12 9 10 3" xfId="28170"/>
    <cellStyle name="Input [yellow] 3 12 9 10 4" xfId="39335"/>
    <cellStyle name="Input [yellow] 3 12 9 10 5" xfId="50528"/>
    <cellStyle name="Input [yellow] 3 12 9 11" xfId="6509"/>
    <cellStyle name="Input [yellow] 3 12 9 11 2" xfId="17706"/>
    <cellStyle name="Input [yellow] 3 12 9 11 3" xfId="28874"/>
    <cellStyle name="Input [yellow] 3 12 9 11 4" xfId="40039"/>
    <cellStyle name="Input [yellow] 3 12 9 11 5" xfId="51232"/>
    <cellStyle name="Input [yellow] 3 12 9 12" xfId="7142"/>
    <cellStyle name="Input [yellow] 3 12 9 12 2" xfId="18339"/>
    <cellStyle name="Input [yellow] 3 12 9 12 3" xfId="29507"/>
    <cellStyle name="Input [yellow] 3 12 9 12 4" xfId="40672"/>
    <cellStyle name="Input [yellow] 3 12 9 12 5" xfId="51865"/>
    <cellStyle name="Input [yellow] 3 12 9 13" xfId="7776"/>
    <cellStyle name="Input [yellow] 3 12 9 13 2" xfId="18973"/>
    <cellStyle name="Input [yellow] 3 12 9 13 3" xfId="30141"/>
    <cellStyle name="Input [yellow] 3 12 9 13 4" xfId="41306"/>
    <cellStyle name="Input [yellow] 3 12 9 13 5" xfId="52499"/>
    <cellStyle name="Input [yellow] 3 12 9 14" xfId="8410"/>
    <cellStyle name="Input [yellow] 3 12 9 14 2" xfId="19607"/>
    <cellStyle name="Input [yellow] 3 12 9 14 3" xfId="30775"/>
    <cellStyle name="Input [yellow] 3 12 9 14 4" xfId="41940"/>
    <cellStyle name="Input [yellow] 3 12 9 14 5" xfId="53133"/>
    <cellStyle name="Input [yellow] 3 12 9 15" xfId="9038"/>
    <cellStyle name="Input [yellow] 3 12 9 15 2" xfId="20235"/>
    <cellStyle name="Input [yellow] 3 12 9 15 3" xfId="31403"/>
    <cellStyle name="Input [yellow] 3 12 9 15 4" xfId="42568"/>
    <cellStyle name="Input [yellow] 3 12 9 15 5" xfId="53761"/>
    <cellStyle name="Input [yellow] 3 12 9 16" xfId="9461"/>
    <cellStyle name="Input [yellow] 3 12 9 16 2" xfId="20658"/>
    <cellStyle name="Input [yellow] 3 12 9 16 3" xfId="31826"/>
    <cellStyle name="Input [yellow] 3 12 9 16 4" xfId="42991"/>
    <cellStyle name="Input [yellow] 3 12 9 16 5" xfId="54184"/>
    <cellStyle name="Input [yellow] 3 12 9 17" xfId="10086"/>
    <cellStyle name="Input [yellow] 3 12 9 17 2" xfId="21283"/>
    <cellStyle name="Input [yellow] 3 12 9 17 3" xfId="32451"/>
    <cellStyle name="Input [yellow] 3 12 9 17 4" xfId="43616"/>
    <cellStyle name="Input [yellow] 3 12 9 17 5" xfId="54809"/>
    <cellStyle name="Input [yellow] 3 12 9 18" xfId="10608"/>
    <cellStyle name="Input [yellow] 3 12 9 18 2" xfId="21805"/>
    <cellStyle name="Input [yellow] 3 12 9 18 3" xfId="32973"/>
    <cellStyle name="Input [yellow] 3 12 9 18 4" xfId="44138"/>
    <cellStyle name="Input [yellow] 3 12 9 18 5" xfId="55331"/>
    <cellStyle name="Input [yellow] 3 12 9 19" xfId="11126"/>
    <cellStyle name="Input [yellow] 3 12 9 19 2" xfId="22323"/>
    <cellStyle name="Input [yellow] 3 12 9 19 3" xfId="33491"/>
    <cellStyle name="Input [yellow] 3 12 9 19 4" xfId="44656"/>
    <cellStyle name="Input [yellow] 3 12 9 19 5" xfId="55849"/>
    <cellStyle name="Input [yellow] 3 12 9 2" xfId="1222"/>
    <cellStyle name="Input [yellow] 3 12 9 2 2" xfId="12419"/>
    <cellStyle name="Input [yellow] 3 12 9 2 3" xfId="23587"/>
    <cellStyle name="Input [yellow] 3 12 9 2 4" xfId="34752"/>
    <cellStyle name="Input [yellow] 3 12 9 2 5" xfId="45945"/>
    <cellStyle name="Input [yellow] 3 12 9 20" xfId="11773"/>
    <cellStyle name="Input [yellow] 3 12 9 21" xfId="22943"/>
    <cellStyle name="Input [yellow] 3 12 9 22" xfId="34110"/>
    <cellStyle name="Input [yellow] 3 12 9 23" xfId="45296"/>
    <cellStyle name="Input [yellow] 3 12 9 3" xfId="1895"/>
    <cellStyle name="Input [yellow] 3 12 9 3 2" xfId="13092"/>
    <cellStyle name="Input [yellow] 3 12 9 3 3" xfId="24260"/>
    <cellStyle name="Input [yellow] 3 12 9 3 4" xfId="35425"/>
    <cellStyle name="Input [yellow] 3 12 9 3 5" xfId="46618"/>
    <cellStyle name="Input [yellow] 3 12 9 4" xfId="2498"/>
    <cellStyle name="Input [yellow] 3 12 9 4 2" xfId="13695"/>
    <cellStyle name="Input [yellow] 3 12 9 4 3" xfId="24863"/>
    <cellStyle name="Input [yellow] 3 12 9 4 4" xfId="36028"/>
    <cellStyle name="Input [yellow] 3 12 9 4 5" xfId="47221"/>
    <cellStyle name="Input [yellow] 3 12 9 5" xfId="2923"/>
    <cellStyle name="Input [yellow] 3 12 9 5 2" xfId="14120"/>
    <cellStyle name="Input [yellow] 3 12 9 5 3" xfId="25288"/>
    <cellStyle name="Input [yellow] 3 12 9 5 4" xfId="36453"/>
    <cellStyle name="Input [yellow] 3 12 9 5 5" xfId="47646"/>
    <cellStyle name="Input [yellow] 3 12 9 6" xfId="3557"/>
    <cellStyle name="Input [yellow] 3 12 9 6 2" xfId="14754"/>
    <cellStyle name="Input [yellow] 3 12 9 6 3" xfId="25922"/>
    <cellStyle name="Input [yellow] 3 12 9 6 4" xfId="37087"/>
    <cellStyle name="Input [yellow] 3 12 9 6 5" xfId="48280"/>
    <cellStyle name="Input [yellow] 3 12 9 7" xfId="4191"/>
    <cellStyle name="Input [yellow] 3 12 9 7 2" xfId="15388"/>
    <cellStyle name="Input [yellow] 3 12 9 7 3" xfId="26556"/>
    <cellStyle name="Input [yellow] 3 12 9 7 4" xfId="37721"/>
    <cellStyle name="Input [yellow] 3 12 9 7 5" xfId="48914"/>
    <cellStyle name="Input [yellow] 3 12 9 8" xfId="4824"/>
    <cellStyle name="Input [yellow] 3 12 9 8 2" xfId="16021"/>
    <cellStyle name="Input [yellow] 3 12 9 8 3" xfId="27189"/>
    <cellStyle name="Input [yellow] 3 12 9 8 4" xfId="38354"/>
    <cellStyle name="Input [yellow] 3 12 9 8 5" xfId="49547"/>
    <cellStyle name="Input [yellow] 3 12 9 9" xfId="5455"/>
    <cellStyle name="Input [yellow] 3 12 9 9 2" xfId="16652"/>
    <cellStyle name="Input [yellow] 3 12 9 9 3" xfId="27820"/>
    <cellStyle name="Input [yellow] 3 12 9 9 4" xfId="38985"/>
    <cellStyle name="Input [yellow] 3 12 9 9 5" xfId="50178"/>
    <cellStyle name="Input [yellow] 3 13" xfId="109"/>
    <cellStyle name="Input [yellow] 3 13 10" xfId="597"/>
    <cellStyle name="Input [yellow] 3 13 10 10" xfId="6078"/>
    <cellStyle name="Input [yellow] 3 13 10 10 2" xfId="17275"/>
    <cellStyle name="Input [yellow] 3 13 10 10 3" xfId="28443"/>
    <cellStyle name="Input [yellow] 3 13 10 10 4" xfId="39608"/>
    <cellStyle name="Input [yellow] 3 13 10 10 5" xfId="50801"/>
    <cellStyle name="Input [yellow] 3 13 10 11" xfId="6533"/>
    <cellStyle name="Input [yellow] 3 13 10 11 2" xfId="17730"/>
    <cellStyle name="Input [yellow] 3 13 10 11 3" xfId="28898"/>
    <cellStyle name="Input [yellow] 3 13 10 11 4" xfId="40063"/>
    <cellStyle name="Input [yellow] 3 13 10 11 5" xfId="51256"/>
    <cellStyle name="Input [yellow] 3 13 10 12" xfId="7166"/>
    <cellStyle name="Input [yellow] 3 13 10 12 2" xfId="18363"/>
    <cellStyle name="Input [yellow] 3 13 10 12 3" xfId="29531"/>
    <cellStyle name="Input [yellow] 3 13 10 12 4" xfId="40696"/>
    <cellStyle name="Input [yellow] 3 13 10 12 5" xfId="51889"/>
    <cellStyle name="Input [yellow] 3 13 10 13" xfId="7800"/>
    <cellStyle name="Input [yellow] 3 13 10 13 2" xfId="18997"/>
    <cellStyle name="Input [yellow] 3 13 10 13 3" xfId="30165"/>
    <cellStyle name="Input [yellow] 3 13 10 13 4" xfId="41330"/>
    <cellStyle name="Input [yellow] 3 13 10 13 5" xfId="52523"/>
    <cellStyle name="Input [yellow] 3 13 10 14" xfId="8434"/>
    <cellStyle name="Input [yellow] 3 13 10 14 2" xfId="19631"/>
    <cellStyle name="Input [yellow] 3 13 10 14 3" xfId="30799"/>
    <cellStyle name="Input [yellow] 3 13 10 14 4" xfId="41964"/>
    <cellStyle name="Input [yellow] 3 13 10 14 5" xfId="53157"/>
    <cellStyle name="Input [yellow] 3 13 10 15" xfId="9062"/>
    <cellStyle name="Input [yellow] 3 13 10 15 2" xfId="20259"/>
    <cellStyle name="Input [yellow] 3 13 10 15 3" xfId="31427"/>
    <cellStyle name="Input [yellow] 3 13 10 15 4" xfId="42592"/>
    <cellStyle name="Input [yellow] 3 13 10 15 5" xfId="53785"/>
    <cellStyle name="Input [yellow] 3 13 10 16" xfId="9485"/>
    <cellStyle name="Input [yellow] 3 13 10 16 2" xfId="20682"/>
    <cellStyle name="Input [yellow] 3 13 10 16 3" xfId="31850"/>
    <cellStyle name="Input [yellow] 3 13 10 16 4" xfId="43015"/>
    <cellStyle name="Input [yellow] 3 13 10 16 5" xfId="54208"/>
    <cellStyle name="Input [yellow] 3 13 10 17" xfId="10110"/>
    <cellStyle name="Input [yellow] 3 13 10 17 2" xfId="21307"/>
    <cellStyle name="Input [yellow] 3 13 10 17 3" xfId="32475"/>
    <cellStyle name="Input [yellow] 3 13 10 17 4" xfId="43640"/>
    <cellStyle name="Input [yellow] 3 13 10 17 5" xfId="54833"/>
    <cellStyle name="Input [yellow] 3 13 10 18" xfId="7929"/>
    <cellStyle name="Input [yellow] 3 13 10 18 2" xfId="19126"/>
    <cellStyle name="Input [yellow] 3 13 10 18 3" xfId="30294"/>
    <cellStyle name="Input [yellow] 3 13 10 18 4" xfId="41459"/>
    <cellStyle name="Input [yellow] 3 13 10 18 5" xfId="52652"/>
    <cellStyle name="Input [yellow] 3 13 10 19" xfId="11150"/>
    <cellStyle name="Input [yellow] 3 13 10 19 2" xfId="22347"/>
    <cellStyle name="Input [yellow] 3 13 10 19 3" xfId="33515"/>
    <cellStyle name="Input [yellow] 3 13 10 19 4" xfId="44680"/>
    <cellStyle name="Input [yellow] 3 13 10 19 5" xfId="55873"/>
    <cellStyle name="Input [yellow] 3 13 10 2" xfId="1246"/>
    <cellStyle name="Input [yellow] 3 13 10 2 2" xfId="12443"/>
    <cellStyle name="Input [yellow] 3 13 10 2 3" xfId="23611"/>
    <cellStyle name="Input [yellow] 3 13 10 2 4" xfId="34776"/>
    <cellStyle name="Input [yellow] 3 13 10 2 5" xfId="45969"/>
    <cellStyle name="Input [yellow] 3 13 10 20" xfId="11797"/>
    <cellStyle name="Input [yellow] 3 13 10 21" xfId="22967"/>
    <cellStyle name="Input [yellow] 3 13 10 22" xfId="34134"/>
    <cellStyle name="Input [yellow] 3 13 10 23" xfId="45320"/>
    <cellStyle name="Input [yellow] 3 13 10 3" xfId="1420"/>
    <cellStyle name="Input [yellow] 3 13 10 3 2" xfId="12617"/>
    <cellStyle name="Input [yellow] 3 13 10 3 3" xfId="23785"/>
    <cellStyle name="Input [yellow] 3 13 10 3 4" xfId="34950"/>
    <cellStyle name="Input [yellow] 3 13 10 3 5" xfId="46143"/>
    <cellStyle name="Input [yellow] 3 13 10 4" xfId="2522"/>
    <cellStyle name="Input [yellow] 3 13 10 4 2" xfId="13719"/>
    <cellStyle name="Input [yellow] 3 13 10 4 3" xfId="24887"/>
    <cellStyle name="Input [yellow] 3 13 10 4 4" xfId="36052"/>
    <cellStyle name="Input [yellow] 3 13 10 4 5" xfId="47245"/>
    <cellStyle name="Input [yellow] 3 13 10 5" xfId="2947"/>
    <cellStyle name="Input [yellow] 3 13 10 5 2" xfId="14144"/>
    <cellStyle name="Input [yellow] 3 13 10 5 3" xfId="25312"/>
    <cellStyle name="Input [yellow] 3 13 10 5 4" xfId="36477"/>
    <cellStyle name="Input [yellow] 3 13 10 5 5" xfId="47670"/>
    <cellStyle name="Input [yellow] 3 13 10 6" xfId="3581"/>
    <cellStyle name="Input [yellow] 3 13 10 6 2" xfId="14778"/>
    <cellStyle name="Input [yellow] 3 13 10 6 3" xfId="25946"/>
    <cellStyle name="Input [yellow] 3 13 10 6 4" xfId="37111"/>
    <cellStyle name="Input [yellow] 3 13 10 6 5" xfId="48304"/>
    <cellStyle name="Input [yellow] 3 13 10 7" xfId="4215"/>
    <cellStyle name="Input [yellow] 3 13 10 7 2" xfId="15412"/>
    <cellStyle name="Input [yellow] 3 13 10 7 3" xfId="26580"/>
    <cellStyle name="Input [yellow] 3 13 10 7 4" xfId="37745"/>
    <cellStyle name="Input [yellow] 3 13 10 7 5" xfId="48938"/>
    <cellStyle name="Input [yellow] 3 13 10 8" xfId="4848"/>
    <cellStyle name="Input [yellow] 3 13 10 8 2" xfId="16045"/>
    <cellStyle name="Input [yellow] 3 13 10 8 3" xfId="27213"/>
    <cellStyle name="Input [yellow] 3 13 10 8 4" xfId="38378"/>
    <cellStyle name="Input [yellow] 3 13 10 8 5" xfId="49571"/>
    <cellStyle name="Input [yellow] 3 13 10 9" xfId="5479"/>
    <cellStyle name="Input [yellow] 3 13 10 9 2" xfId="16676"/>
    <cellStyle name="Input [yellow] 3 13 10 9 3" xfId="27844"/>
    <cellStyle name="Input [yellow] 3 13 10 9 4" xfId="39009"/>
    <cellStyle name="Input [yellow] 3 13 10 9 5" xfId="50202"/>
    <cellStyle name="Input [yellow] 3 13 11" xfId="658"/>
    <cellStyle name="Input [yellow] 3 13 11 10" xfId="5766"/>
    <cellStyle name="Input [yellow] 3 13 11 10 2" xfId="16963"/>
    <cellStyle name="Input [yellow] 3 13 11 10 3" xfId="28131"/>
    <cellStyle name="Input [yellow] 3 13 11 10 4" xfId="39296"/>
    <cellStyle name="Input [yellow] 3 13 11 10 5" xfId="50489"/>
    <cellStyle name="Input [yellow] 3 13 11 11" xfId="6594"/>
    <cellStyle name="Input [yellow] 3 13 11 11 2" xfId="17791"/>
    <cellStyle name="Input [yellow] 3 13 11 11 3" xfId="28959"/>
    <cellStyle name="Input [yellow] 3 13 11 11 4" xfId="40124"/>
    <cellStyle name="Input [yellow] 3 13 11 11 5" xfId="51317"/>
    <cellStyle name="Input [yellow] 3 13 11 12" xfId="7227"/>
    <cellStyle name="Input [yellow] 3 13 11 12 2" xfId="18424"/>
    <cellStyle name="Input [yellow] 3 13 11 12 3" xfId="29592"/>
    <cellStyle name="Input [yellow] 3 13 11 12 4" xfId="40757"/>
    <cellStyle name="Input [yellow] 3 13 11 12 5" xfId="51950"/>
    <cellStyle name="Input [yellow] 3 13 11 13" xfId="7861"/>
    <cellStyle name="Input [yellow] 3 13 11 13 2" xfId="19058"/>
    <cellStyle name="Input [yellow] 3 13 11 13 3" xfId="30226"/>
    <cellStyle name="Input [yellow] 3 13 11 13 4" xfId="41391"/>
    <cellStyle name="Input [yellow] 3 13 11 13 5" xfId="52584"/>
    <cellStyle name="Input [yellow] 3 13 11 14" xfId="8495"/>
    <cellStyle name="Input [yellow] 3 13 11 14 2" xfId="19692"/>
    <cellStyle name="Input [yellow] 3 13 11 14 3" xfId="30860"/>
    <cellStyle name="Input [yellow] 3 13 11 14 4" xfId="42025"/>
    <cellStyle name="Input [yellow] 3 13 11 14 5" xfId="53218"/>
    <cellStyle name="Input [yellow] 3 13 11 15" xfId="9123"/>
    <cellStyle name="Input [yellow] 3 13 11 15 2" xfId="20320"/>
    <cellStyle name="Input [yellow] 3 13 11 15 3" xfId="31488"/>
    <cellStyle name="Input [yellow] 3 13 11 15 4" xfId="42653"/>
    <cellStyle name="Input [yellow] 3 13 11 15 5" xfId="53846"/>
    <cellStyle name="Input [yellow] 3 13 11 16" xfId="9546"/>
    <cellStyle name="Input [yellow] 3 13 11 16 2" xfId="20743"/>
    <cellStyle name="Input [yellow] 3 13 11 16 3" xfId="31911"/>
    <cellStyle name="Input [yellow] 3 13 11 16 4" xfId="43076"/>
    <cellStyle name="Input [yellow] 3 13 11 16 5" xfId="54269"/>
    <cellStyle name="Input [yellow] 3 13 11 17" xfId="10171"/>
    <cellStyle name="Input [yellow] 3 13 11 17 2" xfId="21368"/>
    <cellStyle name="Input [yellow] 3 13 11 17 3" xfId="32536"/>
    <cellStyle name="Input [yellow] 3 13 11 17 4" xfId="43701"/>
    <cellStyle name="Input [yellow] 3 13 11 17 5" xfId="54894"/>
    <cellStyle name="Input [yellow] 3 13 11 18" xfId="10276"/>
    <cellStyle name="Input [yellow] 3 13 11 18 2" xfId="21473"/>
    <cellStyle name="Input [yellow] 3 13 11 18 3" xfId="32641"/>
    <cellStyle name="Input [yellow] 3 13 11 18 4" xfId="43806"/>
    <cellStyle name="Input [yellow] 3 13 11 18 5" xfId="54999"/>
    <cellStyle name="Input [yellow] 3 13 11 19" xfId="11211"/>
    <cellStyle name="Input [yellow] 3 13 11 19 2" xfId="22408"/>
    <cellStyle name="Input [yellow] 3 13 11 19 3" xfId="33576"/>
    <cellStyle name="Input [yellow] 3 13 11 19 4" xfId="44741"/>
    <cellStyle name="Input [yellow] 3 13 11 19 5" xfId="55934"/>
    <cellStyle name="Input [yellow] 3 13 11 2" xfId="1307"/>
    <cellStyle name="Input [yellow] 3 13 11 2 2" xfId="12504"/>
    <cellStyle name="Input [yellow] 3 13 11 2 3" xfId="23672"/>
    <cellStyle name="Input [yellow] 3 13 11 2 4" xfId="34837"/>
    <cellStyle name="Input [yellow] 3 13 11 2 5" xfId="46030"/>
    <cellStyle name="Input [yellow] 3 13 11 20" xfId="11858"/>
    <cellStyle name="Input [yellow] 3 13 11 21" xfId="23028"/>
    <cellStyle name="Input [yellow] 3 13 11 22" xfId="34195"/>
    <cellStyle name="Input [yellow] 3 13 11 23" xfId="45381"/>
    <cellStyle name="Input [yellow] 3 13 11 3" xfId="1587"/>
    <cellStyle name="Input [yellow] 3 13 11 3 2" xfId="12784"/>
    <cellStyle name="Input [yellow] 3 13 11 3 3" xfId="23952"/>
    <cellStyle name="Input [yellow] 3 13 11 3 4" xfId="35117"/>
    <cellStyle name="Input [yellow] 3 13 11 3 5" xfId="46310"/>
    <cellStyle name="Input [yellow] 3 13 11 4" xfId="2583"/>
    <cellStyle name="Input [yellow] 3 13 11 4 2" xfId="13780"/>
    <cellStyle name="Input [yellow] 3 13 11 4 3" xfId="24948"/>
    <cellStyle name="Input [yellow] 3 13 11 4 4" xfId="36113"/>
    <cellStyle name="Input [yellow] 3 13 11 4 5" xfId="47306"/>
    <cellStyle name="Input [yellow] 3 13 11 5" xfId="3008"/>
    <cellStyle name="Input [yellow] 3 13 11 5 2" xfId="14205"/>
    <cellStyle name="Input [yellow] 3 13 11 5 3" xfId="25373"/>
    <cellStyle name="Input [yellow] 3 13 11 5 4" xfId="36538"/>
    <cellStyle name="Input [yellow] 3 13 11 5 5" xfId="47731"/>
    <cellStyle name="Input [yellow] 3 13 11 6" xfId="3642"/>
    <cellStyle name="Input [yellow] 3 13 11 6 2" xfId="14839"/>
    <cellStyle name="Input [yellow] 3 13 11 6 3" xfId="26007"/>
    <cellStyle name="Input [yellow] 3 13 11 6 4" xfId="37172"/>
    <cellStyle name="Input [yellow] 3 13 11 6 5" xfId="48365"/>
    <cellStyle name="Input [yellow] 3 13 11 7" xfId="4276"/>
    <cellStyle name="Input [yellow] 3 13 11 7 2" xfId="15473"/>
    <cellStyle name="Input [yellow] 3 13 11 7 3" xfId="26641"/>
    <cellStyle name="Input [yellow] 3 13 11 7 4" xfId="37806"/>
    <cellStyle name="Input [yellow] 3 13 11 7 5" xfId="48999"/>
    <cellStyle name="Input [yellow] 3 13 11 8" xfId="4909"/>
    <cellStyle name="Input [yellow] 3 13 11 8 2" xfId="16106"/>
    <cellStyle name="Input [yellow] 3 13 11 8 3" xfId="27274"/>
    <cellStyle name="Input [yellow] 3 13 11 8 4" xfId="38439"/>
    <cellStyle name="Input [yellow] 3 13 11 8 5" xfId="49632"/>
    <cellStyle name="Input [yellow] 3 13 11 9" xfId="5540"/>
    <cellStyle name="Input [yellow] 3 13 11 9 2" xfId="16737"/>
    <cellStyle name="Input [yellow] 3 13 11 9 3" xfId="27905"/>
    <cellStyle name="Input [yellow] 3 13 11 9 4" xfId="39070"/>
    <cellStyle name="Input [yellow] 3 13 11 9 5" xfId="50263"/>
    <cellStyle name="Input [yellow] 3 13 12" xfId="758"/>
    <cellStyle name="Input [yellow] 3 13 12 2" xfId="11956"/>
    <cellStyle name="Input [yellow] 3 13 12 3" xfId="23124"/>
    <cellStyle name="Input [yellow] 3 13 12 4" xfId="34289"/>
    <cellStyle name="Input [yellow] 3 13 12 5" xfId="45481"/>
    <cellStyle name="Input [yellow] 3 13 13" xfId="1682"/>
    <cellStyle name="Input [yellow] 3 13 13 2" xfId="12879"/>
    <cellStyle name="Input [yellow] 3 13 13 3" xfId="24047"/>
    <cellStyle name="Input [yellow] 3 13 13 4" xfId="35212"/>
    <cellStyle name="Input [yellow] 3 13 13 5" xfId="46405"/>
    <cellStyle name="Input [yellow] 3 13 14" xfId="2035"/>
    <cellStyle name="Input [yellow] 3 13 14 2" xfId="13232"/>
    <cellStyle name="Input [yellow] 3 13 14 3" xfId="24400"/>
    <cellStyle name="Input [yellow] 3 13 14 4" xfId="35565"/>
    <cellStyle name="Input [yellow] 3 13 14 5" xfId="46758"/>
    <cellStyle name="Input [yellow] 3 13 15" xfId="2346"/>
    <cellStyle name="Input [yellow] 3 13 15 2" xfId="13543"/>
    <cellStyle name="Input [yellow] 3 13 15 3" xfId="24711"/>
    <cellStyle name="Input [yellow] 3 13 15 4" xfId="35876"/>
    <cellStyle name="Input [yellow] 3 13 15 5" xfId="47069"/>
    <cellStyle name="Input [yellow] 3 13 16" xfId="3093"/>
    <cellStyle name="Input [yellow] 3 13 16 2" xfId="14290"/>
    <cellStyle name="Input [yellow] 3 13 16 3" xfId="25458"/>
    <cellStyle name="Input [yellow] 3 13 16 4" xfId="36623"/>
    <cellStyle name="Input [yellow] 3 13 16 5" xfId="47816"/>
    <cellStyle name="Input [yellow] 3 13 17" xfId="3727"/>
    <cellStyle name="Input [yellow] 3 13 17 2" xfId="14924"/>
    <cellStyle name="Input [yellow] 3 13 17 3" xfId="26092"/>
    <cellStyle name="Input [yellow] 3 13 17 4" xfId="37257"/>
    <cellStyle name="Input [yellow] 3 13 17 5" xfId="48450"/>
    <cellStyle name="Input [yellow] 3 13 18" xfId="4360"/>
    <cellStyle name="Input [yellow] 3 13 18 2" xfId="15557"/>
    <cellStyle name="Input [yellow] 3 13 18 3" xfId="26725"/>
    <cellStyle name="Input [yellow] 3 13 18 4" xfId="37890"/>
    <cellStyle name="Input [yellow] 3 13 18 5" xfId="49083"/>
    <cellStyle name="Input [yellow] 3 13 19" xfId="4992"/>
    <cellStyle name="Input [yellow] 3 13 19 2" xfId="16189"/>
    <cellStyle name="Input [yellow] 3 13 19 3" xfId="27357"/>
    <cellStyle name="Input [yellow] 3 13 19 4" xfId="38522"/>
    <cellStyle name="Input [yellow] 3 13 19 5" xfId="49715"/>
    <cellStyle name="Input [yellow] 3 13 2" xfId="173"/>
    <cellStyle name="Input [yellow] 3 13 2 10" xfId="5997"/>
    <cellStyle name="Input [yellow] 3 13 2 10 2" xfId="17194"/>
    <cellStyle name="Input [yellow] 3 13 2 10 3" xfId="28362"/>
    <cellStyle name="Input [yellow] 3 13 2 10 4" xfId="39527"/>
    <cellStyle name="Input [yellow] 3 13 2 10 5" xfId="50720"/>
    <cellStyle name="Input [yellow] 3 13 2 11" xfId="5595"/>
    <cellStyle name="Input [yellow] 3 13 2 11 2" xfId="16792"/>
    <cellStyle name="Input [yellow] 3 13 2 11 3" xfId="27960"/>
    <cellStyle name="Input [yellow] 3 13 2 11 4" xfId="39125"/>
    <cellStyle name="Input [yellow] 3 13 2 11 5" xfId="50318"/>
    <cellStyle name="Input [yellow] 3 13 2 12" xfId="6742"/>
    <cellStyle name="Input [yellow] 3 13 2 12 2" xfId="17939"/>
    <cellStyle name="Input [yellow] 3 13 2 12 3" xfId="29107"/>
    <cellStyle name="Input [yellow] 3 13 2 12 4" xfId="40272"/>
    <cellStyle name="Input [yellow] 3 13 2 12 5" xfId="51465"/>
    <cellStyle name="Input [yellow] 3 13 2 13" xfId="7376"/>
    <cellStyle name="Input [yellow] 3 13 2 13 2" xfId="18573"/>
    <cellStyle name="Input [yellow] 3 13 2 13 3" xfId="29741"/>
    <cellStyle name="Input [yellow] 3 13 2 13 4" xfId="40906"/>
    <cellStyle name="Input [yellow] 3 13 2 13 5" xfId="52099"/>
    <cellStyle name="Input [yellow] 3 13 2 14" xfId="8010"/>
    <cellStyle name="Input [yellow] 3 13 2 14 2" xfId="19207"/>
    <cellStyle name="Input [yellow] 3 13 2 14 3" xfId="30375"/>
    <cellStyle name="Input [yellow] 3 13 2 14 4" xfId="41540"/>
    <cellStyle name="Input [yellow] 3 13 2 14 5" xfId="52733"/>
    <cellStyle name="Input [yellow] 3 13 2 15" xfId="8641"/>
    <cellStyle name="Input [yellow] 3 13 2 15 2" xfId="19838"/>
    <cellStyle name="Input [yellow] 3 13 2 15 3" xfId="31006"/>
    <cellStyle name="Input [yellow] 3 13 2 15 4" xfId="42171"/>
    <cellStyle name="Input [yellow] 3 13 2 15 5" xfId="53364"/>
    <cellStyle name="Input [yellow] 3 13 2 16" xfId="8542"/>
    <cellStyle name="Input [yellow] 3 13 2 16 2" xfId="19739"/>
    <cellStyle name="Input [yellow] 3 13 2 16 3" xfId="30907"/>
    <cellStyle name="Input [yellow] 3 13 2 16 4" xfId="42072"/>
    <cellStyle name="Input [yellow] 3 13 2 16 5" xfId="53265"/>
    <cellStyle name="Input [yellow] 3 13 2 17" xfId="9694"/>
    <cellStyle name="Input [yellow] 3 13 2 17 2" xfId="20891"/>
    <cellStyle name="Input [yellow] 3 13 2 17 3" xfId="32059"/>
    <cellStyle name="Input [yellow] 3 13 2 17 4" xfId="43224"/>
    <cellStyle name="Input [yellow] 3 13 2 17 5" xfId="54417"/>
    <cellStyle name="Input [yellow] 3 13 2 18" xfId="10514"/>
    <cellStyle name="Input [yellow] 3 13 2 18 2" xfId="21711"/>
    <cellStyle name="Input [yellow] 3 13 2 18 3" xfId="32879"/>
    <cellStyle name="Input [yellow] 3 13 2 18 4" xfId="44044"/>
    <cellStyle name="Input [yellow] 3 13 2 18 5" xfId="55237"/>
    <cellStyle name="Input [yellow] 3 13 2 19" xfId="10726"/>
    <cellStyle name="Input [yellow] 3 13 2 19 2" xfId="21923"/>
    <cellStyle name="Input [yellow] 3 13 2 19 3" xfId="33091"/>
    <cellStyle name="Input [yellow] 3 13 2 19 4" xfId="44256"/>
    <cellStyle name="Input [yellow] 3 13 2 19 5" xfId="55449"/>
    <cellStyle name="Input [yellow] 3 13 2 2" xfId="822"/>
    <cellStyle name="Input [yellow] 3 13 2 2 2" xfId="12019"/>
    <cellStyle name="Input [yellow] 3 13 2 2 3" xfId="23187"/>
    <cellStyle name="Input [yellow] 3 13 2 2 4" xfId="34352"/>
    <cellStyle name="Input [yellow] 3 13 2 2 5" xfId="45545"/>
    <cellStyle name="Input [yellow] 3 13 2 20" xfId="11373"/>
    <cellStyle name="Input [yellow] 3 13 2 21" xfId="22543"/>
    <cellStyle name="Input [yellow] 3 13 2 22" xfId="33710"/>
    <cellStyle name="Input [yellow] 3 13 2 23" xfId="44896"/>
    <cellStyle name="Input [yellow] 3 13 2 3" xfId="1811"/>
    <cellStyle name="Input [yellow] 3 13 2 3 2" xfId="13008"/>
    <cellStyle name="Input [yellow] 3 13 2 3 3" xfId="24176"/>
    <cellStyle name="Input [yellow] 3 13 2 3 4" xfId="35341"/>
    <cellStyle name="Input [yellow] 3 13 2 3 5" xfId="46534"/>
    <cellStyle name="Input [yellow] 3 13 2 4" xfId="2099"/>
    <cellStyle name="Input [yellow] 3 13 2 4 2" xfId="13296"/>
    <cellStyle name="Input [yellow] 3 13 2 4 3" xfId="24464"/>
    <cellStyle name="Input [yellow] 3 13 2 4 4" xfId="35629"/>
    <cellStyle name="Input [yellow] 3 13 2 4 5" xfId="46822"/>
    <cellStyle name="Input [yellow] 3 13 2 5" xfId="2518"/>
    <cellStyle name="Input [yellow] 3 13 2 5 2" xfId="13715"/>
    <cellStyle name="Input [yellow] 3 13 2 5 3" xfId="24883"/>
    <cellStyle name="Input [yellow] 3 13 2 5 4" xfId="36048"/>
    <cellStyle name="Input [yellow] 3 13 2 5 5" xfId="47241"/>
    <cellStyle name="Input [yellow] 3 13 2 6" xfId="3157"/>
    <cellStyle name="Input [yellow] 3 13 2 6 2" xfId="14354"/>
    <cellStyle name="Input [yellow] 3 13 2 6 3" xfId="25522"/>
    <cellStyle name="Input [yellow] 3 13 2 6 4" xfId="36687"/>
    <cellStyle name="Input [yellow] 3 13 2 6 5" xfId="47880"/>
    <cellStyle name="Input [yellow] 3 13 2 7" xfId="3791"/>
    <cellStyle name="Input [yellow] 3 13 2 7 2" xfId="14988"/>
    <cellStyle name="Input [yellow] 3 13 2 7 3" xfId="26156"/>
    <cellStyle name="Input [yellow] 3 13 2 7 4" xfId="37321"/>
    <cellStyle name="Input [yellow] 3 13 2 7 5" xfId="48514"/>
    <cellStyle name="Input [yellow] 3 13 2 8" xfId="4424"/>
    <cellStyle name="Input [yellow] 3 13 2 8 2" xfId="15621"/>
    <cellStyle name="Input [yellow] 3 13 2 8 3" xfId="26789"/>
    <cellStyle name="Input [yellow] 3 13 2 8 4" xfId="37954"/>
    <cellStyle name="Input [yellow] 3 13 2 8 5" xfId="49147"/>
    <cellStyle name="Input [yellow] 3 13 2 9" xfId="5055"/>
    <cellStyle name="Input [yellow] 3 13 2 9 2" xfId="16252"/>
    <cellStyle name="Input [yellow] 3 13 2 9 3" xfId="27420"/>
    <cellStyle name="Input [yellow] 3 13 2 9 4" xfId="38585"/>
    <cellStyle name="Input [yellow] 3 13 2 9 5" xfId="49778"/>
    <cellStyle name="Input [yellow] 3 13 20" xfId="5931"/>
    <cellStyle name="Input [yellow] 3 13 20 2" xfId="17128"/>
    <cellStyle name="Input [yellow] 3 13 20 3" xfId="28296"/>
    <cellStyle name="Input [yellow] 3 13 20 4" xfId="39461"/>
    <cellStyle name="Input [yellow] 3 13 20 5" xfId="50654"/>
    <cellStyle name="Input [yellow] 3 13 21" xfId="6183"/>
    <cellStyle name="Input [yellow] 3 13 21 2" xfId="17380"/>
    <cellStyle name="Input [yellow] 3 13 21 3" xfId="28548"/>
    <cellStyle name="Input [yellow] 3 13 21 4" xfId="39713"/>
    <cellStyle name="Input [yellow] 3 13 21 5" xfId="50906"/>
    <cellStyle name="Input [yellow] 3 13 22" xfId="6679"/>
    <cellStyle name="Input [yellow] 3 13 22 2" xfId="17876"/>
    <cellStyle name="Input [yellow] 3 13 22 3" xfId="29044"/>
    <cellStyle name="Input [yellow] 3 13 22 4" xfId="40209"/>
    <cellStyle name="Input [yellow] 3 13 22 5" xfId="51402"/>
    <cellStyle name="Input [yellow] 3 13 23" xfId="7312"/>
    <cellStyle name="Input [yellow] 3 13 23 2" xfId="18509"/>
    <cellStyle name="Input [yellow] 3 13 23 3" xfId="29677"/>
    <cellStyle name="Input [yellow] 3 13 23 4" xfId="40842"/>
    <cellStyle name="Input [yellow] 3 13 23 5" xfId="52035"/>
    <cellStyle name="Input [yellow] 3 13 24" xfId="7946"/>
    <cellStyle name="Input [yellow] 3 13 24 2" xfId="19143"/>
    <cellStyle name="Input [yellow] 3 13 24 3" xfId="30311"/>
    <cellStyle name="Input [yellow] 3 13 24 4" xfId="41476"/>
    <cellStyle name="Input [yellow] 3 13 24 5" xfId="52669"/>
    <cellStyle name="Input [yellow] 3 13 25" xfId="8578"/>
    <cellStyle name="Input [yellow] 3 13 25 2" xfId="19775"/>
    <cellStyle name="Input [yellow] 3 13 25 3" xfId="30943"/>
    <cellStyle name="Input [yellow] 3 13 25 4" xfId="42108"/>
    <cellStyle name="Input [yellow] 3 13 25 5" xfId="53301"/>
    <cellStyle name="Input [yellow] 3 13 26" xfId="9018"/>
    <cellStyle name="Input [yellow] 3 13 26 2" xfId="20215"/>
    <cellStyle name="Input [yellow] 3 13 26 3" xfId="31383"/>
    <cellStyle name="Input [yellow] 3 13 26 4" xfId="42548"/>
    <cellStyle name="Input [yellow] 3 13 26 5" xfId="53741"/>
    <cellStyle name="Input [yellow] 3 13 27" xfId="9630"/>
    <cellStyle name="Input [yellow] 3 13 27 2" xfId="20827"/>
    <cellStyle name="Input [yellow] 3 13 27 3" xfId="31995"/>
    <cellStyle name="Input [yellow] 3 13 27 4" xfId="43160"/>
    <cellStyle name="Input [yellow] 3 13 27 5" xfId="54353"/>
    <cellStyle name="Input [yellow] 3 13 28" xfId="10418"/>
    <cellStyle name="Input [yellow] 3 13 28 2" xfId="21615"/>
    <cellStyle name="Input [yellow] 3 13 28 3" xfId="32783"/>
    <cellStyle name="Input [yellow] 3 13 28 4" xfId="43948"/>
    <cellStyle name="Input [yellow] 3 13 28 5" xfId="55141"/>
    <cellStyle name="Input [yellow] 3 13 29" xfId="10663"/>
    <cellStyle name="Input [yellow] 3 13 29 2" xfId="21860"/>
    <cellStyle name="Input [yellow] 3 13 29 3" xfId="33028"/>
    <cellStyle name="Input [yellow] 3 13 29 4" xfId="44193"/>
    <cellStyle name="Input [yellow] 3 13 29 5" xfId="55386"/>
    <cellStyle name="Input [yellow] 3 13 3" xfId="229"/>
    <cellStyle name="Input [yellow] 3 13 3 10" xfId="5908"/>
    <cellStyle name="Input [yellow] 3 13 3 10 2" xfId="17105"/>
    <cellStyle name="Input [yellow] 3 13 3 10 3" xfId="28273"/>
    <cellStyle name="Input [yellow] 3 13 3 10 4" xfId="39438"/>
    <cellStyle name="Input [yellow] 3 13 3 10 5" xfId="50631"/>
    <cellStyle name="Input [yellow] 3 13 3 11" xfId="5755"/>
    <cellStyle name="Input [yellow] 3 13 3 11 2" xfId="16952"/>
    <cellStyle name="Input [yellow] 3 13 3 11 3" xfId="28120"/>
    <cellStyle name="Input [yellow] 3 13 3 11 4" xfId="39285"/>
    <cellStyle name="Input [yellow] 3 13 3 11 5" xfId="50478"/>
    <cellStyle name="Input [yellow] 3 13 3 12" xfId="6798"/>
    <cellStyle name="Input [yellow] 3 13 3 12 2" xfId="17995"/>
    <cellStyle name="Input [yellow] 3 13 3 12 3" xfId="29163"/>
    <cellStyle name="Input [yellow] 3 13 3 12 4" xfId="40328"/>
    <cellStyle name="Input [yellow] 3 13 3 12 5" xfId="51521"/>
    <cellStyle name="Input [yellow] 3 13 3 13" xfId="7432"/>
    <cellStyle name="Input [yellow] 3 13 3 13 2" xfId="18629"/>
    <cellStyle name="Input [yellow] 3 13 3 13 3" xfId="29797"/>
    <cellStyle name="Input [yellow] 3 13 3 13 4" xfId="40962"/>
    <cellStyle name="Input [yellow] 3 13 3 13 5" xfId="52155"/>
    <cellStyle name="Input [yellow] 3 13 3 14" xfId="8066"/>
    <cellStyle name="Input [yellow] 3 13 3 14 2" xfId="19263"/>
    <cellStyle name="Input [yellow] 3 13 3 14 3" xfId="30431"/>
    <cellStyle name="Input [yellow] 3 13 3 14 4" xfId="41596"/>
    <cellStyle name="Input [yellow] 3 13 3 14 5" xfId="52789"/>
    <cellStyle name="Input [yellow] 3 13 3 15" xfId="8697"/>
    <cellStyle name="Input [yellow] 3 13 3 15 2" xfId="19894"/>
    <cellStyle name="Input [yellow] 3 13 3 15 3" xfId="31062"/>
    <cellStyle name="Input [yellow] 3 13 3 15 4" xfId="42227"/>
    <cellStyle name="Input [yellow] 3 13 3 15 5" xfId="53420"/>
    <cellStyle name="Input [yellow] 3 13 3 16" xfId="9105"/>
    <cellStyle name="Input [yellow] 3 13 3 16 2" xfId="20302"/>
    <cellStyle name="Input [yellow] 3 13 3 16 3" xfId="31470"/>
    <cellStyle name="Input [yellow] 3 13 3 16 4" xfId="42635"/>
    <cellStyle name="Input [yellow] 3 13 3 16 5" xfId="53828"/>
    <cellStyle name="Input [yellow] 3 13 3 17" xfId="9748"/>
    <cellStyle name="Input [yellow] 3 13 3 17 2" xfId="20945"/>
    <cellStyle name="Input [yellow] 3 13 3 17 3" xfId="32113"/>
    <cellStyle name="Input [yellow] 3 13 3 17 4" xfId="43278"/>
    <cellStyle name="Input [yellow] 3 13 3 17 5" xfId="54471"/>
    <cellStyle name="Input [yellow] 3 13 3 18" xfId="10441"/>
    <cellStyle name="Input [yellow] 3 13 3 18 2" xfId="21638"/>
    <cellStyle name="Input [yellow] 3 13 3 18 3" xfId="32806"/>
    <cellStyle name="Input [yellow] 3 13 3 18 4" xfId="43971"/>
    <cellStyle name="Input [yellow] 3 13 3 18 5" xfId="55164"/>
    <cellStyle name="Input [yellow] 3 13 3 19" xfId="10782"/>
    <cellStyle name="Input [yellow] 3 13 3 19 2" xfId="21979"/>
    <cellStyle name="Input [yellow] 3 13 3 19 3" xfId="33147"/>
    <cellStyle name="Input [yellow] 3 13 3 19 4" xfId="44312"/>
    <cellStyle name="Input [yellow] 3 13 3 19 5" xfId="55505"/>
    <cellStyle name="Input [yellow] 3 13 3 2" xfId="878"/>
    <cellStyle name="Input [yellow] 3 13 3 2 2" xfId="12075"/>
    <cellStyle name="Input [yellow] 3 13 3 2 3" xfId="23243"/>
    <cellStyle name="Input [yellow] 3 13 3 2 4" xfId="34408"/>
    <cellStyle name="Input [yellow] 3 13 3 2 5" xfId="45601"/>
    <cellStyle name="Input [yellow] 3 13 3 20" xfId="11429"/>
    <cellStyle name="Input [yellow] 3 13 3 21" xfId="22599"/>
    <cellStyle name="Input [yellow] 3 13 3 22" xfId="33766"/>
    <cellStyle name="Input [yellow] 3 13 3 23" xfId="44952"/>
    <cellStyle name="Input [yellow] 3 13 3 3" xfId="1710"/>
    <cellStyle name="Input [yellow] 3 13 3 3 2" xfId="12907"/>
    <cellStyle name="Input [yellow] 3 13 3 3 3" xfId="24075"/>
    <cellStyle name="Input [yellow] 3 13 3 3 4" xfId="35240"/>
    <cellStyle name="Input [yellow] 3 13 3 3 5" xfId="46433"/>
    <cellStyle name="Input [yellow] 3 13 3 4" xfId="2155"/>
    <cellStyle name="Input [yellow] 3 13 3 4 2" xfId="13352"/>
    <cellStyle name="Input [yellow] 3 13 3 4 3" xfId="24520"/>
    <cellStyle name="Input [yellow] 3 13 3 4 4" xfId="35685"/>
    <cellStyle name="Input [yellow] 3 13 3 4 5" xfId="46878"/>
    <cellStyle name="Input [yellow] 3 13 3 5" xfId="2441"/>
    <cellStyle name="Input [yellow] 3 13 3 5 2" xfId="13638"/>
    <cellStyle name="Input [yellow] 3 13 3 5 3" xfId="24806"/>
    <cellStyle name="Input [yellow] 3 13 3 5 4" xfId="35971"/>
    <cellStyle name="Input [yellow] 3 13 3 5 5" xfId="47164"/>
    <cellStyle name="Input [yellow] 3 13 3 6" xfId="3213"/>
    <cellStyle name="Input [yellow] 3 13 3 6 2" xfId="14410"/>
    <cellStyle name="Input [yellow] 3 13 3 6 3" xfId="25578"/>
    <cellStyle name="Input [yellow] 3 13 3 6 4" xfId="36743"/>
    <cellStyle name="Input [yellow] 3 13 3 6 5" xfId="47936"/>
    <cellStyle name="Input [yellow] 3 13 3 7" xfId="3847"/>
    <cellStyle name="Input [yellow] 3 13 3 7 2" xfId="15044"/>
    <cellStyle name="Input [yellow] 3 13 3 7 3" xfId="26212"/>
    <cellStyle name="Input [yellow] 3 13 3 7 4" xfId="37377"/>
    <cellStyle name="Input [yellow] 3 13 3 7 5" xfId="48570"/>
    <cellStyle name="Input [yellow] 3 13 3 8" xfId="4480"/>
    <cellStyle name="Input [yellow] 3 13 3 8 2" xfId="15677"/>
    <cellStyle name="Input [yellow] 3 13 3 8 3" xfId="26845"/>
    <cellStyle name="Input [yellow] 3 13 3 8 4" xfId="38010"/>
    <cellStyle name="Input [yellow] 3 13 3 8 5" xfId="49203"/>
    <cellStyle name="Input [yellow] 3 13 3 9" xfId="5111"/>
    <cellStyle name="Input [yellow] 3 13 3 9 2" xfId="16308"/>
    <cellStyle name="Input [yellow] 3 13 3 9 3" xfId="27476"/>
    <cellStyle name="Input [yellow] 3 13 3 9 4" xfId="38641"/>
    <cellStyle name="Input [yellow] 3 13 3 9 5" xfId="49834"/>
    <cellStyle name="Input [yellow] 3 13 30" xfId="11310"/>
    <cellStyle name="Input [yellow] 3 13 31" xfId="22480"/>
    <cellStyle name="Input [yellow] 3 13 32" xfId="33647"/>
    <cellStyle name="Input [yellow] 3 13 33" xfId="44832"/>
    <cellStyle name="Input [yellow] 3 13 4" xfId="268"/>
    <cellStyle name="Input [yellow] 3 13 4 10" xfId="5689"/>
    <cellStyle name="Input [yellow] 3 13 4 10 2" xfId="16886"/>
    <cellStyle name="Input [yellow] 3 13 4 10 3" xfId="28054"/>
    <cellStyle name="Input [yellow] 3 13 4 10 4" xfId="39219"/>
    <cellStyle name="Input [yellow] 3 13 4 10 5" xfId="50412"/>
    <cellStyle name="Input [yellow] 3 13 4 11" xfId="5809"/>
    <cellStyle name="Input [yellow] 3 13 4 11 2" xfId="17006"/>
    <cellStyle name="Input [yellow] 3 13 4 11 3" xfId="28174"/>
    <cellStyle name="Input [yellow] 3 13 4 11 4" xfId="39339"/>
    <cellStyle name="Input [yellow] 3 13 4 11 5" xfId="50532"/>
    <cellStyle name="Input [yellow] 3 13 4 12" xfId="6837"/>
    <cellStyle name="Input [yellow] 3 13 4 12 2" xfId="18034"/>
    <cellStyle name="Input [yellow] 3 13 4 12 3" xfId="29202"/>
    <cellStyle name="Input [yellow] 3 13 4 12 4" xfId="40367"/>
    <cellStyle name="Input [yellow] 3 13 4 12 5" xfId="51560"/>
    <cellStyle name="Input [yellow] 3 13 4 13" xfId="7471"/>
    <cellStyle name="Input [yellow] 3 13 4 13 2" xfId="18668"/>
    <cellStyle name="Input [yellow] 3 13 4 13 3" xfId="29836"/>
    <cellStyle name="Input [yellow] 3 13 4 13 4" xfId="41001"/>
    <cellStyle name="Input [yellow] 3 13 4 13 5" xfId="52194"/>
    <cellStyle name="Input [yellow] 3 13 4 14" xfId="8105"/>
    <cellStyle name="Input [yellow] 3 13 4 14 2" xfId="19302"/>
    <cellStyle name="Input [yellow] 3 13 4 14 3" xfId="30470"/>
    <cellStyle name="Input [yellow] 3 13 4 14 4" xfId="41635"/>
    <cellStyle name="Input [yellow] 3 13 4 14 5" xfId="52828"/>
    <cellStyle name="Input [yellow] 3 13 4 15" xfId="8735"/>
    <cellStyle name="Input [yellow] 3 13 4 15 2" xfId="19932"/>
    <cellStyle name="Input [yellow] 3 13 4 15 3" xfId="31100"/>
    <cellStyle name="Input [yellow] 3 13 4 15 4" xfId="42265"/>
    <cellStyle name="Input [yellow] 3 13 4 15 5" xfId="53458"/>
    <cellStyle name="Input [yellow] 3 13 4 16" xfId="7263"/>
    <cellStyle name="Input [yellow] 3 13 4 16 2" xfId="18460"/>
    <cellStyle name="Input [yellow] 3 13 4 16 3" xfId="29628"/>
    <cellStyle name="Input [yellow] 3 13 4 16 4" xfId="40793"/>
    <cellStyle name="Input [yellow] 3 13 4 16 5" xfId="51986"/>
    <cellStyle name="Input [yellow] 3 13 4 17" xfId="9785"/>
    <cellStyle name="Input [yellow] 3 13 4 17 2" xfId="20982"/>
    <cellStyle name="Input [yellow] 3 13 4 17 3" xfId="32150"/>
    <cellStyle name="Input [yellow] 3 13 4 17 4" xfId="43315"/>
    <cellStyle name="Input [yellow] 3 13 4 17 5" xfId="54508"/>
    <cellStyle name="Input [yellow] 3 13 4 18" xfId="9974"/>
    <cellStyle name="Input [yellow] 3 13 4 18 2" xfId="21171"/>
    <cellStyle name="Input [yellow] 3 13 4 18 3" xfId="32339"/>
    <cellStyle name="Input [yellow] 3 13 4 18 4" xfId="43504"/>
    <cellStyle name="Input [yellow] 3 13 4 18 5" xfId="54697"/>
    <cellStyle name="Input [yellow] 3 13 4 19" xfId="10821"/>
    <cellStyle name="Input [yellow] 3 13 4 19 2" xfId="22018"/>
    <cellStyle name="Input [yellow] 3 13 4 19 3" xfId="33186"/>
    <cellStyle name="Input [yellow] 3 13 4 19 4" xfId="44351"/>
    <cellStyle name="Input [yellow] 3 13 4 19 5" xfId="55544"/>
    <cellStyle name="Input [yellow] 3 13 4 2" xfId="917"/>
    <cellStyle name="Input [yellow] 3 13 4 2 2" xfId="12114"/>
    <cellStyle name="Input [yellow] 3 13 4 2 3" xfId="23282"/>
    <cellStyle name="Input [yellow] 3 13 4 2 4" xfId="34447"/>
    <cellStyle name="Input [yellow] 3 13 4 2 5" xfId="45640"/>
    <cellStyle name="Input [yellow] 3 13 4 20" xfId="11468"/>
    <cellStyle name="Input [yellow] 3 13 4 21" xfId="22638"/>
    <cellStyle name="Input [yellow] 3 13 4 22" xfId="33805"/>
    <cellStyle name="Input [yellow] 3 13 4 23" xfId="44991"/>
    <cellStyle name="Input [yellow] 3 13 4 3" xfId="1445"/>
    <cellStyle name="Input [yellow] 3 13 4 3 2" xfId="12642"/>
    <cellStyle name="Input [yellow] 3 13 4 3 3" xfId="23810"/>
    <cellStyle name="Input [yellow] 3 13 4 3 4" xfId="34975"/>
    <cellStyle name="Input [yellow] 3 13 4 3 5" xfId="46168"/>
    <cellStyle name="Input [yellow] 3 13 4 4" xfId="2194"/>
    <cellStyle name="Input [yellow] 3 13 4 4 2" xfId="13391"/>
    <cellStyle name="Input [yellow] 3 13 4 4 3" xfId="24559"/>
    <cellStyle name="Input [yellow] 3 13 4 4 4" xfId="35724"/>
    <cellStyle name="Input [yellow] 3 13 4 4 5" xfId="46917"/>
    <cellStyle name="Input [yellow] 3 13 4 5" xfId="2618"/>
    <cellStyle name="Input [yellow] 3 13 4 5 2" xfId="13815"/>
    <cellStyle name="Input [yellow] 3 13 4 5 3" xfId="24983"/>
    <cellStyle name="Input [yellow] 3 13 4 5 4" xfId="36148"/>
    <cellStyle name="Input [yellow] 3 13 4 5 5" xfId="47341"/>
    <cellStyle name="Input [yellow] 3 13 4 6" xfId="3252"/>
    <cellStyle name="Input [yellow] 3 13 4 6 2" xfId="14449"/>
    <cellStyle name="Input [yellow] 3 13 4 6 3" xfId="25617"/>
    <cellStyle name="Input [yellow] 3 13 4 6 4" xfId="36782"/>
    <cellStyle name="Input [yellow] 3 13 4 6 5" xfId="47975"/>
    <cellStyle name="Input [yellow] 3 13 4 7" xfId="3886"/>
    <cellStyle name="Input [yellow] 3 13 4 7 2" xfId="15083"/>
    <cellStyle name="Input [yellow] 3 13 4 7 3" xfId="26251"/>
    <cellStyle name="Input [yellow] 3 13 4 7 4" xfId="37416"/>
    <cellStyle name="Input [yellow] 3 13 4 7 5" xfId="48609"/>
    <cellStyle name="Input [yellow] 3 13 4 8" xfId="4519"/>
    <cellStyle name="Input [yellow] 3 13 4 8 2" xfId="15716"/>
    <cellStyle name="Input [yellow] 3 13 4 8 3" xfId="26884"/>
    <cellStyle name="Input [yellow] 3 13 4 8 4" xfId="38049"/>
    <cellStyle name="Input [yellow] 3 13 4 8 5" xfId="49242"/>
    <cellStyle name="Input [yellow] 3 13 4 9" xfId="5150"/>
    <cellStyle name="Input [yellow] 3 13 4 9 2" xfId="16347"/>
    <cellStyle name="Input [yellow] 3 13 4 9 3" xfId="27515"/>
    <cellStyle name="Input [yellow] 3 13 4 9 4" xfId="38680"/>
    <cellStyle name="Input [yellow] 3 13 4 9 5" xfId="49873"/>
    <cellStyle name="Input [yellow] 3 13 5" xfId="363"/>
    <cellStyle name="Input [yellow] 3 13 5 10" xfId="5937"/>
    <cellStyle name="Input [yellow] 3 13 5 10 2" xfId="17134"/>
    <cellStyle name="Input [yellow] 3 13 5 10 3" xfId="28302"/>
    <cellStyle name="Input [yellow] 3 13 5 10 4" xfId="39467"/>
    <cellStyle name="Input [yellow] 3 13 5 10 5" xfId="50660"/>
    <cellStyle name="Input [yellow] 3 13 5 11" xfId="6299"/>
    <cellStyle name="Input [yellow] 3 13 5 11 2" xfId="17496"/>
    <cellStyle name="Input [yellow] 3 13 5 11 3" xfId="28664"/>
    <cellStyle name="Input [yellow] 3 13 5 11 4" xfId="39829"/>
    <cellStyle name="Input [yellow] 3 13 5 11 5" xfId="51022"/>
    <cellStyle name="Input [yellow] 3 13 5 12" xfId="6932"/>
    <cellStyle name="Input [yellow] 3 13 5 12 2" xfId="18129"/>
    <cellStyle name="Input [yellow] 3 13 5 12 3" xfId="29297"/>
    <cellStyle name="Input [yellow] 3 13 5 12 4" xfId="40462"/>
    <cellStyle name="Input [yellow] 3 13 5 12 5" xfId="51655"/>
    <cellStyle name="Input [yellow] 3 13 5 13" xfId="7566"/>
    <cellStyle name="Input [yellow] 3 13 5 13 2" xfId="18763"/>
    <cellStyle name="Input [yellow] 3 13 5 13 3" xfId="29931"/>
    <cellStyle name="Input [yellow] 3 13 5 13 4" xfId="41096"/>
    <cellStyle name="Input [yellow] 3 13 5 13 5" xfId="52289"/>
    <cellStyle name="Input [yellow] 3 13 5 14" xfId="8200"/>
    <cellStyle name="Input [yellow] 3 13 5 14 2" xfId="19397"/>
    <cellStyle name="Input [yellow] 3 13 5 14 3" xfId="30565"/>
    <cellStyle name="Input [yellow] 3 13 5 14 4" xfId="41730"/>
    <cellStyle name="Input [yellow] 3 13 5 14 5" xfId="52923"/>
    <cellStyle name="Input [yellow] 3 13 5 15" xfId="8829"/>
    <cellStyle name="Input [yellow] 3 13 5 15 2" xfId="20026"/>
    <cellStyle name="Input [yellow] 3 13 5 15 3" xfId="31194"/>
    <cellStyle name="Input [yellow] 3 13 5 15 4" xfId="42359"/>
    <cellStyle name="Input [yellow] 3 13 5 15 5" xfId="53552"/>
    <cellStyle name="Input [yellow] 3 13 5 16" xfId="9251"/>
    <cellStyle name="Input [yellow] 3 13 5 16 2" xfId="20448"/>
    <cellStyle name="Input [yellow] 3 13 5 16 3" xfId="31616"/>
    <cellStyle name="Input [yellow] 3 13 5 16 4" xfId="42781"/>
    <cellStyle name="Input [yellow] 3 13 5 16 5" xfId="53974"/>
    <cellStyle name="Input [yellow] 3 13 5 17" xfId="9878"/>
    <cellStyle name="Input [yellow] 3 13 5 17 2" xfId="21075"/>
    <cellStyle name="Input [yellow] 3 13 5 17 3" xfId="32243"/>
    <cellStyle name="Input [yellow] 3 13 5 17 4" xfId="43408"/>
    <cellStyle name="Input [yellow] 3 13 5 17 5" xfId="54601"/>
    <cellStyle name="Input [yellow] 3 13 5 18" xfId="10463"/>
    <cellStyle name="Input [yellow] 3 13 5 18 2" xfId="21660"/>
    <cellStyle name="Input [yellow] 3 13 5 18 3" xfId="32828"/>
    <cellStyle name="Input [yellow] 3 13 5 18 4" xfId="43993"/>
    <cellStyle name="Input [yellow] 3 13 5 18 5" xfId="55186"/>
    <cellStyle name="Input [yellow] 3 13 5 19" xfId="10916"/>
    <cellStyle name="Input [yellow] 3 13 5 19 2" xfId="22113"/>
    <cellStyle name="Input [yellow] 3 13 5 19 3" xfId="33281"/>
    <cellStyle name="Input [yellow] 3 13 5 19 4" xfId="44446"/>
    <cellStyle name="Input [yellow] 3 13 5 19 5" xfId="55639"/>
    <cellStyle name="Input [yellow] 3 13 5 2" xfId="1012"/>
    <cellStyle name="Input [yellow] 3 13 5 2 2" xfId="12209"/>
    <cellStyle name="Input [yellow] 3 13 5 2 3" xfId="23377"/>
    <cellStyle name="Input [yellow] 3 13 5 2 4" xfId="34542"/>
    <cellStyle name="Input [yellow] 3 13 5 2 5" xfId="45735"/>
    <cellStyle name="Input [yellow] 3 13 5 20" xfId="11563"/>
    <cellStyle name="Input [yellow] 3 13 5 21" xfId="22733"/>
    <cellStyle name="Input [yellow] 3 13 5 22" xfId="33900"/>
    <cellStyle name="Input [yellow] 3 13 5 23" xfId="45086"/>
    <cellStyle name="Input [yellow] 3 13 5 3" xfId="1681"/>
    <cellStyle name="Input [yellow] 3 13 5 3 2" xfId="12878"/>
    <cellStyle name="Input [yellow] 3 13 5 3 3" xfId="24046"/>
    <cellStyle name="Input [yellow] 3 13 5 3 4" xfId="35211"/>
    <cellStyle name="Input [yellow] 3 13 5 3 5" xfId="46404"/>
    <cellStyle name="Input [yellow] 3 13 5 4" xfId="2288"/>
    <cellStyle name="Input [yellow] 3 13 5 4 2" xfId="13485"/>
    <cellStyle name="Input [yellow] 3 13 5 4 3" xfId="24653"/>
    <cellStyle name="Input [yellow] 3 13 5 4 4" xfId="35818"/>
    <cellStyle name="Input [yellow] 3 13 5 4 5" xfId="47011"/>
    <cellStyle name="Input [yellow] 3 13 5 5" xfId="2713"/>
    <cellStyle name="Input [yellow] 3 13 5 5 2" xfId="13910"/>
    <cellStyle name="Input [yellow] 3 13 5 5 3" xfId="25078"/>
    <cellStyle name="Input [yellow] 3 13 5 5 4" xfId="36243"/>
    <cellStyle name="Input [yellow] 3 13 5 5 5" xfId="47436"/>
    <cellStyle name="Input [yellow] 3 13 5 6" xfId="3347"/>
    <cellStyle name="Input [yellow] 3 13 5 6 2" xfId="14544"/>
    <cellStyle name="Input [yellow] 3 13 5 6 3" xfId="25712"/>
    <cellStyle name="Input [yellow] 3 13 5 6 4" xfId="36877"/>
    <cellStyle name="Input [yellow] 3 13 5 6 5" xfId="48070"/>
    <cellStyle name="Input [yellow] 3 13 5 7" xfId="3981"/>
    <cellStyle name="Input [yellow] 3 13 5 7 2" xfId="15178"/>
    <cellStyle name="Input [yellow] 3 13 5 7 3" xfId="26346"/>
    <cellStyle name="Input [yellow] 3 13 5 7 4" xfId="37511"/>
    <cellStyle name="Input [yellow] 3 13 5 7 5" xfId="48704"/>
    <cellStyle name="Input [yellow] 3 13 5 8" xfId="4614"/>
    <cellStyle name="Input [yellow] 3 13 5 8 2" xfId="15811"/>
    <cellStyle name="Input [yellow] 3 13 5 8 3" xfId="26979"/>
    <cellStyle name="Input [yellow] 3 13 5 8 4" xfId="38144"/>
    <cellStyle name="Input [yellow] 3 13 5 8 5" xfId="49337"/>
    <cellStyle name="Input [yellow] 3 13 5 9" xfId="5245"/>
    <cellStyle name="Input [yellow] 3 13 5 9 2" xfId="16442"/>
    <cellStyle name="Input [yellow] 3 13 5 9 3" xfId="27610"/>
    <cellStyle name="Input [yellow] 3 13 5 9 4" xfId="38775"/>
    <cellStyle name="Input [yellow] 3 13 5 9 5" xfId="49968"/>
    <cellStyle name="Input [yellow] 3 13 6" xfId="395"/>
    <cellStyle name="Input [yellow] 3 13 6 10" xfId="6054"/>
    <cellStyle name="Input [yellow] 3 13 6 10 2" xfId="17251"/>
    <cellStyle name="Input [yellow] 3 13 6 10 3" xfId="28419"/>
    <cellStyle name="Input [yellow] 3 13 6 10 4" xfId="39584"/>
    <cellStyle name="Input [yellow] 3 13 6 10 5" xfId="50777"/>
    <cellStyle name="Input [yellow] 3 13 6 11" xfId="6331"/>
    <cellStyle name="Input [yellow] 3 13 6 11 2" xfId="17528"/>
    <cellStyle name="Input [yellow] 3 13 6 11 3" xfId="28696"/>
    <cellStyle name="Input [yellow] 3 13 6 11 4" xfId="39861"/>
    <cellStyle name="Input [yellow] 3 13 6 11 5" xfId="51054"/>
    <cellStyle name="Input [yellow] 3 13 6 12" xfId="6964"/>
    <cellStyle name="Input [yellow] 3 13 6 12 2" xfId="18161"/>
    <cellStyle name="Input [yellow] 3 13 6 12 3" xfId="29329"/>
    <cellStyle name="Input [yellow] 3 13 6 12 4" xfId="40494"/>
    <cellStyle name="Input [yellow] 3 13 6 12 5" xfId="51687"/>
    <cellStyle name="Input [yellow] 3 13 6 13" xfId="7598"/>
    <cellStyle name="Input [yellow] 3 13 6 13 2" xfId="18795"/>
    <cellStyle name="Input [yellow] 3 13 6 13 3" xfId="29963"/>
    <cellStyle name="Input [yellow] 3 13 6 13 4" xfId="41128"/>
    <cellStyle name="Input [yellow] 3 13 6 13 5" xfId="52321"/>
    <cellStyle name="Input [yellow] 3 13 6 14" xfId="8232"/>
    <cellStyle name="Input [yellow] 3 13 6 14 2" xfId="19429"/>
    <cellStyle name="Input [yellow] 3 13 6 14 3" xfId="30597"/>
    <cellStyle name="Input [yellow] 3 13 6 14 4" xfId="41762"/>
    <cellStyle name="Input [yellow] 3 13 6 14 5" xfId="52955"/>
    <cellStyle name="Input [yellow] 3 13 6 15" xfId="8860"/>
    <cellStyle name="Input [yellow] 3 13 6 15 2" xfId="20057"/>
    <cellStyle name="Input [yellow] 3 13 6 15 3" xfId="31225"/>
    <cellStyle name="Input [yellow] 3 13 6 15 4" xfId="42390"/>
    <cellStyle name="Input [yellow] 3 13 6 15 5" xfId="53583"/>
    <cellStyle name="Input [yellow] 3 13 6 16" xfId="9283"/>
    <cellStyle name="Input [yellow] 3 13 6 16 2" xfId="20480"/>
    <cellStyle name="Input [yellow] 3 13 6 16 3" xfId="31648"/>
    <cellStyle name="Input [yellow] 3 13 6 16 4" xfId="42813"/>
    <cellStyle name="Input [yellow] 3 13 6 16 5" xfId="54006"/>
    <cellStyle name="Input [yellow] 3 13 6 17" xfId="9909"/>
    <cellStyle name="Input [yellow] 3 13 6 17 2" xfId="21106"/>
    <cellStyle name="Input [yellow] 3 13 6 17 3" xfId="32274"/>
    <cellStyle name="Input [yellow] 3 13 6 17 4" xfId="43439"/>
    <cellStyle name="Input [yellow] 3 13 6 17 5" xfId="54632"/>
    <cellStyle name="Input [yellow] 3 13 6 18" xfId="10513"/>
    <cellStyle name="Input [yellow] 3 13 6 18 2" xfId="21710"/>
    <cellStyle name="Input [yellow] 3 13 6 18 3" xfId="32878"/>
    <cellStyle name="Input [yellow] 3 13 6 18 4" xfId="44043"/>
    <cellStyle name="Input [yellow] 3 13 6 18 5" xfId="55236"/>
    <cellStyle name="Input [yellow] 3 13 6 19" xfId="10948"/>
    <cellStyle name="Input [yellow] 3 13 6 19 2" xfId="22145"/>
    <cellStyle name="Input [yellow] 3 13 6 19 3" xfId="33313"/>
    <cellStyle name="Input [yellow] 3 13 6 19 4" xfId="44478"/>
    <cellStyle name="Input [yellow] 3 13 6 19 5" xfId="55671"/>
    <cellStyle name="Input [yellow] 3 13 6 2" xfId="1044"/>
    <cellStyle name="Input [yellow] 3 13 6 2 2" xfId="12241"/>
    <cellStyle name="Input [yellow] 3 13 6 2 3" xfId="23409"/>
    <cellStyle name="Input [yellow] 3 13 6 2 4" xfId="34574"/>
    <cellStyle name="Input [yellow] 3 13 6 2 5" xfId="45767"/>
    <cellStyle name="Input [yellow] 3 13 6 20" xfId="11595"/>
    <cellStyle name="Input [yellow] 3 13 6 21" xfId="22765"/>
    <cellStyle name="Input [yellow] 3 13 6 22" xfId="33932"/>
    <cellStyle name="Input [yellow] 3 13 6 23" xfId="45118"/>
    <cellStyle name="Input [yellow] 3 13 6 3" xfId="1810"/>
    <cellStyle name="Input [yellow] 3 13 6 3 2" xfId="13007"/>
    <cellStyle name="Input [yellow] 3 13 6 3 3" xfId="24175"/>
    <cellStyle name="Input [yellow] 3 13 6 3 4" xfId="35340"/>
    <cellStyle name="Input [yellow] 3 13 6 3 5" xfId="46533"/>
    <cellStyle name="Input [yellow] 3 13 6 4" xfId="2320"/>
    <cellStyle name="Input [yellow] 3 13 6 4 2" xfId="13517"/>
    <cellStyle name="Input [yellow] 3 13 6 4 3" xfId="24685"/>
    <cellStyle name="Input [yellow] 3 13 6 4 4" xfId="35850"/>
    <cellStyle name="Input [yellow] 3 13 6 4 5" xfId="47043"/>
    <cellStyle name="Input [yellow] 3 13 6 5" xfId="2745"/>
    <cellStyle name="Input [yellow] 3 13 6 5 2" xfId="13942"/>
    <cellStyle name="Input [yellow] 3 13 6 5 3" xfId="25110"/>
    <cellStyle name="Input [yellow] 3 13 6 5 4" xfId="36275"/>
    <cellStyle name="Input [yellow] 3 13 6 5 5" xfId="47468"/>
    <cellStyle name="Input [yellow] 3 13 6 6" xfId="3379"/>
    <cellStyle name="Input [yellow] 3 13 6 6 2" xfId="14576"/>
    <cellStyle name="Input [yellow] 3 13 6 6 3" xfId="25744"/>
    <cellStyle name="Input [yellow] 3 13 6 6 4" xfId="36909"/>
    <cellStyle name="Input [yellow] 3 13 6 6 5" xfId="48102"/>
    <cellStyle name="Input [yellow] 3 13 6 7" xfId="4013"/>
    <cellStyle name="Input [yellow] 3 13 6 7 2" xfId="15210"/>
    <cellStyle name="Input [yellow] 3 13 6 7 3" xfId="26378"/>
    <cellStyle name="Input [yellow] 3 13 6 7 4" xfId="37543"/>
    <cellStyle name="Input [yellow] 3 13 6 7 5" xfId="48736"/>
    <cellStyle name="Input [yellow] 3 13 6 8" xfId="4646"/>
    <cellStyle name="Input [yellow] 3 13 6 8 2" xfId="15843"/>
    <cellStyle name="Input [yellow] 3 13 6 8 3" xfId="27011"/>
    <cellStyle name="Input [yellow] 3 13 6 8 4" xfId="38176"/>
    <cellStyle name="Input [yellow] 3 13 6 8 5" xfId="49369"/>
    <cellStyle name="Input [yellow] 3 13 6 9" xfId="5277"/>
    <cellStyle name="Input [yellow] 3 13 6 9 2" xfId="16474"/>
    <cellStyle name="Input [yellow] 3 13 6 9 3" xfId="27642"/>
    <cellStyle name="Input [yellow] 3 13 6 9 4" xfId="38807"/>
    <cellStyle name="Input [yellow] 3 13 6 9 5" xfId="50000"/>
    <cellStyle name="Input [yellow] 3 13 7" xfId="435"/>
    <cellStyle name="Input [yellow] 3 13 7 10" xfId="6122"/>
    <cellStyle name="Input [yellow] 3 13 7 10 2" xfId="17319"/>
    <cellStyle name="Input [yellow] 3 13 7 10 3" xfId="28487"/>
    <cellStyle name="Input [yellow] 3 13 7 10 4" xfId="39652"/>
    <cellStyle name="Input [yellow] 3 13 7 10 5" xfId="50845"/>
    <cellStyle name="Input [yellow] 3 13 7 11" xfId="6371"/>
    <cellStyle name="Input [yellow] 3 13 7 11 2" xfId="17568"/>
    <cellStyle name="Input [yellow] 3 13 7 11 3" xfId="28736"/>
    <cellStyle name="Input [yellow] 3 13 7 11 4" xfId="39901"/>
    <cellStyle name="Input [yellow] 3 13 7 11 5" xfId="51094"/>
    <cellStyle name="Input [yellow] 3 13 7 12" xfId="7004"/>
    <cellStyle name="Input [yellow] 3 13 7 12 2" xfId="18201"/>
    <cellStyle name="Input [yellow] 3 13 7 12 3" xfId="29369"/>
    <cellStyle name="Input [yellow] 3 13 7 12 4" xfId="40534"/>
    <cellStyle name="Input [yellow] 3 13 7 12 5" xfId="51727"/>
    <cellStyle name="Input [yellow] 3 13 7 13" xfId="7638"/>
    <cellStyle name="Input [yellow] 3 13 7 13 2" xfId="18835"/>
    <cellStyle name="Input [yellow] 3 13 7 13 3" xfId="30003"/>
    <cellStyle name="Input [yellow] 3 13 7 13 4" xfId="41168"/>
    <cellStyle name="Input [yellow] 3 13 7 13 5" xfId="52361"/>
    <cellStyle name="Input [yellow] 3 13 7 14" xfId="8272"/>
    <cellStyle name="Input [yellow] 3 13 7 14 2" xfId="19469"/>
    <cellStyle name="Input [yellow] 3 13 7 14 3" xfId="30637"/>
    <cellStyle name="Input [yellow] 3 13 7 14 4" xfId="41802"/>
    <cellStyle name="Input [yellow] 3 13 7 14 5" xfId="52995"/>
    <cellStyle name="Input [yellow] 3 13 7 15" xfId="8900"/>
    <cellStyle name="Input [yellow] 3 13 7 15 2" xfId="20097"/>
    <cellStyle name="Input [yellow] 3 13 7 15 3" xfId="31265"/>
    <cellStyle name="Input [yellow] 3 13 7 15 4" xfId="42430"/>
    <cellStyle name="Input [yellow] 3 13 7 15 5" xfId="53623"/>
    <cellStyle name="Input [yellow] 3 13 7 16" xfId="9323"/>
    <cellStyle name="Input [yellow] 3 13 7 16 2" xfId="20520"/>
    <cellStyle name="Input [yellow] 3 13 7 16 3" xfId="31688"/>
    <cellStyle name="Input [yellow] 3 13 7 16 4" xfId="42853"/>
    <cellStyle name="Input [yellow] 3 13 7 16 5" xfId="54046"/>
    <cellStyle name="Input [yellow] 3 13 7 17" xfId="9949"/>
    <cellStyle name="Input [yellow] 3 13 7 17 2" xfId="21146"/>
    <cellStyle name="Input [yellow] 3 13 7 17 3" xfId="32314"/>
    <cellStyle name="Input [yellow] 3 13 7 17 4" xfId="43479"/>
    <cellStyle name="Input [yellow] 3 13 7 17 5" xfId="54672"/>
    <cellStyle name="Input [yellow] 3 13 7 18" xfId="9713"/>
    <cellStyle name="Input [yellow] 3 13 7 18 2" xfId="20910"/>
    <cellStyle name="Input [yellow] 3 13 7 18 3" xfId="32078"/>
    <cellStyle name="Input [yellow] 3 13 7 18 4" xfId="43243"/>
    <cellStyle name="Input [yellow] 3 13 7 18 5" xfId="54436"/>
    <cellStyle name="Input [yellow] 3 13 7 19" xfId="10988"/>
    <cellStyle name="Input [yellow] 3 13 7 19 2" xfId="22185"/>
    <cellStyle name="Input [yellow] 3 13 7 19 3" xfId="33353"/>
    <cellStyle name="Input [yellow] 3 13 7 19 4" xfId="44518"/>
    <cellStyle name="Input [yellow] 3 13 7 19 5" xfId="55711"/>
    <cellStyle name="Input [yellow] 3 13 7 2" xfId="1084"/>
    <cellStyle name="Input [yellow] 3 13 7 2 2" xfId="12281"/>
    <cellStyle name="Input [yellow] 3 13 7 2 3" xfId="23449"/>
    <cellStyle name="Input [yellow] 3 13 7 2 4" xfId="34614"/>
    <cellStyle name="Input [yellow] 3 13 7 2 5" xfId="45807"/>
    <cellStyle name="Input [yellow] 3 13 7 20" xfId="11635"/>
    <cellStyle name="Input [yellow] 3 13 7 21" xfId="22805"/>
    <cellStyle name="Input [yellow] 3 13 7 22" xfId="33972"/>
    <cellStyle name="Input [yellow] 3 13 7 23" xfId="45158"/>
    <cellStyle name="Input [yellow] 3 13 7 3" xfId="1945"/>
    <cellStyle name="Input [yellow] 3 13 7 3 2" xfId="13142"/>
    <cellStyle name="Input [yellow] 3 13 7 3 3" xfId="24310"/>
    <cellStyle name="Input [yellow] 3 13 7 3 4" xfId="35475"/>
    <cellStyle name="Input [yellow] 3 13 7 3 5" xfId="46668"/>
    <cellStyle name="Input [yellow] 3 13 7 4" xfId="2360"/>
    <cellStyle name="Input [yellow] 3 13 7 4 2" xfId="13557"/>
    <cellStyle name="Input [yellow] 3 13 7 4 3" xfId="24725"/>
    <cellStyle name="Input [yellow] 3 13 7 4 4" xfId="35890"/>
    <cellStyle name="Input [yellow] 3 13 7 4 5" xfId="47083"/>
    <cellStyle name="Input [yellow] 3 13 7 5" xfId="2785"/>
    <cellStyle name="Input [yellow] 3 13 7 5 2" xfId="13982"/>
    <cellStyle name="Input [yellow] 3 13 7 5 3" xfId="25150"/>
    <cellStyle name="Input [yellow] 3 13 7 5 4" xfId="36315"/>
    <cellStyle name="Input [yellow] 3 13 7 5 5" xfId="47508"/>
    <cellStyle name="Input [yellow] 3 13 7 6" xfId="3419"/>
    <cellStyle name="Input [yellow] 3 13 7 6 2" xfId="14616"/>
    <cellStyle name="Input [yellow] 3 13 7 6 3" xfId="25784"/>
    <cellStyle name="Input [yellow] 3 13 7 6 4" xfId="36949"/>
    <cellStyle name="Input [yellow] 3 13 7 6 5" xfId="48142"/>
    <cellStyle name="Input [yellow] 3 13 7 7" xfId="4053"/>
    <cellStyle name="Input [yellow] 3 13 7 7 2" xfId="15250"/>
    <cellStyle name="Input [yellow] 3 13 7 7 3" xfId="26418"/>
    <cellStyle name="Input [yellow] 3 13 7 7 4" xfId="37583"/>
    <cellStyle name="Input [yellow] 3 13 7 7 5" xfId="48776"/>
    <cellStyle name="Input [yellow] 3 13 7 8" xfId="4686"/>
    <cellStyle name="Input [yellow] 3 13 7 8 2" xfId="15883"/>
    <cellStyle name="Input [yellow] 3 13 7 8 3" xfId="27051"/>
    <cellStyle name="Input [yellow] 3 13 7 8 4" xfId="38216"/>
    <cellStyle name="Input [yellow] 3 13 7 8 5" xfId="49409"/>
    <cellStyle name="Input [yellow] 3 13 7 9" xfId="5317"/>
    <cellStyle name="Input [yellow] 3 13 7 9 2" xfId="16514"/>
    <cellStyle name="Input [yellow] 3 13 7 9 3" xfId="27682"/>
    <cellStyle name="Input [yellow] 3 13 7 9 4" xfId="38847"/>
    <cellStyle name="Input [yellow] 3 13 7 9 5" xfId="50040"/>
    <cellStyle name="Input [yellow] 3 13 8" xfId="518"/>
    <cellStyle name="Input [yellow] 3 13 8 10" xfId="5616"/>
    <cellStyle name="Input [yellow] 3 13 8 10 2" xfId="16813"/>
    <cellStyle name="Input [yellow] 3 13 8 10 3" xfId="27981"/>
    <cellStyle name="Input [yellow] 3 13 8 10 4" xfId="39146"/>
    <cellStyle name="Input [yellow] 3 13 8 10 5" xfId="50339"/>
    <cellStyle name="Input [yellow] 3 13 8 11" xfId="6454"/>
    <cellStyle name="Input [yellow] 3 13 8 11 2" xfId="17651"/>
    <cellStyle name="Input [yellow] 3 13 8 11 3" xfId="28819"/>
    <cellStyle name="Input [yellow] 3 13 8 11 4" xfId="39984"/>
    <cellStyle name="Input [yellow] 3 13 8 11 5" xfId="51177"/>
    <cellStyle name="Input [yellow] 3 13 8 12" xfId="7087"/>
    <cellStyle name="Input [yellow] 3 13 8 12 2" xfId="18284"/>
    <cellStyle name="Input [yellow] 3 13 8 12 3" xfId="29452"/>
    <cellStyle name="Input [yellow] 3 13 8 12 4" xfId="40617"/>
    <cellStyle name="Input [yellow] 3 13 8 12 5" xfId="51810"/>
    <cellStyle name="Input [yellow] 3 13 8 13" xfId="7721"/>
    <cellStyle name="Input [yellow] 3 13 8 13 2" xfId="18918"/>
    <cellStyle name="Input [yellow] 3 13 8 13 3" xfId="30086"/>
    <cellStyle name="Input [yellow] 3 13 8 13 4" xfId="41251"/>
    <cellStyle name="Input [yellow] 3 13 8 13 5" xfId="52444"/>
    <cellStyle name="Input [yellow] 3 13 8 14" xfId="8355"/>
    <cellStyle name="Input [yellow] 3 13 8 14 2" xfId="19552"/>
    <cellStyle name="Input [yellow] 3 13 8 14 3" xfId="30720"/>
    <cellStyle name="Input [yellow] 3 13 8 14 4" xfId="41885"/>
    <cellStyle name="Input [yellow] 3 13 8 14 5" xfId="53078"/>
    <cellStyle name="Input [yellow] 3 13 8 15" xfId="8983"/>
    <cellStyle name="Input [yellow] 3 13 8 15 2" xfId="20180"/>
    <cellStyle name="Input [yellow] 3 13 8 15 3" xfId="31348"/>
    <cellStyle name="Input [yellow] 3 13 8 15 4" xfId="42513"/>
    <cellStyle name="Input [yellow] 3 13 8 15 5" xfId="53706"/>
    <cellStyle name="Input [yellow] 3 13 8 16" xfId="9406"/>
    <cellStyle name="Input [yellow] 3 13 8 16 2" xfId="20603"/>
    <cellStyle name="Input [yellow] 3 13 8 16 3" xfId="31771"/>
    <cellStyle name="Input [yellow] 3 13 8 16 4" xfId="42936"/>
    <cellStyle name="Input [yellow] 3 13 8 16 5" xfId="54129"/>
    <cellStyle name="Input [yellow] 3 13 8 17" xfId="10031"/>
    <cellStyle name="Input [yellow] 3 13 8 17 2" xfId="21228"/>
    <cellStyle name="Input [yellow] 3 13 8 17 3" xfId="32396"/>
    <cellStyle name="Input [yellow] 3 13 8 17 4" xfId="43561"/>
    <cellStyle name="Input [yellow] 3 13 8 17 5" xfId="54754"/>
    <cellStyle name="Input [yellow] 3 13 8 18" xfId="10613"/>
    <cellStyle name="Input [yellow] 3 13 8 18 2" xfId="21810"/>
    <cellStyle name="Input [yellow] 3 13 8 18 3" xfId="32978"/>
    <cellStyle name="Input [yellow] 3 13 8 18 4" xfId="44143"/>
    <cellStyle name="Input [yellow] 3 13 8 18 5" xfId="55336"/>
    <cellStyle name="Input [yellow] 3 13 8 19" xfId="11071"/>
    <cellStyle name="Input [yellow] 3 13 8 19 2" xfId="22268"/>
    <cellStyle name="Input [yellow] 3 13 8 19 3" xfId="33436"/>
    <cellStyle name="Input [yellow] 3 13 8 19 4" xfId="44601"/>
    <cellStyle name="Input [yellow] 3 13 8 19 5" xfId="55794"/>
    <cellStyle name="Input [yellow] 3 13 8 2" xfId="1167"/>
    <cellStyle name="Input [yellow] 3 13 8 2 2" xfId="12364"/>
    <cellStyle name="Input [yellow] 3 13 8 2 3" xfId="23532"/>
    <cellStyle name="Input [yellow] 3 13 8 2 4" xfId="34697"/>
    <cellStyle name="Input [yellow] 3 13 8 2 5" xfId="45890"/>
    <cellStyle name="Input [yellow] 3 13 8 20" xfId="11718"/>
    <cellStyle name="Input [yellow] 3 13 8 21" xfId="22888"/>
    <cellStyle name="Input [yellow] 3 13 8 22" xfId="34055"/>
    <cellStyle name="Input [yellow] 3 13 8 23" xfId="45241"/>
    <cellStyle name="Input [yellow] 3 13 8 3" xfId="1917"/>
    <cellStyle name="Input [yellow] 3 13 8 3 2" xfId="13114"/>
    <cellStyle name="Input [yellow] 3 13 8 3 3" xfId="24282"/>
    <cellStyle name="Input [yellow] 3 13 8 3 4" xfId="35447"/>
    <cellStyle name="Input [yellow] 3 13 8 3 5" xfId="46640"/>
    <cellStyle name="Input [yellow] 3 13 8 4" xfId="2443"/>
    <cellStyle name="Input [yellow] 3 13 8 4 2" xfId="13640"/>
    <cellStyle name="Input [yellow] 3 13 8 4 3" xfId="24808"/>
    <cellStyle name="Input [yellow] 3 13 8 4 4" xfId="35973"/>
    <cellStyle name="Input [yellow] 3 13 8 4 5" xfId="47166"/>
    <cellStyle name="Input [yellow] 3 13 8 5" xfId="2868"/>
    <cellStyle name="Input [yellow] 3 13 8 5 2" xfId="14065"/>
    <cellStyle name="Input [yellow] 3 13 8 5 3" xfId="25233"/>
    <cellStyle name="Input [yellow] 3 13 8 5 4" xfId="36398"/>
    <cellStyle name="Input [yellow] 3 13 8 5 5" xfId="47591"/>
    <cellStyle name="Input [yellow] 3 13 8 6" xfId="3502"/>
    <cellStyle name="Input [yellow] 3 13 8 6 2" xfId="14699"/>
    <cellStyle name="Input [yellow] 3 13 8 6 3" xfId="25867"/>
    <cellStyle name="Input [yellow] 3 13 8 6 4" xfId="37032"/>
    <cellStyle name="Input [yellow] 3 13 8 6 5" xfId="48225"/>
    <cellStyle name="Input [yellow] 3 13 8 7" xfId="4136"/>
    <cellStyle name="Input [yellow] 3 13 8 7 2" xfId="15333"/>
    <cellStyle name="Input [yellow] 3 13 8 7 3" xfId="26501"/>
    <cellStyle name="Input [yellow] 3 13 8 7 4" xfId="37666"/>
    <cellStyle name="Input [yellow] 3 13 8 7 5" xfId="48859"/>
    <cellStyle name="Input [yellow] 3 13 8 8" xfId="4769"/>
    <cellStyle name="Input [yellow] 3 13 8 8 2" xfId="15966"/>
    <cellStyle name="Input [yellow] 3 13 8 8 3" xfId="27134"/>
    <cellStyle name="Input [yellow] 3 13 8 8 4" xfId="38299"/>
    <cellStyle name="Input [yellow] 3 13 8 8 5" xfId="49492"/>
    <cellStyle name="Input [yellow] 3 13 8 9" xfId="5400"/>
    <cellStyle name="Input [yellow] 3 13 8 9 2" xfId="16597"/>
    <cellStyle name="Input [yellow] 3 13 8 9 3" xfId="27765"/>
    <cellStyle name="Input [yellow] 3 13 8 9 4" xfId="38930"/>
    <cellStyle name="Input [yellow] 3 13 8 9 5" xfId="50123"/>
    <cellStyle name="Input [yellow] 3 13 9" xfId="576"/>
    <cellStyle name="Input [yellow] 3 13 9 10" xfId="6125"/>
    <cellStyle name="Input [yellow] 3 13 9 10 2" xfId="17322"/>
    <cellStyle name="Input [yellow] 3 13 9 10 3" xfId="28490"/>
    <cellStyle name="Input [yellow] 3 13 9 10 4" xfId="39655"/>
    <cellStyle name="Input [yellow] 3 13 9 10 5" xfId="50848"/>
    <cellStyle name="Input [yellow] 3 13 9 11" xfId="6512"/>
    <cellStyle name="Input [yellow] 3 13 9 11 2" xfId="17709"/>
    <cellStyle name="Input [yellow] 3 13 9 11 3" xfId="28877"/>
    <cellStyle name="Input [yellow] 3 13 9 11 4" xfId="40042"/>
    <cellStyle name="Input [yellow] 3 13 9 11 5" xfId="51235"/>
    <cellStyle name="Input [yellow] 3 13 9 12" xfId="7145"/>
    <cellStyle name="Input [yellow] 3 13 9 12 2" xfId="18342"/>
    <cellStyle name="Input [yellow] 3 13 9 12 3" xfId="29510"/>
    <cellStyle name="Input [yellow] 3 13 9 12 4" xfId="40675"/>
    <cellStyle name="Input [yellow] 3 13 9 12 5" xfId="51868"/>
    <cellStyle name="Input [yellow] 3 13 9 13" xfId="7779"/>
    <cellStyle name="Input [yellow] 3 13 9 13 2" xfId="18976"/>
    <cellStyle name="Input [yellow] 3 13 9 13 3" xfId="30144"/>
    <cellStyle name="Input [yellow] 3 13 9 13 4" xfId="41309"/>
    <cellStyle name="Input [yellow] 3 13 9 13 5" xfId="52502"/>
    <cellStyle name="Input [yellow] 3 13 9 14" xfId="8413"/>
    <cellStyle name="Input [yellow] 3 13 9 14 2" xfId="19610"/>
    <cellStyle name="Input [yellow] 3 13 9 14 3" xfId="30778"/>
    <cellStyle name="Input [yellow] 3 13 9 14 4" xfId="41943"/>
    <cellStyle name="Input [yellow] 3 13 9 14 5" xfId="53136"/>
    <cellStyle name="Input [yellow] 3 13 9 15" xfId="9041"/>
    <cellStyle name="Input [yellow] 3 13 9 15 2" xfId="20238"/>
    <cellStyle name="Input [yellow] 3 13 9 15 3" xfId="31406"/>
    <cellStyle name="Input [yellow] 3 13 9 15 4" xfId="42571"/>
    <cellStyle name="Input [yellow] 3 13 9 15 5" xfId="53764"/>
    <cellStyle name="Input [yellow] 3 13 9 16" xfId="9464"/>
    <cellStyle name="Input [yellow] 3 13 9 16 2" xfId="20661"/>
    <cellStyle name="Input [yellow] 3 13 9 16 3" xfId="31829"/>
    <cellStyle name="Input [yellow] 3 13 9 16 4" xfId="42994"/>
    <cellStyle name="Input [yellow] 3 13 9 16 5" xfId="54187"/>
    <cellStyle name="Input [yellow] 3 13 9 17" xfId="10089"/>
    <cellStyle name="Input [yellow] 3 13 9 17 2" xfId="21286"/>
    <cellStyle name="Input [yellow] 3 13 9 17 3" xfId="32454"/>
    <cellStyle name="Input [yellow] 3 13 9 17 4" xfId="43619"/>
    <cellStyle name="Input [yellow] 3 13 9 17 5" xfId="54812"/>
    <cellStyle name="Input [yellow] 3 13 9 18" xfId="10545"/>
    <cellStyle name="Input [yellow] 3 13 9 18 2" xfId="21742"/>
    <cellStyle name="Input [yellow] 3 13 9 18 3" xfId="32910"/>
    <cellStyle name="Input [yellow] 3 13 9 18 4" xfId="44075"/>
    <cellStyle name="Input [yellow] 3 13 9 18 5" xfId="55268"/>
    <cellStyle name="Input [yellow] 3 13 9 19" xfId="11129"/>
    <cellStyle name="Input [yellow] 3 13 9 19 2" xfId="22326"/>
    <cellStyle name="Input [yellow] 3 13 9 19 3" xfId="33494"/>
    <cellStyle name="Input [yellow] 3 13 9 19 4" xfId="44659"/>
    <cellStyle name="Input [yellow] 3 13 9 19 5" xfId="55852"/>
    <cellStyle name="Input [yellow] 3 13 9 2" xfId="1225"/>
    <cellStyle name="Input [yellow] 3 13 9 2 2" xfId="12422"/>
    <cellStyle name="Input [yellow] 3 13 9 2 3" xfId="23590"/>
    <cellStyle name="Input [yellow] 3 13 9 2 4" xfId="34755"/>
    <cellStyle name="Input [yellow] 3 13 9 2 5" xfId="45948"/>
    <cellStyle name="Input [yellow] 3 13 9 20" xfId="11776"/>
    <cellStyle name="Input [yellow] 3 13 9 21" xfId="22946"/>
    <cellStyle name="Input [yellow] 3 13 9 22" xfId="34113"/>
    <cellStyle name="Input [yellow] 3 13 9 23" xfId="45299"/>
    <cellStyle name="Input [yellow] 3 13 9 3" xfId="1734"/>
    <cellStyle name="Input [yellow] 3 13 9 3 2" xfId="12931"/>
    <cellStyle name="Input [yellow] 3 13 9 3 3" xfId="24099"/>
    <cellStyle name="Input [yellow] 3 13 9 3 4" xfId="35264"/>
    <cellStyle name="Input [yellow] 3 13 9 3 5" xfId="46457"/>
    <cellStyle name="Input [yellow] 3 13 9 4" xfId="2501"/>
    <cellStyle name="Input [yellow] 3 13 9 4 2" xfId="13698"/>
    <cellStyle name="Input [yellow] 3 13 9 4 3" xfId="24866"/>
    <cellStyle name="Input [yellow] 3 13 9 4 4" xfId="36031"/>
    <cellStyle name="Input [yellow] 3 13 9 4 5" xfId="47224"/>
    <cellStyle name="Input [yellow] 3 13 9 5" xfId="2926"/>
    <cellStyle name="Input [yellow] 3 13 9 5 2" xfId="14123"/>
    <cellStyle name="Input [yellow] 3 13 9 5 3" xfId="25291"/>
    <cellStyle name="Input [yellow] 3 13 9 5 4" xfId="36456"/>
    <cellStyle name="Input [yellow] 3 13 9 5 5" xfId="47649"/>
    <cellStyle name="Input [yellow] 3 13 9 6" xfId="3560"/>
    <cellStyle name="Input [yellow] 3 13 9 6 2" xfId="14757"/>
    <cellStyle name="Input [yellow] 3 13 9 6 3" xfId="25925"/>
    <cellStyle name="Input [yellow] 3 13 9 6 4" xfId="37090"/>
    <cellStyle name="Input [yellow] 3 13 9 6 5" xfId="48283"/>
    <cellStyle name="Input [yellow] 3 13 9 7" xfId="4194"/>
    <cellStyle name="Input [yellow] 3 13 9 7 2" xfId="15391"/>
    <cellStyle name="Input [yellow] 3 13 9 7 3" xfId="26559"/>
    <cellStyle name="Input [yellow] 3 13 9 7 4" xfId="37724"/>
    <cellStyle name="Input [yellow] 3 13 9 7 5" xfId="48917"/>
    <cellStyle name="Input [yellow] 3 13 9 8" xfId="4827"/>
    <cellStyle name="Input [yellow] 3 13 9 8 2" xfId="16024"/>
    <cellStyle name="Input [yellow] 3 13 9 8 3" xfId="27192"/>
    <cellStyle name="Input [yellow] 3 13 9 8 4" xfId="38357"/>
    <cellStyle name="Input [yellow] 3 13 9 8 5" xfId="49550"/>
    <cellStyle name="Input [yellow] 3 13 9 9" xfId="5458"/>
    <cellStyle name="Input [yellow] 3 13 9 9 2" xfId="16655"/>
    <cellStyle name="Input [yellow] 3 13 9 9 3" xfId="27823"/>
    <cellStyle name="Input [yellow] 3 13 9 9 4" xfId="38988"/>
    <cellStyle name="Input [yellow] 3 13 9 9 5" xfId="50181"/>
    <cellStyle name="Input [yellow] 3 14" xfId="112"/>
    <cellStyle name="Input [yellow] 3 14 10" xfId="624"/>
    <cellStyle name="Input [yellow] 3 14 10 10" xfId="5703"/>
    <cellStyle name="Input [yellow] 3 14 10 10 2" xfId="16900"/>
    <cellStyle name="Input [yellow] 3 14 10 10 3" xfId="28068"/>
    <cellStyle name="Input [yellow] 3 14 10 10 4" xfId="39233"/>
    <cellStyle name="Input [yellow] 3 14 10 10 5" xfId="50426"/>
    <cellStyle name="Input [yellow] 3 14 10 11" xfId="6560"/>
    <cellStyle name="Input [yellow] 3 14 10 11 2" xfId="17757"/>
    <cellStyle name="Input [yellow] 3 14 10 11 3" xfId="28925"/>
    <cellStyle name="Input [yellow] 3 14 10 11 4" xfId="40090"/>
    <cellStyle name="Input [yellow] 3 14 10 11 5" xfId="51283"/>
    <cellStyle name="Input [yellow] 3 14 10 12" xfId="7193"/>
    <cellStyle name="Input [yellow] 3 14 10 12 2" xfId="18390"/>
    <cellStyle name="Input [yellow] 3 14 10 12 3" xfId="29558"/>
    <cellStyle name="Input [yellow] 3 14 10 12 4" xfId="40723"/>
    <cellStyle name="Input [yellow] 3 14 10 12 5" xfId="51916"/>
    <cellStyle name="Input [yellow] 3 14 10 13" xfId="7827"/>
    <cellStyle name="Input [yellow] 3 14 10 13 2" xfId="19024"/>
    <cellStyle name="Input [yellow] 3 14 10 13 3" xfId="30192"/>
    <cellStyle name="Input [yellow] 3 14 10 13 4" xfId="41357"/>
    <cellStyle name="Input [yellow] 3 14 10 13 5" xfId="52550"/>
    <cellStyle name="Input [yellow] 3 14 10 14" xfId="8461"/>
    <cellStyle name="Input [yellow] 3 14 10 14 2" xfId="19658"/>
    <cellStyle name="Input [yellow] 3 14 10 14 3" xfId="30826"/>
    <cellStyle name="Input [yellow] 3 14 10 14 4" xfId="41991"/>
    <cellStyle name="Input [yellow] 3 14 10 14 5" xfId="53184"/>
    <cellStyle name="Input [yellow] 3 14 10 15" xfId="9089"/>
    <cellStyle name="Input [yellow] 3 14 10 15 2" xfId="20286"/>
    <cellStyle name="Input [yellow] 3 14 10 15 3" xfId="31454"/>
    <cellStyle name="Input [yellow] 3 14 10 15 4" xfId="42619"/>
    <cellStyle name="Input [yellow] 3 14 10 15 5" xfId="53812"/>
    <cellStyle name="Input [yellow] 3 14 10 16" xfId="9512"/>
    <cellStyle name="Input [yellow] 3 14 10 16 2" xfId="20709"/>
    <cellStyle name="Input [yellow] 3 14 10 16 3" xfId="31877"/>
    <cellStyle name="Input [yellow] 3 14 10 16 4" xfId="43042"/>
    <cellStyle name="Input [yellow] 3 14 10 16 5" xfId="54235"/>
    <cellStyle name="Input [yellow] 3 14 10 17" xfId="10137"/>
    <cellStyle name="Input [yellow] 3 14 10 17 2" xfId="21334"/>
    <cellStyle name="Input [yellow] 3 14 10 17 3" xfId="32502"/>
    <cellStyle name="Input [yellow] 3 14 10 17 4" xfId="43667"/>
    <cellStyle name="Input [yellow] 3 14 10 17 5" xfId="54860"/>
    <cellStyle name="Input [yellow] 3 14 10 18" xfId="10300"/>
    <cellStyle name="Input [yellow] 3 14 10 18 2" xfId="21497"/>
    <cellStyle name="Input [yellow] 3 14 10 18 3" xfId="32665"/>
    <cellStyle name="Input [yellow] 3 14 10 18 4" xfId="43830"/>
    <cellStyle name="Input [yellow] 3 14 10 18 5" xfId="55023"/>
    <cellStyle name="Input [yellow] 3 14 10 19" xfId="11177"/>
    <cellStyle name="Input [yellow] 3 14 10 19 2" xfId="22374"/>
    <cellStyle name="Input [yellow] 3 14 10 19 3" xfId="33542"/>
    <cellStyle name="Input [yellow] 3 14 10 19 4" xfId="44707"/>
    <cellStyle name="Input [yellow] 3 14 10 19 5" xfId="55900"/>
    <cellStyle name="Input [yellow] 3 14 10 2" xfId="1273"/>
    <cellStyle name="Input [yellow] 3 14 10 2 2" xfId="12470"/>
    <cellStyle name="Input [yellow] 3 14 10 2 3" xfId="23638"/>
    <cellStyle name="Input [yellow] 3 14 10 2 4" xfId="34803"/>
    <cellStyle name="Input [yellow] 3 14 10 2 5" xfId="45996"/>
    <cellStyle name="Input [yellow] 3 14 10 20" xfId="11824"/>
    <cellStyle name="Input [yellow] 3 14 10 21" xfId="22994"/>
    <cellStyle name="Input [yellow] 3 14 10 22" xfId="34161"/>
    <cellStyle name="Input [yellow] 3 14 10 23" xfId="45347"/>
    <cellStyle name="Input [yellow] 3 14 10 3" xfId="1607"/>
    <cellStyle name="Input [yellow] 3 14 10 3 2" xfId="12804"/>
    <cellStyle name="Input [yellow] 3 14 10 3 3" xfId="23972"/>
    <cellStyle name="Input [yellow] 3 14 10 3 4" xfId="35137"/>
    <cellStyle name="Input [yellow] 3 14 10 3 5" xfId="46330"/>
    <cellStyle name="Input [yellow] 3 14 10 4" xfId="2549"/>
    <cellStyle name="Input [yellow] 3 14 10 4 2" xfId="13746"/>
    <cellStyle name="Input [yellow] 3 14 10 4 3" xfId="24914"/>
    <cellStyle name="Input [yellow] 3 14 10 4 4" xfId="36079"/>
    <cellStyle name="Input [yellow] 3 14 10 4 5" xfId="47272"/>
    <cellStyle name="Input [yellow] 3 14 10 5" xfId="2974"/>
    <cellStyle name="Input [yellow] 3 14 10 5 2" xfId="14171"/>
    <cellStyle name="Input [yellow] 3 14 10 5 3" xfId="25339"/>
    <cellStyle name="Input [yellow] 3 14 10 5 4" xfId="36504"/>
    <cellStyle name="Input [yellow] 3 14 10 5 5" xfId="47697"/>
    <cellStyle name="Input [yellow] 3 14 10 6" xfId="3608"/>
    <cellStyle name="Input [yellow] 3 14 10 6 2" xfId="14805"/>
    <cellStyle name="Input [yellow] 3 14 10 6 3" xfId="25973"/>
    <cellStyle name="Input [yellow] 3 14 10 6 4" xfId="37138"/>
    <cellStyle name="Input [yellow] 3 14 10 6 5" xfId="48331"/>
    <cellStyle name="Input [yellow] 3 14 10 7" xfId="4242"/>
    <cellStyle name="Input [yellow] 3 14 10 7 2" xfId="15439"/>
    <cellStyle name="Input [yellow] 3 14 10 7 3" xfId="26607"/>
    <cellStyle name="Input [yellow] 3 14 10 7 4" xfId="37772"/>
    <cellStyle name="Input [yellow] 3 14 10 7 5" xfId="48965"/>
    <cellStyle name="Input [yellow] 3 14 10 8" xfId="4875"/>
    <cellStyle name="Input [yellow] 3 14 10 8 2" xfId="16072"/>
    <cellStyle name="Input [yellow] 3 14 10 8 3" xfId="27240"/>
    <cellStyle name="Input [yellow] 3 14 10 8 4" xfId="38405"/>
    <cellStyle name="Input [yellow] 3 14 10 8 5" xfId="49598"/>
    <cellStyle name="Input [yellow] 3 14 10 9" xfId="5506"/>
    <cellStyle name="Input [yellow] 3 14 10 9 2" xfId="16703"/>
    <cellStyle name="Input [yellow] 3 14 10 9 3" xfId="27871"/>
    <cellStyle name="Input [yellow] 3 14 10 9 4" xfId="39036"/>
    <cellStyle name="Input [yellow] 3 14 10 9 5" xfId="50229"/>
    <cellStyle name="Input [yellow] 3 14 11" xfId="653"/>
    <cellStyle name="Input [yellow] 3 14 11 10" xfId="5660"/>
    <cellStyle name="Input [yellow] 3 14 11 10 2" xfId="16857"/>
    <cellStyle name="Input [yellow] 3 14 11 10 3" xfId="28025"/>
    <cellStyle name="Input [yellow] 3 14 11 10 4" xfId="39190"/>
    <cellStyle name="Input [yellow] 3 14 11 10 5" xfId="50383"/>
    <cellStyle name="Input [yellow] 3 14 11 11" xfId="6589"/>
    <cellStyle name="Input [yellow] 3 14 11 11 2" xfId="17786"/>
    <cellStyle name="Input [yellow] 3 14 11 11 3" xfId="28954"/>
    <cellStyle name="Input [yellow] 3 14 11 11 4" xfId="40119"/>
    <cellStyle name="Input [yellow] 3 14 11 11 5" xfId="51312"/>
    <cellStyle name="Input [yellow] 3 14 11 12" xfId="7222"/>
    <cellStyle name="Input [yellow] 3 14 11 12 2" xfId="18419"/>
    <cellStyle name="Input [yellow] 3 14 11 12 3" xfId="29587"/>
    <cellStyle name="Input [yellow] 3 14 11 12 4" xfId="40752"/>
    <cellStyle name="Input [yellow] 3 14 11 12 5" xfId="51945"/>
    <cellStyle name="Input [yellow] 3 14 11 13" xfId="7856"/>
    <cellStyle name="Input [yellow] 3 14 11 13 2" xfId="19053"/>
    <cellStyle name="Input [yellow] 3 14 11 13 3" xfId="30221"/>
    <cellStyle name="Input [yellow] 3 14 11 13 4" xfId="41386"/>
    <cellStyle name="Input [yellow] 3 14 11 13 5" xfId="52579"/>
    <cellStyle name="Input [yellow] 3 14 11 14" xfId="8490"/>
    <cellStyle name="Input [yellow] 3 14 11 14 2" xfId="19687"/>
    <cellStyle name="Input [yellow] 3 14 11 14 3" xfId="30855"/>
    <cellStyle name="Input [yellow] 3 14 11 14 4" xfId="42020"/>
    <cellStyle name="Input [yellow] 3 14 11 14 5" xfId="53213"/>
    <cellStyle name="Input [yellow] 3 14 11 15" xfId="9118"/>
    <cellStyle name="Input [yellow] 3 14 11 15 2" xfId="20315"/>
    <cellStyle name="Input [yellow] 3 14 11 15 3" xfId="31483"/>
    <cellStyle name="Input [yellow] 3 14 11 15 4" xfId="42648"/>
    <cellStyle name="Input [yellow] 3 14 11 15 5" xfId="53841"/>
    <cellStyle name="Input [yellow] 3 14 11 16" xfId="9541"/>
    <cellStyle name="Input [yellow] 3 14 11 16 2" xfId="20738"/>
    <cellStyle name="Input [yellow] 3 14 11 16 3" xfId="31906"/>
    <cellStyle name="Input [yellow] 3 14 11 16 4" xfId="43071"/>
    <cellStyle name="Input [yellow] 3 14 11 16 5" xfId="54264"/>
    <cellStyle name="Input [yellow] 3 14 11 17" xfId="10166"/>
    <cellStyle name="Input [yellow] 3 14 11 17 2" xfId="21363"/>
    <cellStyle name="Input [yellow] 3 14 11 17 3" xfId="32531"/>
    <cellStyle name="Input [yellow] 3 14 11 17 4" xfId="43696"/>
    <cellStyle name="Input [yellow] 3 14 11 17 5" xfId="54889"/>
    <cellStyle name="Input [yellow] 3 14 11 18" xfId="9840"/>
    <cellStyle name="Input [yellow] 3 14 11 18 2" xfId="21037"/>
    <cellStyle name="Input [yellow] 3 14 11 18 3" xfId="32205"/>
    <cellStyle name="Input [yellow] 3 14 11 18 4" xfId="43370"/>
    <cellStyle name="Input [yellow] 3 14 11 18 5" xfId="54563"/>
    <cellStyle name="Input [yellow] 3 14 11 19" xfId="11206"/>
    <cellStyle name="Input [yellow] 3 14 11 19 2" xfId="22403"/>
    <cellStyle name="Input [yellow] 3 14 11 19 3" xfId="33571"/>
    <cellStyle name="Input [yellow] 3 14 11 19 4" xfId="44736"/>
    <cellStyle name="Input [yellow] 3 14 11 19 5" xfId="55929"/>
    <cellStyle name="Input [yellow] 3 14 11 2" xfId="1302"/>
    <cellStyle name="Input [yellow] 3 14 11 2 2" xfId="12499"/>
    <cellStyle name="Input [yellow] 3 14 11 2 3" xfId="23667"/>
    <cellStyle name="Input [yellow] 3 14 11 2 4" xfId="34832"/>
    <cellStyle name="Input [yellow] 3 14 11 2 5" xfId="46025"/>
    <cellStyle name="Input [yellow] 3 14 11 20" xfId="11853"/>
    <cellStyle name="Input [yellow] 3 14 11 21" xfId="23023"/>
    <cellStyle name="Input [yellow] 3 14 11 22" xfId="34190"/>
    <cellStyle name="Input [yellow] 3 14 11 23" xfId="45376"/>
    <cellStyle name="Input [yellow] 3 14 11 3" xfId="1857"/>
    <cellStyle name="Input [yellow] 3 14 11 3 2" xfId="13054"/>
    <cellStyle name="Input [yellow] 3 14 11 3 3" xfId="24222"/>
    <cellStyle name="Input [yellow] 3 14 11 3 4" xfId="35387"/>
    <cellStyle name="Input [yellow] 3 14 11 3 5" xfId="46580"/>
    <cellStyle name="Input [yellow] 3 14 11 4" xfId="2578"/>
    <cellStyle name="Input [yellow] 3 14 11 4 2" xfId="13775"/>
    <cellStyle name="Input [yellow] 3 14 11 4 3" xfId="24943"/>
    <cellStyle name="Input [yellow] 3 14 11 4 4" xfId="36108"/>
    <cellStyle name="Input [yellow] 3 14 11 4 5" xfId="47301"/>
    <cellStyle name="Input [yellow] 3 14 11 5" xfId="3003"/>
    <cellStyle name="Input [yellow] 3 14 11 5 2" xfId="14200"/>
    <cellStyle name="Input [yellow] 3 14 11 5 3" xfId="25368"/>
    <cellStyle name="Input [yellow] 3 14 11 5 4" xfId="36533"/>
    <cellStyle name="Input [yellow] 3 14 11 5 5" xfId="47726"/>
    <cellStyle name="Input [yellow] 3 14 11 6" xfId="3637"/>
    <cellStyle name="Input [yellow] 3 14 11 6 2" xfId="14834"/>
    <cellStyle name="Input [yellow] 3 14 11 6 3" xfId="26002"/>
    <cellStyle name="Input [yellow] 3 14 11 6 4" xfId="37167"/>
    <cellStyle name="Input [yellow] 3 14 11 6 5" xfId="48360"/>
    <cellStyle name="Input [yellow] 3 14 11 7" xfId="4271"/>
    <cellStyle name="Input [yellow] 3 14 11 7 2" xfId="15468"/>
    <cellStyle name="Input [yellow] 3 14 11 7 3" xfId="26636"/>
    <cellStyle name="Input [yellow] 3 14 11 7 4" xfId="37801"/>
    <cellStyle name="Input [yellow] 3 14 11 7 5" xfId="48994"/>
    <cellStyle name="Input [yellow] 3 14 11 8" xfId="4904"/>
    <cellStyle name="Input [yellow] 3 14 11 8 2" xfId="16101"/>
    <cellStyle name="Input [yellow] 3 14 11 8 3" xfId="27269"/>
    <cellStyle name="Input [yellow] 3 14 11 8 4" xfId="38434"/>
    <cellStyle name="Input [yellow] 3 14 11 8 5" xfId="49627"/>
    <cellStyle name="Input [yellow] 3 14 11 9" xfId="5535"/>
    <cellStyle name="Input [yellow] 3 14 11 9 2" xfId="16732"/>
    <cellStyle name="Input [yellow] 3 14 11 9 3" xfId="27900"/>
    <cellStyle name="Input [yellow] 3 14 11 9 4" xfId="39065"/>
    <cellStyle name="Input [yellow] 3 14 11 9 5" xfId="50258"/>
    <cellStyle name="Input [yellow] 3 14 12" xfId="761"/>
    <cellStyle name="Input [yellow] 3 14 12 2" xfId="11958"/>
    <cellStyle name="Input [yellow] 3 14 12 3" xfId="23126"/>
    <cellStyle name="Input [yellow] 3 14 12 4" xfId="34291"/>
    <cellStyle name="Input [yellow] 3 14 12 5" xfId="45484"/>
    <cellStyle name="Input [yellow] 3 14 13" xfId="1561"/>
    <cellStyle name="Input [yellow] 3 14 13 2" xfId="12758"/>
    <cellStyle name="Input [yellow] 3 14 13 3" xfId="23926"/>
    <cellStyle name="Input [yellow] 3 14 13 4" xfId="35091"/>
    <cellStyle name="Input [yellow] 3 14 13 5" xfId="46284"/>
    <cellStyle name="Input [yellow] 3 14 14" xfId="2038"/>
    <cellStyle name="Input [yellow] 3 14 14 2" xfId="13235"/>
    <cellStyle name="Input [yellow] 3 14 14 3" xfId="24403"/>
    <cellStyle name="Input [yellow] 3 14 14 4" xfId="35568"/>
    <cellStyle name="Input [yellow] 3 14 14 5" xfId="46761"/>
    <cellStyle name="Input [yellow] 3 14 15" xfId="2133"/>
    <cellStyle name="Input [yellow] 3 14 15 2" xfId="13330"/>
    <cellStyle name="Input [yellow] 3 14 15 3" xfId="24498"/>
    <cellStyle name="Input [yellow] 3 14 15 4" xfId="35663"/>
    <cellStyle name="Input [yellow] 3 14 15 5" xfId="46856"/>
    <cellStyle name="Input [yellow] 3 14 16" xfId="3096"/>
    <cellStyle name="Input [yellow] 3 14 16 2" xfId="14293"/>
    <cellStyle name="Input [yellow] 3 14 16 3" xfId="25461"/>
    <cellStyle name="Input [yellow] 3 14 16 4" xfId="36626"/>
    <cellStyle name="Input [yellow] 3 14 16 5" xfId="47819"/>
    <cellStyle name="Input [yellow] 3 14 17" xfId="3730"/>
    <cellStyle name="Input [yellow] 3 14 17 2" xfId="14927"/>
    <cellStyle name="Input [yellow] 3 14 17 3" xfId="26095"/>
    <cellStyle name="Input [yellow] 3 14 17 4" xfId="37260"/>
    <cellStyle name="Input [yellow] 3 14 17 5" xfId="48453"/>
    <cellStyle name="Input [yellow] 3 14 18" xfId="4363"/>
    <cellStyle name="Input [yellow] 3 14 18 2" xfId="15560"/>
    <cellStyle name="Input [yellow] 3 14 18 3" xfId="26728"/>
    <cellStyle name="Input [yellow] 3 14 18 4" xfId="37893"/>
    <cellStyle name="Input [yellow] 3 14 18 5" xfId="49086"/>
    <cellStyle name="Input [yellow] 3 14 19" xfId="4994"/>
    <cellStyle name="Input [yellow] 3 14 19 2" xfId="16191"/>
    <cellStyle name="Input [yellow] 3 14 19 3" xfId="27359"/>
    <cellStyle name="Input [yellow] 3 14 19 4" xfId="38524"/>
    <cellStyle name="Input [yellow] 3 14 19 5" xfId="49717"/>
    <cellStyle name="Input [yellow] 3 14 2" xfId="175"/>
    <cellStyle name="Input [yellow] 3 14 2 10" xfId="5991"/>
    <cellStyle name="Input [yellow] 3 14 2 10 2" xfId="17188"/>
    <cellStyle name="Input [yellow] 3 14 2 10 3" xfId="28356"/>
    <cellStyle name="Input [yellow] 3 14 2 10 4" xfId="39521"/>
    <cellStyle name="Input [yellow] 3 14 2 10 5" xfId="50714"/>
    <cellStyle name="Input [yellow] 3 14 2 11" xfId="4954"/>
    <cellStyle name="Input [yellow] 3 14 2 11 2" xfId="16151"/>
    <cellStyle name="Input [yellow] 3 14 2 11 3" xfId="27319"/>
    <cellStyle name="Input [yellow] 3 14 2 11 4" xfId="38484"/>
    <cellStyle name="Input [yellow] 3 14 2 11 5" xfId="49677"/>
    <cellStyle name="Input [yellow] 3 14 2 12" xfId="6744"/>
    <cellStyle name="Input [yellow] 3 14 2 12 2" xfId="17941"/>
    <cellStyle name="Input [yellow] 3 14 2 12 3" xfId="29109"/>
    <cellStyle name="Input [yellow] 3 14 2 12 4" xfId="40274"/>
    <cellStyle name="Input [yellow] 3 14 2 12 5" xfId="51467"/>
    <cellStyle name="Input [yellow] 3 14 2 13" xfId="7378"/>
    <cellStyle name="Input [yellow] 3 14 2 13 2" xfId="18575"/>
    <cellStyle name="Input [yellow] 3 14 2 13 3" xfId="29743"/>
    <cellStyle name="Input [yellow] 3 14 2 13 4" xfId="40908"/>
    <cellStyle name="Input [yellow] 3 14 2 13 5" xfId="52101"/>
    <cellStyle name="Input [yellow] 3 14 2 14" xfId="8012"/>
    <cellStyle name="Input [yellow] 3 14 2 14 2" xfId="19209"/>
    <cellStyle name="Input [yellow] 3 14 2 14 3" xfId="30377"/>
    <cellStyle name="Input [yellow] 3 14 2 14 4" xfId="41542"/>
    <cellStyle name="Input [yellow] 3 14 2 14 5" xfId="52735"/>
    <cellStyle name="Input [yellow] 3 14 2 15" xfId="8643"/>
    <cellStyle name="Input [yellow] 3 14 2 15 2" xfId="19840"/>
    <cellStyle name="Input [yellow] 3 14 2 15 3" xfId="31008"/>
    <cellStyle name="Input [yellow] 3 14 2 15 4" xfId="42173"/>
    <cellStyle name="Input [yellow] 3 14 2 15 5" xfId="53366"/>
    <cellStyle name="Input [yellow] 3 14 2 16" xfId="8598"/>
    <cellStyle name="Input [yellow] 3 14 2 16 2" xfId="19795"/>
    <cellStyle name="Input [yellow] 3 14 2 16 3" xfId="30963"/>
    <cellStyle name="Input [yellow] 3 14 2 16 4" xfId="42128"/>
    <cellStyle name="Input [yellow] 3 14 2 16 5" xfId="53321"/>
    <cellStyle name="Input [yellow] 3 14 2 17" xfId="9696"/>
    <cellStyle name="Input [yellow] 3 14 2 17 2" xfId="20893"/>
    <cellStyle name="Input [yellow] 3 14 2 17 3" xfId="32061"/>
    <cellStyle name="Input [yellow] 3 14 2 17 4" xfId="43226"/>
    <cellStyle name="Input [yellow] 3 14 2 17 5" xfId="54419"/>
    <cellStyle name="Input [yellow] 3 14 2 18" xfId="10359"/>
    <cellStyle name="Input [yellow] 3 14 2 18 2" xfId="21556"/>
    <cellStyle name="Input [yellow] 3 14 2 18 3" xfId="32724"/>
    <cellStyle name="Input [yellow] 3 14 2 18 4" xfId="43889"/>
    <cellStyle name="Input [yellow] 3 14 2 18 5" xfId="55082"/>
    <cellStyle name="Input [yellow] 3 14 2 19" xfId="10728"/>
    <cellStyle name="Input [yellow] 3 14 2 19 2" xfId="21925"/>
    <cellStyle name="Input [yellow] 3 14 2 19 3" xfId="33093"/>
    <cellStyle name="Input [yellow] 3 14 2 19 4" xfId="44258"/>
    <cellStyle name="Input [yellow] 3 14 2 19 5" xfId="55451"/>
    <cellStyle name="Input [yellow] 3 14 2 2" xfId="824"/>
    <cellStyle name="Input [yellow] 3 14 2 2 2" xfId="12021"/>
    <cellStyle name="Input [yellow] 3 14 2 2 3" xfId="23189"/>
    <cellStyle name="Input [yellow] 3 14 2 2 4" xfId="34354"/>
    <cellStyle name="Input [yellow] 3 14 2 2 5" xfId="45547"/>
    <cellStyle name="Input [yellow] 3 14 2 20" xfId="11375"/>
    <cellStyle name="Input [yellow] 3 14 2 21" xfId="22545"/>
    <cellStyle name="Input [yellow] 3 14 2 22" xfId="33712"/>
    <cellStyle name="Input [yellow] 3 14 2 23" xfId="44898"/>
    <cellStyle name="Input [yellow] 3 14 2 3" xfId="1673"/>
    <cellStyle name="Input [yellow] 3 14 2 3 2" xfId="12870"/>
    <cellStyle name="Input [yellow] 3 14 2 3 3" xfId="24038"/>
    <cellStyle name="Input [yellow] 3 14 2 3 4" xfId="35203"/>
    <cellStyle name="Input [yellow] 3 14 2 3 5" xfId="46396"/>
    <cellStyle name="Input [yellow] 3 14 2 4" xfId="2101"/>
    <cellStyle name="Input [yellow] 3 14 2 4 2" xfId="13298"/>
    <cellStyle name="Input [yellow] 3 14 2 4 3" xfId="24466"/>
    <cellStyle name="Input [yellow] 3 14 2 4 4" xfId="35631"/>
    <cellStyle name="Input [yellow] 3 14 2 4 5" xfId="46824"/>
    <cellStyle name="Input [yellow] 3 14 2 5" xfId="2315"/>
    <cellStyle name="Input [yellow] 3 14 2 5 2" xfId="13512"/>
    <cellStyle name="Input [yellow] 3 14 2 5 3" xfId="24680"/>
    <cellStyle name="Input [yellow] 3 14 2 5 4" xfId="35845"/>
    <cellStyle name="Input [yellow] 3 14 2 5 5" xfId="47038"/>
    <cellStyle name="Input [yellow] 3 14 2 6" xfId="3159"/>
    <cellStyle name="Input [yellow] 3 14 2 6 2" xfId="14356"/>
    <cellStyle name="Input [yellow] 3 14 2 6 3" xfId="25524"/>
    <cellStyle name="Input [yellow] 3 14 2 6 4" xfId="36689"/>
    <cellStyle name="Input [yellow] 3 14 2 6 5" xfId="47882"/>
    <cellStyle name="Input [yellow] 3 14 2 7" xfId="3793"/>
    <cellStyle name="Input [yellow] 3 14 2 7 2" xfId="14990"/>
    <cellStyle name="Input [yellow] 3 14 2 7 3" xfId="26158"/>
    <cellStyle name="Input [yellow] 3 14 2 7 4" xfId="37323"/>
    <cellStyle name="Input [yellow] 3 14 2 7 5" xfId="48516"/>
    <cellStyle name="Input [yellow] 3 14 2 8" xfId="4426"/>
    <cellStyle name="Input [yellow] 3 14 2 8 2" xfId="15623"/>
    <cellStyle name="Input [yellow] 3 14 2 8 3" xfId="26791"/>
    <cellStyle name="Input [yellow] 3 14 2 8 4" xfId="37956"/>
    <cellStyle name="Input [yellow] 3 14 2 8 5" xfId="49149"/>
    <cellStyle name="Input [yellow] 3 14 2 9" xfId="5057"/>
    <cellStyle name="Input [yellow] 3 14 2 9 2" xfId="16254"/>
    <cellStyle name="Input [yellow] 3 14 2 9 3" xfId="27422"/>
    <cellStyle name="Input [yellow] 3 14 2 9 4" xfId="38587"/>
    <cellStyle name="Input [yellow] 3 14 2 9 5" xfId="49780"/>
    <cellStyle name="Input [yellow] 3 14 20" xfId="5590"/>
    <cellStyle name="Input [yellow] 3 14 20 2" xfId="16787"/>
    <cellStyle name="Input [yellow] 3 14 20 3" xfId="27955"/>
    <cellStyle name="Input [yellow] 3 14 20 4" xfId="39120"/>
    <cellStyle name="Input [yellow] 3 14 20 5" xfId="50313"/>
    <cellStyle name="Input [yellow] 3 14 21" xfId="5704"/>
    <cellStyle name="Input [yellow] 3 14 21 2" xfId="16901"/>
    <cellStyle name="Input [yellow] 3 14 21 3" xfId="28069"/>
    <cellStyle name="Input [yellow] 3 14 21 4" xfId="39234"/>
    <cellStyle name="Input [yellow] 3 14 21 5" xfId="50427"/>
    <cellStyle name="Input [yellow] 3 14 22" xfId="6681"/>
    <cellStyle name="Input [yellow] 3 14 22 2" xfId="17878"/>
    <cellStyle name="Input [yellow] 3 14 22 3" xfId="29046"/>
    <cellStyle name="Input [yellow] 3 14 22 4" xfId="40211"/>
    <cellStyle name="Input [yellow] 3 14 22 5" xfId="51404"/>
    <cellStyle name="Input [yellow] 3 14 23" xfId="7315"/>
    <cellStyle name="Input [yellow] 3 14 23 2" xfId="18512"/>
    <cellStyle name="Input [yellow] 3 14 23 3" xfId="29680"/>
    <cellStyle name="Input [yellow] 3 14 23 4" xfId="40845"/>
    <cellStyle name="Input [yellow] 3 14 23 5" xfId="52038"/>
    <cellStyle name="Input [yellow] 3 14 24" xfId="7949"/>
    <cellStyle name="Input [yellow] 3 14 24 2" xfId="19146"/>
    <cellStyle name="Input [yellow] 3 14 24 3" xfId="30314"/>
    <cellStyle name="Input [yellow] 3 14 24 4" xfId="41479"/>
    <cellStyle name="Input [yellow] 3 14 24 5" xfId="52672"/>
    <cellStyle name="Input [yellow] 3 14 25" xfId="8580"/>
    <cellStyle name="Input [yellow] 3 14 25 2" xfId="19777"/>
    <cellStyle name="Input [yellow] 3 14 25 3" xfId="30945"/>
    <cellStyle name="Input [yellow] 3 14 25 4" xfId="42110"/>
    <cellStyle name="Input [yellow] 3 14 25 5" xfId="53303"/>
    <cellStyle name="Input [yellow] 3 14 26" xfId="8886"/>
    <cellStyle name="Input [yellow] 3 14 26 2" xfId="20083"/>
    <cellStyle name="Input [yellow] 3 14 26 3" xfId="31251"/>
    <cellStyle name="Input [yellow] 3 14 26 4" xfId="42416"/>
    <cellStyle name="Input [yellow] 3 14 26 5" xfId="53609"/>
    <cellStyle name="Input [yellow] 3 14 27" xfId="9633"/>
    <cellStyle name="Input [yellow] 3 14 27 2" xfId="20830"/>
    <cellStyle name="Input [yellow] 3 14 27 3" xfId="31998"/>
    <cellStyle name="Input [yellow] 3 14 27 4" xfId="43163"/>
    <cellStyle name="Input [yellow] 3 14 27 5" xfId="54356"/>
    <cellStyle name="Input [yellow] 3 14 28" xfId="10262"/>
    <cellStyle name="Input [yellow] 3 14 28 2" xfId="21459"/>
    <cellStyle name="Input [yellow] 3 14 28 3" xfId="32627"/>
    <cellStyle name="Input [yellow] 3 14 28 4" xfId="43792"/>
    <cellStyle name="Input [yellow] 3 14 28 5" xfId="54985"/>
    <cellStyle name="Input [yellow] 3 14 29" xfId="10665"/>
    <cellStyle name="Input [yellow] 3 14 29 2" xfId="21862"/>
    <cellStyle name="Input [yellow] 3 14 29 3" xfId="33030"/>
    <cellStyle name="Input [yellow] 3 14 29 4" xfId="44195"/>
    <cellStyle name="Input [yellow] 3 14 29 5" xfId="55388"/>
    <cellStyle name="Input [yellow] 3 14 3" xfId="231"/>
    <cellStyle name="Input [yellow] 3 14 3 10" xfId="5770"/>
    <cellStyle name="Input [yellow] 3 14 3 10 2" xfId="16967"/>
    <cellStyle name="Input [yellow] 3 14 3 10 3" xfId="28135"/>
    <cellStyle name="Input [yellow] 3 14 3 10 4" xfId="39300"/>
    <cellStyle name="Input [yellow] 3 14 3 10 5" xfId="50493"/>
    <cellStyle name="Input [yellow] 3 14 3 11" xfId="5579"/>
    <cellStyle name="Input [yellow] 3 14 3 11 2" xfId="16776"/>
    <cellStyle name="Input [yellow] 3 14 3 11 3" xfId="27944"/>
    <cellStyle name="Input [yellow] 3 14 3 11 4" xfId="39109"/>
    <cellStyle name="Input [yellow] 3 14 3 11 5" xfId="50302"/>
    <cellStyle name="Input [yellow] 3 14 3 12" xfId="6800"/>
    <cellStyle name="Input [yellow] 3 14 3 12 2" xfId="17997"/>
    <cellStyle name="Input [yellow] 3 14 3 12 3" xfId="29165"/>
    <cellStyle name="Input [yellow] 3 14 3 12 4" xfId="40330"/>
    <cellStyle name="Input [yellow] 3 14 3 12 5" xfId="51523"/>
    <cellStyle name="Input [yellow] 3 14 3 13" xfId="7434"/>
    <cellStyle name="Input [yellow] 3 14 3 13 2" xfId="18631"/>
    <cellStyle name="Input [yellow] 3 14 3 13 3" xfId="29799"/>
    <cellStyle name="Input [yellow] 3 14 3 13 4" xfId="40964"/>
    <cellStyle name="Input [yellow] 3 14 3 13 5" xfId="52157"/>
    <cellStyle name="Input [yellow] 3 14 3 14" xfId="8068"/>
    <cellStyle name="Input [yellow] 3 14 3 14 2" xfId="19265"/>
    <cellStyle name="Input [yellow] 3 14 3 14 3" xfId="30433"/>
    <cellStyle name="Input [yellow] 3 14 3 14 4" xfId="41598"/>
    <cellStyle name="Input [yellow] 3 14 3 14 5" xfId="52791"/>
    <cellStyle name="Input [yellow] 3 14 3 15" xfId="8699"/>
    <cellStyle name="Input [yellow] 3 14 3 15 2" xfId="19896"/>
    <cellStyle name="Input [yellow] 3 14 3 15 3" xfId="31064"/>
    <cellStyle name="Input [yellow] 3 14 3 15 4" xfId="42229"/>
    <cellStyle name="Input [yellow] 3 14 3 15 5" xfId="53422"/>
    <cellStyle name="Input [yellow] 3 14 3 16" xfId="9039"/>
    <cellStyle name="Input [yellow] 3 14 3 16 2" xfId="20236"/>
    <cellStyle name="Input [yellow] 3 14 3 16 3" xfId="31404"/>
    <cellStyle name="Input [yellow] 3 14 3 16 4" xfId="42569"/>
    <cellStyle name="Input [yellow] 3 14 3 16 5" xfId="53762"/>
    <cellStyle name="Input [yellow] 3 14 3 17" xfId="9750"/>
    <cellStyle name="Input [yellow] 3 14 3 17 2" xfId="20947"/>
    <cellStyle name="Input [yellow] 3 14 3 17 3" xfId="32115"/>
    <cellStyle name="Input [yellow] 3 14 3 17 4" xfId="43280"/>
    <cellStyle name="Input [yellow] 3 14 3 17 5" xfId="54473"/>
    <cellStyle name="Input [yellow] 3 14 3 18" xfId="10308"/>
    <cellStyle name="Input [yellow] 3 14 3 18 2" xfId="21505"/>
    <cellStyle name="Input [yellow] 3 14 3 18 3" xfId="32673"/>
    <cellStyle name="Input [yellow] 3 14 3 18 4" xfId="43838"/>
    <cellStyle name="Input [yellow] 3 14 3 18 5" xfId="55031"/>
    <cellStyle name="Input [yellow] 3 14 3 19" xfId="10784"/>
    <cellStyle name="Input [yellow] 3 14 3 19 2" xfId="21981"/>
    <cellStyle name="Input [yellow] 3 14 3 19 3" xfId="33149"/>
    <cellStyle name="Input [yellow] 3 14 3 19 4" xfId="44314"/>
    <cellStyle name="Input [yellow] 3 14 3 19 5" xfId="55507"/>
    <cellStyle name="Input [yellow] 3 14 3 2" xfId="880"/>
    <cellStyle name="Input [yellow] 3 14 3 2 2" xfId="12077"/>
    <cellStyle name="Input [yellow] 3 14 3 2 3" xfId="23245"/>
    <cellStyle name="Input [yellow] 3 14 3 2 4" xfId="34410"/>
    <cellStyle name="Input [yellow] 3 14 3 2 5" xfId="45603"/>
    <cellStyle name="Input [yellow] 3 14 3 20" xfId="11431"/>
    <cellStyle name="Input [yellow] 3 14 3 21" xfId="22601"/>
    <cellStyle name="Input [yellow] 3 14 3 22" xfId="33768"/>
    <cellStyle name="Input [yellow] 3 14 3 23" xfId="44954"/>
    <cellStyle name="Input [yellow] 3 14 3 3" xfId="1634"/>
    <cellStyle name="Input [yellow] 3 14 3 3 2" xfId="12831"/>
    <cellStyle name="Input [yellow] 3 14 3 3 3" xfId="23999"/>
    <cellStyle name="Input [yellow] 3 14 3 3 4" xfId="35164"/>
    <cellStyle name="Input [yellow] 3 14 3 3 5" xfId="46357"/>
    <cellStyle name="Input [yellow] 3 14 3 4" xfId="2157"/>
    <cellStyle name="Input [yellow] 3 14 3 4 2" xfId="13354"/>
    <cellStyle name="Input [yellow] 3 14 3 4 3" xfId="24522"/>
    <cellStyle name="Input [yellow] 3 14 3 4 4" xfId="35687"/>
    <cellStyle name="Input [yellow] 3 14 3 4 5" xfId="46880"/>
    <cellStyle name="Input [yellow] 3 14 3 5" xfId="2331"/>
    <cellStyle name="Input [yellow] 3 14 3 5 2" xfId="13528"/>
    <cellStyle name="Input [yellow] 3 14 3 5 3" xfId="24696"/>
    <cellStyle name="Input [yellow] 3 14 3 5 4" xfId="35861"/>
    <cellStyle name="Input [yellow] 3 14 3 5 5" xfId="47054"/>
    <cellStyle name="Input [yellow] 3 14 3 6" xfId="3215"/>
    <cellStyle name="Input [yellow] 3 14 3 6 2" xfId="14412"/>
    <cellStyle name="Input [yellow] 3 14 3 6 3" xfId="25580"/>
    <cellStyle name="Input [yellow] 3 14 3 6 4" xfId="36745"/>
    <cellStyle name="Input [yellow] 3 14 3 6 5" xfId="47938"/>
    <cellStyle name="Input [yellow] 3 14 3 7" xfId="3849"/>
    <cellStyle name="Input [yellow] 3 14 3 7 2" xfId="15046"/>
    <cellStyle name="Input [yellow] 3 14 3 7 3" xfId="26214"/>
    <cellStyle name="Input [yellow] 3 14 3 7 4" xfId="37379"/>
    <cellStyle name="Input [yellow] 3 14 3 7 5" xfId="48572"/>
    <cellStyle name="Input [yellow] 3 14 3 8" xfId="4482"/>
    <cellStyle name="Input [yellow] 3 14 3 8 2" xfId="15679"/>
    <cellStyle name="Input [yellow] 3 14 3 8 3" xfId="26847"/>
    <cellStyle name="Input [yellow] 3 14 3 8 4" xfId="38012"/>
    <cellStyle name="Input [yellow] 3 14 3 8 5" xfId="49205"/>
    <cellStyle name="Input [yellow] 3 14 3 9" xfId="5113"/>
    <cellStyle name="Input [yellow] 3 14 3 9 2" xfId="16310"/>
    <cellStyle name="Input [yellow] 3 14 3 9 3" xfId="27478"/>
    <cellStyle name="Input [yellow] 3 14 3 9 4" xfId="38643"/>
    <cellStyle name="Input [yellow] 3 14 3 9 5" xfId="49836"/>
    <cellStyle name="Input [yellow] 3 14 30" xfId="11312"/>
    <cellStyle name="Input [yellow] 3 14 31" xfId="22482"/>
    <cellStyle name="Input [yellow] 3 14 32" xfId="33649"/>
    <cellStyle name="Input [yellow] 3 14 33" xfId="44835"/>
    <cellStyle name="Input [yellow] 3 14 4" xfId="303"/>
    <cellStyle name="Input [yellow] 3 14 4 10" xfId="5873"/>
    <cellStyle name="Input [yellow] 3 14 4 10 2" xfId="17070"/>
    <cellStyle name="Input [yellow] 3 14 4 10 3" xfId="28238"/>
    <cellStyle name="Input [yellow] 3 14 4 10 4" xfId="39403"/>
    <cellStyle name="Input [yellow] 3 14 4 10 5" xfId="50596"/>
    <cellStyle name="Input [yellow] 3 14 4 11" xfId="6239"/>
    <cellStyle name="Input [yellow] 3 14 4 11 2" xfId="17436"/>
    <cellStyle name="Input [yellow] 3 14 4 11 3" xfId="28604"/>
    <cellStyle name="Input [yellow] 3 14 4 11 4" xfId="39769"/>
    <cellStyle name="Input [yellow] 3 14 4 11 5" xfId="50962"/>
    <cellStyle name="Input [yellow] 3 14 4 12" xfId="6872"/>
    <cellStyle name="Input [yellow] 3 14 4 12 2" xfId="18069"/>
    <cellStyle name="Input [yellow] 3 14 4 12 3" xfId="29237"/>
    <cellStyle name="Input [yellow] 3 14 4 12 4" xfId="40402"/>
    <cellStyle name="Input [yellow] 3 14 4 12 5" xfId="51595"/>
    <cellStyle name="Input [yellow] 3 14 4 13" xfId="7506"/>
    <cellStyle name="Input [yellow] 3 14 4 13 2" xfId="18703"/>
    <cellStyle name="Input [yellow] 3 14 4 13 3" xfId="29871"/>
    <cellStyle name="Input [yellow] 3 14 4 13 4" xfId="41036"/>
    <cellStyle name="Input [yellow] 3 14 4 13 5" xfId="52229"/>
    <cellStyle name="Input [yellow] 3 14 4 14" xfId="8140"/>
    <cellStyle name="Input [yellow] 3 14 4 14 2" xfId="19337"/>
    <cellStyle name="Input [yellow] 3 14 4 14 3" xfId="30505"/>
    <cellStyle name="Input [yellow] 3 14 4 14 4" xfId="41670"/>
    <cellStyle name="Input [yellow] 3 14 4 14 5" xfId="52863"/>
    <cellStyle name="Input [yellow] 3 14 4 15" xfId="8769"/>
    <cellStyle name="Input [yellow] 3 14 4 15 2" xfId="19966"/>
    <cellStyle name="Input [yellow] 3 14 4 15 3" xfId="31134"/>
    <cellStyle name="Input [yellow] 3 14 4 15 4" xfId="42299"/>
    <cellStyle name="Input [yellow] 3 14 4 15 5" xfId="53492"/>
    <cellStyle name="Input [yellow] 3 14 4 16" xfId="9191"/>
    <cellStyle name="Input [yellow] 3 14 4 16 2" xfId="20388"/>
    <cellStyle name="Input [yellow] 3 14 4 16 3" xfId="31556"/>
    <cellStyle name="Input [yellow] 3 14 4 16 4" xfId="42721"/>
    <cellStyle name="Input [yellow] 3 14 4 16 5" xfId="53914"/>
    <cellStyle name="Input [yellow] 3 14 4 17" xfId="9818"/>
    <cellStyle name="Input [yellow] 3 14 4 17 2" xfId="21015"/>
    <cellStyle name="Input [yellow] 3 14 4 17 3" xfId="32183"/>
    <cellStyle name="Input [yellow] 3 14 4 17 4" xfId="43348"/>
    <cellStyle name="Input [yellow] 3 14 4 17 5" xfId="54541"/>
    <cellStyle name="Input [yellow] 3 14 4 18" xfId="10475"/>
    <cellStyle name="Input [yellow] 3 14 4 18 2" xfId="21672"/>
    <cellStyle name="Input [yellow] 3 14 4 18 3" xfId="32840"/>
    <cellStyle name="Input [yellow] 3 14 4 18 4" xfId="44005"/>
    <cellStyle name="Input [yellow] 3 14 4 18 5" xfId="55198"/>
    <cellStyle name="Input [yellow] 3 14 4 19" xfId="10856"/>
    <cellStyle name="Input [yellow] 3 14 4 19 2" xfId="22053"/>
    <cellStyle name="Input [yellow] 3 14 4 19 3" xfId="33221"/>
    <cellStyle name="Input [yellow] 3 14 4 19 4" xfId="44386"/>
    <cellStyle name="Input [yellow] 3 14 4 19 5" xfId="55579"/>
    <cellStyle name="Input [yellow] 3 14 4 2" xfId="952"/>
    <cellStyle name="Input [yellow] 3 14 4 2 2" xfId="12149"/>
    <cellStyle name="Input [yellow] 3 14 4 2 3" xfId="23317"/>
    <cellStyle name="Input [yellow] 3 14 4 2 4" xfId="34482"/>
    <cellStyle name="Input [yellow] 3 14 4 2 5" xfId="45675"/>
    <cellStyle name="Input [yellow] 3 14 4 20" xfId="11503"/>
    <cellStyle name="Input [yellow] 3 14 4 21" xfId="22673"/>
    <cellStyle name="Input [yellow] 3 14 4 22" xfId="33840"/>
    <cellStyle name="Input [yellow] 3 14 4 23" xfId="45026"/>
    <cellStyle name="Input [yellow] 3 14 4 3" xfId="1821"/>
    <cellStyle name="Input [yellow] 3 14 4 3 2" xfId="13018"/>
    <cellStyle name="Input [yellow] 3 14 4 3 3" xfId="24186"/>
    <cellStyle name="Input [yellow] 3 14 4 3 4" xfId="35351"/>
    <cellStyle name="Input [yellow] 3 14 4 3 5" xfId="46544"/>
    <cellStyle name="Input [yellow] 3 14 4 4" xfId="2228"/>
    <cellStyle name="Input [yellow] 3 14 4 4 2" xfId="13425"/>
    <cellStyle name="Input [yellow] 3 14 4 4 3" xfId="24593"/>
    <cellStyle name="Input [yellow] 3 14 4 4 4" xfId="35758"/>
    <cellStyle name="Input [yellow] 3 14 4 4 5" xfId="46951"/>
    <cellStyle name="Input [yellow] 3 14 4 5" xfId="2653"/>
    <cellStyle name="Input [yellow] 3 14 4 5 2" xfId="13850"/>
    <cellStyle name="Input [yellow] 3 14 4 5 3" xfId="25018"/>
    <cellStyle name="Input [yellow] 3 14 4 5 4" xfId="36183"/>
    <cellStyle name="Input [yellow] 3 14 4 5 5" xfId="47376"/>
    <cellStyle name="Input [yellow] 3 14 4 6" xfId="3287"/>
    <cellStyle name="Input [yellow] 3 14 4 6 2" xfId="14484"/>
    <cellStyle name="Input [yellow] 3 14 4 6 3" xfId="25652"/>
    <cellStyle name="Input [yellow] 3 14 4 6 4" xfId="36817"/>
    <cellStyle name="Input [yellow] 3 14 4 6 5" xfId="48010"/>
    <cellStyle name="Input [yellow] 3 14 4 7" xfId="3921"/>
    <cellStyle name="Input [yellow] 3 14 4 7 2" xfId="15118"/>
    <cellStyle name="Input [yellow] 3 14 4 7 3" xfId="26286"/>
    <cellStyle name="Input [yellow] 3 14 4 7 4" xfId="37451"/>
    <cellStyle name="Input [yellow] 3 14 4 7 5" xfId="48644"/>
    <cellStyle name="Input [yellow] 3 14 4 8" xfId="4554"/>
    <cellStyle name="Input [yellow] 3 14 4 8 2" xfId="15751"/>
    <cellStyle name="Input [yellow] 3 14 4 8 3" xfId="26919"/>
    <cellStyle name="Input [yellow] 3 14 4 8 4" xfId="38084"/>
    <cellStyle name="Input [yellow] 3 14 4 8 5" xfId="49277"/>
    <cellStyle name="Input [yellow] 3 14 4 9" xfId="5185"/>
    <cellStyle name="Input [yellow] 3 14 4 9 2" xfId="16382"/>
    <cellStyle name="Input [yellow] 3 14 4 9 3" xfId="27550"/>
    <cellStyle name="Input [yellow] 3 14 4 9 4" xfId="38715"/>
    <cellStyle name="Input [yellow] 3 14 4 9 5" xfId="49908"/>
    <cellStyle name="Input [yellow] 3 14 5" xfId="339"/>
    <cellStyle name="Input [yellow] 3 14 5 10" xfId="5947"/>
    <cellStyle name="Input [yellow] 3 14 5 10 2" xfId="17144"/>
    <cellStyle name="Input [yellow] 3 14 5 10 3" xfId="28312"/>
    <cellStyle name="Input [yellow] 3 14 5 10 4" xfId="39477"/>
    <cellStyle name="Input [yellow] 3 14 5 10 5" xfId="50670"/>
    <cellStyle name="Input [yellow] 3 14 5 11" xfId="6275"/>
    <cellStyle name="Input [yellow] 3 14 5 11 2" xfId="17472"/>
    <cellStyle name="Input [yellow] 3 14 5 11 3" xfId="28640"/>
    <cellStyle name="Input [yellow] 3 14 5 11 4" xfId="39805"/>
    <cellStyle name="Input [yellow] 3 14 5 11 5" xfId="50998"/>
    <cellStyle name="Input [yellow] 3 14 5 12" xfId="6908"/>
    <cellStyle name="Input [yellow] 3 14 5 12 2" xfId="18105"/>
    <cellStyle name="Input [yellow] 3 14 5 12 3" xfId="29273"/>
    <cellStyle name="Input [yellow] 3 14 5 12 4" xfId="40438"/>
    <cellStyle name="Input [yellow] 3 14 5 12 5" xfId="51631"/>
    <cellStyle name="Input [yellow] 3 14 5 13" xfId="7542"/>
    <cellStyle name="Input [yellow] 3 14 5 13 2" xfId="18739"/>
    <cellStyle name="Input [yellow] 3 14 5 13 3" xfId="29907"/>
    <cellStyle name="Input [yellow] 3 14 5 13 4" xfId="41072"/>
    <cellStyle name="Input [yellow] 3 14 5 13 5" xfId="52265"/>
    <cellStyle name="Input [yellow] 3 14 5 14" xfId="8176"/>
    <cellStyle name="Input [yellow] 3 14 5 14 2" xfId="19373"/>
    <cellStyle name="Input [yellow] 3 14 5 14 3" xfId="30541"/>
    <cellStyle name="Input [yellow] 3 14 5 14 4" xfId="41706"/>
    <cellStyle name="Input [yellow] 3 14 5 14 5" xfId="52899"/>
    <cellStyle name="Input [yellow] 3 14 5 15" xfId="8805"/>
    <cellStyle name="Input [yellow] 3 14 5 15 2" xfId="20002"/>
    <cellStyle name="Input [yellow] 3 14 5 15 3" xfId="31170"/>
    <cellStyle name="Input [yellow] 3 14 5 15 4" xfId="42335"/>
    <cellStyle name="Input [yellow] 3 14 5 15 5" xfId="53528"/>
    <cellStyle name="Input [yellow] 3 14 5 16" xfId="9227"/>
    <cellStyle name="Input [yellow] 3 14 5 16 2" xfId="20424"/>
    <cellStyle name="Input [yellow] 3 14 5 16 3" xfId="31592"/>
    <cellStyle name="Input [yellow] 3 14 5 16 4" xfId="42757"/>
    <cellStyle name="Input [yellow] 3 14 5 16 5" xfId="53950"/>
    <cellStyle name="Input [yellow] 3 14 5 17" xfId="9854"/>
    <cellStyle name="Input [yellow] 3 14 5 17 2" xfId="21051"/>
    <cellStyle name="Input [yellow] 3 14 5 17 3" xfId="32219"/>
    <cellStyle name="Input [yellow] 3 14 5 17 4" xfId="43384"/>
    <cellStyle name="Input [yellow] 3 14 5 17 5" xfId="54577"/>
    <cellStyle name="Input [yellow] 3 14 5 18" xfId="10060"/>
    <cellStyle name="Input [yellow] 3 14 5 18 2" xfId="21257"/>
    <cellStyle name="Input [yellow] 3 14 5 18 3" xfId="32425"/>
    <cellStyle name="Input [yellow] 3 14 5 18 4" xfId="43590"/>
    <cellStyle name="Input [yellow] 3 14 5 18 5" xfId="54783"/>
    <cellStyle name="Input [yellow] 3 14 5 19" xfId="10892"/>
    <cellStyle name="Input [yellow] 3 14 5 19 2" xfId="22089"/>
    <cellStyle name="Input [yellow] 3 14 5 19 3" xfId="33257"/>
    <cellStyle name="Input [yellow] 3 14 5 19 4" xfId="44422"/>
    <cellStyle name="Input [yellow] 3 14 5 19 5" xfId="55615"/>
    <cellStyle name="Input [yellow] 3 14 5 2" xfId="988"/>
    <cellStyle name="Input [yellow] 3 14 5 2 2" xfId="12185"/>
    <cellStyle name="Input [yellow] 3 14 5 2 3" xfId="23353"/>
    <cellStyle name="Input [yellow] 3 14 5 2 4" xfId="34518"/>
    <cellStyle name="Input [yellow] 3 14 5 2 5" xfId="45711"/>
    <cellStyle name="Input [yellow] 3 14 5 20" xfId="11539"/>
    <cellStyle name="Input [yellow] 3 14 5 21" xfId="22709"/>
    <cellStyle name="Input [yellow] 3 14 5 22" xfId="33876"/>
    <cellStyle name="Input [yellow] 3 14 5 23" xfId="45062"/>
    <cellStyle name="Input [yellow] 3 14 5 3" xfId="1877"/>
    <cellStyle name="Input [yellow] 3 14 5 3 2" xfId="13074"/>
    <cellStyle name="Input [yellow] 3 14 5 3 3" xfId="24242"/>
    <cellStyle name="Input [yellow] 3 14 5 3 4" xfId="35407"/>
    <cellStyle name="Input [yellow] 3 14 5 3 5" xfId="46600"/>
    <cellStyle name="Input [yellow] 3 14 5 4" xfId="2264"/>
    <cellStyle name="Input [yellow] 3 14 5 4 2" xfId="13461"/>
    <cellStyle name="Input [yellow] 3 14 5 4 3" xfId="24629"/>
    <cellStyle name="Input [yellow] 3 14 5 4 4" xfId="35794"/>
    <cellStyle name="Input [yellow] 3 14 5 4 5" xfId="46987"/>
    <cellStyle name="Input [yellow] 3 14 5 5" xfId="2689"/>
    <cellStyle name="Input [yellow] 3 14 5 5 2" xfId="13886"/>
    <cellStyle name="Input [yellow] 3 14 5 5 3" xfId="25054"/>
    <cellStyle name="Input [yellow] 3 14 5 5 4" xfId="36219"/>
    <cellStyle name="Input [yellow] 3 14 5 5 5" xfId="47412"/>
    <cellStyle name="Input [yellow] 3 14 5 6" xfId="3323"/>
    <cellStyle name="Input [yellow] 3 14 5 6 2" xfId="14520"/>
    <cellStyle name="Input [yellow] 3 14 5 6 3" xfId="25688"/>
    <cellStyle name="Input [yellow] 3 14 5 6 4" xfId="36853"/>
    <cellStyle name="Input [yellow] 3 14 5 6 5" xfId="48046"/>
    <cellStyle name="Input [yellow] 3 14 5 7" xfId="3957"/>
    <cellStyle name="Input [yellow] 3 14 5 7 2" xfId="15154"/>
    <cellStyle name="Input [yellow] 3 14 5 7 3" xfId="26322"/>
    <cellStyle name="Input [yellow] 3 14 5 7 4" xfId="37487"/>
    <cellStyle name="Input [yellow] 3 14 5 7 5" xfId="48680"/>
    <cellStyle name="Input [yellow] 3 14 5 8" xfId="4590"/>
    <cellStyle name="Input [yellow] 3 14 5 8 2" xfId="15787"/>
    <cellStyle name="Input [yellow] 3 14 5 8 3" xfId="26955"/>
    <cellStyle name="Input [yellow] 3 14 5 8 4" xfId="38120"/>
    <cellStyle name="Input [yellow] 3 14 5 8 5" xfId="49313"/>
    <cellStyle name="Input [yellow] 3 14 5 9" xfId="5221"/>
    <cellStyle name="Input [yellow] 3 14 5 9 2" xfId="16418"/>
    <cellStyle name="Input [yellow] 3 14 5 9 3" xfId="27586"/>
    <cellStyle name="Input [yellow] 3 14 5 9 4" xfId="38751"/>
    <cellStyle name="Input [yellow] 3 14 5 9 5" xfId="49944"/>
    <cellStyle name="Input [yellow] 3 14 6" xfId="412"/>
    <cellStyle name="Input [yellow] 3 14 6 10" xfId="5682"/>
    <cellStyle name="Input [yellow] 3 14 6 10 2" xfId="16879"/>
    <cellStyle name="Input [yellow] 3 14 6 10 3" xfId="28047"/>
    <cellStyle name="Input [yellow] 3 14 6 10 4" xfId="39212"/>
    <cellStyle name="Input [yellow] 3 14 6 10 5" xfId="50405"/>
    <cellStyle name="Input [yellow] 3 14 6 11" xfId="6348"/>
    <cellStyle name="Input [yellow] 3 14 6 11 2" xfId="17545"/>
    <cellStyle name="Input [yellow] 3 14 6 11 3" xfId="28713"/>
    <cellStyle name="Input [yellow] 3 14 6 11 4" xfId="39878"/>
    <cellStyle name="Input [yellow] 3 14 6 11 5" xfId="51071"/>
    <cellStyle name="Input [yellow] 3 14 6 12" xfId="6981"/>
    <cellStyle name="Input [yellow] 3 14 6 12 2" xfId="18178"/>
    <cellStyle name="Input [yellow] 3 14 6 12 3" xfId="29346"/>
    <cellStyle name="Input [yellow] 3 14 6 12 4" xfId="40511"/>
    <cellStyle name="Input [yellow] 3 14 6 12 5" xfId="51704"/>
    <cellStyle name="Input [yellow] 3 14 6 13" xfId="7615"/>
    <cellStyle name="Input [yellow] 3 14 6 13 2" xfId="18812"/>
    <cellStyle name="Input [yellow] 3 14 6 13 3" xfId="29980"/>
    <cellStyle name="Input [yellow] 3 14 6 13 4" xfId="41145"/>
    <cellStyle name="Input [yellow] 3 14 6 13 5" xfId="52338"/>
    <cellStyle name="Input [yellow] 3 14 6 14" xfId="8249"/>
    <cellStyle name="Input [yellow] 3 14 6 14 2" xfId="19446"/>
    <cellStyle name="Input [yellow] 3 14 6 14 3" xfId="30614"/>
    <cellStyle name="Input [yellow] 3 14 6 14 4" xfId="41779"/>
    <cellStyle name="Input [yellow] 3 14 6 14 5" xfId="52972"/>
    <cellStyle name="Input [yellow] 3 14 6 15" xfId="8877"/>
    <cellStyle name="Input [yellow] 3 14 6 15 2" xfId="20074"/>
    <cellStyle name="Input [yellow] 3 14 6 15 3" xfId="31242"/>
    <cellStyle name="Input [yellow] 3 14 6 15 4" xfId="42407"/>
    <cellStyle name="Input [yellow] 3 14 6 15 5" xfId="53600"/>
    <cellStyle name="Input [yellow] 3 14 6 16" xfId="9300"/>
    <cellStyle name="Input [yellow] 3 14 6 16 2" xfId="20497"/>
    <cellStyle name="Input [yellow] 3 14 6 16 3" xfId="31665"/>
    <cellStyle name="Input [yellow] 3 14 6 16 4" xfId="42830"/>
    <cellStyle name="Input [yellow] 3 14 6 16 5" xfId="54023"/>
    <cellStyle name="Input [yellow] 3 14 6 17" xfId="9926"/>
    <cellStyle name="Input [yellow] 3 14 6 17 2" xfId="21123"/>
    <cellStyle name="Input [yellow] 3 14 6 17 3" xfId="32291"/>
    <cellStyle name="Input [yellow] 3 14 6 17 4" xfId="43456"/>
    <cellStyle name="Input [yellow] 3 14 6 17 5" xfId="54649"/>
    <cellStyle name="Input [yellow] 3 14 6 18" xfId="9983"/>
    <cellStyle name="Input [yellow] 3 14 6 18 2" xfId="21180"/>
    <cellStyle name="Input [yellow] 3 14 6 18 3" xfId="32348"/>
    <cellStyle name="Input [yellow] 3 14 6 18 4" xfId="43513"/>
    <cellStyle name="Input [yellow] 3 14 6 18 5" xfId="54706"/>
    <cellStyle name="Input [yellow] 3 14 6 19" xfId="10965"/>
    <cellStyle name="Input [yellow] 3 14 6 19 2" xfId="22162"/>
    <cellStyle name="Input [yellow] 3 14 6 19 3" xfId="33330"/>
    <cellStyle name="Input [yellow] 3 14 6 19 4" xfId="44495"/>
    <cellStyle name="Input [yellow] 3 14 6 19 5" xfId="55688"/>
    <cellStyle name="Input [yellow] 3 14 6 2" xfId="1061"/>
    <cellStyle name="Input [yellow] 3 14 6 2 2" xfId="12258"/>
    <cellStyle name="Input [yellow] 3 14 6 2 3" xfId="23426"/>
    <cellStyle name="Input [yellow] 3 14 6 2 4" xfId="34591"/>
    <cellStyle name="Input [yellow] 3 14 6 2 5" xfId="45784"/>
    <cellStyle name="Input [yellow] 3 14 6 20" xfId="11612"/>
    <cellStyle name="Input [yellow] 3 14 6 21" xfId="22782"/>
    <cellStyle name="Input [yellow] 3 14 6 22" xfId="33949"/>
    <cellStyle name="Input [yellow] 3 14 6 23" xfId="45135"/>
    <cellStyle name="Input [yellow] 3 14 6 3" xfId="1465"/>
    <cellStyle name="Input [yellow] 3 14 6 3 2" xfId="12662"/>
    <cellStyle name="Input [yellow] 3 14 6 3 3" xfId="23830"/>
    <cellStyle name="Input [yellow] 3 14 6 3 4" xfId="34995"/>
    <cellStyle name="Input [yellow] 3 14 6 3 5" xfId="46188"/>
    <cellStyle name="Input [yellow] 3 14 6 4" xfId="2337"/>
    <cellStyle name="Input [yellow] 3 14 6 4 2" xfId="13534"/>
    <cellStyle name="Input [yellow] 3 14 6 4 3" xfId="24702"/>
    <cellStyle name="Input [yellow] 3 14 6 4 4" xfId="35867"/>
    <cellStyle name="Input [yellow] 3 14 6 4 5" xfId="47060"/>
    <cellStyle name="Input [yellow] 3 14 6 5" xfId="2762"/>
    <cellStyle name="Input [yellow] 3 14 6 5 2" xfId="13959"/>
    <cellStyle name="Input [yellow] 3 14 6 5 3" xfId="25127"/>
    <cellStyle name="Input [yellow] 3 14 6 5 4" xfId="36292"/>
    <cellStyle name="Input [yellow] 3 14 6 5 5" xfId="47485"/>
    <cellStyle name="Input [yellow] 3 14 6 6" xfId="3396"/>
    <cellStyle name="Input [yellow] 3 14 6 6 2" xfId="14593"/>
    <cellStyle name="Input [yellow] 3 14 6 6 3" xfId="25761"/>
    <cellStyle name="Input [yellow] 3 14 6 6 4" xfId="36926"/>
    <cellStyle name="Input [yellow] 3 14 6 6 5" xfId="48119"/>
    <cellStyle name="Input [yellow] 3 14 6 7" xfId="4030"/>
    <cellStyle name="Input [yellow] 3 14 6 7 2" xfId="15227"/>
    <cellStyle name="Input [yellow] 3 14 6 7 3" xfId="26395"/>
    <cellStyle name="Input [yellow] 3 14 6 7 4" xfId="37560"/>
    <cellStyle name="Input [yellow] 3 14 6 7 5" xfId="48753"/>
    <cellStyle name="Input [yellow] 3 14 6 8" xfId="4663"/>
    <cellStyle name="Input [yellow] 3 14 6 8 2" xfId="15860"/>
    <cellStyle name="Input [yellow] 3 14 6 8 3" xfId="27028"/>
    <cellStyle name="Input [yellow] 3 14 6 8 4" xfId="38193"/>
    <cellStyle name="Input [yellow] 3 14 6 8 5" xfId="49386"/>
    <cellStyle name="Input [yellow] 3 14 6 9" xfId="5294"/>
    <cellStyle name="Input [yellow] 3 14 6 9 2" xfId="16491"/>
    <cellStyle name="Input [yellow] 3 14 6 9 3" xfId="27659"/>
    <cellStyle name="Input [yellow] 3 14 6 9 4" xfId="38824"/>
    <cellStyle name="Input [yellow] 3 14 6 9 5" xfId="50017"/>
    <cellStyle name="Input [yellow] 3 14 7" xfId="464"/>
    <cellStyle name="Input [yellow] 3 14 7 10" xfId="5778"/>
    <cellStyle name="Input [yellow] 3 14 7 10 2" xfId="16975"/>
    <cellStyle name="Input [yellow] 3 14 7 10 3" xfId="28143"/>
    <cellStyle name="Input [yellow] 3 14 7 10 4" xfId="39308"/>
    <cellStyle name="Input [yellow] 3 14 7 10 5" xfId="50501"/>
    <cellStyle name="Input [yellow] 3 14 7 11" xfId="6400"/>
    <cellStyle name="Input [yellow] 3 14 7 11 2" xfId="17597"/>
    <cellStyle name="Input [yellow] 3 14 7 11 3" xfId="28765"/>
    <cellStyle name="Input [yellow] 3 14 7 11 4" xfId="39930"/>
    <cellStyle name="Input [yellow] 3 14 7 11 5" xfId="51123"/>
    <cellStyle name="Input [yellow] 3 14 7 12" xfId="7033"/>
    <cellStyle name="Input [yellow] 3 14 7 12 2" xfId="18230"/>
    <cellStyle name="Input [yellow] 3 14 7 12 3" xfId="29398"/>
    <cellStyle name="Input [yellow] 3 14 7 12 4" xfId="40563"/>
    <cellStyle name="Input [yellow] 3 14 7 12 5" xfId="51756"/>
    <cellStyle name="Input [yellow] 3 14 7 13" xfId="7667"/>
    <cellStyle name="Input [yellow] 3 14 7 13 2" xfId="18864"/>
    <cellStyle name="Input [yellow] 3 14 7 13 3" xfId="30032"/>
    <cellStyle name="Input [yellow] 3 14 7 13 4" xfId="41197"/>
    <cellStyle name="Input [yellow] 3 14 7 13 5" xfId="52390"/>
    <cellStyle name="Input [yellow] 3 14 7 14" xfId="8301"/>
    <cellStyle name="Input [yellow] 3 14 7 14 2" xfId="19498"/>
    <cellStyle name="Input [yellow] 3 14 7 14 3" xfId="30666"/>
    <cellStyle name="Input [yellow] 3 14 7 14 4" xfId="41831"/>
    <cellStyle name="Input [yellow] 3 14 7 14 5" xfId="53024"/>
    <cellStyle name="Input [yellow] 3 14 7 15" xfId="8929"/>
    <cellStyle name="Input [yellow] 3 14 7 15 2" xfId="20126"/>
    <cellStyle name="Input [yellow] 3 14 7 15 3" xfId="31294"/>
    <cellStyle name="Input [yellow] 3 14 7 15 4" xfId="42459"/>
    <cellStyle name="Input [yellow] 3 14 7 15 5" xfId="53652"/>
    <cellStyle name="Input [yellow] 3 14 7 16" xfId="9352"/>
    <cellStyle name="Input [yellow] 3 14 7 16 2" xfId="20549"/>
    <cellStyle name="Input [yellow] 3 14 7 16 3" xfId="31717"/>
    <cellStyle name="Input [yellow] 3 14 7 16 4" xfId="42882"/>
    <cellStyle name="Input [yellow] 3 14 7 16 5" xfId="54075"/>
    <cellStyle name="Input [yellow] 3 14 7 17" xfId="9978"/>
    <cellStyle name="Input [yellow] 3 14 7 17 2" xfId="21175"/>
    <cellStyle name="Input [yellow] 3 14 7 17 3" xfId="32343"/>
    <cellStyle name="Input [yellow] 3 14 7 17 4" xfId="43508"/>
    <cellStyle name="Input [yellow] 3 14 7 17 5" xfId="54701"/>
    <cellStyle name="Input [yellow] 3 14 7 18" xfId="10330"/>
    <cellStyle name="Input [yellow] 3 14 7 18 2" xfId="21527"/>
    <cellStyle name="Input [yellow] 3 14 7 18 3" xfId="32695"/>
    <cellStyle name="Input [yellow] 3 14 7 18 4" xfId="43860"/>
    <cellStyle name="Input [yellow] 3 14 7 18 5" xfId="55053"/>
    <cellStyle name="Input [yellow] 3 14 7 19" xfId="11017"/>
    <cellStyle name="Input [yellow] 3 14 7 19 2" xfId="22214"/>
    <cellStyle name="Input [yellow] 3 14 7 19 3" xfId="33382"/>
    <cellStyle name="Input [yellow] 3 14 7 19 4" xfId="44547"/>
    <cellStyle name="Input [yellow] 3 14 7 19 5" xfId="55740"/>
    <cellStyle name="Input [yellow] 3 14 7 2" xfId="1113"/>
    <cellStyle name="Input [yellow] 3 14 7 2 2" xfId="12310"/>
    <cellStyle name="Input [yellow] 3 14 7 2 3" xfId="23478"/>
    <cellStyle name="Input [yellow] 3 14 7 2 4" xfId="34643"/>
    <cellStyle name="Input [yellow] 3 14 7 2 5" xfId="45836"/>
    <cellStyle name="Input [yellow] 3 14 7 20" xfId="11664"/>
    <cellStyle name="Input [yellow] 3 14 7 21" xfId="22834"/>
    <cellStyle name="Input [yellow] 3 14 7 22" xfId="34001"/>
    <cellStyle name="Input [yellow] 3 14 7 23" xfId="45187"/>
    <cellStyle name="Input [yellow] 3 14 7 3" xfId="1617"/>
    <cellStyle name="Input [yellow] 3 14 7 3 2" xfId="12814"/>
    <cellStyle name="Input [yellow] 3 14 7 3 3" xfId="23982"/>
    <cellStyle name="Input [yellow] 3 14 7 3 4" xfId="35147"/>
    <cellStyle name="Input [yellow] 3 14 7 3 5" xfId="46340"/>
    <cellStyle name="Input [yellow] 3 14 7 4" xfId="2389"/>
    <cellStyle name="Input [yellow] 3 14 7 4 2" xfId="13586"/>
    <cellStyle name="Input [yellow] 3 14 7 4 3" xfId="24754"/>
    <cellStyle name="Input [yellow] 3 14 7 4 4" xfId="35919"/>
    <cellStyle name="Input [yellow] 3 14 7 4 5" xfId="47112"/>
    <cellStyle name="Input [yellow] 3 14 7 5" xfId="2814"/>
    <cellStyle name="Input [yellow] 3 14 7 5 2" xfId="14011"/>
    <cellStyle name="Input [yellow] 3 14 7 5 3" xfId="25179"/>
    <cellStyle name="Input [yellow] 3 14 7 5 4" xfId="36344"/>
    <cellStyle name="Input [yellow] 3 14 7 5 5" xfId="47537"/>
    <cellStyle name="Input [yellow] 3 14 7 6" xfId="3448"/>
    <cellStyle name="Input [yellow] 3 14 7 6 2" xfId="14645"/>
    <cellStyle name="Input [yellow] 3 14 7 6 3" xfId="25813"/>
    <cellStyle name="Input [yellow] 3 14 7 6 4" xfId="36978"/>
    <cellStyle name="Input [yellow] 3 14 7 6 5" xfId="48171"/>
    <cellStyle name="Input [yellow] 3 14 7 7" xfId="4082"/>
    <cellStyle name="Input [yellow] 3 14 7 7 2" xfId="15279"/>
    <cellStyle name="Input [yellow] 3 14 7 7 3" xfId="26447"/>
    <cellStyle name="Input [yellow] 3 14 7 7 4" xfId="37612"/>
    <cellStyle name="Input [yellow] 3 14 7 7 5" xfId="48805"/>
    <cellStyle name="Input [yellow] 3 14 7 8" xfId="4715"/>
    <cellStyle name="Input [yellow] 3 14 7 8 2" xfId="15912"/>
    <cellStyle name="Input [yellow] 3 14 7 8 3" xfId="27080"/>
    <cellStyle name="Input [yellow] 3 14 7 8 4" xfId="38245"/>
    <cellStyle name="Input [yellow] 3 14 7 8 5" xfId="49438"/>
    <cellStyle name="Input [yellow] 3 14 7 9" xfId="5346"/>
    <cellStyle name="Input [yellow] 3 14 7 9 2" xfId="16543"/>
    <cellStyle name="Input [yellow] 3 14 7 9 3" xfId="27711"/>
    <cellStyle name="Input [yellow] 3 14 7 9 4" xfId="38876"/>
    <cellStyle name="Input [yellow] 3 14 7 9 5" xfId="50069"/>
    <cellStyle name="Input [yellow] 3 14 8" xfId="521"/>
    <cellStyle name="Input [yellow] 3 14 8 10" xfId="5808"/>
    <cellStyle name="Input [yellow] 3 14 8 10 2" xfId="17005"/>
    <cellStyle name="Input [yellow] 3 14 8 10 3" xfId="28173"/>
    <cellStyle name="Input [yellow] 3 14 8 10 4" xfId="39338"/>
    <cellStyle name="Input [yellow] 3 14 8 10 5" xfId="50531"/>
    <cellStyle name="Input [yellow] 3 14 8 11" xfId="6457"/>
    <cellStyle name="Input [yellow] 3 14 8 11 2" xfId="17654"/>
    <cellStyle name="Input [yellow] 3 14 8 11 3" xfId="28822"/>
    <cellStyle name="Input [yellow] 3 14 8 11 4" xfId="39987"/>
    <cellStyle name="Input [yellow] 3 14 8 11 5" xfId="51180"/>
    <cellStyle name="Input [yellow] 3 14 8 12" xfId="7090"/>
    <cellStyle name="Input [yellow] 3 14 8 12 2" xfId="18287"/>
    <cellStyle name="Input [yellow] 3 14 8 12 3" xfId="29455"/>
    <cellStyle name="Input [yellow] 3 14 8 12 4" xfId="40620"/>
    <cellStyle name="Input [yellow] 3 14 8 12 5" xfId="51813"/>
    <cellStyle name="Input [yellow] 3 14 8 13" xfId="7724"/>
    <cellStyle name="Input [yellow] 3 14 8 13 2" xfId="18921"/>
    <cellStyle name="Input [yellow] 3 14 8 13 3" xfId="30089"/>
    <cellStyle name="Input [yellow] 3 14 8 13 4" xfId="41254"/>
    <cellStyle name="Input [yellow] 3 14 8 13 5" xfId="52447"/>
    <cellStyle name="Input [yellow] 3 14 8 14" xfId="8358"/>
    <cellStyle name="Input [yellow] 3 14 8 14 2" xfId="19555"/>
    <cellStyle name="Input [yellow] 3 14 8 14 3" xfId="30723"/>
    <cellStyle name="Input [yellow] 3 14 8 14 4" xfId="41888"/>
    <cellStyle name="Input [yellow] 3 14 8 14 5" xfId="53081"/>
    <cellStyle name="Input [yellow] 3 14 8 15" xfId="8986"/>
    <cellStyle name="Input [yellow] 3 14 8 15 2" xfId="20183"/>
    <cellStyle name="Input [yellow] 3 14 8 15 3" xfId="31351"/>
    <cellStyle name="Input [yellow] 3 14 8 15 4" xfId="42516"/>
    <cellStyle name="Input [yellow] 3 14 8 15 5" xfId="53709"/>
    <cellStyle name="Input [yellow] 3 14 8 16" xfId="9409"/>
    <cellStyle name="Input [yellow] 3 14 8 16 2" xfId="20606"/>
    <cellStyle name="Input [yellow] 3 14 8 16 3" xfId="31774"/>
    <cellStyle name="Input [yellow] 3 14 8 16 4" xfId="42939"/>
    <cellStyle name="Input [yellow] 3 14 8 16 5" xfId="54132"/>
    <cellStyle name="Input [yellow] 3 14 8 17" xfId="10034"/>
    <cellStyle name="Input [yellow] 3 14 8 17 2" xfId="21231"/>
    <cellStyle name="Input [yellow] 3 14 8 17 3" xfId="32399"/>
    <cellStyle name="Input [yellow] 3 14 8 17 4" xfId="43564"/>
    <cellStyle name="Input [yellow] 3 14 8 17 5" xfId="54757"/>
    <cellStyle name="Input [yellow] 3 14 8 18" xfId="10486"/>
    <cellStyle name="Input [yellow] 3 14 8 18 2" xfId="21683"/>
    <cellStyle name="Input [yellow] 3 14 8 18 3" xfId="32851"/>
    <cellStyle name="Input [yellow] 3 14 8 18 4" xfId="44016"/>
    <cellStyle name="Input [yellow] 3 14 8 18 5" xfId="55209"/>
    <cellStyle name="Input [yellow] 3 14 8 19" xfId="11074"/>
    <cellStyle name="Input [yellow] 3 14 8 19 2" xfId="22271"/>
    <cellStyle name="Input [yellow] 3 14 8 19 3" xfId="33439"/>
    <cellStyle name="Input [yellow] 3 14 8 19 4" xfId="44604"/>
    <cellStyle name="Input [yellow] 3 14 8 19 5" xfId="55797"/>
    <cellStyle name="Input [yellow] 3 14 8 2" xfId="1170"/>
    <cellStyle name="Input [yellow] 3 14 8 2 2" xfId="12367"/>
    <cellStyle name="Input [yellow] 3 14 8 2 3" xfId="23535"/>
    <cellStyle name="Input [yellow] 3 14 8 2 4" xfId="34700"/>
    <cellStyle name="Input [yellow] 3 14 8 2 5" xfId="45893"/>
    <cellStyle name="Input [yellow] 3 14 8 20" xfId="11721"/>
    <cellStyle name="Input [yellow] 3 14 8 21" xfId="22891"/>
    <cellStyle name="Input [yellow] 3 14 8 22" xfId="34058"/>
    <cellStyle name="Input [yellow] 3 14 8 23" xfId="45244"/>
    <cellStyle name="Input [yellow] 3 14 8 3" xfId="1782"/>
    <cellStyle name="Input [yellow] 3 14 8 3 2" xfId="12979"/>
    <cellStyle name="Input [yellow] 3 14 8 3 3" xfId="24147"/>
    <cellStyle name="Input [yellow] 3 14 8 3 4" xfId="35312"/>
    <cellStyle name="Input [yellow] 3 14 8 3 5" xfId="46505"/>
    <cellStyle name="Input [yellow] 3 14 8 4" xfId="2446"/>
    <cellStyle name="Input [yellow] 3 14 8 4 2" xfId="13643"/>
    <cellStyle name="Input [yellow] 3 14 8 4 3" xfId="24811"/>
    <cellStyle name="Input [yellow] 3 14 8 4 4" xfId="35976"/>
    <cellStyle name="Input [yellow] 3 14 8 4 5" xfId="47169"/>
    <cellStyle name="Input [yellow] 3 14 8 5" xfId="2871"/>
    <cellStyle name="Input [yellow] 3 14 8 5 2" xfId="14068"/>
    <cellStyle name="Input [yellow] 3 14 8 5 3" xfId="25236"/>
    <cellStyle name="Input [yellow] 3 14 8 5 4" xfId="36401"/>
    <cellStyle name="Input [yellow] 3 14 8 5 5" xfId="47594"/>
    <cellStyle name="Input [yellow] 3 14 8 6" xfId="3505"/>
    <cellStyle name="Input [yellow] 3 14 8 6 2" xfId="14702"/>
    <cellStyle name="Input [yellow] 3 14 8 6 3" xfId="25870"/>
    <cellStyle name="Input [yellow] 3 14 8 6 4" xfId="37035"/>
    <cellStyle name="Input [yellow] 3 14 8 6 5" xfId="48228"/>
    <cellStyle name="Input [yellow] 3 14 8 7" xfId="4139"/>
    <cellStyle name="Input [yellow] 3 14 8 7 2" xfId="15336"/>
    <cellStyle name="Input [yellow] 3 14 8 7 3" xfId="26504"/>
    <cellStyle name="Input [yellow] 3 14 8 7 4" xfId="37669"/>
    <cellStyle name="Input [yellow] 3 14 8 7 5" xfId="48862"/>
    <cellStyle name="Input [yellow] 3 14 8 8" xfId="4772"/>
    <cellStyle name="Input [yellow] 3 14 8 8 2" xfId="15969"/>
    <cellStyle name="Input [yellow] 3 14 8 8 3" xfId="27137"/>
    <cellStyle name="Input [yellow] 3 14 8 8 4" xfId="38302"/>
    <cellStyle name="Input [yellow] 3 14 8 8 5" xfId="49495"/>
    <cellStyle name="Input [yellow] 3 14 8 9" xfId="5403"/>
    <cellStyle name="Input [yellow] 3 14 8 9 2" xfId="16600"/>
    <cellStyle name="Input [yellow] 3 14 8 9 3" xfId="27768"/>
    <cellStyle name="Input [yellow] 3 14 8 9 4" xfId="38933"/>
    <cellStyle name="Input [yellow] 3 14 8 9 5" xfId="50126"/>
    <cellStyle name="Input [yellow] 3 14 9" xfId="579"/>
    <cellStyle name="Input [yellow] 3 14 9 10" xfId="5842"/>
    <cellStyle name="Input [yellow] 3 14 9 10 2" xfId="17039"/>
    <cellStyle name="Input [yellow] 3 14 9 10 3" xfId="28207"/>
    <cellStyle name="Input [yellow] 3 14 9 10 4" xfId="39372"/>
    <cellStyle name="Input [yellow] 3 14 9 10 5" xfId="50565"/>
    <cellStyle name="Input [yellow] 3 14 9 11" xfId="6515"/>
    <cellStyle name="Input [yellow] 3 14 9 11 2" xfId="17712"/>
    <cellStyle name="Input [yellow] 3 14 9 11 3" xfId="28880"/>
    <cellStyle name="Input [yellow] 3 14 9 11 4" xfId="40045"/>
    <cellStyle name="Input [yellow] 3 14 9 11 5" xfId="51238"/>
    <cellStyle name="Input [yellow] 3 14 9 12" xfId="7148"/>
    <cellStyle name="Input [yellow] 3 14 9 12 2" xfId="18345"/>
    <cellStyle name="Input [yellow] 3 14 9 12 3" xfId="29513"/>
    <cellStyle name="Input [yellow] 3 14 9 12 4" xfId="40678"/>
    <cellStyle name="Input [yellow] 3 14 9 12 5" xfId="51871"/>
    <cellStyle name="Input [yellow] 3 14 9 13" xfId="7782"/>
    <cellStyle name="Input [yellow] 3 14 9 13 2" xfId="18979"/>
    <cellStyle name="Input [yellow] 3 14 9 13 3" xfId="30147"/>
    <cellStyle name="Input [yellow] 3 14 9 13 4" xfId="41312"/>
    <cellStyle name="Input [yellow] 3 14 9 13 5" xfId="52505"/>
    <cellStyle name="Input [yellow] 3 14 9 14" xfId="8416"/>
    <cellStyle name="Input [yellow] 3 14 9 14 2" xfId="19613"/>
    <cellStyle name="Input [yellow] 3 14 9 14 3" xfId="30781"/>
    <cellStyle name="Input [yellow] 3 14 9 14 4" xfId="41946"/>
    <cellStyle name="Input [yellow] 3 14 9 14 5" xfId="53139"/>
    <cellStyle name="Input [yellow] 3 14 9 15" xfId="9044"/>
    <cellStyle name="Input [yellow] 3 14 9 15 2" xfId="20241"/>
    <cellStyle name="Input [yellow] 3 14 9 15 3" xfId="31409"/>
    <cellStyle name="Input [yellow] 3 14 9 15 4" xfId="42574"/>
    <cellStyle name="Input [yellow] 3 14 9 15 5" xfId="53767"/>
    <cellStyle name="Input [yellow] 3 14 9 16" xfId="9467"/>
    <cellStyle name="Input [yellow] 3 14 9 16 2" xfId="20664"/>
    <cellStyle name="Input [yellow] 3 14 9 16 3" xfId="31832"/>
    <cellStyle name="Input [yellow] 3 14 9 16 4" xfId="42997"/>
    <cellStyle name="Input [yellow] 3 14 9 16 5" xfId="54190"/>
    <cellStyle name="Input [yellow] 3 14 9 17" xfId="10092"/>
    <cellStyle name="Input [yellow] 3 14 9 17 2" xfId="21289"/>
    <cellStyle name="Input [yellow] 3 14 9 17 3" xfId="32457"/>
    <cellStyle name="Input [yellow] 3 14 9 17 4" xfId="43622"/>
    <cellStyle name="Input [yellow] 3 14 9 17 5" xfId="54815"/>
    <cellStyle name="Input [yellow] 3 14 9 18" xfId="10383"/>
    <cellStyle name="Input [yellow] 3 14 9 18 2" xfId="21580"/>
    <cellStyle name="Input [yellow] 3 14 9 18 3" xfId="32748"/>
    <cellStyle name="Input [yellow] 3 14 9 18 4" xfId="43913"/>
    <cellStyle name="Input [yellow] 3 14 9 18 5" xfId="55106"/>
    <cellStyle name="Input [yellow] 3 14 9 19" xfId="11132"/>
    <cellStyle name="Input [yellow] 3 14 9 19 2" xfId="22329"/>
    <cellStyle name="Input [yellow] 3 14 9 19 3" xfId="33497"/>
    <cellStyle name="Input [yellow] 3 14 9 19 4" xfId="44662"/>
    <cellStyle name="Input [yellow] 3 14 9 19 5" xfId="55855"/>
    <cellStyle name="Input [yellow] 3 14 9 2" xfId="1228"/>
    <cellStyle name="Input [yellow] 3 14 9 2 2" xfId="12425"/>
    <cellStyle name="Input [yellow] 3 14 9 2 3" xfId="23593"/>
    <cellStyle name="Input [yellow] 3 14 9 2 4" xfId="34758"/>
    <cellStyle name="Input [yellow] 3 14 9 2 5" xfId="45951"/>
    <cellStyle name="Input [yellow] 3 14 9 20" xfId="11779"/>
    <cellStyle name="Input [yellow] 3 14 9 21" xfId="22949"/>
    <cellStyle name="Input [yellow] 3 14 9 22" xfId="34116"/>
    <cellStyle name="Input [yellow] 3 14 9 23" xfId="45302"/>
    <cellStyle name="Input [yellow] 3 14 9 3" xfId="1754"/>
    <cellStyle name="Input [yellow] 3 14 9 3 2" xfId="12951"/>
    <cellStyle name="Input [yellow] 3 14 9 3 3" xfId="24119"/>
    <cellStyle name="Input [yellow] 3 14 9 3 4" xfId="35284"/>
    <cellStyle name="Input [yellow] 3 14 9 3 5" xfId="46477"/>
    <cellStyle name="Input [yellow] 3 14 9 4" xfId="2504"/>
    <cellStyle name="Input [yellow] 3 14 9 4 2" xfId="13701"/>
    <cellStyle name="Input [yellow] 3 14 9 4 3" xfId="24869"/>
    <cellStyle name="Input [yellow] 3 14 9 4 4" xfId="36034"/>
    <cellStyle name="Input [yellow] 3 14 9 4 5" xfId="47227"/>
    <cellStyle name="Input [yellow] 3 14 9 5" xfId="2929"/>
    <cellStyle name="Input [yellow] 3 14 9 5 2" xfId="14126"/>
    <cellStyle name="Input [yellow] 3 14 9 5 3" xfId="25294"/>
    <cellStyle name="Input [yellow] 3 14 9 5 4" xfId="36459"/>
    <cellStyle name="Input [yellow] 3 14 9 5 5" xfId="47652"/>
    <cellStyle name="Input [yellow] 3 14 9 6" xfId="3563"/>
    <cellStyle name="Input [yellow] 3 14 9 6 2" xfId="14760"/>
    <cellStyle name="Input [yellow] 3 14 9 6 3" xfId="25928"/>
    <cellStyle name="Input [yellow] 3 14 9 6 4" xfId="37093"/>
    <cellStyle name="Input [yellow] 3 14 9 6 5" xfId="48286"/>
    <cellStyle name="Input [yellow] 3 14 9 7" xfId="4197"/>
    <cellStyle name="Input [yellow] 3 14 9 7 2" xfId="15394"/>
    <cellStyle name="Input [yellow] 3 14 9 7 3" xfId="26562"/>
    <cellStyle name="Input [yellow] 3 14 9 7 4" xfId="37727"/>
    <cellStyle name="Input [yellow] 3 14 9 7 5" xfId="48920"/>
    <cellStyle name="Input [yellow] 3 14 9 8" xfId="4830"/>
    <cellStyle name="Input [yellow] 3 14 9 8 2" xfId="16027"/>
    <cellStyle name="Input [yellow] 3 14 9 8 3" xfId="27195"/>
    <cellStyle name="Input [yellow] 3 14 9 8 4" xfId="38360"/>
    <cellStyle name="Input [yellow] 3 14 9 8 5" xfId="49553"/>
    <cellStyle name="Input [yellow] 3 14 9 9" xfId="5461"/>
    <cellStyle name="Input [yellow] 3 14 9 9 2" xfId="16658"/>
    <cellStyle name="Input [yellow] 3 14 9 9 3" xfId="27826"/>
    <cellStyle name="Input [yellow] 3 14 9 9 4" xfId="38991"/>
    <cellStyle name="Input [yellow] 3 14 9 9 5" xfId="50184"/>
    <cellStyle name="Input [yellow] 3 15" xfId="115"/>
    <cellStyle name="Input [yellow] 3 15 10" xfId="455"/>
    <cellStyle name="Input [yellow] 3 15 10 10" xfId="3688"/>
    <cellStyle name="Input [yellow] 3 15 10 10 2" xfId="14885"/>
    <cellStyle name="Input [yellow] 3 15 10 10 3" xfId="26053"/>
    <cellStyle name="Input [yellow] 3 15 10 10 4" xfId="37218"/>
    <cellStyle name="Input [yellow] 3 15 10 10 5" xfId="48411"/>
    <cellStyle name="Input [yellow] 3 15 10 11" xfId="6391"/>
    <cellStyle name="Input [yellow] 3 15 10 11 2" xfId="17588"/>
    <cellStyle name="Input [yellow] 3 15 10 11 3" xfId="28756"/>
    <cellStyle name="Input [yellow] 3 15 10 11 4" xfId="39921"/>
    <cellStyle name="Input [yellow] 3 15 10 11 5" xfId="51114"/>
    <cellStyle name="Input [yellow] 3 15 10 12" xfId="7024"/>
    <cellStyle name="Input [yellow] 3 15 10 12 2" xfId="18221"/>
    <cellStyle name="Input [yellow] 3 15 10 12 3" xfId="29389"/>
    <cellStyle name="Input [yellow] 3 15 10 12 4" xfId="40554"/>
    <cellStyle name="Input [yellow] 3 15 10 12 5" xfId="51747"/>
    <cellStyle name="Input [yellow] 3 15 10 13" xfId="7658"/>
    <cellStyle name="Input [yellow] 3 15 10 13 2" xfId="18855"/>
    <cellStyle name="Input [yellow] 3 15 10 13 3" xfId="30023"/>
    <cellStyle name="Input [yellow] 3 15 10 13 4" xfId="41188"/>
    <cellStyle name="Input [yellow] 3 15 10 13 5" xfId="52381"/>
    <cellStyle name="Input [yellow] 3 15 10 14" xfId="8292"/>
    <cellStyle name="Input [yellow] 3 15 10 14 2" xfId="19489"/>
    <cellStyle name="Input [yellow] 3 15 10 14 3" xfId="30657"/>
    <cellStyle name="Input [yellow] 3 15 10 14 4" xfId="41822"/>
    <cellStyle name="Input [yellow] 3 15 10 14 5" xfId="53015"/>
    <cellStyle name="Input [yellow] 3 15 10 15" xfId="8920"/>
    <cellStyle name="Input [yellow] 3 15 10 15 2" xfId="20117"/>
    <cellStyle name="Input [yellow] 3 15 10 15 3" xfId="31285"/>
    <cellStyle name="Input [yellow] 3 15 10 15 4" xfId="42450"/>
    <cellStyle name="Input [yellow] 3 15 10 15 5" xfId="53643"/>
    <cellStyle name="Input [yellow] 3 15 10 16" xfId="9343"/>
    <cellStyle name="Input [yellow] 3 15 10 16 2" xfId="20540"/>
    <cellStyle name="Input [yellow] 3 15 10 16 3" xfId="31708"/>
    <cellStyle name="Input [yellow] 3 15 10 16 4" xfId="42873"/>
    <cellStyle name="Input [yellow] 3 15 10 16 5" xfId="54066"/>
    <cellStyle name="Input [yellow] 3 15 10 17" xfId="9969"/>
    <cellStyle name="Input [yellow] 3 15 10 17 2" xfId="21166"/>
    <cellStyle name="Input [yellow] 3 15 10 17 3" xfId="32334"/>
    <cellStyle name="Input [yellow] 3 15 10 17 4" xfId="43499"/>
    <cellStyle name="Input [yellow] 3 15 10 17 5" xfId="54692"/>
    <cellStyle name="Input [yellow] 3 15 10 18" xfId="7271"/>
    <cellStyle name="Input [yellow] 3 15 10 18 2" xfId="18468"/>
    <cellStyle name="Input [yellow] 3 15 10 18 3" xfId="29636"/>
    <cellStyle name="Input [yellow] 3 15 10 18 4" xfId="40801"/>
    <cellStyle name="Input [yellow] 3 15 10 18 5" xfId="51994"/>
    <cellStyle name="Input [yellow] 3 15 10 19" xfId="11008"/>
    <cellStyle name="Input [yellow] 3 15 10 19 2" xfId="22205"/>
    <cellStyle name="Input [yellow] 3 15 10 19 3" xfId="33373"/>
    <cellStyle name="Input [yellow] 3 15 10 19 4" xfId="44538"/>
    <cellStyle name="Input [yellow] 3 15 10 19 5" xfId="55731"/>
    <cellStyle name="Input [yellow] 3 15 10 2" xfId="1104"/>
    <cellStyle name="Input [yellow] 3 15 10 2 2" xfId="12301"/>
    <cellStyle name="Input [yellow] 3 15 10 2 3" xfId="23469"/>
    <cellStyle name="Input [yellow] 3 15 10 2 4" xfId="34634"/>
    <cellStyle name="Input [yellow] 3 15 10 2 5" xfId="45827"/>
    <cellStyle name="Input [yellow] 3 15 10 20" xfId="11655"/>
    <cellStyle name="Input [yellow] 3 15 10 21" xfId="22825"/>
    <cellStyle name="Input [yellow] 3 15 10 22" xfId="33992"/>
    <cellStyle name="Input [yellow] 3 15 10 23" xfId="45178"/>
    <cellStyle name="Input [yellow] 3 15 10 3" xfId="1509"/>
    <cellStyle name="Input [yellow] 3 15 10 3 2" xfId="12706"/>
    <cellStyle name="Input [yellow] 3 15 10 3 3" xfId="23874"/>
    <cellStyle name="Input [yellow] 3 15 10 3 4" xfId="35039"/>
    <cellStyle name="Input [yellow] 3 15 10 3 5" xfId="46232"/>
    <cellStyle name="Input [yellow] 3 15 10 4" xfId="2380"/>
    <cellStyle name="Input [yellow] 3 15 10 4 2" xfId="13577"/>
    <cellStyle name="Input [yellow] 3 15 10 4 3" xfId="24745"/>
    <cellStyle name="Input [yellow] 3 15 10 4 4" xfId="35910"/>
    <cellStyle name="Input [yellow] 3 15 10 4 5" xfId="47103"/>
    <cellStyle name="Input [yellow] 3 15 10 5" xfId="2805"/>
    <cellStyle name="Input [yellow] 3 15 10 5 2" xfId="14002"/>
    <cellStyle name="Input [yellow] 3 15 10 5 3" xfId="25170"/>
    <cellStyle name="Input [yellow] 3 15 10 5 4" xfId="36335"/>
    <cellStyle name="Input [yellow] 3 15 10 5 5" xfId="47528"/>
    <cellStyle name="Input [yellow] 3 15 10 6" xfId="3439"/>
    <cellStyle name="Input [yellow] 3 15 10 6 2" xfId="14636"/>
    <cellStyle name="Input [yellow] 3 15 10 6 3" xfId="25804"/>
    <cellStyle name="Input [yellow] 3 15 10 6 4" xfId="36969"/>
    <cellStyle name="Input [yellow] 3 15 10 6 5" xfId="48162"/>
    <cellStyle name="Input [yellow] 3 15 10 7" xfId="4073"/>
    <cellStyle name="Input [yellow] 3 15 10 7 2" xfId="15270"/>
    <cellStyle name="Input [yellow] 3 15 10 7 3" xfId="26438"/>
    <cellStyle name="Input [yellow] 3 15 10 7 4" xfId="37603"/>
    <cellStyle name="Input [yellow] 3 15 10 7 5" xfId="48796"/>
    <cellStyle name="Input [yellow] 3 15 10 8" xfId="4706"/>
    <cellStyle name="Input [yellow] 3 15 10 8 2" xfId="15903"/>
    <cellStyle name="Input [yellow] 3 15 10 8 3" xfId="27071"/>
    <cellStyle name="Input [yellow] 3 15 10 8 4" xfId="38236"/>
    <cellStyle name="Input [yellow] 3 15 10 8 5" xfId="49429"/>
    <cellStyle name="Input [yellow] 3 15 10 9" xfId="5337"/>
    <cellStyle name="Input [yellow] 3 15 10 9 2" xfId="16534"/>
    <cellStyle name="Input [yellow] 3 15 10 9 3" xfId="27702"/>
    <cellStyle name="Input [yellow] 3 15 10 9 4" xfId="38867"/>
    <cellStyle name="Input [yellow] 3 15 10 9 5" xfId="50060"/>
    <cellStyle name="Input [yellow] 3 15 11" xfId="688"/>
    <cellStyle name="Input [yellow] 3 15 11 10" xfId="5587"/>
    <cellStyle name="Input [yellow] 3 15 11 10 2" xfId="16784"/>
    <cellStyle name="Input [yellow] 3 15 11 10 3" xfId="27952"/>
    <cellStyle name="Input [yellow] 3 15 11 10 4" xfId="39117"/>
    <cellStyle name="Input [yellow] 3 15 11 10 5" xfId="50310"/>
    <cellStyle name="Input [yellow] 3 15 11 11" xfId="6624"/>
    <cellStyle name="Input [yellow] 3 15 11 11 2" xfId="17821"/>
    <cellStyle name="Input [yellow] 3 15 11 11 3" xfId="28989"/>
    <cellStyle name="Input [yellow] 3 15 11 11 4" xfId="40154"/>
    <cellStyle name="Input [yellow] 3 15 11 11 5" xfId="51347"/>
    <cellStyle name="Input [yellow] 3 15 11 12" xfId="7257"/>
    <cellStyle name="Input [yellow] 3 15 11 12 2" xfId="18454"/>
    <cellStyle name="Input [yellow] 3 15 11 12 3" xfId="29622"/>
    <cellStyle name="Input [yellow] 3 15 11 12 4" xfId="40787"/>
    <cellStyle name="Input [yellow] 3 15 11 12 5" xfId="51980"/>
    <cellStyle name="Input [yellow] 3 15 11 13" xfId="7891"/>
    <cellStyle name="Input [yellow] 3 15 11 13 2" xfId="19088"/>
    <cellStyle name="Input [yellow] 3 15 11 13 3" xfId="30256"/>
    <cellStyle name="Input [yellow] 3 15 11 13 4" xfId="41421"/>
    <cellStyle name="Input [yellow] 3 15 11 13 5" xfId="52614"/>
    <cellStyle name="Input [yellow] 3 15 11 14" xfId="8525"/>
    <cellStyle name="Input [yellow] 3 15 11 14 2" xfId="19722"/>
    <cellStyle name="Input [yellow] 3 15 11 14 3" xfId="30890"/>
    <cellStyle name="Input [yellow] 3 15 11 14 4" xfId="42055"/>
    <cellStyle name="Input [yellow] 3 15 11 14 5" xfId="53248"/>
    <cellStyle name="Input [yellow] 3 15 11 15" xfId="9153"/>
    <cellStyle name="Input [yellow] 3 15 11 15 2" xfId="20350"/>
    <cellStyle name="Input [yellow] 3 15 11 15 3" xfId="31518"/>
    <cellStyle name="Input [yellow] 3 15 11 15 4" xfId="42683"/>
    <cellStyle name="Input [yellow] 3 15 11 15 5" xfId="53876"/>
    <cellStyle name="Input [yellow] 3 15 11 16" xfId="9576"/>
    <cellStyle name="Input [yellow] 3 15 11 16 2" xfId="20773"/>
    <cellStyle name="Input [yellow] 3 15 11 16 3" xfId="31941"/>
    <cellStyle name="Input [yellow] 3 15 11 16 4" xfId="43106"/>
    <cellStyle name="Input [yellow] 3 15 11 16 5" xfId="54299"/>
    <cellStyle name="Input [yellow] 3 15 11 17" xfId="10200"/>
    <cellStyle name="Input [yellow] 3 15 11 17 2" xfId="21397"/>
    <cellStyle name="Input [yellow] 3 15 11 17 3" xfId="32565"/>
    <cellStyle name="Input [yellow] 3 15 11 17 4" xfId="43730"/>
    <cellStyle name="Input [yellow] 3 15 11 17 5" xfId="54923"/>
    <cellStyle name="Input [yellow] 3 15 11 18" xfId="9592"/>
    <cellStyle name="Input [yellow] 3 15 11 18 2" xfId="20789"/>
    <cellStyle name="Input [yellow] 3 15 11 18 3" xfId="31957"/>
    <cellStyle name="Input [yellow] 3 15 11 18 4" xfId="43122"/>
    <cellStyle name="Input [yellow] 3 15 11 18 5" xfId="54315"/>
    <cellStyle name="Input [yellow] 3 15 11 19" xfId="11241"/>
    <cellStyle name="Input [yellow] 3 15 11 19 2" xfId="22438"/>
    <cellStyle name="Input [yellow] 3 15 11 19 3" xfId="33606"/>
    <cellStyle name="Input [yellow] 3 15 11 19 4" xfId="44771"/>
    <cellStyle name="Input [yellow] 3 15 11 19 5" xfId="55964"/>
    <cellStyle name="Input [yellow] 3 15 11 2" xfId="1337"/>
    <cellStyle name="Input [yellow] 3 15 11 2 2" xfId="12534"/>
    <cellStyle name="Input [yellow] 3 15 11 2 3" xfId="23702"/>
    <cellStyle name="Input [yellow] 3 15 11 2 4" xfId="34867"/>
    <cellStyle name="Input [yellow] 3 15 11 2 5" xfId="46060"/>
    <cellStyle name="Input [yellow] 3 15 11 20" xfId="11888"/>
    <cellStyle name="Input [yellow] 3 15 11 21" xfId="23058"/>
    <cellStyle name="Input [yellow] 3 15 11 22" xfId="34225"/>
    <cellStyle name="Input [yellow] 3 15 11 23" xfId="45411"/>
    <cellStyle name="Input [yellow] 3 15 11 3" xfId="698"/>
    <cellStyle name="Input [yellow] 3 15 11 3 2" xfId="11898"/>
    <cellStyle name="Input [yellow] 3 15 11 3 3" xfId="23068"/>
    <cellStyle name="Input [yellow] 3 15 11 3 4" xfId="34235"/>
    <cellStyle name="Input [yellow] 3 15 11 3 5" xfId="45421"/>
    <cellStyle name="Input [yellow] 3 15 11 4" xfId="2612"/>
    <cellStyle name="Input [yellow] 3 15 11 4 2" xfId="13809"/>
    <cellStyle name="Input [yellow] 3 15 11 4 3" xfId="24977"/>
    <cellStyle name="Input [yellow] 3 15 11 4 4" xfId="36142"/>
    <cellStyle name="Input [yellow] 3 15 11 4 5" xfId="47335"/>
    <cellStyle name="Input [yellow] 3 15 11 5" xfId="3038"/>
    <cellStyle name="Input [yellow] 3 15 11 5 2" xfId="14235"/>
    <cellStyle name="Input [yellow] 3 15 11 5 3" xfId="25403"/>
    <cellStyle name="Input [yellow] 3 15 11 5 4" xfId="36568"/>
    <cellStyle name="Input [yellow] 3 15 11 5 5" xfId="47761"/>
    <cellStyle name="Input [yellow] 3 15 11 6" xfId="3672"/>
    <cellStyle name="Input [yellow] 3 15 11 6 2" xfId="14869"/>
    <cellStyle name="Input [yellow] 3 15 11 6 3" xfId="26037"/>
    <cellStyle name="Input [yellow] 3 15 11 6 4" xfId="37202"/>
    <cellStyle name="Input [yellow] 3 15 11 6 5" xfId="48395"/>
    <cellStyle name="Input [yellow] 3 15 11 7" xfId="4306"/>
    <cellStyle name="Input [yellow] 3 15 11 7 2" xfId="15503"/>
    <cellStyle name="Input [yellow] 3 15 11 7 3" xfId="26671"/>
    <cellStyle name="Input [yellow] 3 15 11 7 4" xfId="37836"/>
    <cellStyle name="Input [yellow] 3 15 11 7 5" xfId="49029"/>
    <cellStyle name="Input [yellow] 3 15 11 8" xfId="4939"/>
    <cellStyle name="Input [yellow] 3 15 11 8 2" xfId="16136"/>
    <cellStyle name="Input [yellow] 3 15 11 8 3" xfId="27304"/>
    <cellStyle name="Input [yellow] 3 15 11 8 4" xfId="38469"/>
    <cellStyle name="Input [yellow] 3 15 11 8 5" xfId="49662"/>
    <cellStyle name="Input [yellow] 3 15 11 9" xfId="5570"/>
    <cellStyle name="Input [yellow] 3 15 11 9 2" xfId="16767"/>
    <cellStyle name="Input [yellow] 3 15 11 9 3" xfId="27935"/>
    <cellStyle name="Input [yellow] 3 15 11 9 4" xfId="39100"/>
    <cellStyle name="Input [yellow] 3 15 11 9 5" xfId="50293"/>
    <cellStyle name="Input [yellow] 3 15 12" xfId="764"/>
    <cellStyle name="Input [yellow] 3 15 12 2" xfId="11961"/>
    <cellStyle name="Input [yellow] 3 15 12 3" xfId="23129"/>
    <cellStyle name="Input [yellow] 3 15 12 4" xfId="34294"/>
    <cellStyle name="Input [yellow] 3 15 12 5" xfId="45487"/>
    <cellStyle name="Input [yellow] 3 15 13" xfId="1954"/>
    <cellStyle name="Input [yellow] 3 15 13 2" xfId="13151"/>
    <cellStyle name="Input [yellow] 3 15 13 3" xfId="24319"/>
    <cellStyle name="Input [yellow] 3 15 13 4" xfId="35484"/>
    <cellStyle name="Input [yellow] 3 15 13 5" xfId="46677"/>
    <cellStyle name="Input [yellow] 3 15 14" xfId="2041"/>
    <cellStyle name="Input [yellow] 3 15 14 2" xfId="13238"/>
    <cellStyle name="Input [yellow] 3 15 14 3" xfId="24406"/>
    <cellStyle name="Input [yellow] 3 15 14 4" xfId="35571"/>
    <cellStyle name="Input [yellow] 3 15 14 5" xfId="46764"/>
    <cellStyle name="Input [yellow] 3 15 15" xfId="2569"/>
    <cellStyle name="Input [yellow] 3 15 15 2" xfId="13766"/>
    <cellStyle name="Input [yellow] 3 15 15 3" xfId="24934"/>
    <cellStyle name="Input [yellow] 3 15 15 4" xfId="36099"/>
    <cellStyle name="Input [yellow] 3 15 15 5" xfId="47292"/>
    <cellStyle name="Input [yellow] 3 15 16" xfId="3099"/>
    <cellStyle name="Input [yellow] 3 15 16 2" xfId="14296"/>
    <cellStyle name="Input [yellow] 3 15 16 3" xfId="25464"/>
    <cellStyle name="Input [yellow] 3 15 16 4" xfId="36629"/>
    <cellStyle name="Input [yellow] 3 15 16 5" xfId="47822"/>
    <cellStyle name="Input [yellow] 3 15 17" xfId="3733"/>
    <cellStyle name="Input [yellow] 3 15 17 2" xfId="14930"/>
    <cellStyle name="Input [yellow] 3 15 17 3" xfId="26098"/>
    <cellStyle name="Input [yellow] 3 15 17 4" xfId="37263"/>
    <cellStyle name="Input [yellow] 3 15 17 5" xfId="48456"/>
    <cellStyle name="Input [yellow] 3 15 18" xfId="4366"/>
    <cellStyle name="Input [yellow] 3 15 18 2" xfId="15563"/>
    <cellStyle name="Input [yellow] 3 15 18 3" xfId="26731"/>
    <cellStyle name="Input [yellow] 3 15 18 4" xfId="37896"/>
    <cellStyle name="Input [yellow] 3 15 18 5" xfId="49089"/>
    <cellStyle name="Input [yellow] 3 15 19" xfId="4997"/>
    <cellStyle name="Input [yellow] 3 15 19 2" xfId="16194"/>
    <cellStyle name="Input [yellow] 3 15 19 3" xfId="27362"/>
    <cellStyle name="Input [yellow] 3 15 19 4" xfId="38527"/>
    <cellStyle name="Input [yellow] 3 15 19 5" xfId="49720"/>
    <cellStyle name="Input [yellow] 3 15 2" xfId="178"/>
    <cellStyle name="Input [yellow] 3 15 2 10" xfId="5852"/>
    <cellStyle name="Input [yellow] 3 15 2 10 2" xfId="17049"/>
    <cellStyle name="Input [yellow] 3 15 2 10 3" xfId="28217"/>
    <cellStyle name="Input [yellow] 3 15 2 10 4" xfId="39382"/>
    <cellStyle name="Input [yellow] 3 15 2 10 5" xfId="50575"/>
    <cellStyle name="Input [yellow] 3 15 2 11" xfId="5996"/>
    <cellStyle name="Input [yellow] 3 15 2 11 2" xfId="17193"/>
    <cellStyle name="Input [yellow] 3 15 2 11 3" xfId="28361"/>
    <cellStyle name="Input [yellow] 3 15 2 11 4" xfId="39526"/>
    <cellStyle name="Input [yellow] 3 15 2 11 5" xfId="50719"/>
    <cellStyle name="Input [yellow] 3 15 2 12" xfId="6747"/>
    <cellStyle name="Input [yellow] 3 15 2 12 2" xfId="17944"/>
    <cellStyle name="Input [yellow] 3 15 2 12 3" xfId="29112"/>
    <cellStyle name="Input [yellow] 3 15 2 12 4" xfId="40277"/>
    <cellStyle name="Input [yellow] 3 15 2 12 5" xfId="51470"/>
    <cellStyle name="Input [yellow] 3 15 2 13" xfId="7381"/>
    <cellStyle name="Input [yellow] 3 15 2 13 2" xfId="18578"/>
    <cellStyle name="Input [yellow] 3 15 2 13 3" xfId="29746"/>
    <cellStyle name="Input [yellow] 3 15 2 13 4" xfId="40911"/>
    <cellStyle name="Input [yellow] 3 15 2 13 5" xfId="52104"/>
    <cellStyle name="Input [yellow] 3 15 2 14" xfId="8015"/>
    <cellStyle name="Input [yellow] 3 15 2 14 2" xfId="19212"/>
    <cellStyle name="Input [yellow] 3 15 2 14 3" xfId="30380"/>
    <cellStyle name="Input [yellow] 3 15 2 14 4" xfId="41545"/>
    <cellStyle name="Input [yellow] 3 15 2 14 5" xfId="52738"/>
    <cellStyle name="Input [yellow] 3 15 2 15" xfId="8646"/>
    <cellStyle name="Input [yellow] 3 15 2 15 2" xfId="19843"/>
    <cellStyle name="Input [yellow] 3 15 2 15 3" xfId="31011"/>
    <cellStyle name="Input [yellow] 3 15 2 15 4" xfId="42176"/>
    <cellStyle name="Input [yellow] 3 15 2 15 5" xfId="53369"/>
    <cellStyle name="Input [yellow] 3 15 2 16" xfId="8855"/>
    <cellStyle name="Input [yellow] 3 15 2 16 2" xfId="20052"/>
    <cellStyle name="Input [yellow] 3 15 2 16 3" xfId="31220"/>
    <cellStyle name="Input [yellow] 3 15 2 16 4" xfId="42385"/>
    <cellStyle name="Input [yellow] 3 15 2 16 5" xfId="53578"/>
    <cellStyle name="Input [yellow] 3 15 2 17" xfId="9699"/>
    <cellStyle name="Input [yellow] 3 15 2 17 2" xfId="20896"/>
    <cellStyle name="Input [yellow] 3 15 2 17 3" xfId="32064"/>
    <cellStyle name="Input [yellow] 3 15 2 17 4" xfId="43229"/>
    <cellStyle name="Input [yellow] 3 15 2 17 5" xfId="54422"/>
    <cellStyle name="Input [yellow] 3 15 2 18" xfId="10210"/>
    <cellStyle name="Input [yellow] 3 15 2 18 2" xfId="21407"/>
    <cellStyle name="Input [yellow] 3 15 2 18 3" xfId="32575"/>
    <cellStyle name="Input [yellow] 3 15 2 18 4" xfId="43740"/>
    <cellStyle name="Input [yellow] 3 15 2 18 5" xfId="54933"/>
    <cellStyle name="Input [yellow] 3 15 2 19" xfId="10731"/>
    <cellStyle name="Input [yellow] 3 15 2 19 2" xfId="21928"/>
    <cellStyle name="Input [yellow] 3 15 2 19 3" xfId="33096"/>
    <cellStyle name="Input [yellow] 3 15 2 19 4" xfId="44261"/>
    <cellStyle name="Input [yellow] 3 15 2 19 5" xfId="55454"/>
    <cellStyle name="Input [yellow] 3 15 2 2" xfId="827"/>
    <cellStyle name="Input [yellow] 3 15 2 2 2" xfId="12024"/>
    <cellStyle name="Input [yellow] 3 15 2 2 3" xfId="23192"/>
    <cellStyle name="Input [yellow] 3 15 2 2 4" xfId="34357"/>
    <cellStyle name="Input [yellow] 3 15 2 2 5" xfId="45550"/>
    <cellStyle name="Input [yellow] 3 15 2 20" xfId="11378"/>
    <cellStyle name="Input [yellow] 3 15 2 21" xfId="22548"/>
    <cellStyle name="Input [yellow] 3 15 2 22" xfId="33715"/>
    <cellStyle name="Input [yellow] 3 15 2 23" xfId="44901"/>
    <cellStyle name="Input [yellow] 3 15 2 3" xfId="1525"/>
    <cellStyle name="Input [yellow] 3 15 2 3 2" xfId="12722"/>
    <cellStyle name="Input [yellow] 3 15 2 3 3" xfId="23890"/>
    <cellStyle name="Input [yellow] 3 15 2 3 4" xfId="35055"/>
    <cellStyle name="Input [yellow] 3 15 2 3 5" xfId="46248"/>
    <cellStyle name="Input [yellow] 3 15 2 4" xfId="2104"/>
    <cellStyle name="Input [yellow] 3 15 2 4 2" xfId="13301"/>
    <cellStyle name="Input [yellow] 3 15 2 4 3" xfId="24469"/>
    <cellStyle name="Input [yellow] 3 15 2 4 4" xfId="35634"/>
    <cellStyle name="Input [yellow] 3 15 2 4 5" xfId="46827"/>
    <cellStyle name="Input [yellow] 3 15 2 5" xfId="2230"/>
    <cellStyle name="Input [yellow] 3 15 2 5 2" xfId="13427"/>
    <cellStyle name="Input [yellow] 3 15 2 5 3" xfId="24595"/>
    <cellStyle name="Input [yellow] 3 15 2 5 4" xfId="35760"/>
    <cellStyle name="Input [yellow] 3 15 2 5 5" xfId="46953"/>
    <cellStyle name="Input [yellow] 3 15 2 6" xfId="3162"/>
    <cellStyle name="Input [yellow] 3 15 2 6 2" xfId="14359"/>
    <cellStyle name="Input [yellow] 3 15 2 6 3" xfId="25527"/>
    <cellStyle name="Input [yellow] 3 15 2 6 4" xfId="36692"/>
    <cellStyle name="Input [yellow] 3 15 2 6 5" xfId="47885"/>
    <cellStyle name="Input [yellow] 3 15 2 7" xfId="3796"/>
    <cellStyle name="Input [yellow] 3 15 2 7 2" xfId="14993"/>
    <cellStyle name="Input [yellow] 3 15 2 7 3" xfId="26161"/>
    <cellStyle name="Input [yellow] 3 15 2 7 4" xfId="37326"/>
    <cellStyle name="Input [yellow] 3 15 2 7 5" xfId="48519"/>
    <cellStyle name="Input [yellow] 3 15 2 8" xfId="4429"/>
    <cellStyle name="Input [yellow] 3 15 2 8 2" xfId="15626"/>
    <cellStyle name="Input [yellow] 3 15 2 8 3" xfId="26794"/>
    <cellStyle name="Input [yellow] 3 15 2 8 4" xfId="37959"/>
    <cellStyle name="Input [yellow] 3 15 2 8 5" xfId="49152"/>
    <cellStyle name="Input [yellow] 3 15 2 9" xfId="5060"/>
    <cellStyle name="Input [yellow] 3 15 2 9 2" xfId="16257"/>
    <cellStyle name="Input [yellow] 3 15 2 9 3" xfId="27425"/>
    <cellStyle name="Input [yellow] 3 15 2 9 4" xfId="38590"/>
    <cellStyle name="Input [yellow] 3 15 2 9 5" xfId="49783"/>
    <cellStyle name="Input [yellow] 3 15 20" xfId="5653"/>
    <cellStyle name="Input [yellow] 3 15 20 2" xfId="16850"/>
    <cellStyle name="Input [yellow] 3 15 20 3" xfId="28018"/>
    <cellStyle name="Input [yellow] 3 15 20 4" xfId="39183"/>
    <cellStyle name="Input [yellow] 3 15 20 5" xfId="50376"/>
    <cellStyle name="Input [yellow] 3 15 21" xfId="6111"/>
    <cellStyle name="Input [yellow] 3 15 21 2" xfId="17308"/>
    <cellStyle name="Input [yellow] 3 15 21 3" xfId="28476"/>
    <cellStyle name="Input [yellow] 3 15 21 4" xfId="39641"/>
    <cellStyle name="Input [yellow] 3 15 21 5" xfId="50834"/>
    <cellStyle name="Input [yellow] 3 15 22" xfId="6684"/>
    <cellStyle name="Input [yellow] 3 15 22 2" xfId="17881"/>
    <cellStyle name="Input [yellow] 3 15 22 3" xfId="29049"/>
    <cellStyle name="Input [yellow] 3 15 22 4" xfId="40214"/>
    <cellStyle name="Input [yellow] 3 15 22 5" xfId="51407"/>
    <cellStyle name="Input [yellow] 3 15 23" xfId="7318"/>
    <cellStyle name="Input [yellow] 3 15 23 2" xfId="18515"/>
    <cellStyle name="Input [yellow] 3 15 23 3" xfId="29683"/>
    <cellStyle name="Input [yellow] 3 15 23 4" xfId="40848"/>
    <cellStyle name="Input [yellow] 3 15 23 5" xfId="52041"/>
    <cellStyle name="Input [yellow] 3 15 24" xfId="7952"/>
    <cellStyle name="Input [yellow] 3 15 24 2" xfId="19149"/>
    <cellStyle name="Input [yellow] 3 15 24 3" xfId="30317"/>
    <cellStyle name="Input [yellow] 3 15 24 4" xfId="41482"/>
    <cellStyle name="Input [yellow] 3 15 24 5" xfId="52675"/>
    <cellStyle name="Input [yellow] 3 15 25" xfId="8583"/>
    <cellStyle name="Input [yellow] 3 15 25 2" xfId="19780"/>
    <cellStyle name="Input [yellow] 3 15 25 3" xfId="30948"/>
    <cellStyle name="Input [yellow] 3 15 25 4" xfId="42113"/>
    <cellStyle name="Input [yellow] 3 15 25 5" xfId="53306"/>
    <cellStyle name="Input [yellow] 3 15 26" xfId="8675"/>
    <cellStyle name="Input [yellow] 3 15 26 2" xfId="19872"/>
    <cellStyle name="Input [yellow] 3 15 26 3" xfId="31040"/>
    <cellStyle name="Input [yellow] 3 15 26 4" xfId="42205"/>
    <cellStyle name="Input [yellow] 3 15 26 5" xfId="53398"/>
    <cellStyle name="Input [yellow] 3 15 27" xfId="9636"/>
    <cellStyle name="Input [yellow] 3 15 27 2" xfId="20833"/>
    <cellStyle name="Input [yellow] 3 15 27 3" xfId="32001"/>
    <cellStyle name="Input [yellow] 3 15 27 4" xfId="43166"/>
    <cellStyle name="Input [yellow] 3 15 27 5" xfId="54359"/>
    <cellStyle name="Input [yellow] 3 15 28" xfId="9946"/>
    <cellStyle name="Input [yellow] 3 15 28 2" xfId="21143"/>
    <cellStyle name="Input [yellow] 3 15 28 3" xfId="32311"/>
    <cellStyle name="Input [yellow] 3 15 28 4" xfId="43476"/>
    <cellStyle name="Input [yellow] 3 15 28 5" xfId="54669"/>
    <cellStyle name="Input [yellow] 3 15 29" xfId="10668"/>
    <cellStyle name="Input [yellow] 3 15 29 2" xfId="21865"/>
    <cellStyle name="Input [yellow] 3 15 29 3" xfId="33033"/>
    <cellStyle name="Input [yellow] 3 15 29 4" xfId="44198"/>
    <cellStyle name="Input [yellow] 3 15 29 5" xfId="55391"/>
    <cellStyle name="Input [yellow] 3 15 3" xfId="234"/>
    <cellStyle name="Input [yellow] 3 15 3 10" xfId="5686"/>
    <cellStyle name="Input [yellow] 3 15 3 10 2" xfId="16883"/>
    <cellStyle name="Input [yellow] 3 15 3 10 3" xfId="28051"/>
    <cellStyle name="Input [yellow] 3 15 3 10 4" xfId="39216"/>
    <cellStyle name="Input [yellow] 3 15 3 10 5" xfId="50409"/>
    <cellStyle name="Input [yellow] 3 15 3 11" xfId="5625"/>
    <cellStyle name="Input [yellow] 3 15 3 11 2" xfId="16822"/>
    <cellStyle name="Input [yellow] 3 15 3 11 3" xfId="27990"/>
    <cellStyle name="Input [yellow] 3 15 3 11 4" xfId="39155"/>
    <cellStyle name="Input [yellow] 3 15 3 11 5" xfId="50348"/>
    <cellStyle name="Input [yellow] 3 15 3 12" xfId="6803"/>
    <cellStyle name="Input [yellow] 3 15 3 12 2" xfId="18000"/>
    <cellStyle name="Input [yellow] 3 15 3 12 3" xfId="29168"/>
    <cellStyle name="Input [yellow] 3 15 3 12 4" xfId="40333"/>
    <cellStyle name="Input [yellow] 3 15 3 12 5" xfId="51526"/>
    <cellStyle name="Input [yellow] 3 15 3 13" xfId="7437"/>
    <cellStyle name="Input [yellow] 3 15 3 13 2" xfId="18634"/>
    <cellStyle name="Input [yellow] 3 15 3 13 3" xfId="29802"/>
    <cellStyle name="Input [yellow] 3 15 3 13 4" xfId="40967"/>
    <cellStyle name="Input [yellow] 3 15 3 13 5" xfId="52160"/>
    <cellStyle name="Input [yellow] 3 15 3 14" xfId="8071"/>
    <cellStyle name="Input [yellow] 3 15 3 14 2" xfId="19268"/>
    <cellStyle name="Input [yellow] 3 15 3 14 3" xfId="30436"/>
    <cellStyle name="Input [yellow] 3 15 3 14 4" xfId="41601"/>
    <cellStyle name="Input [yellow] 3 15 3 14 5" xfId="52794"/>
    <cellStyle name="Input [yellow] 3 15 3 15" xfId="8702"/>
    <cellStyle name="Input [yellow] 3 15 3 15 2" xfId="19899"/>
    <cellStyle name="Input [yellow] 3 15 3 15 3" xfId="31067"/>
    <cellStyle name="Input [yellow] 3 15 3 15 4" xfId="42232"/>
    <cellStyle name="Input [yellow] 3 15 3 15 5" xfId="53425"/>
    <cellStyle name="Input [yellow] 3 15 3 16" xfId="8871"/>
    <cellStyle name="Input [yellow] 3 15 3 16 2" xfId="20068"/>
    <cellStyle name="Input [yellow] 3 15 3 16 3" xfId="31236"/>
    <cellStyle name="Input [yellow] 3 15 3 16 4" xfId="42401"/>
    <cellStyle name="Input [yellow] 3 15 3 16 5" xfId="53594"/>
    <cellStyle name="Input [yellow] 3 15 3 17" xfId="9753"/>
    <cellStyle name="Input [yellow] 3 15 3 17 2" xfId="20950"/>
    <cellStyle name="Input [yellow] 3 15 3 17 3" xfId="32118"/>
    <cellStyle name="Input [yellow] 3 15 3 17 4" xfId="43283"/>
    <cellStyle name="Input [yellow] 3 15 3 17 5" xfId="54476"/>
    <cellStyle name="Input [yellow] 3 15 3 18" xfId="9990"/>
    <cellStyle name="Input [yellow] 3 15 3 18 2" xfId="21187"/>
    <cellStyle name="Input [yellow] 3 15 3 18 3" xfId="32355"/>
    <cellStyle name="Input [yellow] 3 15 3 18 4" xfId="43520"/>
    <cellStyle name="Input [yellow] 3 15 3 18 5" xfId="54713"/>
    <cellStyle name="Input [yellow] 3 15 3 19" xfId="10787"/>
    <cellStyle name="Input [yellow] 3 15 3 19 2" xfId="21984"/>
    <cellStyle name="Input [yellow] 3 15 3 19 3" xfId="33152"/>
    <cellStyle name="Input [yellow] 3 15 3 19 4" xfId="44317"/>
    <cellStyle name="Input [yellow] 3 15 3 19 5" xfId="55510"/>
    <cellStyle name="Input [yellow] 3 15 3 2" xfId="883"/>
    <cellStyle name="Input [yellow] 3 15 3 2 2" xfId="12080"/>
    <cellStyle name="Input [yellow] 3 15 3 2 3" xfId="23248"/>
    <cellStyle name="Input [yellow] 3 15 3 2 4" xfId="34413"/>
    <cellStyle name="Input [yellow] 3 15 3 2 5" xfId="45606"/>
    <cellStyle name="Input [yellow] 3 15 3 20" xfId="11434"/>
    <cellStyle name="Input [yellow] 3 15 3 21" xfId="22604"/>
    <cellStyle name="Input [yellow] 3 15 3 22" xfId="33771"/>
    <cellStyle name="Input [yellow] 3 15 3 23" xfId="44957"/>
    <cellStyle name="Input [yellow] 3 15 3 3" xfId="1454"/>
    <cellStyle name="Input [yellow] 3 15 3 3 2" xfId="12651"/>
    <cellStyle name="Input [yellow] 3 15 3 3 3" xfId="23819"/>
    <cellStyle name="Input [yellow] 3 15 3 3 4" xfId="34984"/>
    <cellStyle name="Input [yellow] 3 15 3 3 5" xfId="46177"/>
    <cellStyle name="Input [yellow] 3 15 3 4" xfId="2160"/>
    <cellStyle name="Input [yellow] 3 15 3 4 2" xfId="13357"/>
    <cellStyle name="Input [yellow] 3 15 3 4 3" xfId="24525"/>
    <cellStyle name="Input [yellow] 3 15 3 4 4" xfId="35690"/>
    <cellStyle name="Input [yellow] 3 15 3 4 5" xfId="46883"/>
    <cellStyle name="Input [yellow] 3 15 3 5" xfId="2153"/>
    <cellStyle name="Input [yellow] 3 15 3 5 2" xfId="13350"/>
    <cellStyle name="Input [yellow] 3 15 3 5 3" xfId="24518"/>
    <cellStyle name="Input [yellow] 3 15 3 5 4" xfId="35683"/>
    <cellStyle name="Input [yellow] 3 15 3 5 5" xfId="46876"/>
    <cellStyle name="Input [yellow] 3 15 3 6" xfId="3218"/>
    <cellStyle name="Input [yellow] 3 15 3 6 2" xfId="14415"/>
    <cellStyle name="Input [yellow] 3 15 3 6 3" xfId="25583"/>
    <cellStyle name="Input [yellow] 3 15 3 6 4" xfId="36748"/>
    <cellStyle name="Input [yellow] 3 15 3 6 5" xfId="47941"/>
    <cellStyle name="Input [yellow] 3 15 3 7" xfId="3852"/>
    <cellStyle name="Input [yellow] 3 15 3 7 2" xfId="15049"/>
    <cellStyle name="Input [yellow] 3 15 3 7 3" xfId="26217"/>
    <cellStyle name="Input [yellow] 3 15 3 7 4" xfId="37382"/>
    <cellStyle name="Input [yellow] 3 15 3 7 5" xfId="48575"/>
    <cellStyle name="Input [yellow] 3 15 3 8" xfId="4485"/>
    <cellStyle name="Input [yellow] 3 15 3 8 2" xfId="15682"/>
    <cellStyle name="Input [yellow] 3 15 3 8 3" xfId="26850"/>
    <cellStyle name="Input [yellow] 3 15 3 8 4" xfId="38015"/>
    <cellStyle name="Input [yellow] 3 15 3 8 5" xfId="49208"/>
    <cellStyle name="Input [yellow] 3 15 3 9" xfId="5116"/>
    <cellStyle name="Input [yellow] 3 15 3 9 2" xfId="16313"/>
    <cellStyle name="Input [yellow] 3 15 3 9 3" xfId="27481"/>
    <cellStyle name="Input [yellow] 3 15 3 9 4" xfId="38646"/>
    <cellStyle name="Input [yellow] 3 15 3 9 5" xfId="49839"/>
    <cellStyle name="Input [yellow] 3 15 30" xfId="11315"/>
    <cellStyle name="Input [yellow] 3 15 31" xfId="22485"/>
    <cellStyle name="Input [yellow] 3 15 32" xfId="33652"/>
    <cellStyle name="Input [yellow] 3 15 33" xfId="44838"/>
    <cellStyle name="Input [yellow] 3 15 4" xfId="285"/>
    <cellStyle name="Input [yellow] 3 15 4 10" xfId="5672"/>
    <cellStyle name="Input [yellow] 3 15 4 10 2" xfId="16869"/>
    <cellStyle name="Input [yellow] 3 15 4 10 3" xfId="28037"/>
    <cellStyle name="Input [yellow] 3 15 4 10 4" xfId="39202"/>
    <cellStyle name="Input [yellow] 3 15 4 10 5" xfId="50395"/>
    <cellStyle name="Input [yellow] 3 15 4 11" xfId="6221"/>
    <cellStyle name="Input [yellow] 3 15 4 11 2" xfId="17418"/>
    <cellStyle name="Input [yellow] 3 15 4 11 3" xfId="28586"/>
    <cellStyle name="Input [yellow] 3 15 4 11 4" xfId="39751"/>
    <cellStyle name="Input [yellow] 3 15 4 11 5" xfId="50944"/>
    <cellStyle name="Input [yellow] 3 15 4 12" xfId="6854"/>
    <cellStyle name="Input [yellow] 3 15 4 12 2" xfId="18051"/>
    <cellStyle name="Input [yellow] 3 15 4 12 3" xfId="29219"/>
    <cellStyle name="Input [yellow] 3 15 4 12 4" xfId="40384"/>
    <cellStyle name="Input [yellow] 3 15 4 12 5" xfId="51577"/>
    <cellStyle name="Input [yellow] 3 15 4 13" xfId="7488"/>
    <cellStyle name="Input [yellow] 3 15 4 13 2" xfId="18685"/>
    <cellStyle name="Input [yellow] 3 15 4 13 3" xfId="29853"/>
    <cellStyle name="Input [yellow] 3 15 4 13 4" xfId="41018"/>
    <cellStyle name="Input [yellow] 3 15 4 13 5" xfId="52211"/>
    <cellStyle name="Input [yellow] 3 15 4 14" xfId="8122"/>
    <cellStyle name="Input [yellow] 3 15 4 14 2" xfId="19319"/>
    <cellStyle name="Input [yellow] 3 15 4 14 3" xfId="30487"/>
    <cellStyle name="Input [yellow] 3 15 4 14 4" xfId="41652"/>
    <cellStyle name="Input [yellow] 3 15 4 14 5" xfId="52845"/>
    <cellStyle name="Input [yellow] 3 15 4 15" xfId="8751"/>
    <cellStyle name="Input [yellow] 3 15 4 15 2" xfId="19948"/>
    <cellStyle name="Input [yellow] 3 15 4 15 3" xfId="31116"/>
    <cellStyle name="Input [yellow] 3 15 4 15 4" xfId="42281"/>
    <cellStyle name="Input [yellow] 3 15 4 15 5" xfId="53474"/>
    <cellStyle name="Input [yellow] 3 15 4 16" xfId="9173"/>
    <cellStyle name="Input [yellow] 3 15 4 16 2" xfId="20370"/>
    <cellStyle name="Input [yellow] 3 15 4 16 3" xfId="31538"/>
    <cellStyle name="Input [yellow] 3 15 4 16 4" xfId="42703"/>
    <cellStyle name="Input [yellow] 3 15 4 16 5" xfId="53896"/>
    <cellStyle name="Input [yellow] 3 15 4 17" xfId="9800"/>
    <cellStyle name="Input [yellow] 3 15 4 17 2" xfId="20997"/>
    <cellStyle name="Input [yellow] 3 15 4 17 3" xfId="32165"/>
    <cellStyle name="Input [yellow] 3 15 4 17 4" xfId="43330"/>
    <cellStyle name="Input [yellow] 3 15 4 17 5" xfId="54523"/>
    <cellStyle name="Input [yellow] 3 15 4 18" xfId="10423"/>
    <cellStyle name="Input [yellow] 3 15 4 18 2" xfId="21620"/>
    <cellStyle name="Input [yellow] 3 15 4 18 3" xfId="32788"/>
    <cellStyle name="Input [yellow] 3 15 4 18 4" xfId="43953"/>
    <cellStyle name="Input [yellow] 3 15 4 18 5" xfId="55146"/>
    <cellStyle name="Input [yellow] 3 15 4 19" xfId="10838"/>
    <cellStyle name="Input [yellow] 3 15 4 19 2" xfId="22035"/>
    <cellStyle name="Input [yellow] 3 15 4 19 3" xfId="33203"/>
    <cellStyle name="Input [yellow] 3 15 4 19 4" xfId="44368"/>
    <cellStyle name="Input [yellow] 3 15 4 19 5" xfId="55561"/>
    <cellStyle name="Input [yellow] 3 15 4 2" xfId="934"/>
    <cellStyle name="Input [yellow] 3 15 4 2 2" xfId="12131"/>
    <cellStyle name="Input [yellow] 3 15 4 2 3" xfId="23299"/>
    <cellStyle name="Input [yellow] 3 15 4 2 4" xfId="34464"/>
    <cellStyle name="Input [yellow] 3 15 4 2 5" xfId="45657"/>
    <cellStyle name="Input [yellow] 3 15 4 20" xfId="11485"/>
    <cellStyle name="Input [yellow] 3 15 4 21" xfId="22655"/>
    <cellStyle name="Input [yellow] 3 15 4 22" xfId="33822"/>
    <cellStyle name="Input [yellow] 3 15 4 23" xfId="45008"/>
    <cellStyle name="Input [yellow] 3 15 4 3" xfId="1717"/>
    <cellStyle name="Input [yellow] 3 15 4 3 2" xfId="12914"/>
    <cellStyle name="Input [yellow] 3 15 4 3 3" xfId="24082"/>
    <cellStyle name="Input [yellow] 3 15 4 3 4" xfId="35247"/>
    <cellStyle name="Input [yellow] 3 15 4 3 5" xfId="46440"/>
    <cellStyle name="Input [yellow] 3 15 4 4" xfId="2211"/>
    <cellStyle name="Input [yellow] 3 15 4 4 2" xfId="13408"/>
    <cellStyle name="Input [yellow] 3 15 4 4 3" xfId="24576"/>
    <cellStyle name="Input [yellow] 3 15 4 4 4" xfId="35741"/>
    <cellStyle name="Input [yellow] 3 15 4 4 5" xfId="46934"/>
    <cellStyle name="Input [yellow] 3 15 4 5" xfId="2635"/>
    <cellStyle name="Input [yellow] 3 15 4 5 2" xfId="13832"/>
    <cellStyle name="Input [yellow] 3 15 4 5 3" xfId="25000"/>
    <cellStyle name="Input [yellow] 3 15 4 5 4" xfId="36165"/>
    <cellStyle name="Input [yellow] 3 15 4 5 5" xfId="47358"/>
    <cellStyle name="Input [yellow] 3 15 4 6" xfId="3269"/>
    <cellStyle name="Input [yellow] 3 15 4 6 2" xfId="14466"/>
    <cellStyle name="Input [yellow] 3 15 4 6 3" xfId="25634"/>
    <cellStyle name="Input [yellow] 3 15 4 6 4" xfId="36799"/>
    <cellStyle name="Input [yellow] 3 15 4 6 5" xfId="47992"/>
    <cellStyle name="Input [yellow] 3 15 4 7" xfId="3903"/>
    <cellStyle name="Input [yellow] 3 15 4 7 2" xfId="15100"/>
    <cellStyle name="Input [yellow] 3 15 4 7 3" xfId="26268"/>
    <cellStyle name="Input [yellow] 3 15 4 7 4" xfId="37433"/>
    <cellStyle name="Input [yellow] 3 15 4 7 5" xfId="48626"/>
    <cellStyle name="Input [yellow] 3 15 4 8" xfId="4536"/>
    <cellStyle name="Input [yellow] 3 15 4 8 2" xfId="15733"/>
    <cellStyle name="Input [yellow] 3 15 4 8 3" xfId="26901"/>
    <cellStyle name="Input [yellow] 3 15 4 8 4" xfId="38066"/>
    <cellStyle name="Input [yellow] 3 15 4 8 5" xfId="49259"/>
    <cellStyle name="Input [yellow] 3 15 4 9" xfId="5167"/>
    <cellStyle name="Input [yellow] 3 15 4 9 2" xfId="16364"/>
    <cellStyle name="Input [yellow] 3 15 4 9 3" xfId="27532"/>
    <cellStyle name="Input [yellow] 3 15 4 9 4" xfId="38697"/>
    <cellStyle name="Input [yellow] 3 15 4 9 5" xfId="49890"/>
    <cellStyle name="Input [yellow] 3 15 5" xfId="298"/>
    <cellStyle name="Input [yellow] 3 15 5 10" xfId="5905"/>
    <cellStyle name="Input [yellow] 3 15 5 10 2" xfId="17102"/>
    <cellStyle name="Input [yellow] 3 15 5 10 3" xfId="28270"/>
    <cellStyle name="Input [yellow] 3 15 5 10 4" xfId="39435"/>
    <cellStyle name="Input [yellow] 3 15 5 10 5" xfId="50628"/>
    <cellStyle name="Input [yellow] 3 15 5 11" xfId="6234"/>
    <cellStyle name="Input [yellow] 3 15 5 11 2" xfId="17431"/>
    <cellStyle name="Input [yellow] 3 15 5 11 3" xfId="28599"/>
    <cellStyle name="Input [yellow] 3 15 5 11 4" xfId="39764"/>
    <cellStyle name="Input [yellow] 3 15 5 11 5" xfId="50957"/>
    <cellStyle name="Input [yellow] 3 15 5 12" xfId="6867"/>
    <cellStyle name="Input [yellow] 3 15 5 12 2" xfId="18064"/>
    <cellStyle name="Input [yellow] 3 15 5 12 3" xfId="29232"/>
    <cellStyle name="Input [yellow] 3 15 5 12 4" xfId="40397"/>
    <cellStyle name="Input [yellow] 3 15 5 12 5" xfId="51590"/>
    <cellStyle name="Input [yellow] 3 15 5 13" xfId="7501"/>
    <cellStyle name="Input [yellow] 3 15 5 13 2" xfId="18698"/>
    <cellStyle name="Input [yellow] 3 15 5 13 3" xfId="29866"/>
    <cellStyle name="Input [yellow] 3 15 5 13 4" xfId="41031"/>
    <cellStyle name="Input [yellow] 3 15 5 13 5" xfId="52224"/>
    <cellStyle name="Input [yellow] 3 15 5 14" xfId="8135"/>
    <cellStyle name="Input [yellow] 3 15 5 14 2" xfId="19332"/>
    <cellStyle name="Input [yellow] 3 15 5 14 3" xfId="30500"/>
    <cellStyle name="Input [yellow] 3 15 5 14 4" xfId="41665"/>
    <cellStyle name="Input [yellow] 3 15 5 14 5" xfId="52858"/>
    <cellStyle name="Input [yellow] 3 15 5 15" xfId="8764"/>
    <cellStyle name="Input [yellow] 3 15 5 15 2" xfId="19961"/>
    <cellStyle name="Input [yellow] 3 15 5 15 3" xfId="31129"/>
    <cellStyle name="Input [yellow] 3 15 5 15 4" xfId="42294"/>
    <cellStyle name="Input [yellow] 3 15 5 15 5" xfId="53487"/>
    <cellStyle name="Input [yellow] 3 15 5 16" xfId="9186"/>
    <cellStyle name="Input [yellow] 3 15 5 16 2" xfId="20383"/>
    <cellStyle name="Input [yellow] 3 15 5 16 3" xfId="31551"/>
    <cellStyle name="Input [yellow] 3 15 5 16 4" xfId="42716"/>
    <cellStyle name="Input [yellow] 3 15 5 16 5" xfId="53909"/>
    <cellStyle name="Input [yellow] 3 15 5 17" xfId="9813"/>
    <cellStyle name="Input [yellow] 3 15 5 17 2" xfId="21010"/>
    <cellStyle name="Input [yellow] 3 15 5 17 3" xfId="32178"/>
    <cellStyle name="Input [yellow] 3 15 5 17 4" xfId="43343"/>
    <cellStyle name="Input [yellow] 3 15 5 17 5" xfId="54536"/>
    <cellStyle name="Input [yellow] 3 15 5 18" xfId="10316"/>
    <cellStyle name="Input [yellow] 3 15 5 18 2" xfId="21513"/>
    <cellStyle name="Input [yellow] 3 15 5 18 3" xfId="32681"/>
    <cellStyle name="Input [yellow] 3 15 5 18 4" xfId="43846"/>
    <cellStyle name="Input [yellow] 3 15 5 18 5" xfId="55039"/>
    <cellStyle name="Input [yellow] 3 15 5 19" xfId="10851"/>
    <cellStyle name="Input [yellow] 3 15 5 19 2" xfId="22048"/>
    <cellStyle name="Input [yellow] 3 15 5 19 3" xfId="33216"/>
    <cellStyle name="Input [yellow] 3 15 5 19 4" xfId="44381"/>
    <cellStyle name="Input [yellow] 3 15 5 19 5" xfId="55574"/>
    <cellStyle name="Input [yellow] 3 15 5 2" xfId="947"/>
    <cellStyle name="Input [yellow] 3 15 5 2 2" xfId="12144"/>
    <cellStyle name="Input [yellow] 3 15 5 2 3" xfId="23312"/>
    <cellStyle name="Input [yellow] 3 15 5 2 4" xfId="34477"/>
    <cellStyle name="Input [yellow] 3 15 5 2 5" xfId="45670"/>
    <cellStyle name="Input [yellow] 3 15 5 20" xfId="11498"/>
    <cellStyle name="Input [yellow] 3 15 5 21" xfId="22668"/>
    <cellStyle name="Input [yellow] 3 15 5 22" xfId="33835"/>
    <cellStyle name="Input [yellow] 3 15 5 23" xfId="45021"/>
    <cellStyle name="Input [yellow] 3 15 5 3" xfId="1619"/>
    <cellStyle name="Input [yellow] 3 15 5 3 2" xfId="12816"/>
    <cellStyle name="Input [yellow] 3 15 5 3 3" xfId="23984"/>
    <cellStyle name="Input [yellow] 3 15 5 3 4" xfId="35149"/>
    <cellStyle name="Input [yellow] 3 15 5 3 5" xfId="46342"/>
    <cellStyle name="Input [yellow] 3 15 5 4" xfId="2223"/>
    <cellStyle name="Input [yellow] 3 15 5 4 2" xfId="13420"/>
    <cellStyle name="Input [yellow] 3 15 5 4 3" xfId="24588"/>
    <cellStyle name="Input [yellow] 3 15 5 4 4" xfId="35753"/>
    <cellStyle name="Input [yellow] 3 15 5 4 5" xfId="46946"/>
    <cellStyle name="Input [yellow] 3 15 5 5" xfId="2648"/>
    <cellStyle name="Input [yellow] 3 15 5 5 2" xfId="13845"/>
    <cellStyle name="Input [yellow] 3 15 5 5 3" xfId="25013"/>
    <cellStyle name="Input [yellow] 3 15 5 5 4" xfId="36178"/>
    <cellStyle name="Input [yellow] 3 15 5 5 5" xfId="47371"/>
    <cellStyle name="Input [yellow] 3 15 5 6" xfId="3282"/>
    <cellStyle name="Input [yellow] 3 15 5 6 2" xfId="14479"/>
    <cellStyle name="Input [yellow] 3 15 5 6 3" xfId="25647"/>
    <cellStyle name="Input [yellow] 3 15 5 6 4" xfId="36812"/>
    <cellStyle name="Input [yellow] 3 15 5 6 5" xfId="48005"/>
    <cellStyle name="Input [yellow] 3 15 5 7" xfId="3916"/>
    <cellStyle name="Input [yellow] 3 15 5 7 2" xfId="15113"/>
    <cellStyle name="Input [yellow] 3 15 5 7 3" xfId="26281"/>
    <cellStyle name="Input [yellow] 3 15 5 7 4" xfId="37446"/>
    <cellStyle name="Input [yellow] 3 15 5 7 5" xfId="48639"/>
    <cellStyle name="Input [yellow] 3 15 5 8" xfId="4549"/>
    <cellStyle name="Input [yellow] 3 15 5 8 2" xfId="15746"/>
    <cellStyle name="Input [yellow] 3 15 5 8 3" xfId="26914"/>
    <cellStyle name="Input [yellow] 3 15 5 8 4" xfId="38079"/>
    <cellStyle name="Input [yellow] 3 15 5 8 5" xfId="49272"/>
    <cellStyle name="Input [yellow] 3 15 5 9" xfId="5180"/>
    <cellStyle name="Input [yellow] 3 15 5 9 2" xfId="16377"/>
    <cellStyle name="Input [yellow] 3 15 5 9 3" xfId="27545"/>
    <cellStyle name="Input [yellow] 3 15 5 9 4" xfId="38710"/>
    <cellStyle name="Input [yellow] 3 15 5 9 5" xfId="49903"/>
    <cellStyle name="Input [yellow] 3 15 6" xfId="419"/>
    <cellStyle name="Input [yellow] 3 15 6 10" xfId="5918"/>
    <cellStyle name="Input [yellow] 3 15 6 10 2" xfId="17115"/>
    <cellStyle name="Input [yellow] 3 15 6 10 3" xfId="28283"/>
    <cellStyle name="Input [yellow] 3 15 6 10 4" xfId="39448"/>
    <cellStyle name="Input [yellow] 3 15 6 10 5" xfId="50641"/>
    <cellStyle name="Input [yellow] 3 15 6 11" xfId="6355"/>
    <cellStyle name="Input [yellow] 3 15 6 11 2" xfId="17552"/>
    <cellStyle name="Input [yellow] 3 15 6 11 3" xfId="28720"/>
    <cellStyle name="Input [yellow] 3 15 6 11 4" xfId="39885"/>
    <cellStyle name="Input [yellow] 3 15 6 11 5" xfId="51078"/>
    <cellStyle name="Input [yellow] 3 15 6 12" xfId="6988"/>
    <cellStyle name="Input [yellow] 3 15 6 12 2" xfId="18185"/>
    <cellStyle name="Input [yellow] 3 15 6 12 3" xfId="29353"/>
    <cellStyle name="Input [yellow] 3 15 6 12 4" xfId="40518"/>
    <cellStyle name="Input [yellow] 3 15 6 12 5" xfId="51711"/>
    <cellStyle name="Input [yellow] 3 15 6 13" xfId="7622"/>
    <cellStyle name="Input [yellow] 3 15 6 13 2" xfId="18819"/>
    <cellStyle name="Input [yellow] 3 15 6 13 3" xfId="29987"/>
    <cellStyle name="Input [yellow] 3 15 6 13 4" xfId="41152"/>
    <cellStyle name="Input [yellow] 3 15 6 13 5" xfId="52345"/>
    <cellStyle name="Input [yellow] 3 15 6 14" xfId="8256"/>
    <cellStyle name="Input [yellow] 3 15 6 14 2" xfId="19453"/>
    <cellStyle name="Input [yellow] 3 15 6 14 3" xfId="30621"/>
    <cellStyle name="Input [yellow] 3 15 6 14 4" xfId="41786"/>
    <cellStyle name="Input [yellow] 3 15 6 14 5" xfId="52979"/>
    <cellStyle name="Input [yellow] 3 15 6 15" xfId="8884"/>
    <cellStyle name="Input [yellow] 3 15 6 15 2" xfId="20081"/>
    <cellStyle name="Input [yellow] 3 15 6 15 3" xfId="31249"/>
    <cellStyle name="Input [yellow] 3 15 6 15 4" xfId="42414"/>
    <cellStyle name="Input [yellow] 3 15 6 15 5" xfId="53607"/>
    <cellStyle name="Input [yellow] 3 15 6 16" xfId="9307"/>
    <cellStyle name="Input [yellow] 3 15 6 16 2" xfId="20504"/>
    <cellStyle name="Input [yellow] 3 15 6 16 3" xfId="31672"/>
    <cellStyle name="Input [yellow] 3 15 6 16 4" xfId="42837"/>
    <cellStyle name="Input [yellow] 3 15 6 16 5" xfId="54030"/>
    <cellStyle name="Input [yellow] 3 15 6 17" xfId="9933"/>
    <cellStyle name="Input [yellow] 3 15 6 17 2" xfId="21130"/>
    <cellStyle name="Input [yellow] 3 15 6 17 3" xfId="32298"/>
    <cellStyle name="Input [yellow] 3 15 6 17 4" xfId="43463"/>
    <cellStyle name="Input [yellow] 3 15 6 17 5" xfId="54656"/>
    <cellStyle name="Input [yellow] 3 15 6 18" xfId="10408"/>
    <cellStyle name="Input [yellow] 3 15 6 18 2" xfId="21605"/>
    <cellStyle name="Input [yellow] 3 15 6 18 3" xfId="32773"/>
    <cellStyle name="Input [yellow] 3 15 6 18 4" xfId="43938"/>
    <cellStyle name="Input [yellow] 3 15 6 18 5" xfId="55131"/>
    <cellStyle name="Input [yellow] 3 15 6 19" xfId="10972"/>
    <cellStyle name="Input [yellow] 3 15 6 19 2" xfId="22169"/>
    <cellStyle name="Input [yellow] 3 15 6 19 3" xfId="33337"/>
    <cellStyle name="Input [yellow] 3 15 6 19 4" xfId="44502"/>
    <cellStyle name="Input [yellow] 3 15 6 19 5" xfId="55695"/>
    <cellStyle name="Input [yellow] 3 15 6 2" xfId="1068"/>
    <cellStyle name="Input [yellow] 3 15 6 2 2" xfId="12265"/>
    <cellStyle name="Input [yellow] 3 15 6 2 3" xfId="23433"/>
    <cellStyle name="Input [yellow] 3 15 6 2 4" xfId="34598"/>
    <cellStyle name="Input [yellow] 3 15 6 2 5" xfId="45791"/>
    <cellStyle name="Input [yellow] 3 15 6 20" xfId="11619"/>
    <cellStyle name="Input [yellow] 3 15 6 21" xfId="22789"/>
    <cellStyle name="Input [yellow] 3 15 6 22" xfId="33956"/>
    <cellStyle name="Input [yellow] 3 15 6 23" xfId="45142"/>
    <cellStyle name="Input [yellow] 3 15 6 3" xfId="1653"/>
    <cellStyle name="Input [yellow] 3 15 6 3 2" xfId="12850"/>
    <cellStyle name="Input [yellow] 3 15 6 3 3" xfId="24018"/>
    <cellStyle name="Input [yellow] 3 15 6 3 4" xfId="35183"/>
    <cellStyle name="Input [yellow] 3 15 6 3 5" xfId="46376"/>
    <cellStyle name="Input [yellow] 3 15 6 4" xfId="2344"/>
    <cellStyle name="Input [yellow] 3 15 6 4 2" xfId="13541"/>
    <cellStyle name="Input [yellow] 3 15 6 4 3" xfId="24709"/>
    <cellStyle name="Input [yellow] 3 15 6 4 4" xfId="35874"/>
    <cellStyle name="Input [yellow] 3 15 6 4 5" xfId="47067"/>
    <cellStyle name="Input [yellow] 3 15 6 5" xfId="2769"/>
    <cellStyle name="Input [yellow] 3 15 6 5 2" xfId="13966"/>
    <cellStyle name="Input [yellow] 3 15 6 5 3" xfId="25134"/>
    <cellStyle name="Input [yellow] 3 15 6 5 4" xfId="36299"/>
    <cellStyle name="Input [yellow] 3 15 6 5 5" xfId="47492"/>
    <cellStyle name="Input [yellow] 3 15 6 6" xfId="3403"/>
    <cellStyle name="Input [yellow] 3 15 6 6 2" xfId="14600"/>
    <cellStyle name="Input [yellow] 3 15 6 6 3" xfId="25768"/>
    <cellStyle name="Input [yellow] 3 15 6 6 4" xfId="36933"/>
    <cellStyle name="Input [yellow] 3 15 6 6 5" xfId="48126"/>
    <cellStyle name="Input [yellow] 3 15 6 7" xfId="4037"/>
    <cellStyle name="Input [yellow] 3 15 6 7 2" xfId="15234"/>
    <cellStyle name="Input [yellow] 3 15 6 7 3" xfId="26402"/>
    <cellStyle name="Input [yellow] 3 15 6 7 4" xfId="37567"/>
    <cellStyle name="Input [yellow] 3 15 6 7 5" xfId="48760"/>
    <cellStyle name="Input [yellow] 3 15 6 8" xfId="4670"/>
    <cellStyle name="Input [yellow] 3 15 6 8 2" xfId="15867"/>
    <cellStyle name="Input [yellow] 3 15 6 8 3" xfId="27035"/>
    <cellStyle name="Input [yellow] 3 15 6 8 4" xfId="38200"/>
    <cellStyle name="Input [yellow] 3 15 6 8 5" xfId="49393"/>
    <cellStyle name="Input [yellow] 3 15 6 9" xfId="5301"/>
    <cellStyle name="Input [yellow] 3 15 6 9 2" xfId="16498"/>
    <cellStyle name="Input [yellow] 3 15 6 9 3" xfId="27666"/>
    <cellStyle name="Input [yellow] 3 15 6 9 4" xfId="38831"/>
    <cellStyle name="Input [yellow] 3 15 6 9 5" xfId="50024"/>
    <cellStyle name="Input [yellow] 3 15 7" xfId="387"/>
    <cellStyle name="Input [yellow] 3 15 7 10" xfId="5633"/>
    <cellStyle name="Input [yellow] 3 15 7 10 2" xfId="16830"/>
    <cellStyle name="Input [yellow] 3 15 7 10 3" xfId="27998"/>
    <cellStyle name="Input [yellow] 3 15 7 10 4" xfId="39163"/>
    <cellStyle name="Input [yellow] 3 15 7 10 5" xfId="50356"/>
    <cellStyle name="Input [yellow] 3 15 7 11" xfId="6323"/>
    <cellStyle name="Input [yellow] 3 15 7 11 2" xfId="17520"/>
    <cellStyle name="Input [yellow] 3 15 7 11 3" xfId="28688"/>
    <cellStyle name="Input [yellow] 3 15 7 11 4" xfId="39853"/>
    <cellStyle name="Input [yellow] 3 15 7 11 5" xfId="51046"/>
    <cellStyle name="Input [yellow] 3 15 7 12" xfId="6956"/>
    <cellStyle name="Input [yellow] 3 15 7 12 2" xfId="18153"/>
    <cellStyle name="Input [yellow] 3 15 7 12 3" xfId="29321"/>
    <cellStyle name="Input [yellow] 3 15 7 12 4" xfId="40486"/>
    <cellStyle name="Input [yellow] 3 15 7 12 5" xfId="51679"/>
    <cellStyle name="Input [yellow] 3 15 7 13" xfId="7590"/>
    <cellStyle name="Input [yellow] 3 15 7 13 2" xfId="18787"/>
    <cellStyle name="Input [yellow] 3 15 7 13 3" xfId="29955"/>
    <cellStyle name="Input [yellow] 3 15 7 13 4" xfId="41120"/>
    <cellStyle name="Input [yellow] 3 15 7 13 5" xfId="52313"/>
    <cellStyle name="Input [yellow] 3 15 7 14" xfId="8224"/>
    <cellStyle name="Input [yellow] 3 15 7 14 2" xfId="19421"/>
    <cellStyle name="Input [yellow] 3 15 7 14 3" xfId="30589"/>
    <cellStyle name="Input [yellow] 3 15 7 14 4" xfId="41754"/>
    <cellStyle name="Input [yellow] 3 15 7 14 5" xfId="52947"/>
    <cellStyle name="Input [yellow] 3 15 7 15" xfId="8852"/>
    <cellStyle name="Input [yellow] 3 15 7 15 2" xfId="20049"/>
    <cellStyle name="Input [yellow] 3 15 7 15 3" xfId="31217"/>
    <cellStyle name="Input [yellow] 3 15 7 15 4" xfId="42382"/>
    <cellStyle name="Input [yellow] 3 15 7 15 5" xfId="53575"/>
    <cellStyle name="Input [yellow] 3 15 7 16" xfId="9275"/>
    <cellStyle name="Input [yellow] 3 15 7 16 2" xfId="20472"/>
    <cellStyle name="Input [yellow] 3 15 7 16 3" xfId="31640"/>
    <cellStyle name="Input [yellow] 3 15 7 16 4" xfId="42805"/>
    <cellStyle name="Input [yellow] 3 15 7 16 5" xfId="53998"/>
    <cellStyle name="Input [yellow] 3 15 7 17" xfId="9901"/>
    <cellStyle name="Input [yellow] 3 15 7 17 2" xfId="21098"/>
    <cellStyle name="Input [yellow] 3 15 7 17 3" xfId="32266"/>
    <cellStyle name="Input [yellow] 3 15 7 17 4" xfId="43431"/>
    <cellStyle name="Input [yellow] 3 15 7 17 5" xfId="54624"/>
    <cellStyle name="Input [yellow] 3 15 7 18" xfId="10334"/>
    <cellStyle name="Input [yellow] 3 15 7 18 2" xfId="21531"/>
    <cellStyle name="Input [yellow] 3 15 7 18 3" xfId="32699"/>
    <cellStyle name="Input [yellow] 3 15 7 18 4" xfId="43864"/>
    <cellStyle name="Input [yellow] 3 15 7 18 5" xfId="55057"/>
    <cellStyle name="Input [yellow] 3 15 7 19" xfId="10940"/>
    <cellStyle name="Input [yellow] 3 15 7 19 2" xfId="22137"/>
    <cellStyle name="Input [yellow] 3 15 7 19 3" xfId="33305"/>
    <cellStyle name="Input [yellow] 3 15 7 19 4" xfId="44470"/>
    <cellStyle name="Input [yellow] 3 15 7 19 5" xfId="55663"/>
    <cellStyle name="Input [yellow] 3 15 7 2" xfId="1036"/>
    <cellStyle name="Input [yellow] 3 15 7 2 2" xfId="12233"/>
    <cellStyle name="Input [yellow] 3 15 7 2 3" xfId="23401"/>
    <cellStyle name="Input [yellow] 3 15 7 2 4" xfId="34566"/>
    <cellStyle name="Input [yellow] 3 15 7 2 5" xfId="45759"/>
    <cellStyle name="Input [yellow] 3 15 7 20" xfId="11587"/>
    <cellStyle name="Input [yellow] 3 15 7 21" xfId="22757"/>
    <cellStyle name="Input [yellow] 3 15 7 22" xfId="33924"/>
    <cellStyle name="Input [yellow] 3 15 7 23" xfId="45110"/>
    <cellStyle name="Input [yellow] 3 15 7 3" xfId="1620"/>
    <cellStyle name="Input [yellow] 3 15 7 3 2" xfId="12817"/>
    <cellStyle name="Input [yellow] 3 15 7 3 3" xfId="23985"/>
    <cellStyle name="Input [yellow] 3 15 7 3 4" xfId="35150"/>
    <cellStyle name="Input [yellow] 3 15 7 3 5" xfId="46343"/>
    <cellStyle name="Input [yellow] 3 15 7 4" xfId="2312"/>
    <cellStyle name="Input [yellow] 3 15 7 4 2" xfId="13509"/>
    <cellStyle name="Input [yellow] 3 15 7 4 3" xfId="24677"/>
    <cellStyle name="Input [yellow] 3 15 7 4 4" xfId="35842"/>
    <cellStyle name="Input [yellow] 3 15 7 4 5" xfId="47035"/>
    <cellStyle name="Input [yellow] 3 15 7 5" xfId="2737"/>
    <cellStyle name="Input [yellow] 3 15 7 5 2" xfId="13934"/>
    <cellStyle name="Input [yellow] 3 15 7 5 3" xfId="25102"/>
    <cellStyle name="Input [yellow] 3 15 7 5 4" xfId="36267"/>
    <cellStyle name="Input [yellow] 3 15 7 5 5" xfId="47460"/>
    <cellStyle name="Input [yellow] 3 15 7 6" xfId="3371"/>
    <cellStyle name="Input [yellow] 3 15 7 6 2" xfId="14568"/>
    <cellStyle name="Input [yellow] 3 15 7 6 3" xfId="25736"/>
    <cellStyle name="Input [yellow] 3 15 7 6 4" xfId="36901"/>
    <cellStyle name="Input [yellow] 3 15 7 6 5" xfId="48094"/>
    <cellStyle name="Input [yellow] 3 15 7 7" xfId="4005"/>
    <cellStyle name="Input [yellow] 3 15 7 7 2" xfId="15202"/>
    <cellStyle name="Input [yellow] 3 15 7 7 3" xfId="26370"/>
    <cellStyle name="Input [yellow] 3 15 7 7 4" xfId="37535"/>
    <cellStyle name="Input [yellow] 3 15 7 7 5" xfId="48728"/>
    <cellStyle name="Input [yellow] 3 15 7 8" xfId="4638"/>
    <cellStyle name="Input [yellow] 3 15 7 8 2" xfId="15835"/>
    <cellStyle name="Input [yellow] 3 15 7 8 3" xfId="27003"/>
    <cellStyle name="Input [yellow] 3 15 7 8 4" xfId="38168"/>
    <cellStyle name="Input [yellow] 3 15 7 8 5" xfId="49361"/>
    <cellStyle name="Input [yellow] 3 15 7 9" xfId="5269"/>
    <cellStyle name="Input [yellow] 3 15 7 9 2" xfId="16466"/>
    <cellStyle name="Input [yellow] 3 15 7 9 3" xfId="27634"/>
    <cellStyle name="Input [yellow] 3 15 7 9 4" xfId="38799"/>
    <cellStyle name="Input [yellow] 3 15 7 9 5" xfId="49992"/>
    <cellStyle name="Input [yellow] 3 15 8" xfId="524"/>
    <cellStyle name="Input [yellow] 3 15 8 10" xfId="5662"/>
    <cellStyle name="Input [yellow] 3 15 8 10 2" xfId="16859"/>
    <cellStyle name="Input [yellow] 3 15 8 10 3" xfId="28027"/>
    <cellStyle name="Input [yellow] 3 15 8 10 4" xfId="39192"/>
    <cellStyle name="Input [yellow] 3 15 8 10 5" xfId="50385"/>
    <cellStyle name="Input [yellow] 3 15 8 11" xfId="6460"/>
    <cellStyle name="Input [yellow] 3 15 8 11 2" xfId="17657"/>
    <cellStyle name="Input [yellow] 3 15 8 11 3" xfId="28825"/>
    <cellStyle name="Input [yellow] 3 15 8 11 4" xfId="39990"/>
    <cellStyle name="Input [yellow] 3 15 8 11 5" xfId="51183"/>
    <cellStyle name="Input [yellow] 3 15 8 12" xfId="7093"/>
    <cellStyle name="Input [yellow] 3 15 8 12 2" xfId="18290"/>
    <cellStyle name="Input [yellow] 3 15 8 12 3" xfId="29458"/>
    <cellStyle name="Input [yellow] 3 15 8 12 4" xfId="40623"/>
    <cellStyle name="Input [yellow] 3 15 8 12 5" xfId="51816"/>
    <cellStyle name="Input [yellow] 3 15 8 13" xfId="7727"/>
    <cellStyle name="Input [yellow] 3 15 8 13 2" xfId="18924"/>
    <cellStyle name="Input [yellow] 3 15 8 13 3" xfId="30092"/>
    <cellStyle name="Input [yellow] 3 15 8 13 4" xfId="41257"/>
    <cellStyle name="Input [yellow] 3 15 8 13 5" xfId="52450"/>
    <cellStyle name="Input [yellow] 3 15 8 14" xfId="8361"/>
    <cellStyle name="Input [yellow] 3 15 8 14 2" xfId="19558"/>
    <cellStyle name="Input [yellow] 3 15 8 14 3" xfId="30726"/>
    <cellStyle name="Input [yellow] 3 15 8 14 4" xfId="41891"/>
    <cellStyle name="Input [yellow] 3 15 8 14 5" xfId="53084"/>
    <cellStyle name="Input [yellow] 3 15 8 15" xfId="8989"/>
    <cellStyle name="Input [yellow] 3 15 8 15 2" xfId="20186"/>
    <cellStyle name="Input [yellow] 3 15 8 15 3" xfId="31354"/>
    <cellStyle name="Input [yellow] 3 15 8 15 4" xfId="42519"/>
    <cellStyle name="Input [yellow] 3 15 8 15 5" xfId="53712"/>
    <cellStyle name="Input [yellow] 3 15 8 16" xfId="9412"/>
    <cellStyle name="Input [yellow] 3 15 8 16 2" xfId="20609"/>
    <cellStyle name="Input [yellow] 3 15 8 16 3" xfId="31777"/>
    <cellStyle name="Input [yellow] 3 15 8 16 4" xfId="42942"/>
    <cellStyle name="Input [yellow] 3 15 8 16 5" xfId="54135"/>
    <cellStyle name="Input [yellow] 3 15 8 17" xfId="10037"/>
    <cellStyle name="Input [yellow] 3 15 8 17 2" xfId="21234"/>
    <cellStyle name="Input [yellow] 3 15 8 17 3" xfId="32402"/>
    <cellStyle name="Input [yellow] 3 15 8 17 4" xfId="43567"/>
    <cellStyle name="Input [yellow] 3 15 8 17 5" xfId="54760"/>
    <cellStyle name="Input [yellow] 3 15 8 18" xfId="10234"/>
    <cellStyle name="Input [yellow] 3 15 8 18 2" xfId="21431"/>
    <cellStyle name="Input [yellow] 3 15 8 18 3" xfId="32599"/>
    <cellStyle name="Input [yellow] 3 15 8 18 4" xfId="43764"/>
    <cellStyle name="Input [yellow] 3 15 8 18 5" xfId="54957"/>
    <cellStyle name="Input [yellow] 3 15 8 19" xfId="11077"/>
    <cellStyle name="Input [yellow] 3 15 8 19 2" xfId="22274"/>
    <cellStyle name="Input [yellow] 3 15 8 19 3" xfId="33442"/>
    <cellStyle name="Input [yellow] 3 15 8 19 4" xfId="44607"/>
    <cellStyle name="Input [yellow] 3 15 8 19 5" xfId="55800"/>
    <cellStyle name="Input [yellow] 3 15 8 2" xfId="1173"/>
    <cellStyle name="Input [yellow] 3 15 8 2 2" xfId="12370"/>
    <cellStyle name="Input [yellow] 3 15 8 2 3" xfId="23538"/>
    <cellStyle name="Input [yellow] 3 15 8 2 4" xfId="34703"/>
    <cellStyle name="Input [yellow] 3 15 8 2 5" xfId="45896"/>
    <cellStyle name="Input [yellow] 3 15 8 20" xfId="11724"/>
    <cellStyle name="Input [yellow] 3 15 8 21" xfId="22894"/>
    <cellStyle name="Input [yellow] 3 15 8 22" xfId="34061"/>
    <cellStyle name="Input [yellow] 3 15 8 23" xfId="45247"/>
    <cellStyle name="Input [yellow] 3 15 8 3" xfId="1651"/>
    <cellStyle name="Input [yellow] 3 15 8 3 2" xfId="12848"/>
    <cellStyle name="Input [yellow] 3 15 8 3 3" xfId="24016"/>
    <cellStyle name="Input [yellow] 3 15 8 3 4" xfId="35181"/>
    <cellStyle name="Input [yellow] 3 15 8 3 5" xfId="46374"/>
    <cellStyle name="Input [yellow] 3 15 8 4" xfId="2449"/>
    <cellStyle name="Input [yellow] 3 15 8 4 2" xfId="13646"/>
    <cellStyle name="Input [yellow] 3 15 8 4 3" xfId="24814"/>
    <cellStyle name="Input [yellow] 3 15 8 4 4" xfId="35979"/>
    <cellStyle name="Input [yellow] 3 15 8 4 5" xfId="47172"/>
    <cellStyle name="Input [yellow] 3 15 8 5" xfId="2874"/>
    <cellStyle name="Input [yellow] 3 15 8 5 2" xfId="14071"/>
    <cellStyle name="Input [yellow] 3 15 8 5 3" xfId="25239"/>
    <cellStyle name="Input [yellow] 3 15 8 5 4" xfId="36404"/>
    <cellStyle name="Input [yellow] 3 15 8 5 5" xfId="47597"/>
    <cellStyle name="Input [yellow] 3 15 8 6" xfId="3508"/>
    <cellStyle name="Input [yellow] 3 15 8 6 2" xfId="14705"/>
    <cellStyle name="Input [yellow] 3 15 8 6 3" xfId="25873"/>
    <cellStyle name="Input [yellow] 3 15 8 6 4" xfId="37038"/>
    <cellStyle name="Input [yellow] 3 15 8 6 5" xfId="48231"/>
    <cellStyle name="Input [yellow] 3 15 8 7" xfId="4142"/>
    <cellStyle name="Input [yellow] 3 15 8 7 2" xfId="15339"/>
    <cellStyle name="Input [yellow] 3 15 8 7 3" xfId="26507"/>
    <cellStyle name="Input [yellow] 3 15 8 7 4" xfId="37672"/>
    <cellStyle name="Input [yellow] 3 15 8 7 5" xfId="48865"/>
    <cellStyle name="Input [yellow] 3 15 8 8" xfId="4775"/>
    <cellStyle name="Input [yellow] 3 15 8 8 2" xfId="15972"/>
    <cellStyle name="Input [yellow] 3 15 8 8 3" xfId="27140"/>
    <cellStyle name="Input [yellow] 3 15 8 8 4" xfId="38305"/>
    <cellStyle name="Input [yellow] 3 15 8 8 5" xfId="49498"/>
    <cellStyle name="Input [yellow] 3 15 8 9" xfId="5406"/>
    <cellStyle name="Input [yellow] 3 15 8 9 2" xfId="16603"/>
    <cellStyle name="Input [yellow] 3 15 8 9 3" xfId="27771"/>
    <cellStyle name="Input [yellow] 3 15 8 9 4" xfId="38936"/>
    <cellStyle name="Input [yellow] 3 15 8 9 5" xfId="50129"/>
    <cellStyle name="Input [yellow] 3 15 9" xfId="582"/>
    <cellStyle name="Input [yellow] 3 15 9 10" xfId="6160"/>
    <cellStyle name="Input [yellow] 3 15 9 10 2" xfId="17357"/>
    <cellStyle name="Input [yellow] 3 15 9 10 3" xfId="28525"/>
    <cellStyle name="Input [yellow] 3 15 9 10 4" xfId="39690"/>
    <cellStyle name="Input [yellow] 3 15 9 10 5" xfId="50883"/>
    <cellStyle name="Input [yellow] 3 15 9 11" xfId="6518"/>
    <cellStyle name="Input [yellow] 3 15 9 11 2" xfId="17715"/>
    <cellStyle name="Input [yellow] 3 15 9 11 3" xfId="28883"/>
    <cellStyle name="Input [yellow] 3 15 9 11 4" xfId="40048"/>
    <cellStyle name="Input [yellow] 3 15 9 11 5" xfId="51241"/>
    <cellStyle name="Input [yellow] 3 15 9 12" xfId="7151"/>
    <cellStyle name="Input [yellow] 3 15 9 12 2" xfId="18348"/>
    <cellStyle name="Input [yellow] 3 15 9 12 3" xfId="29516"/>
    <cellStyle name="Input [yellow] 3 15 9 12 4" xfId="40681"/>
    <cellStyle name="Input [yellow] 3 15 9 12 5" xfId="51874"/>
    <cellStyle name="Input [yellow] 3 15 9 13" xfId="7785"/>
    <cellStyle name="Input [yellow] 3 15 9 13 2" xfId="18982"/>
    <cellStyle name="Input [yellow] 3 15 9 13 3" xfId="30150"/>
    <cellStyle name="Input [yellow] 3 15 9 13 4" xfId="41315"/>
    <cellStyle name="Input [yellow] 3 15 9 13 5" xfId="52508"/>
    <cellStyle name="Input [yellow] 3 15 9 14" xfId="8419"/>
    <cellStyle name="Input [yellow] 3 15 9 14 2" xfId="19616"/>
    <cellStyle name="Input [yellow] 3 15 9 14 3" xfId="30784"/>
    <cellStyle name="Input [yellow] 3 15 9 14 4" xfId="41949"/>
    <cellStyle name="Input [yellow] 3 15 9 14 5" xfId="53142"/>
    <cellStyle name="Input [yellow] 3 15 9 15" xfId="9047"/>
    <cellStyle name="Input [yellow] 3 15 9 15 2" xfId="20244"/>
    <cellStyle name="Input [yellow] 3 15 9 15 3" xfId="31412"/>
    <cellStyle name="Input [yellow] 3 15 9 15 4" xfId="42577"/>
    <cellStyle name="Input [yellow] 3 15 9 15 5" xfId="53770"/>
    <cellStyle name="Input [yellow] 3 15 9 16" xfId="9470"/>
    <cellStyle name="Input [yellow] 3 15 9 16 2" xfId="20667"/>
    <cellStyle name="Input [yellow] 3 15 9 16 3" xfId="31835"/>
    <cellStyle name="Input [yellow] 3 15 9 16 4" xfId="43000"/>
    <cellStyle name="Input [yellow] 3 15 9 16 5" xfId="54193"/>
    <cellStyle name="Input [yellow] 3 15 9 17" xfId="10095"/>
    <cellStyle name="Input [yellow] 3 15 9 17 2" xfId="21292"/>
    <cellStyle name="Input [yellow] 3 15 9 17 3" xfId="32460"/>
    <cellStyle name="Input [yellow] 3 15 9 17 4" xfId="43625"/>
    <cellStyle name="Input [yellow] 3 15 9 17 5" xfId="54818"/>
    <cellStyle name="Input [yellow] 3 15 9 18" xfId="10302"/>
    <cellStyle name="Input [yellow] 3 15 9 18 2" xfId="21499"/>
    <cellStyle name="Input [yellow] 3 15 9 18 3" xfId="32667"/>
    <cellStyle name="Input [yellow] 3 15 9 18 4" xfId="43832"/>
    <cellStyle name="Input [yellow] 3 15 9 18 5" xfId="55025"/>
    <cellStyle name="Input [yellow] 3 15 9 19" xfId="11135"/>
    <cellStyle name="Input [yellow] 3 15 9 19 2" xfId="22332"/>
    <cellStyle name="Input [yellow] 3 15 9 19 3" xfId="33500"/>
    <cellStyle name="Input [yellow] 3 15 9 19 4" xfId="44665"/>
    <cellStyle name="Input [yellow] 3 15 9 19 5" xfId="55858"/>
    <cellStyle name="Input [yellow] 3 15 9 2" xfId="1231"/>
    <cellStyle name="Input [yellow] 3 15 9 2 2" xfId="12428"/>
    <cellStyle name="Input [yellow] 3 15 9 2 3" xfId="23596"/>
    <cellStyle name="Input [yellow] 3 15 9 2 4" xfId="34761"/>
    <cellStyle name="Input [yellow] 3 15 9 2 5" xfId="45954"/>
    <cellStyle name="Input [yellow] 3 15 9 20" xfId="11782"/>
    <cellStyle name="Input [yellow] 3 15 9 21" xfId="22952"/>
    <cellStyle name="Input [yellow] 3 15 9 22" xfId="34119"/>
    <cellStyle name="Input [yellow] 3 15 9 23" xfId="45305"/>
    <cellStyle name="Input [yellow] 3 15 9 3" xfId="1679"/>
    <cellStyle name="Input [yellow] 3 15 9 3 2" xfId="12876"/>
    <cellStyle name="Input [yellow] 3 15 9 3 3" xfId="24044"/>
    <cellStyle name="Input [yellow] 3 15 9 3 4" xfId="35209"/>
    <cellStyle name="Input [yellow] 3 15 9 3 5" xfId="46402"/>
    <cellStyle name="Input [yellow] 3 15 9 4" xfId="2507"/>
    <cellStyle name="Input [yellow] 3 15 9 4 2" xfId="13704"/>
    <cellStyle name="Input [yellow] 3 15 9 4 3" xfId="24872"/>
    <cellStyle name="Input [yellow] 3 15 9 4 4" xfId="36037"/>
    <cellStyle name="Input [yellow] 3 15 9 4 5" xfId="47230"/>
    <cellStyle name="Input [yellow] 3 15 9 5" xfId="2932"/>
    <cellStyle name="Input [yellow] 3 15 9 5 2" xfId="14129"/>
    <cellStyle name="Input [yellow] 3 15 9 5 3" xfId="25297"/>
    <cellStyle name="Input [yellow] 3 15 9 5 4" xfId="36462"/>
    <cellStyle name="Input [yellow] 3 15 9 5 5" xfId="47655"/>
    <cellStyle name="Input [yellow] 3 15 9 6" xfId="3566"/>
    <cellStyle name="Input [yellow] 3 15 9 6 2" xfId="14763"/>
    <cellStyle name="Input [yellow] 3 15 9 6 3" xfId="25931"/>
    <cellStyle name="Input [yellow] 3 15 9 6 4" xfId="37096"/>
    <cellStyle name="Input [yellow] 3 15 9 6 5" xfId="48289"/>
    <cellStyle name="Input [yellow] 3 15 9 7" xfId="4200"/>
    <cellStyle name="Input [yellow] 3 15 9 7 2" xfId="15397"/>
    <cellStyle name="Input [yellow] 3 15 9 7 3" xfId="26565"/>
    <cellStyle name="Input [yellow] 3 15 9 7 4" xfId="37730"/>
    <cellStyle name="Input [yellow] 3 15 9 7 5" xfId="48923"/>
    <cellStyle name="Input [yellow] 3 15 9 8" xfId="4833"/>
    <cellStyle name="Input [yellow] 3 15 9 8 2" xfId="16030"/>
    <cellStyle name="Input [yellow] 3 15 9 8 3" xfId="27198"/>
    <cellStyle name="Input [yellow] 3 15 9 8 4" xfId="38363"/>
    <cellStyle name="Input [yellow] 3 15 9 8 5" xfId="49556"/>
    <cellStyle name="Input [yellow] 3 15 9 9" xfId="5464"/>
    <cellStyle name="Input [yellow] 3 15 9 9 2" xfId="16661"/>
    <cellStyle name="Input [yellow] 3 15 9 9 3" xfId="27829"/>
    <cellStyle name="Input [yellow] 3 15 9 9 4" xfId="38994"/>
    <cellStyle name="Input [yellow] 3 15 9 9 5" xfId="50187"/>
    <cellStyle name="Input [yellow] 3 16" xfId="118"/>
    <cellStyle name="Input [yellow] 3 16 10" xfId="633"/>
    <cellStyle name="Input [yellow] 3 16 10 10" xfId="5726"/>
    <cellStyle name="Input [yellow] 3 16 10 10 2" xfId="16923"/>
    <cellStyle name="Input [yellow] 3 16 10 10 3" xfId="28091"/>
    <cellStyle name="Input [yellow] 3 16 10 10 4" xfId="39256"/>
    <cellStyle name="Input [yellow] 3 16 10 10 5" xfId="50449"/>
    <cellStyle name="Input [yellow] 3 16 10 11" xfId="6569"/>
    <cellStyle name="Input [yellow] 3 16 10 11 2" xfId="17766"/>
    <cellStyle name="Input [yellow] 3 16 10 11 3" xfId="28934"/>
    <cellStyle name="Input [yellow] 3 16 10 11 4" xfId="40099"/>
    <cellStyle name="Input [yellow] 3 16 10 11 5" xfId="51292"/>
    <cellStyle name="Input [yellow] 3 16 10 12" xfId="7202"/>
    <cellStyle name="Input [yellow] 3 16 10 12 2" xfId="18399"/>
    <cellStyle name="Input [yellow] 3 16 10 12 3" xfId="29567"/>
    <cellStyle name="Input [yellow] 3 16 10 12 4" xfId="40732"/>
    <cellStyle name="Input [yellow] 3 16 10 12 5" xfId="51925"/>
    <cellStyle name="Input [yellow] 3 16 10 13" xfId="7836"/>
    <cellStyle name="Input [yellow] 3 16 10 13 2" xfId="19033"/>
    <cellStyle name="Input [yellow] 3 16 10 13 3" xfId="30201"/>
    <cellStyle name="Input [yellow] 3 16 10 13 4" xfId="41366"/>
    <cellStyle name="Input [yellow] 3 16 10 13 5" xfId="52559"/>
    <cellStyle name="Input [yellow] 3 16 10 14" xfId="8470"/>
    <cellStyle name="Input [yellow] 3 16 10 14 2" xfId="19667"/>
    <cellStyle name="Input [yellow] 3 16 10 14 3" xfId="30835"/>
    <cellStyle name="Input [yellow] 3 16 10 14 4" xfId="42000"/>
    <cellStyle name="Input [yellow] 3 16 10 14 5" xfId="53193"/>
    <cellStyle name="Input [yellow] 3 16 10 15" xfId="9098"/>
    <cellStyle name="Input [yellow] 3 16 10 15 2" xfId="20295"/>
    <cellStyle name="Input [yellow] 3 16 10 15 3" xfId="31463"/>
    <cellStyle name="Input [yellow] 3 16 10 15 4" xfId="42628"/>
    <cellStyle name="Input [yellow] 3 16 10 15 5" xfId="53821"/>
    <cellStyle name="Input [yellow] 3 16 10 16" xfId="9521"/>
    <cellStyle name="Input [yellow] 3 16 10 16 2" xfId="20718"/>
    <cellStyle name="Input [yellow] 3 16 10 16 3" xfId="31886"/>
    <cellStyle name="Input [yellow] 3 16 10 16 4" xfId="43051"/>
    <cellStyle name="Input [yellow] 3 16 10 16 5" xfId="54244"/>
    <cellStyle name="Input [yellow] 3 16 10 17" xfId="10146"/>
    <cellStyle name="Input [yellow] 3 16 10 17 2" xfId="21343"/>
    <cellStyle name="Input [yellow] 3 16 10 17 3" xfId="32511"/>
    <cellStyle name="Input [yellow] 3 16 10 17 4" xfId="43676"/>
    <cellStyle name="Input [yellow] 3 16 10 17 5" xfId="54869"/>
    <cellStyle name="Input [yellow] 3 16 10 18" xfId="10455"/>
    <cellStyle name="Input [yellow] 3 16 10 18 2" xfId="21652"/>
    <cellStyle name="Input [yellow] 3 16 10 18 3" xfId="32820"/>
    <cellStyle name="Input [yellow] 3 16 10 18 4" xfId="43985"/>
    <cellStyle name="Input [yellow] 3 16 10 18 5" xfId="55178"/>
    <cellStyle name="Input [yellow] 3 16 10 19" xfId="11186"/>
    <cellStyle name="Input [yellow] 3 16 10 19 2" xfId="22383"/>
    <cellStyle name="Input [yellow] 3 16 10 19 3" xfId="33551"/>
    <cellStyle name="Input [yellow] 3 16 10 19 4" xfId="44716"/>
    <cellStyle name="Input [yellow] 3 16 10 19 5" xfId="55909"/>
    <cellStyle name="Input [yellow] 3 16 10 2" xfId="1282"/>
    <cellStyle name="Input [yellow] 3 16 10 2 2" xfId="12479"/>
    <cellStyle name="Input [yellow] 3 16 10 2 3" xfId="23647"/>
    <cellStyle name="Input [yellow] 3 16 10 2 4" xfId="34812"/>
    <cellStyle name="Input [yellow] 3 16 10 2 5" xfId="46005"/>
    <cellStyle name="Input [yellow] 3 16 10 20" xfId="11833"/>
    <cellStyle name="Input [yellow] 3 16 10 21" xfId="23003"/>
    <cellStyle name="Input [yellow] 3 16 10 22" xfId="34170"/>
    <cellStyle name="Input [yellow] 3 16 10 23" xfId="45356"/>
    <cellStyle name="Input [yellow] 3 16 10 3" xfId="1744"/>
    <cellStyle name="Input [yellow] 3 16 10 3 2" xfId="12941"/>
    <cellStyle name="Input [yellow] 3 16 10 3 3" xfId="24109"/>
    <cellStyle name="Input [yellow] 3 16 10 3 4" xfId="35274"/>
    <cellStyle name="Input [yellow] 3 16 10 3 5" xfId="46467"/>
    <cellStyle name="Input [yellow] 3 16 10 4" xfId="2558"/>
    <cellStyle name="Input [yellow] 3 16 10 4 2" xfId="13755"/>
    <cellStyle name="Input [yellow] 3 16 10 4 3" xfId="24923"/>
    <cellStyle name="Input [yellow] 3 16 10 4 4" xfId="36088"/>
    <cellStyle name="Input [yellow] 3 16 10 4 5" xfId="47281"/>
    <cellStyle name="Input [yellow] 3 16 10 5" xfId="2983"/>
    <cellStyle name="Input [yellow] 3 16 10 5 2" xfId="14180"/>
    <cellStyle name="Input [yellow] 3 16 10 5 3" xfId="25348"/>
    <cellStyle name="Input [yellow] 3 16 10 5 4" xfId="36513"/>
    <cellStyle name="Input [yellow] 3 16 10 5 5" xfId="47706"/>
    <cellStyle name="Input [yellow] 3 16 10 6" xfId="3617"/>
    <cellStyle name="Input [yellow] 3 16 10 6 2" xfId="14814"/>
    <cellStyle name="Input [yellow] 3 16 10 6 3" xfId="25982"/>
    <cellStyle name="Input [yellow] 3 16 10 6 4" xfId="37147"/>
    <cellStyle name="Input [yellow] 3 16 10 6 5" xfId="48340"/>
    <cellStyle name="Input [yellow] 3 16 10 7" xfId="4251"/>
    <cellStyle name="Input [yellow] 3 16 10 7 2" xfId="15448"/>
    <cellStyle name="Input [yellow] 3 16 10 7 3" xfId="26616"/>
    <cellStyle name="Input [yellow] 3 16 10 7 4" xfId="37781"/>
    <cellStyle name="Input [yellow] 3 16 10 7 5" xfId="48974"/>
    <cellStyle name="Input [yellow] 3 16 10 8" xfId="4884"/>
    <cellStyle name="Input [yellow] 3 16 10 8 2" xfId="16081"/>
    <cellStyle name="Input [yellow] 3 16 10 8 3" xfId="27249"/>
    <cellStyle name="Input [yellow] 3 16 10 8 4" xfId="38414"/>
    <cellStyle name="Input [yellow] 3 16 10 8 5" xfId="49607"/>
    <cellStyle name="Input [yellow] 3 16 10 9" xfId="5515"/>
    <cellStyle name="Input [yellow] 3 16 10 9 2" xfId="16712"/>
    <cellStyle name="Input [yellow] 3 16 10 9 3" xfId="27880"/>
    <cellStyle name="Input [yellow] 3 16 10 9 4" xfId="39045"/>
    <cellStyle name="Input [yellow] 3 16 10 9 5" xfId="50238"/>
    <cellStyle name="Input [yellow] 3 16 11" xfId="680"/>
    <cellStyle name="Input [yellow] 3 16 11 10" xfId="5849"/>
    <cellStyle name="Input [yellow] 3 16 11 10 2" xfId="17046"/>
    <cellStyle name="Input [yellow] 3 16 11 10 3" xfId="28214"/>
    <cellStyle name="Input [yellow] 3 16 11 10 4" xfId="39379"/>
    <cellStyle name="Input [yellow] 3 16 11 10 5" xfId="50572"/>
    <cellStyle name="Input [yellow] 3 16 11 11" xfId="6616"/>
    <cellStyle name="Input [yellow] 3 16 11 11 2" xfId="17813"/>
    <cellStyle name="Input [yellow] 3 16 11 11 3" xfId="28981"/>
    <cellStyle name="Input [yellow] 3 16 11 11 4" xfId="40146"/>
    <cellStyle name="Input [yellow] 3 16 11 11 5" xfId="51339"/>
    <cellStyle name="Input [yellow] 3 16 11 12" xfId="7249"/>
    <cellStyle name="Input [yellow] 3 16 11 12 2" xfId="18446"/>
    <cellStyle name="Input [yellow] 3 16 11 12 3" xfId="29614"/>
    <cellStyle name="Input [yellow] 3 16 11 12 4" xfId="40779"/>
    <cellStyle name="Input [yellow] 3 16 11 12 5" xfId="51972"/>
    <cellStyle name="Input [yellow] 3 16 11 13" xfId="7883"/>
    <cellStyle name="Input [yellow] 3 16 11 13 2" xfId="19080"/>
    <cellStyle name="Input [yellow] 3 16 11 13 3" xfId="30248"/>
    <cellStyle name="Input [yellow] 3 16 11 13 4" xfId="41413"/>
    <cellStyle name="Input [yellow] 3 16 11 13 5" xfId="52606"/>
    <cellStyle name="Input [yellow] 3 16 11 14" xfId="8517"/>
    <cellStyle name="Input [yellow] 3 16 11 14 2" xfId="19714"/>
    <cellStyle name="Input [yellow] 3 16 11 14 3" xfId="30882"/>
    <cellStyle name="Input [yellow] 3 16 11 14 4" xfId="42047"/>
    <cellStyle name="Input [yellow] 3 16 11 14 5" xfId="53240"/>
    <cellStyle name="Input [yellow] 3 16 11 15" xfId="9145"/>
    <cellStyle name="Input [yellow] 3 16 11 15 2" xfId="20342"/>
    <cellStyle name="Input [yellow] 3 16 11 15 3" xfId="31510"/>
    <cellStyle name="Input [yellow] 3 16 11 15 4" xfId="42675"/>
    <cellStyle name="Input [yellow] 3 16 11 15 5" xfId="53868"/>
    <cellStyle name="Input [yellow] 3 16 11 16" xfId="9568"/>
    <cellStyle name="Input [yellow] 3 16 11 16 2" xfId="20765"/>
    <cellStyle name="Input [yellow] 3 16 11 16 3" xfId="31933"/>
    <cellStyle name="Input [yellow] 3 16 11 16 4" xfId="43098"/>
    <cellStyle name="Input [yellow] 3 16 11 16 5" xfId="54291"/>
    <cellStyle name="Input [yellow] 3 16 11 17" xfId="10192"/>
    <cellStyle name="Input [yellow] 3 16 11 17 2" xfId="21389"/>
    <cellStyle name="Input [yellow] 3 16 11 17 3" xfId="32557"/>
    <cellStyle name="Input [yellow] 3 16 11 17 4" xfId="43722"/>
    <cellStyle name="Input [yellow] 3 16 11 17 5" xfId="54915"/>
    <cellStyle name="Input [yellow] 3 16 11 18" xfId="10231"/>
    <cellStyle name="Input [yellow] 3 16 11 18 2" xfId="21428"/>
    <cellStyle name="Input [yellow] 3 16 11 18 3" xfId="32596"/>
    <cellStyle name="Input [yellow] 3 16 11 18 4" xfId="43761"/>
    <cellStyle name="Input [yellow] 3 16 11 18 5" xfId="54954"/>
    <cellStyle name="Input [yellow] 3 16 11 19" xfId="11233"/>
    <cellStyle name="Input [yellow] 3 16 11 19 2" xfId="22430"/>
    <cellStyle name="Input [yellow] 3 16 11 19 3" xfId="33598"/>
    <cellStyle name="Input [yellow] 3 16 11 19 4" xfId="44763"/>
    <cellStyle name="Input [yellow] 3 16 11 19 5" xfId="55956"/>
    <cellStyle name="Input [yellow] 3 16 11 2" xfId="1329"/>
    <cellStyle name="Input [yellow] 3 16 11 2 2" xfId="12526"/>
    <cellStyle name="Input [yellow] 3 16 11 2 3" xfId="23694"/>
    <cellStyle name="Input [yellow] 3 16 11 2 4" xfId="34859"/>
    <cellStyle name="Input [yellow] 3 16 11 2 5" xfId="46052"/>
    <cellStyle name="Input [yellow] 3 16 11 20" xfId="11880"/>
    <cellStyle name="Input [yellow] 3 16 11 21" xfId="23050"/>
    <cellStyle name="Input [yellow] 3 16 11 22" xfId="34217"/>
    <cellStyle name="Input [yellow] 3 16 11 23" xfId="45403"/>
    <cellStyle name="Input [yellow] 3 16 11 3" xfId="1576"/>
    <cellStyle name="Input [yellow] 3 16 11 3 2" xfId="12773"/>
    <cellStyle name="Input [yellow] 3 16 11 3 3" xfId="23941"/>
    <cellStyle name="Input [yellow] 3 16 11 3 4" xfId="35106"/>
    <cellStyle name="Input [yellow] 3 16 11 3 5" xfId="46299"/>
    <cellStyle name="Input [yellow] 3 16 11 4" xfId="2605"/>
    <cellStyle name="Input [yellow] 3 16 11 4 2" xfId="13802"/>
    <cellStyle name="Input [yellow] 3 16 11 4 3" xfId="24970"/>
    <cellStyle name="Input [yellow] 3 16 11 4 4" xfId="36135"/>
    <cellStyle name="Input [yellow] 3 16 11 4 5" xfId="47328"/>
    <cellStyle name="Input [yellow] 3 16 11 5" xfId="3030"/>
    <cellStyle name="Input [yellow] 3 16 11 5 2" xfId="14227"/>
    <cellStyle name="Input [yellow] 3 16 11 5 3" xfId="25395"/>
    <cellStyle name="Input [yellow] 3 16 11 5 4" xfId="36560"/>
    <cellStyle name="Input [yellow] 3 16 11 5 5" xfId="47753"/>
    <cellStyle name="Input [yellow] 3 16 11 6" xfId="3664"/>
    <cellStyle name="Input [yellow] 3 16 11 6 2" xfId="14861"/>
    <cellStyle name="Input [yellow] 3 16 11 6 3" xfId="26029"/>
    <cellStyle name="Input [yellow] 3 16 11 6 4" xfId="37194"/>
    <cellStyle name="Input [yellow] 3 16 11 6 5" xfId="48387"/>
    <cellStyle name="Input [yellow] 3 16 11 7" xfId="4298"/>
    <cellStyle name="Input [yellow] 3 16 11 7 2" xfId="15495"/>
    <cellStyle name="Input [yellow] 3 16 11 7 3" xfId="26663"/>
    <cellStyle name="Input [yellow] 3 16 11 7 4" xfId="37828"/>
    <cellStyle name="Input [yellow] 3 16 11 7 5" xfId="49021"/>
    <cellStyle name="Input [yellow] 3 16 11 8" xfId="4931"/>
    <cellStyle name="Input [yellow] 3 16 11 8 2" xfId="16128"/>
    <cellStyle name="Input [yellow] 3 16 11 8 3" xfId="27296"/>
    <cellStyle name="Input [yellow] 3 16 11 8 4" xfId="38461"/>
    <cellStyle name="Input [yellow] 3 16 11 8 5" xfId="49654"/>
    <cellStyle name="Input [yellow] 3 16 11 9" xfId="5562"/>
    <cellStyle name="Input [yellow] 3 16 11 9 2" xfId="16759"/>
    <cellStyle name="Input [yellow] 3 16 11 9 3" xfId="27927"/>
    <cellStyle name="Input [yellow] 3 16 11 9 4" xfId="39092"/>
    <cellStyle name="Input [yellow] 3 16 11 9 5" xfId="50285"/>
    <cellStyle name="Input [yellow] 3 16 12" xfId="767"/>
    <cellStyle name="Input [yellow] 3 16 12 2" xfId="11964"/>
    <cellStyle name="Input [yellow] 3 16 12 3" xfId="23132"/>
    <cellStyle name="Input [yellow] 3 16 12 4" xfId="34297"/>
    <cellStyle name="Input [yellow] 3 16 12 5" xfId="45490"/>
    <cellStyle name="Input [yellow] 3 16 13" xfId="1826"/>
    <cellStyle name="Input [yellow] 3 16 13 2" xfId="13023"/>
    <cellStyle name="Input [yellow] 3 16 13 3" xfId="24191"/>
    <cellStyle name="Input [yellow] 3 16 13 4" xfId="35356"/>
    <cellStyle name="Input [yellow] 3 16 13 5" xfId="46549"/>
    <cellStyle name="Input [yellow] 3 16 14" xfId="2044"/>
    <cellStyle name="Input [yellow] 3 16 14 2" xfId="13241"/>
    <cellStyle name="Input [yellow] 3 16 14 3" xfId="24409"/>
    <cellStyle name="Input [yellow] 3 16 14 4" xfId="35574"/>
    <cellStyle name="Input [yellow] 3 16 14 5" xfId="46767"/>
    <cellStyle name="Input [yellow] 3 16 15" xfId="2417"/>
    <cellStyle name="Input [yellow] 3 16 15 2" xfId="13614"/>
    <cellStyle name="Input [yellow] 3 16 15 3" xfId="24782"/>
    <cellStyle name="Input [yellow] 3 16 15 4" xfId="35947"/>
    <cellStyle name="Input [yellow] 3 16 15 5" xfId="47140"/>
    <cellStyle name="Input [yellow] 3 16 16" xfId="3102"/>
    <cellStyle name="Input [yellow] 3 16 16 2" xfId="14299"/>
    <cellStyle name="Input [yellow] 3 16 16 3" xfId="25467"/>
    <cellStyle name="Input [yellow] 3 16 16 4" xfId="36632"/>
    <cellStyle name="Input [yellow] 3 16 16 5" xfId="47825"/>
    <cellStyle name="Input [yellow] 3 16 17" xfId="3736"/>
    <cellStyle name="Input [yellow] 3 16 17 2" xfId="14933"/>
    <cellStyle name="Input [yellow] 3 16 17 3" xfId="26101"/>
    <cellStyle name="Input [yellow] 3 16 17 4" xfId="37266"/>
    <cellStyle name="Input [yellow] 3 16 17 5" xfId="48459"/>
    <cellStyle name="Input [yellow] 3 16 18" xfId="4369"/>
    <cellStyle name="Input [yellow] 3 16 18 2" xfId="15566"/>
    <cellStyle name="Input [yellow] 3 16 18 3" xfId="26734"/>
    <cellStyle name="Input [yellow] 3 16 18 4" xfId="37899"/>
    <cellStyle name="Input [yellow] 3 16 18 5" xfId="49092"/>
    <cellStyle name="Input [yellow] 3 16 19" xfId="5000"/>
    <cellStyle name="Input [yellow] 3 16 19 2" xfId="16197"/>
    <cellStyle name="Input [yellow] 3 16 19 3" xfId="27365"/>
    <cellStyle name="Input [yellow] 3 16 19 4" xfId="38530"/>
    <cellStyle name="Input [yellow] 3 16 19 5" xfId="49723"/>
    <cellStyle name="Input [yellow] 3 16 2" xfId="181"/>
    <cellStyle name="Input [yellow] 3 16 2 10" xfId="5736"/>
    <cellStyle name="Input [yellow] 3 16 2 10 2" xfId="16933"/>
    <cellStyle name="Input [yellow] 3 16 2 10 3" xfId="28101"/>
    <cellStyle name="Input [yellow] 3 16 2 10 4" xfId="39266"/>
    <cellStyle name="Input [yellow] 3 16 2 10 5" xfId="50459"/>
    <cellStyle name="Input [yellow] 3 16 2 11" xfId="5942"/>
    <cellStyle name="Input [yellow] 3 16 2 11 2" xfId="17139"/>
    <cellStyle name="Input [yellow] 3 16 2 11 3" xfId="28307"/>
    <cellStyle name="Input [yellow] 3 16 2 11 4" xfId="39472"/>
    <cellStyle name="Input [yellow] 3 16 2 11 5" xfId="50665"/>
    <cellStyle name="Input [yellow] 3 16 2 12" xfId="6750"/>
    <cellStyle name="Input [yellow] 3 16 2 12 2" xfId="17947"/>
    <cellStyle name="Input [yellow] 3 16 2 12 3" xfId="29115"/>
    <cellStyle name="Input [yellow] 3 16 2 12 4" xfId="40280"/>
    <cellStyle name="Input [yellow] 3 16 2 12 5" xfId="51473"/>
    <cellStyle name="Input [yellow] 3 16 2 13" xfId="7384"/>
    <cellStyle name="Input [yellow] 3 16 2 13 2" xfId="18581"/>
    <cellStyle name="Input [yellow] 3 16 2 13 3" xfId="29749"/>
    <cellStyle name="Input [yellow] 3 16 2 13 4" xfId="40914"/>
    <cellStyle name="Input [yellow] 3 16 2 13 5" xfId="52107"/>
    <cellStyle name="Input [yellow] 3 16 2 14" xfId="8018"/>
    <cellStyle name="Input [yellow] 3 16 2 14 2" xfId="19215"/>
    <cellStyle name="Input [yellow] 3 16 2 14 3" xfId="30383"/>
    <cellStyle name="Input [yellow] 3 16 2 14 4" xfId="41548"/>
    <cellStyle name="Input [yellow] 3 16 2 14 5" xfId="52741"/>
    <cellStyle name="Input [yellow] 3 16 2 15" xfId="8649"/>
    <cellStyle name="Input [yellow] 3 16 2 15 2" xfId="19846"/>
    <cellStyle name="Input [yellow] 3 16 2 15 3" xfId="31014"/>
    <cellStyle name="Input [yellow] 3 16 2 15 4" xfId="42179"/>
    <cellStyle name="Input [yellow] 3 16 2 15 5" xfId="53372"/>
    <cellStyle name="Input [yellow] 3 16 2 16" xfId="8771"/>
    <cellStyle name="Input [yellow] 3 16 2 16 2" xfId="19968"/>
    <cellStyle name="Input [yellow] 3 16 2 16 3" xfId="31136"/>
    <cellStyle name="Input [yellow] 3 16 2 16 4" xfId="42301"/>
    <cellStyle name="Input [yellow] 3 16 2 16 5" xfId="53494"/>
    <cellStyle name="Input [yellow] 3 16 2 17" xfId="9701"/>
    <cellStyle name="Input [yellow] 3 16 2 17 2" xfId="20898"/>
    <cellStyle name="Input [yellow] 3 16 2 17 3" xfId="32066"/>
    <cellStyle name="Input [yellow] 3 16 2 17 4" xfId="43231"/>
    <cellStyle name="Input [yellow] 3 16 2 17 5" xfId="54424"/>
    <cellStyle name="Input [yellow] 3 16 2 18" xfId="10609"/>
    <cellStyle name="Input [yellow] 3 16 2 18 2" xfId="21806"/>
    <cellStyle name="Input [yellow] 3 16 2 18 3" xfId="32974"/>
    <cellStyle name="Input [yellow] 3 16 2 18 4" xfId="44139"/>
    <cellStyle name="Input [yellow] 3 16 2 18 5" xfId="55332"/>
    <cellStyle name="Input [yellow] 3 16 2 19" xfId="10734"/>
    <cellStyle name="Input [yellow] 3 16 2 19 2" xfId="21931"/>
    <cellStyle name="Input [yellow] 3 16 2 19 3" xfId="33099"/>
    <cellStyle name="Input [yellow] 3 16 2 19 4" xfId="44264"/>
    <cellStyle name="Input [yellow] 3 16 2 19 5" xfId="55457"/>
    <cellStyle name="Input [yellow] 3 16 2 2" xfId="830"/>
    <cellStyle name="Input [yellow] 3 16 2 2 2" xfId="12027"/>
    <cellStyle name="Input [yellow] 3 16 2 2 3" xfId="23195"/>
    <cellStyle name="Input [yellow] 3 16 2 2 4" xfId="34360"/>
    <cellStyle name="Input [yellow] 3 16 2 2 5" xfId="45553"/>
    <cellStyle name="Input [yellow] 3 16 2 20" xfId="11381"/>
    <cellStyle name="Input [yellow] 3 16 2 21" xfId="22551"/>
    <cellStyle name="Input [yellow] 3 16 2 22" xfId="33718"/>
    <cellStyle name="Input [yellow] 3 16 2 23" xfId="44904"/>
    <cellStyle name="Input [yellow] 3 16 2 3" xfId="1916"/>
    <cellStyle name="Input [yellow] 3 16 2 3 2" xfId="13113"/>
    <cellStyle name="Input [yellow] 3 16 2 3 3" xfId="24281"/>
    <cellStyle name="Input [yellow] 3 16 2 3 4" xfId="35446"/>
    <cellStyle name="Input [yellow] 3 16 2 3 5" xfId="46639"/>
    <cellStyle name="Input [yellow] 3 16 2 4" xfId="2107"/>
    <cellStyle name="Input [yellow] 3 16 2 4 2" xfId="13304"/>
    <cellStyle name="Input [yellow] 3 16 2 4 3" xfId="24472"/>
    <cellStyle name="Input [yellow] 3 16 2 4 4" xfId="35637"/>
    <cellStyle name="Input [yellow] 3 16 2 4 5" xfId="46830"/>
    <cellStyle name="Input [yellow] 3 16 2 5" xfId="2539"/>
    <cellStyle name="Input [yellow] 3 16 2 5 2" xfId="13736"/>
    <cellStyle name="Input [yellow] 3 16 2 5 3" xfId="24904"/>
    <cellStyle name="Input [yellow] 3 16 2 5 4" xfId="36069"/>
    <cellStyle name="Input [yellow] 3 16 2 5 5" xfId="47262"/>
    <cellStyle name="Input [yellow] 3 16 2 6" xfId="3165"/>
    <cellStyle name="Input [yellow] 3 16 2 6 2" xfId="14362"/>
    <cellStyle name="Input [yellow] 3 16 2 6 3" xfId="25530"/>
    <cellStyle name="Input [yellow] 3 16 2 6 4" xfId="36695"/>
    <cellStyle name="Input [yellow] 3 16 2 6 5" xfId="47888"/>
    <cellStyle name="Input [yellow] 3 16 2 7" xfId="3799"/>
    <cellStyle name="Input [yellow] 3 16 2 7 2" xfId="14996"/>
    <cellStyle name="Input [yellow] 3 16 2 7 3" xfId="26164"/>
    <cellStyle name="Input [yellow] 3 16 2 7 4" xfId="37329"/>
    <cellStyle name="Input [yellow] 3 16 2 7 5" xfId="48522"/>
    <cellStyle name="Input [yellow] 3 16 2 8" xfId="4432"/>
    <cellStyle name="Input [yellow] 3 16 2 8 2" xfId="15629"/>
    <cellStyle name="Input [yellow] 3 16 2 8 3" xfId="26797"/>
    <cellStyle name="Input [yellow] 3 16 2 8 4" xfId="37962"/>
    <cellStyle name="Input [yellow] 3 16 2 8 5" xfId="49155"/>
    <cellStyle name="Input [yellow] 3 16 2 9" xfId="5063"/>
    <cellStyle name="Input [yellow] 3 16 2 9 2" xfId="16260"/>
    <cellStyle name="Input [yellow] 3 16 2 9 3" xfId="27428"/>
    <cellStyle name="Input [yellow] 3 16 2 9 4" xfId="38593"/>
    <cellStyle name="Input [yellow] 3 16 2 9 5" xfId="49786"/>
    <cellStyle name="Input [yellow] 3 16 20" xfId="5725"/>
    <cellStyle name="Input [yellow] 3 16 20 2" xfId="16922"/>
    <cellStyle name="Input [yellow] 3 16 20 3" xfId="28090"/>
    <cellStyle name="Input [yellow] 3 16 20 4" xfId="39255"/>
    <cellStyle name="Input [yellow] 3 16 20 5" xfId="50448"/>
    <cellStyle name="Input [yellow] 3 16 21" xfId="6203"/>
    <cellStyle name="Input [yellow] 3 16 21 2" xfId="17400"/>
    <cellStyle name="Input [yellow] 3 16 21 3" xfId="28568"/>
    <cellStyle name="Input [yellow] 3 16 21 4" xfId="39733"/>
    <cellStyle name="Input [yellow] 3 16 21 5" xfId="50926"/>
    <cellStyle name="Input [yellow] 3 16 22" xfId="6687"/>
    <cellStyle name="Input [yellow] 3 16 22 2" xfId="17884"/>
    <cellStyle name="Input [yellow] 3 16 22 3" xfId="29052"/>
    <cellStyle name="Input [yellow] 3 16 22 4" xfId="40217"/>
    <cellStyle name="Input [yellow] 3 16 22 5" xfId="51410"/>
    <cellStyle name="Input [yellow] 3 16 23" xfId="7321"/>
    <cellStyle name="Input [yellow] 3 16 23 2" xfId="18518"/>
    <cellStyle name="Input [yellow] 3 16 23 3" xfId="29686"/>
    <cellStyle name="Input [yellow] 3 16 23 4" xfId="40851"/>
    <cellStyle name="Input [yellow] 3 16 23 5" xfId="52044"/>
    <cellStyle name="Input [yellow] 3 16 24" xfId="7955"/>
    <cellStyle name="Input [yellow] 3 16 24 2" xfId="19152"/>
    <cellStyle name="Input [yellow] 3 16 24 3" xfId="30320"/>
    <cellStyle name="Input [yellow] 3 16 24 4" xfId="41485"/>
    <cellStyle name="Input [yellow] 3 16 24 5" xfId="52678"/>
    <cellStyle name="Input [yellow] 3 16 25" xfId="8586"/>
    <cellStyle name="Input [yellow] 3 16 25 2" xfId="19783"/>
    <cellStyle name="Input [yellow] 3 16 25 3" xfId="30951"/>
    <cellStyle name="Input [yellow] 3 16 25 4" xfId="42116"/>
    <cellStyle name="Input [yellow] 3 16 25 5" xfId="53309"/>
    <cellStyle name="Input [yellow] 3 16 26" xfId="9109"/>
    <cellStyle name="Input [yellow] 3 16 26 2" xfId="20306"/>
    <cellStyle name="Input [yellow] 3 16 26 3" xfId="31474"/>
    <cellStyle name="Input [yellow] 3 16 26 4" xfId="42639"/>
    <cellStyle name="Input [yellow] 3 16 26 5" xfId="53832"/>
    <cellStyle name="Input [yellow] 3 16 27" xfId="9639"/>
    <cellStyle name="Input [yellow] 3 16 27 2" xfId="20836"/>
    <cellStyle name="Input [yellow] 3 16 27 3" xfId="32004"/>
    <cellStyle name="Input [yellow] 3 16 27 4" xfId="43169"/>
    <cellStyle name="Input [yellow] 3 16 27 5" xfId="54362"/>
    <cellStyle name="Input [yellow] 3 16 28" xfId="9892"/>
    <cellStyle name="Input [yellow] 3 16 28 2" xfId="21089"/>
    <cellStyle name="Input [yellow] 3 16 28 3" xfId="32257"/>
    <cellStyle name="Input [yellow] 3 16 28 4" xfId="43422"/>
    <cellStyle name="Input [yellow] 3 16 28 5" xfId="54615"/>
    <cellStyle name="Input [yellow] 3 16 29" xfId="10671"/>
    <cellStyle name="Input [yellow] 3 16 29 2" xfId="21868"/>
    <cellStyle name="Input [yellow] 3 16 29 3" xfId="33036"/>
    <cellStyle name="Input [yellow] 3 16 29 4" xfId="44201"/>
    <cellStyle name="Input [yellow] 3 16 29 5" xfId="55394"/>
    <cellStyle name="Input [yellow] 3 16 3" xfId="237"/>
    <cellStyle name="Input [yellow] 3 16 3 10" xfId="5843"/>
    <cellStyle name="Input [yellow] 3 16 3 10 2" xfId="17040"/>
    <cellStyle name="Input [yellow] 3 16 3 10 3" xfId="28208"/>
    <cellStyle name="Input [yellow] 3 16 3 10 4" xfId="39373"/>
    <cellStyle name="Input [yellow] 3 16 3 10 5" xfId="50566"/>
    <cellStyle name="Input [yellow] 3 16 3 11" xfId="5752"/>
    <cellStyle name="Input [yellow] 3 16 3 11 2" xfId="16949"/>
    <cellStyle name="Input [yellow] 3 16 3 11 3" xfId="28117"/>
    <cellStyle name="Input [yellow] 3 16 3 11 4" xfId="39282"/>
    <cellStyle name="Input [yellow] 3 16 3 11 5" xfId="50475"/>
    <cellStyle name="Input [yellow] 3 16 3 12" xfId="6806"/>
    <cellStyle name="Input [yellow] 3 16 3 12 2" xfId="18003"/>
    <cellStyle name="Input [yellow] 3 16 3 12 3" xfId="29171"/>
    <cellStyle name="Input [yellow] 3 16 3 12 4" xfId="40336"/>
    <cellStyle name="Input [yellow] 3 16 3 12 5" xfId="51529"/>
    <cellStyle name="Input [yellow] 3 16 3 13" xfId="7440"/>
    <cellStyle name="Input [yellow] 3 16 3 13 2" xfId="18637"/>
    <cellStyle name="Input [yellow] 3 16 3 13 3" xfId="29805"/>
    <cellStyle name="Input [yellow] 3 16 3 13 4" xfId="40970"/>
    <cellStyle name="Input [yellow] 3 16 3 13 5" xfId="52163"/>
    <cellStyle name="Input [yellow] 3 16 3 14" xfId="8074"/>
    <cellStyle name="Input [yellow] 3 16 3 14 2" xfId="19271"/>
    <cellStyle name="Input [yellow] 3 16 3 14 3" xfId="30439"/>
    <cellStyle name="Input [yellow] 3 16 3 14 4" xfId="41604"/>
    <cellStyle name="Input [yellow] 3 16 3 14 5" xfId="52797"/>
    <cellStyle name="Input [yellow] 3 16 3 15" xfId="8705"/>
    <cellStyle name="Input [yellow] 3 16 3 15 2" xfId="19902"/>
    <cellStyle name="Input [yellow] 3 16 3 15 3" xfId="31070"/>
    <cellStyle name="Input [yellow] 3 16 3 15 4" xfId="42235"/>
    <cellStyle name="Input [yellow] 3 16 3 15 5" xfId="53428"/>
    <cellStyle name="Input [yellow] 3 16 3 16" xfId="8695"/>
    <cellStyle name="Input [yellow] 3 16 3 16 2" xfId="19892"/>
    <cellStyle name="Input [yellow] 3 16 3 16 3" xfId="31060"/>
    <cellStyle name="Input [yellow] 3 16 3 16 4" xfId="42225"/>
    <cellStyle name="Input [yellow] 3 16 3 16 5" xfId="53418"/>
    <cellStyle name="Input [yellow] 3 16 3 17" xfId="9756"/>
    <cellStyle name="Input [yellow] 3 16 3 17 2" xfId="20953"/>
    <cellStyle name="Input [yellow] 3 16 3 17 3" xfId="32121"/>
    <cellStyle name="Input [yellow] 3 16 3 17 4" xfId="43286"/>
    <cellStyle name="Input [yellow] 3 16 3 17 5" xfId="54479"/>
    <cellStyle name="Input [yellow] 3 16 3 18" xfId="10431"/>
    <cellStyle name="Input [yellow] 3 16 3 18 2" xfId="21628"/>
    <cellStyle name="Input [yellow] 3 16 3 18 3" xfId="32796"/>
    <cellStyle name="Input [yellow] 3 16 3 18 4" xfId="43961"/>
    <cellStyle name="Input [yellow] 3 16 3 18 5" xfId="55154"/>
    <cellStyle name="Input [yellow] 3 16 3 19" xfId="10790"/>
    <cellStyle name="Input [yellow] 3 16 3 19 2" xfId="21987"/>
    <cellStyle name="Input [yellow] 3 16 3 19 3" xfId="33155"/>
    <cellStyle name="Input [yellow] 3 16 3 19 4" xfId="44320"/>
    <cellStyle name="Input [yellow] 3 16 3 19 5" xfId="55513"/>
    <cellStyle name="Input [yellow] 3 16 3 2" xfId="886"/>
    <cellStyle name="Input [yellow] 3 16 3 2 2" xfId="12083"/>
    <cellStyle name="Input [yellow] 3 16 3 2 3" xfId="23251"/>
    <cellStyle name="Input [yellow] 3 16 3 2 4" xfId="34416"/>
    <cellStyle name="Input [yellow] 3 16 3 2 5" xfId="45609"/>
    <cellStyle name="Input [yellow] 3 16 3 20" xfId="11437"/>
    <cellStyle name="Input [yellow] 3 16 3 21" xfId="22607"/>
    <cellStyle name="Input [yellow] 3 16 3 22" xfId="33774"/>
    <cellStyle name="Input [yellow] 3 16 3 23" xfId="44960"/>
    <cellStyle name="Input [yellow] 3 16 3 3" xfId="1393"/>
    <cellStyle name="Input [yellow] 3 16 3 3 2" xfId="12590"/>
    <cellStyle name="Input [yellow] 3 16 3 3 3" xfId="23758"/>
    <cellStyle name="Input [yellow] 3 16 3 3 4" xfId="34923"/>
    <cellStyle name="Input [yellow] 3 16 3 3 5" xfId="46116"/>
    <cellStyle name="Input [yellow] 3 16 3 4" xfId="2163"/>
    <cellStyle name="Input [yellow] 3 16 3 4 2" xfId="13360"/>
    <cellStyle name="Input [yellow] 3 16 3 4 3" xfId="24528"/>
    <cellStyle name="Input [yellow] 3 16 3 4 4" xfId="35693"/>
    <cellStyle name="Input [yellow] 3 16 3 4 5" xfId="46886"/>
    <cellStyle name="Input [yellow] 3 16 3 5" xfId="2566"/>
    <cellStyle name="Input [yellow] 3 16 3 5 2" xfId="13763"/>
    <cellStyle name="Input [yellow] 3 16 3 5 3" xfId="24931"/>
    <cellStyle name="Input [yellow] 3 16 3 5 4" xfId="36096"/>
    <cellStyle name="Input [yellow] 3 16 3 5 5" xfId="47289"/>
    <cellStyle name="Input [yellow] 3 16 3 6" xfId="3221"/>
    <cellStyle name="Input [yellow] 3 16 3 6 2" xfId="14418"/>
    <cellStyle name="Input [yellow] 3 16 3 6 3" xfId="25586"/>
    <cellStyle name="Input [yellow] 3 16 3 6 4" xfId="36751"/>
    <cellStyle name="Input [yellow] 3 16 3 6 5" xfId="47944"/>
    <cellStyle name="Input [yellow] 3 16 3 7" xfId="3855"/>
    <cellStyle name="Input [yellow] 3 16 3 7 2" xfId="15052"/>
    <cellStyle name="Input [yellow] 3 16 3 7 3" xfId="26220"/>
    <cellStyle name="Input [yellow] 3 16 3 7 4" xfId="37385"/>
    <cellStyle name="Input [yellow] 3 16 3 7 5" xfId="48578"/>
    <cellStyle name="Input [yellow] 3 16 3 8" xfId="4488"/>
    <cellStyle name="Input [yellow] 3 16 3 8 2" xfId="15685"/>
    <cellStyle name="Input [yellow] 3 16 3 8 3" xfId="26853"/>
    <cellStyle name="Input [yellow] 3 16 3 8 4" xfId="38018"/>
    <cellStyle name="Input [yellow] 3 16 3 8 5" xfId="49211"/>
    <cellStyle name="Input [yellow] 3 16 3 9" xfId="5119"/>
    <cellStyle name="Input [yellow] 3 16 3 9 2" xfId="16316"/>
    <cellStyle name="Input [yellow] 3 16 3 9 3" xfId="27484"/>
    <cellStyle name="Input [yellow] 3 16 3 9 4" xfId="38649"/>
    <cellStyle name="Input [yellow] 3 16 3 9 5" xfId="49842"/>
    <cellStyle name="Input [yellow] 3 16 30" xfId="11318"/>
    <cellStyle name="Input [yellow] 3 16 31" xfId="22488"/>
    <cellStyle name="Input [yellow] 3 16 32" xfId="33655"/>
    <cellStyle name="Input [yellow] 3 16 33" xfId="44841"/>
    <cellStyle name="Input [yellow] 3 16 4" xfId="275"/>
    <cellStyle name="Input [yellow] 3 16 4 10" xfId="5978"/>
    <cellStyle name="Input [yellow] 3 16 4 10 2" xfId="17175"/>
    <cellStyle name="Input [yellow] 3 16 4 10 3" xfId="28343"/>
    <cellStyle name="Input [yellow] 3 16 4 10 4" xfId="39508"/>
    <cellStyle name="Input [yellow] 3 16 4 10 5" xfId="50701"/>
    <cellStyle name="Input [yellow] 3 16 4 11" xfId="6211"/>
    <cellStyle name="Input [yellow] 3 16 4 11 2" xfId="17408"/>
    <cellStyle name="Input [yellow] 3 16 4 11 3" xfId="28576"/>
    <cellStyle name="Input [yellow] 3 16 4 11 4" xfId="39741"/>
    <cellStyle name="Input [yellow] 3 16 4 11 5" xfId="50934"/>
    <cellStyle name="Input [yellow] 3 16 4 12" xfId="6844"/>
    <cellStyle name="Input [yellow] 3 16 4 12 2" xfId="18041"/>
    <cellStyle name="Input [yellow] 3 16 4 12 3" xfId="29209"/>
    <cellStyle name="Input [yellow] 3 16 4 12 4" xfId="40374"/>
    <cellStyle name="Input [yellow] 3 16 4 12 5" xfId="51567"/>
    <cellStyle name="Input [yellow] 3 16 4 13" xfId="7478"/>
    <cellStyle name="Input [yellow] 3 16 4 13 2" xfId="18675"/>
    <cellStyle name="Input [yellow] 3 16 4 13 3" xfId="29843"/>
    <cellStyle name="Input [yellow] 3 16 4 13 4" xfId="41008"/>
    <cellStyle name="Input [yellow] 3 16 4 13 5" xfId="52201"/>
    <cellStyle name="Input [yellow] 3 16 4 14" xfId="8112"/>
    <cellStyle name="Input [yellow] 3 16 4 14 2" xfId="19309"/>
    <cellStyle name="Input [yellow] 3 16 4 14 3" xfId="30477"/>
    <cellStyle name="Input [yellow] 3 16 4 14 4" xfId="41642"/>
    <cellStyle name="Input [yellow] 3 16 4 14 5" xfId="52835"/>
    <cellStyle name="Input [yellow] 3 16 4 15" xfId="8741"/>
    <cellStyle name="Input [yellow] 3 16 4 15 2" xfId="19938"/>
    <cellStyle name="Input [yellow] 3 16 4 15 3" xfId="31106"/>
    <cellStyle name="Input [yellow] 3 16 4 15 4" xfId="42271"/>
    <cellStyle name="Input [yellow] 3 16 4 15 5" xfId="53464"/>
    <cellStyle name="Input [yellow] 3 16 4 16" xfId="9163"/>
    <cellStyle name="Input [yellow] 3 16 4 16 2" xfId="20360"/>
    <cellStyle name="Input [yellow] 3 16 4 16 3" xfId="31528"/>
    <cellStyle name="Input [yellow] 3 16 4 16 4" xfId="42693"/>
    <cellStyle name="Input [yellow] 3 16 4 16 5" xfId="53886"/>
    <cellStyle name="Input [yellow] 3 16 4 17" xfId="9791"/>
    <cellStyle name="Input [yellow] 3 16 4 17 2" xfId="20988"/>
    <cellStyle name="Input [yellow] 3 16 4 17 3" xfId="32156"/>
    <cellStyle name="Input [yellow] 3 16 4 17 4" xfId="43321"/>
    <cellStyle name="Input [yellow] 3 16 4 17 5" xfId="54514"/>
    <cellStyle name="Input [yellow] 3 16 4 18" xfId="10391"/>
    <cellStyle name="Input [yellow] 3 16 4 18 2" xfId="21588"/>
    <cellStyle name="Input [yellow] 3 16 4 18 3" xfId="32756"/>
    <cellStyle name="Input [yellow] 3 16 4 18 4" xfId="43921"/>
    <cellStyle name="Input [yellow] 3 16 4 18 5" xfId="55114"/>
    <cellStyle name="Input [yellow] 3 16 4 19" xfId="10828"/>
    <cellStyle name="Input [yellow] 3 16 4 19 2" xfId="22025"/>
    <cellStyle name="Input [yellow] 3 16 4 19 3" xfId="33193"/>
    <cellStyle name="Input [yellow] 3 16 4 19 4" xfId="44358"/>
    <cellStyle name="Input [yellow] 3 16 4 19 5" xfId="55551"/>
    <cellStyle name="Input [yellow] 3 16 4 2" xfId="924"/>
    <cellStyle name="Input [yellow] 3 16 4 2 2" xfId="12121"/>
    <cellStyle name="Input [yellow] 3 16 4 2 3" xfId="23289"/>
    <cellStyle name="Input [yellow] 3 16 4 2 4" xfId="34454"/>
    <cellStyle name="Input [yellow] 3 16 4 2 5" xfId="45647"/>
    <cellStyle name="Input [yellow] 3 16 4 20" xfId="11475"/>
    <cellStyle name="Input [yellow] 3 16 4 21" xfId="22645"/>
    <cellStyle name="Input [yellow] 3 16 4 22" xfId="33812"/>
    <cellStyle name="Input [yellow] 3 16 4 23" xfId="44998"/>
    <cellStyle name="Input [yellow] 3 16 4 3" xfId="1701"/>
    <cellStyle name="Input [yellow] 3 16 4 3 2" xfId="12898"/>
    <cellStyle name="Input [yellow] 3 16 4 3 3" xfId="24066"/>
    <cellStyle name="Input [yellow] 3 16 4 3 4" xfId="35231"/>
    <cellStyle name="Input [yellow] 3 16 4 3 5" xfId="46424"/>
    <cellStyle name="Input [yellow] 3 16 4 4" xfId="2201"/>
    <cellStyle name="Input [yellow] 3 16 4 4 2" xfId="13398"/>
    <cellStyle name="Input [yellow] 3 16 4 4 3" xfId="24566"/>
    <cellStyle name="Input [yellow] 3 16 4 4 4" xfId="35731"/>
    <cellStyle name="Input [yellow] 3 16 4 4 5" xfId="46924"/>
    <cellStyle name="Input [yellow] 3 16 4 5" xfId="2625"/>
    <cellStyle name="Input [yellow] 3 16 4 5 2" xfId="13822"/>
    <cellStyle name="Input [yellow] 3 16 4 5 3" xfId="24990"/>
    <cellStyle name="Input [yellow] 3 16 4 5 4" xfId="36155"/>
    <cellStyle name="Input [yellow] 3 16 4 5 5" xfId="47348"/>
    <cellStyle name="Input [yellow] 3 16 4 6" xfId="3259"/>
    <cellStyle name="Input [yellow] 3 16 4 6 2" xfId="14456"/>
    <cellStyle name="Input [yellow] 3 16 4 6 3" xfId="25624"/>
    <cellStyle name="Input [yellow] 3 16 4 6 4" xfId="36789"/>
    <cellStyle name="Input [yellow] 3 16 4 6 5" xfId="47982"/>
    <cellStyle name="Input [yellow] 3 16 4 7" xfId="3893"/>
    <cellStyle name="Input [yellow] 3 16 4 7 2" xfId="15090"/>
    <cellStyle name="Input [yellow] 3 16 4 7 3" xfId="26258"/>
    <cellStyle name="Input [yellow] 3 16 4 7 4" xfId="37423"/>
    <cellStyle name="Input [yellow] 3 16 4 7 5" xfId="48616"/>
    <cellStyle name="Input [yellow] 3 16 4 8" xfId="4526"/>
    <cellStyle name="Input [yellow] 3 16 4 8 2" xfId="15723"/>
    <cellStyle name="Input [yellow] 3 16 4 8 3" xfId="26891"/>
    <cellStyle name="Input [yellow] 3 16 4 8 4" xfId="38056"/>
    <cellStyle name="Input [yellow] 3 16 4 8 5" xfId="49249"/>
    <cellStyle name="Input [yellow] 3 16 4 9" xfId="5157"/>
    <cellStyle name="Input [yellow] 3 16 4 9 2" xfId="16354"/>
    <cellStyle name="Input [yellow] 3 16 4 9 3" xfId="27522"/>
    <cellStyle name="Input [yellow] 3 16 4 9 4" xfId="38687"/>
    <cellStyle name="Input [yellow] 3 16 4 9 5" xfId="49880"/>
    <cellStyle name="Input [yellow] 3 16 5" xfId="356"/>
    <cellStyle name="Input [yellow] 3 16 5 10" xfId="5890"/>
    <cellStyle name="Input [yellow] 3 16 5 10 2" xfId="17087"/>
    <cellStyle name="Input [yellow] 3 16 5 10 3" xfId="28255"/>
    <cellStyle name="Input [yellow] 3 16 5 10 4" xfId="39420"/>
    <cellStyle name="Input [yellow] 3 16 5 10 5" xfId="50613"/>
    <cellStyle name="Input [yellow] 3 16 5 11" xfId="6292"/>
    <cellStyle name="Input [yellow] 3 16 5 11 2" xfId="17489"/>
    <cellStyle name="Input [yellow] 3 16 5 11 3" xfId="28657"/>
    <cellStyle name="Input [yellow] 3 16 5 11 4" xfId="39822"/>
    <cellStyle name="Input [yellow] 3 16 5 11 5" xfId="51015"/>
    <cellStyle name="Input [yellow] 3 16 5 12" xfId="6925"/>
    <cellStyle name="Input [yellow] 3 16 5 12 2" xfId="18122"/>
    <cellStyle name="Input [yellow] 3 16 5 12 3" xfId="29290"/>
    <cellStyle name="Input [yellow] 3 16 5 12 4" xfId="40455"/>
    <cellStyle name="Input [yellow] 3 16 5 12 5" xfId="51648"/>
    <cellStyle name="Input [yellow] 3 16 5 13" xfId="7559"/>
    <cellStyle name="Input [yellow] 3 16 5 13 2" xfId="18756"/>
    <cellStyle name="Input [yellow] 3 16 5 13 3" xfId="29924"/>
    <cellStyle name="Input [yellow] 3 16 5 13 4" xfId="41089"/>
    <cellStyle name="Input [yellow] 3 16 5 13 5" xfId="52282"/>
    <cellStyle name="Input [yellow] 3 16 5 14" xfId="8193"/>
    <cellStyle name="Input [yellow] 3 16 5 14 2" xfId="19390"/>
    <cellStyle name="Input [yellow] 3 16 5 14 3" xfId="30558"/>
    <cellStyle name="Input [yellow] 3 16 5 14 4" xfId="41723"/>
    <cellStyle name="Input [yellow] 3 16 5 14 5" xfId="52916"/>
    <cellStyle name="Input [yellow] 3 16 5 15" xfId="8822"/>
    <cellStyle name="Input [yellow] 3 16 5 15 2" xfId="20019"/>
    <cellStyle name="Input [yellow] 3 16 5 15 3" xfId="31187"/>
    <cellStyle name="Input [yellow] 3 16 5 15 4" xfId="42352"/>
    <cellStyle name="Input [yellow] 3 16 5 15 5" xfId="53545"/>
    <cellStyle name="Input [yellow] 3 16 5 16" xfId="9244"/>
    <cellStyle name="Input [yellow] 3 16 5 16 2" xfId="20441"/>
    <cellStyle name="Input [yellow] 3 16 5 16 3" xfId="31609"/>
    <cellStyle name="Input [yellow] 3 16 5 16 4" xfId="42774"/>
    <cellStyle name="Input [yellow] 3 16 5 16 5" xfId="53967"/>
    <cellStyle name="Input [yellow] 3 16 5 17" xfId="9871"/>
    <cellStyle name="Input [yellow] 3 16 5 17 2" xfId="21068"/>
    <cellStyle name="Input [yellow] 3 16 5 17 3" xfId="32236"/>
    <cellStyle name="Input [yellow] 3 16 5 17 4" xfId="43401"/>
    <cellStyle name="Input [yellow] 3 16 5 17 5" xfId="54594"/>
    <cellStyle name="Input [yellow] 3 16 5 18" xfId="9624"/>
    <cellStyle name="Input [yellow] 3 16 5 18 2" xfId="20821"/>
    <cellStyle name="Input [yellow] 3 16 5 18 3" xfId="31989"/>
    <cellStyle name="Input [yellow] 3 16 5 18 4" xfId="43154"/>
    <cellStyle name="Input [yellow] 3 16 5 18 5" xfId="54347"/>
    <cellStyle name="Input [yellow] 3 16 5 19" xfId="10909"/>
    <cellStyle name="Input [yellow] 3 16 5 19 2" xfId="22106"/>
    <cellStyle name="Input [yellow] 3 16 5 19 3" xfId="33274"/>
    <cellStyle name="Input [yellow] 3 16 5 19 4" xfId="44439"/>
    <cellStyle name="Input [yellow] 3 16 5 19 5" xfId="55632"/>
    <cellStyle name="Input [yellow] 3 16 5 2" xfId="1005"/>
    <cellStyle name="Input [yellow] 3 16 5 2 2" xfId="12202"/>
    <cellStyle name="Input [yellow] 3 16 5 2 3" xfId="23370"/>
    <cellStyle name="Input [yellow] 3 16 5 2 4" xfId="34535"/>
    <cellStyle name="Input [yellow] 3 16 5 2 5" xfId="45728"/>
    <cellStyle name="Input [yellow] 3 16 5 20" xfId="11556"/>
    <cellStyle name="Input [yellow] 3 16 5 21" xfId="22726"/>
    <cellStyle name="Input [yellow] 3 16 5 22" xfId="33893"/>
    <cellStyle name="Input [yellow] 3 16 5 23" xfId="45079"/>
    <cellStyle name="Input [yellow] 3 16 5 3" xfId="1353"/>
    <cellStyle name="Input [yellow] 3 16 5 3 2" xfId="12550"/>
    <cellStyle name="Input [yellow] 3 16 5 3 3" xfId="23718"/>
    <cellStyle name="Input [yellow] 3 16 5 3 4" xfId="34883"/>
    <cellStyle name="Input [yellow] 3 16 5 3 5" xfId="46076"/>
    <cellStyle name="Input [yellow] 3 16 5 4" xfId="2281"/>
    <cellStyle name="Input [yellow] 3 16 5 4 2" xfId="13478"/>
    <cellStyle name="Input [yellow] 3 16 5 4 3" xfId="24646"/>
    <cellStyle name="Input [yellow] 3 16 5 4 4" xfId="35811"/>
    <cellStyle name="Input [yellow] 3 16 5 4 5" xfId="47004"/>
    <cellStyle name="Input [yellow] 3 16 5 5" xfId="2706"/>
    <cellStyle name="Input [yellow] 3 16 5 5 2" xfId="13903"/>
    <cellStyle name="Input [yellow] 3 16 5 5 3" xfId="25071"/>
    <cellStyle name="Input [yellow] 3 16 5 5 4" xfId="36236"/>
    <cellStyle name="Input [yellow] 3 16 5 5 5" xfId="47429"/>
    <cellStyle name="Input [yellow] 3 16 5 6" xfId="3340"/>
    <cellStyle name="Input [yellow] 3 16 5 6 2" xfId="14537"/>
    <cellStyle name="Input [yellow] 3 16 5 6 3" xfId="25705"/>
    <cellStyle name="Input [yellow] 3 16 5 6 4" xfId="36870"/>
    <cellStyle name="Input [yellow] 3 16 5 6 5" xfId="48063"/>
    <cellStyle name="Input [yellow] 3 16 5 7" xfId="3974"/>
    <cellStyle name="Input [yellow] 3 16 5 7 2" xfId="15171"/>
    <cellStyle name="Input [yellow] 3 16 5 7 3" xfId="26339"/>
    <cellStyle name="Input [yellow] 3 16 5 7 4" xfId="37504"/>
    <cellStyle name="Input [yellow] 3 16 5 7 5" xfId="48697"/>
    <cellStyle name="Input [yellow] 3 16 5 8" xfId="4607"/>
    <cellStyle name="Input [yellow] 3 16 5 8 2" xfId="15804"/>
    <cellStyle name="Input [yellow] 3 16 5 8 3" xfId="26972"/>
    <cellStyle name="Input [yellow] 3 16 5 8 4" xfId="38137"/>
    <cellStyle name="Input [yellow] 3 16 5 8 5" xfId="49330"/>
    <cellStyle name="Input [yellow] 3 16 5 9" xfId="5238"/>
    <cellStyle name="Input [yellow] 3 16 5 9 2" xfId="16435"/>
    <cellStyle name="Input [yellow] 3 16 5 9 3" xfId="27603"/>
    <cellStyle name="Input [yellow] 3 16 5 9 4" xfId="38768"/>
    <cellStyle name="Input [yellow] 3 16 5 9 5" xfId="49961"/>
    <cellStyle name="Input [yellow] 3 16 6" xfId="388"/>
    <cellStyle name="Input [yellow] 3 16 6 10" xfId="5823"/>
    <cellStyle name="Input [yellow] 3 16 6 10 2" xfId="17020"/>
    <cellStyle name="Input [yellow] 3 16 6 10 3" xfId="28188"/>
    <cellStyle name="Input [yellow] 3 16 6 10 4" xfId="39353"/>
    <cellStyle name="Input [yellow] 3 16 6 10 5" xfId="50546"/>
    <cellStyle name="Input [yellow] 3 16 6 11" xfId="6324"/>
    <cellStyle name="Input [yellow] 3 16 6 11 2" xfId="17521"/>
    <cellStyle name="Input [yellow] 3 16 6 11 3" xfId="28689"/>
    <cellStyle name="Input [yellow] 3 16 6 11 4" xfId="39854"/>
    <cellStyle name="Input [yellow] 3 16 6 11 5" xfId="51047"/>
    <cellStyle name="Input [yellow] 3 16 6 12" xfId="6957"/>
    <cellStyle name="Input [yellow] 3 16 6 12 2" xfId="18154"/>
    <cellStyle name="Input [yellow] 3 16 6 12 3" xfId="29322"/>
    <cellStyle name="Input [yellow] 3 16 6 12 4" xfId="40487"/>
    <cellStyle name="Input [yellow] 3 16 6 12 5" xfId="51680"/>
    <cellStyle name="Input [yellow] 3 16 6 13" xfId="7591"/>
    <cellStyle name="Input [yellow] 3 16 6 13 2" xfId="18788"/>
    <cellStyle name="Input [yellow] 3 16 6 13 3" xfId="29956"/>
    <cellStyle name="Input [yellow] 3 16 6 13 4" xfId="41121"/>
    <cellStyle name="Input [yellow] 3 16 6 13 5" xfId="52314"/>
    <cellStyle name="Input [yellow] 3 16 6 14" xfId="8225"/>
    <cellStyle name="Input [yellow] 3 16 6 14 2" xfId="19422"/>
    <cellStyle name="Input [yellow] 3 16 6 14 3" xfId="30590"/>
    <cellStyle name="Input [yellow] 3 16 6 14 4" xfId="41755"/>
    <cellStyle name="Input [yellow] 3 16 6 14 5" xfId="52948"/>
    <cellStyle name="Input [yellow] 3 16 6 15" xfId="8853"/>
    <cellStyle name="Input [yellow] 3 16 6 15 2" xfId="20050"/>
    <cellStyle name="Input [yellow] 3 16 6 15 3" xfId="31218"/>
    <cellStyle name="Input [yellow] 3 16 6 15 4" xfId="42383"/>
    <cellStyle name="Input [yellow] 3 16 6 15 5" xfId="53576"/>
    <cellStyle name="Input [yellow] 3 16 6 16" xfId="9276"/>
    <cellStyle name="Input [yellow] 3 16 6 16 2" xfId="20473"/>
    <cellStyle name="Input [yellow] 3 16 6 16 3" xfId="31641"/>
    <cellStyle name="Input [yellow] 3 16 6 16 4" xfId="42806"/>
    <cellStyle name="Input [yellow] 3 16 6 16 5" xfId="53999"/>
    <cellStyle name="Input [yellow] 3 16 6 17" xfId="9902"/>
    <cellStyle name="Input [yellow] 3 16 6 17 2" xfId="21099"/>
    <cellStyle name="Input [yellow] 3 16 6 17 3" xfId="32267"/>
    <cellStyle name="Input [yellow] 3 16 6 17 4" xfId="43432"/>
    <cellStyle name="Input [yellow] 3 16 6 17 5" xfId="54625"/>
    <cellStyle name="Input [yellow] 3 16 6 18" xfId="10268"/>
    <cellStyle name="Input [yellow] 3 16 6 18 2" xfId="21465"/>
    <cellStyle name="Input [yellow] 3 16 6 18 3" xfId="32633"/>
    <cellStyle name="Input [yellow] 3 16 6 18 4" xfId="43798"/>
    <cellStyle name="Input [yellow] 3 16 6 18 5" xfId="54991"/>
    <cellStyle name="Input [yellow] 3 16 6 19" xfId="10941"/>
    <cellStyle name="Input [yellow] 3 16 6 19 2" xfId="22138"/>
    <cellStyle name="Input [yellow] 3 16 6 19 3" xfId="33306"/>
    <cellStyle name="Input [yellow] 3 16 6 19 4" xfId="44471"/>
    <cellStyle name="Input [yellow] 3 16 6 19 5" xfId="55664"/>
    <cellStyle name="Input [yellow] 3 16 6 2" xfId="1037"/>
    <cellStyle name="Input [yellow] 3 16 6 2 2" xfId="12234"/>
    <cellStyle name="Input [yellow] 3 16 6 2 3" xfId="23402"/>
    <cellStyle name="Input [yellow] 3 16 6 2 4" xfId="34567"/>
    <cellStyle name="Input [yellow] 3 16 6 2 5" xfId="45760"/>
    <cellStyle name="Input [yellow] 3 16 6 20" xfId="11588"/>
    <cellStyle name="Input [yellow] 3 16 6 21" xfId="22758"/>
    <cellStyle name="Input [yellow] 3 16 6 22" xfId="33925"/>
    <cellStyle name="Input [yellow] 3 16 6 23" xfId="45111"/>
    <cellStyle name="Input [yellow] 3 16 6 3" xfId="1558"/>
    <cellStyle name="Input [yellow] 3 16 6 3 2" xfId="12755"/>
    <cellStyle name="Input [yellow] 3 16 6 3 3" xfId="23923"/>
    <cellStyle name="Input [yellow] 3 16 6 3 4" xfId="35088"/>
    <cellStyle name="Input [yellow] 3 16 6 3 5" xfId="46281"/>
    <cellStyle name="Input [yellow] 3 16 6 4" xfId="2313"/>
    <cellStyle name="Input [yellow] 3 16 6 4 2" xfId="13510"/>
    <cellStyle name="Input [yellow] 3 16 6 4 3" xfId="24678"/>
    <cellStyle name="Input [yellow] 3 16 6 4 4" xfId="35843"/>
    <cellStyle name="Input [yellow] 3 16 6 4 5" xfId="47036"/>
    <cellStyle name="Input [yellow] 3 16 6 5" xfId="2738"/>
    <cellStyle name="Input [yellow] 3 16 6 5 2" xfId="13935"/>
    <cellStyle name="Input [yellow] 3 16 6 5 3" xfId="25103"/>
    <cellStyle name="Input [yellow] 3 16 6 5 4" xfId="36268"/>
    <cellStyle name="Input [yellow] 3 16 6 5 5" xfId="47461"/>
    <cellStyle name="Input [yellow] 3 16 6 6" xfId="3372"/>
    <cellStyle name="Input [yellow] 3 16 6 6 2" xfId="14569"/>
    <cellStyle name="Input [yellow] 3 16 6 6 3" xfId="25737"/>
    <cellStyle name="Input [yellow] 3 16 6 6 4" xfId="36902"/>
    <cellStyle name="Input [yellow] 3 16 6 6 5" xfId="48095"/>
    <cellStyle name="Input [yellow] 3 16 6 7" xfId="4006"/>
    <cellStyle name="Input [yellow] 3 16 6 7 2" xfId="15203"/>
    <cellStyle name="Input [yellow] 3 16 6 7 3" xfId="26371"/>
    <cellStyle name="Input [yellow] 3 16 6 7 4" xfId="37536"/>
    <cellStyle name="Input [yellow] 3 16 6 7 5" xfId="48729"/>
    <cellStyle name="Input [yellow] 3 16 6 8" xfId="4639"/>
    <cellStyle name="Input [yellow] 3 16 6 8 2" xfId="15836"/>
    <cellStyle name="Input [yellow] 3 16 6 8 3" xfId="27004"/>
    <cellStyle name="Input [yellow] 3 16 6 8 4" xfId="38169"/>
    <cellStyle name="Input [yellow] 3 16 6 8 5" xfId="49362"/>
    <cellStyle name="Input [yellow] 3 16 6 9" xfId="5270"/>
    <cellStyle name="Input [yellow] 3 16 6 9 2" xfId="16467"/>
    <cellStyle name="Input [yellow] 3 16 6 9 3" xfId="27635"/>
    <cellStyle name="Input [yellow] 3 16 6 9 4" xfId="38800"/>
    <cellStyle name="Input [yellow] 3 16 6 9 5" xfId="49993"/>
    <cellStyle name="Input [yellow] 3 16 7" xfId="428"/>
    <cellStyle name="Input [yellow] 3 16 7 10" xfId="6127"/>
    <cellStyle name="Input [yellow] 3 16 7 10 2" xfId="17324"/>
    <cellStyle name="Input [yellow] 3 16 7 10 3" xfId="28492"/>
    <cellStyle name="Input [yellow] 3 16 7 10 4" xfId="39657"/>
    <cellStyle name="Input [yellow] 3 16 7 10 5" xfId="50850"/>
    <cellStyle name="Input [yellow] 3 16 7 11" xfId="6364"/>
    <cellStyle name="Input [yellow] 3 16 7 11 2" xfId="17561"/>
    <cellStyle name="Input [yellow] 3 16 7 11 3" xfId="28729"/>
    <cellStyle name="Input [yellow] 3 16 7 11 4" xfId="39894"/>
    <cellStyle name="Input [yellow] 3 16 7 11 5" xfId="51087"/>
    <cellStyle name="Input [yellow] 3 16 7 12" xfId="6997"/>
    <cellStyle name="Input [yellow] 3 16 7 12 2" xfId="18194"/>
    <cellStyle name="Input [yellow] 3 16 7 12 3" xfId="29362"/>
    <cellStyle name="Input [yellow] 3 16 7 12 4" xfId="40527"/>
    <cellStyle name="Input [yellow] 3 16 7 12 5" xfId="51720"/>
    <cellStyle name="Input [yellow] 3 16 7 13" xfId="7631"/>
    <cellStyle name="Input [yellow] 3 16 7 13 2" xfId="18828"/>
    <cellStyle name="Input [yellow] 3 16 7 13 3" xfId="29996"/>
    <cellStyle name="Input [yellow] 3 16 7 13 4" xfId="41161"/>
    <cellStyle name="Input [yellow] 3 16 7 13 5" xfId="52354"/>
    <cellStyle name="Input [yellow] 3 16 7 14" xfId="8265"/>
    <cellStyle name="Input [yellow] 3 16 7 14 2" xfId="19462"/>
    <cellStyle name="Input [yellow] 3 16 7 14 3" xfId="30630"/>
    <cellStyle name="Input [yellow] 3 16 7 14 4" xfId="41795"/>
    <cellStyle name="Input [yellow] 3 16 7 14 5" xfId="52988"/>
    <cellStyle name="Input [yellow] 3 16 7 15" xfId="8893"/>
    <cellStyle name="Input [yellow] 3 16 7 15 2" xfId="20090"/>
    <cellStyle name="Input [yellow] 3 16 7 15 3" xfId="31258"/>
    <cellStyle name="Input [yellow] 3 16 7 15 4" xfId="42423"/>
    <cellStyle name="Input [yellow] 3 16 7 15 5" xfId="53616"/>
    <cellStyle name="Input [yellow] 3 16 7 16" xfId="9316"/>
    <cellStyle name="Input [yellow] 3 16 7 16 2" xfId="20513"/>
    <cellStyle name="Input [yellow] 3 16 7 16 3" xfId="31681"/>
    <cellStyle name="Input [yellow] 3 16 7 16 4" xfId="42846"/>
    <cellStyle name="Input [yellow] 3 16 7 16 5" xfId="54039"/>
    <cellStyle name="Input [yellow] 3 16 7 17" xfId="9942"/>
    <cellStyle name="Input [yellow] 3 16 7 17 2" xfId="21139"/>
    <cellStyle name="Input [yellow] 3 16 7 17 3" xfId="32307"/>
    <cellStyle name="Input [yellow] 3 16 7 17 4" xfId="43472"/>
    <cellStyle name="Input [yellow] 3 16 7 17 5" xfId="54665"/>
    <cellStyle name="Input [yellow] 3 16 7 18" xfId="10501"/>
    <cellStyle name="Input [yellow] 3 16 7 18 2" xfId="21698"/>
    <cellStyle name="Input [yellow] 3 16 7 18 3" xfId="32866"/>
    <cellStyle name="Input [yellow] 3 16 7 18 4" xfId="44031"/>
    <cellStyle name="Input [yellow] 3 16 7 18 5" xfId="55224"/>
    <cellStyle name="Input [yellow] 3 16 7 19" xfId="10981"/>
    <cellStyle name="Input [yellow] 3 16 7 19 2" xfId="22178"/>
    <cellStyle name="Input [yellow] 3 16 7 19 3" xfId="33346"/>
    <cellStyle name="Input [yellow] 3 16 7 19 4" xfId="44511"/>
    <cellStyle name="Input [yellow] 3 16 7 19 5" xfId="55704"/>
    <cellStyle name="Input [yellow] 3 16 7 2" xfId="1077"/>
    <cellStyle name="Input [yellow] 3 16 7 2 2" xfId="12274"/>
    <cellStyle name="Input [yellow] 3 16 7 2 3" xfId="23442"/>
    <cellStyle name="Input [yellow] 3 16 7 2 4" xfId="34607"/>
    <cellStyle name="Input [yellow] 3 16 7 2 5" xfId="45800"/>
    <cellStyle name="Input [yellow] 3 16 7 20" xfId="11628"/>
    <cellStyle name="Input [yellow] 3 16 7 21" xfId="22798"/>
    <cellStyle name="Input [yellow] 3 16 7 22" xfId="33965"/>
    <cellStyle name="Input [yellow] 3 16 7 23" xfId="45151"/>
    <cellStyle name="Input [yellow] 3 16 7 3" xfId="1798"/>
    <cellStyle name="Input [yellow] 3 16 7 3 2" xfId="12995"/>
    <cellStyle name="Input [yellow] 3 16 7 3 3" xfId="24163"/>
    <cellStyle name="Input [yellow] 3 16 7 3 4" xfId="35328"/>
    <cellStyle name="Input [yellow] 3 16 7 3 5" xfId="46521"/>
    <cellStyle name="Input [yellow] 3 16 7 4" xfId="2353"/>
    <cellStyle name="Input [yellow] 3 16 7 4 2" xfId="13550"/>
    <cellStyle name="Input [yellow] 3 16 7 4 3" xfId="24718"/>
    <cellStyle name="Input [yellow] 3 16 7 4 4" xfId="35883"/>
    <cellStyle name="Input [yellow] 3 16 7 4 5" xfId="47076"/>
    <cellStyle name="Input [yellow] 3 16 7 5" xfId="2778"/>
    <cellStyle name="Input [yellow] 3 16 7 5 2" xfId="13975"/>
    <cellStyle name="Input [yellow] 3 16 7 5 3" xfId="25143"/>
    <cellStyle name="Input [yellow] 3 16 7 5 4" xfId="36308"/>
    <cellStyle name="Input [yellow] 3 16 7 5 5" xfId="47501"/>
    <cellStyle name="Input [yellow] 3 16 7 6" xfId="3412"/>
    <cellStyle name="Input [yellow] 3 16 7 6 2" xfId="14609"/>
    <cellStyle name="Input [yellow] 3 16 7 6 3" xfId="25777"/>
    <cellStyle name="Input [yellow] 3 16 7 6 4" xfId="36942"/>
    <cellStyle name="Input [yellow] 3 16 7 6 5" xfId="48135"/>
    <cellStyle name="Input [yellow] 3 16 7 7" xfId="4046"/>
    <cellStyle name="Input [yellow] 3 16 7 7 2" xfId="15243"/>
    <cellStyle name="Input [yellow] 3 16 7 7 3" xfId="26411"/>
    <cellStyle name="Input [yellow] 3 16 7 7 4" xfId="37576"/>
    <cellStyle name="Input [yellow] 3 16 7 7 5" xfId="48769"/>
    <cellStyle name="Input [yellow] 3 16 7 8" xfId="4679"/>
    <cellStyle name="Input [yellow] 3 16 7 8 2" xfId="15876"/>
    <cellStyle name="Input [yellow] 3 16 7 8 3" xfId="27044"/>
    <cellStyle name="Input [yellow] 3 16 7 8 4" xfId="38209"/>
    <cellStyle name="Input [yellow] 3 16 7 8 5" xfId="49402"/>
    <cellStyle name="Input [yellow] 3 16 7 9" xfId="5310"/>
    <cellStyle name="Input [yellow] 3 16 7 9 2" xfId="16507"/>
    <cellStyle name="Input [yellow] 3 16 7 9 3" xfId="27675"/>
    <cellStyle name="Input [yellow] 3 16 7 9 4" xfId="38840"/>
    <cellStyle name="Input [yellow] 3 16 7 9 5" xfId="50033"/>
    <cellStyle name="Input [yellow] 3 16 8" xfId="527"/>
    <cellStyle name="Input [yellow] 3 16 8 10" xfId="5745"/>
    <cellStyle name="Input [yellow] 3 16 8 10 2" xfId="16942"/>
    <cellStyle name="Input [yellow] 3 16 8 10 3" xfId="28110"/>
    <cellStyle name="Input [yellow] 3 16 8 10 4" xfId="39275"/>
    <cellStyle name="Input [yellow] 3 16 8 10 5" xfId="50468"/>
    <cellStyle name="Input [yellow] 3 16 8 11" xfId="6463"/>
    <cellStyle name="Input [yellow] 3 16 8 11 2" xfId="17660"/>
    <cellStyle name="Input [yellow] 3 16 8 11 3" xfId="28828"/>
    <cellStyle name="Input [yellow] 3 16 8 11 4" xfId="39993"/>
    <cellStyle name="Input [yellow] 3 16 8 11 5" xfId="51186"/>
    <cellStyle name="Input [yellow] 3 16 8 12" xfId="7096"/>
    <cellStyle name="Input [yellow] 3 16 8 12 2" xfId="18293"/>
    <cellStyle name="Input [yellow] 3 16 8 12 3" xfId="29461"/>
    <cellStyle name="Input [yellow] 3 16 8 12 4" xfId="40626"/>
    <cellStyle name="Input [yellow] 3 16 8 12 5" xfId="51819"/>
    <cellStyle name="Input [yellow] 3 16 8 13" xfId="7730"/>
    <cellStyle name="Input [yellow] 3 16 8 13 2" xfId="18927"/>
    <cellStyle name="Input [yellow] 3 16 8 13 3" xfId="30095"/>
    <cellStyle name="Input [yellow] 3 16 8 13 4" xfId="41260"/>
    <cellStyle name="Input [yellow] 3 16 8 13 5" xfId="52453"/>
    <cellStyle name="Input [yellow] 3 16 8 14" xfId="8364"/>
    <cellStyle name="Input [yellow] 3 16 8 14 2" xfId="19561"/>
    <cellStyle name="Input [yellow] 3 16 8 14 3" xfId="30729"/>
    <cellStyle name="Input [yellow] 3 16 8 14 4" xfId="41894"/>
    <cellStyle name="Input [yellow] 3 16 8 14 5" xfId="53087"/>
    <cellStyle name="Input [yellow] 3 16 8 15" xfId="8992"/>
    <cellStyle name="Input [yellow] 3 16 8 15 2" xfId="20189"/>
    <cellStyle name="Input [yellow] 3 16 8 15 3" xfId="31357"/>
    <cellStyle name="Input [yellow] 3 16 8 15 4" xfId="42522"/>
    <cellStyle name="Input [yellow] 3 16 8 15 5" xfId="53715"/>
    <cellStyle name="Input [yellow] 3 16 8 16" xfId="9415"/>
    <cellStyle name="Input [yellow] 3 16 8 16 2" xfId="20612"/>
    <cellStyle name="Input [yellow] 3 16 8 16 3" xfId="31780"/>
    <cellStyle name="Input [yellow] 3 16 8 16 4" xfId="42945"/>
    <cellStyle name="Input [yellow] 3 16 8 16 5" xfId="54138"/>
    <cellStyle name="Input [yellow] 3 16 8 17" xfId="10040"/>
    <cellStyle name="Input [yellow] 3 16 8 17 2" xfId="21237"/>
    <cellStyle name="Input [yellow] 3 16 8 17 3" xfId="32405"/>
    <cellStyle name="Input [yellow] 3 16 8 17 4" xfId="43570"/>
    <cellStyle name="Input [yellow] 3 16 8 17 5" xfId="54763"/>
    <cellStyle name="Input [yellow] 3 16 8 18" xfId="10038"/>
    <cellStyle name="Input [yellow] 3 16 8 18 2" xfId="21235"/>
    <cellStyle name="Input [yellow] 3 16 8 18 3" xfId="32403"/>
    <cellStyle name="Input [yellow] 3 16 8 18 4" xfId="43568"/>
    <cellStyle name="Input [yellow] 3 16 8 18 5" xfId="54761"/>
    <cellStyle name="Input [yellow] 3 16 8 19" xfId="11080"/>
    <cellStyle name="Input [yellow] 3 16 8 19 2" xfId="22277"/>
    <cellStyle name="Input [yellow] 3 16 8 19 3" xfId="33445"/>
    <cellStyle name="Input [yellow] 3 16 8 19 4" xfId="44610"/>
    <cellStyle name="Input [yellow] 3 16 8 19 5" xfId="55803"/>
    <cellStyle name="Input [yellow] 3 16 8 2" xfId="1176"/>
    <cellStyle name="Input [yellow] 3 16 8 2 2" xfId="12373"/>
    <cellStyle name="Input [yellow] 3 16 8 2 3" xfId="23541"/>
    <cellStyle name="Input [yellow] 3 16 8 2 4" xfId="34706"/>
    <cellStyle name="Input [yellow] 3 16 8 2 5" xfId="45899"/>
    <cellStyle name="Input [yellow] 3 16 8 20" xfId="11727"/>
    <cellStyle name="Input [yellow] 3 16 8 21" xfId="22897"/>
    <cellStyle name="Input [yellow] 3 16 8 22" xfId="34064"/>
    <cellStyle name="Input [yellow] 3 16 8 23" xfId="45250"/>
    <cellStyle name="Input [yellow] 3 16 8 3" xfId="1444"/>
    <cellStyle name="Input [yellow] 3 16 8 3 2" xfId="12641"/>
    <cellStyle name="Input [yellow] 3 16 8 3 3" xfId="23809"/>
    <cellStyle name="Input [yellow] 3 16 8 3 4" xfId="34974"/>
    <cellStyle name="Input [yellow] 3 16 8 3 5" xfId="46167"/>
    <cellStyle name="Input [yellow] 3 16 8 4" xfId="2452"/>
    <cellStyle name="Input [yellow] 3 16 8 4 2" xfId="13649"/>
    <cellStyle name="Input [yellow] 3 16 8 4 3" xfId="24817"/>
    <cellStyle name="Input [yellow] 3 16 8 4 4" xfId="35982"/>
    <cellStyle name="Input [yellow] 3 16 8 4 5" xfId="47175"/>
    <cellStyle name="Input [yellow] 3 16 8 5" xfId="2877"/>
    <cellStyle name="Input [yellow] 3 16 8 5 2" xfId="14074"/>
    <cellStyle name="Input [yellow] 3 16 8 5 3" xfId="25242"/>
    <cellStyle name="Input [yellow] 3 16 8 5 4" xfId="36407"/>
    <cellStyle name="Input [yellow] 3 16 8 5 5" xfId="47600"/>
    <cellStyle name="Input [yellow] 3 16 8 6" xfId="3511"/>
    <cellStyle name="Input [yellow] 3 16 8 6 2" xfId="14708"/>
    <cellStyle name="Input [yellow] 3 16 8 6 3" xfId="25876"/>
    <cellStyle name="Input [yellow] 3 16 8 6 4" xfId="37041"/>
    <cellStyle name="Input [yellow] 3 16 8 6 5" xfId="48234"/>
    <cellStyle name="Input [yellow] 3 16 8 7" xfId="4145"/>
    <cellStyle name="Input [yellow] 3 16 8 7 2" xfId="15342"/>
    <cellStyle name="Input [yellow] 3 16 8 7 3" xfId="26510"/>
    <cellStyle name="Input [yellow] 3 16 8 7 4" xfId="37675"/>
    <cellStyle name="Input [yellow] 3 16 8 7 5" xfId="48868"/>
    <cellStyle name="Input [yellow] 3 16 8 8" xfId="4778"/>
    <cellStyle name="Input [yellow] 3 16 8 8 2" xfId="15975"/>
    <cellStyle name="Input [yellow] 3 16 8 8 3" xfId="27143"/>
    <cellStyle name="Input [yellow] 3 16 8 8 4" xfId="38308"/>
    <cellStyle name="Input [yellow] 3 16 8 8 5" xfId="49501"/>
    <cellStyle name="Input [yellow] 3 16 8 9" xfId="5409"/>
    <cellStyle name="Input [yellow] 3 16 8 9 2" xfId="16606"/>
    <cellStyle name="Input [yellow] 3 16 8 9 3" xfId="27774"/>
    <cellStyle name="Input [yellow] 3 16 8 9 4" xfId="38939"/>
    <cellStyle name="Input [yellow] 3 16 8 9 5" xfId="50132"/>
    <cellStyle name="Input [yellow] 3 16 9" xfId="585"/>
    <cellStyle name="Input [yellow] 3 16 9 10" xfId="6168"/>
    <cellStyle name="Input [yellow] 3 16 9 10 2" xfId="17365"/>
    <cellStyle name="Input [yellow] 3 16 9 10 3" xfId="28533"/>
    <cellStyle name="Input [yellow] 3 16 9 10 4" xfId="39698"/>
    <cellStyle name="Input [yellow] 3 16 9 10 5" xfId="50891"/>
    <cellStyle name="Input [yellow] 3 16 9 11" xfId="6521"/>
    <cellStyle name="Input [yellow] 3 16 9 11 2" xfId="17718"/>
    <cellStyle name="Input [yellow] 3 16 9 11 3" xfId="28886"/>
    <cellStyle name="Input [yellow] 3 16 9 11 4" xfId="40051"/>
    <cellStyle name="Input [yellow] 3 16 9 11 5" xfId="51244"/>
    <cellStyle name="Input [yellow] 3 16 9 12" xfId="7154"/>
    <cellStyle name="Input [yellow] 3 16 9 12 2" xfId="18351"/>
    <cellStyle name="Input [yellow] 3 16 9 12 3" xfId="29519"/>
    <cellStyle name="Input [yellow] 3 16 9 12 4" xfId="40684"/>
    <cellStyle name="Input [yellow] 3 16 9 12 5" xfId="51877"/>
    <cellStyle name="Input [yellow] 3 16 9 13" xfId="7788"/>
    <cellStyle name="Input [yellow] 3 16 9 13 2" xfId="18985"/>
    <cellStyle name="Input [yellow] 3 16 9 13 3" xfId="30153"/>
    <cellStyle name="Input [yellow] 3 16 9 13 4" xfId="41318"/>
    <cellStyle name="Input [yellow] 3 16 9 13 5" xfId="52511"/>
    <cellStyle name="Input [yellow] 3 16 9 14" xfId="8422"/>
    <cellStyle name="Input [yellow] 3 16 9 14 2" xfId="19619"/>
    <cellStyle name="Input [yellow] 3 16 9 14 3" xfId="30787"/>
    <cellStyle name="Input [yellow] 3 16 9 14 4" xfId="41952"/>
    <cellStyle name="Input [yellow] 3 16 9 14 5" xfId="53145"/>
    <cellStyle name="Input [yellow] 3 16 9 15" xfId="9050"/>
    <cellStyle name="Input [yellow] 3 16 9 15 2" xfId="20247"/>
    <cellStyle name="Input [yellow] 3 16 9 15 3" xfId="31415"/>
    <cellStyle name="Input [yellow] 3 16 9 15 4" xfId="42580"/>
    <cellStyle name="Input [yellow] 3 16 9 15 5" xfId="53773"/>
    <cellStyle name="Input [yellow] 3 16 9 16" xfId="9473"/>
    <cellStyle name="Input [yellow] 3 16 9 16 2" xfId="20670"/>
    <cellStyle name="Input [yellow] 3 16 9 16 3" xfId="31838"/>
    <cellStyle name="Input [yellow] 3 16 9 16 4" xfId="43003"/>
    <cellStyle name="Input [yellow] 3 16 9 16 5" xfId="54196"/>
    <cellStyle name="Input [yellow] 3 16 9 17" xfId="10098"/>
    <cellStyle name="Input [yellow] 3 16 9 17 2" xfId="21295"/>
    <cellStyle name="Input [yellow] 3 16 9 17 3" xfId="32463"/>
    <cellStyle name="Input [yellow] 3 16 9 17 4" xfId="43628"/>
    <cellStyle name="Input [yellow] 3 16 9 17 5" xfId="54821"/>
    <cellStyle name="Input [yellow] 3 16 9 18" xfId="10214"/>
    <cellStyle name="Input [yellow] 3 16 9 18 2" xfId="21411"/>
    <cellStyle name="Input [yellow] 3 16 9 18 3" xfId="32579"/>
    <cellStyle name="Input [yellow] 3 16 9 18 4" xfId="43744"/>
    <cellStyle name="Input [yellow] 3 16 9 18 5" xfId="54937"/>
    <cellStyle name="Input [yellow] 3 16 9 19" xfId="11138"/>
    <cellStyle name="Input [yellow] 3 16 9 19 2" xfId="22335"/>
    <cellStyle name="Input [yellow] 3 16 9 19 3" xfId="33503"/>
    <cellStyle name="Input [yellow] 3 16 9 19 4" xfId="44668"/>
    <cellStyle name="Input [yellow] 3 16 9 19 5" xfId="55861"/>
    <cellStyle name="Input [yellow] 3 16 9 2" xfId="1234"/>
    <cellStyle name="Input [yellow] 3 16 9 2 2" xfId="12431"/>
    <cellStyle name="Input [yellow] 3 16 9 2 3" xfId="23599"/>
    <cellStyle name="Input [yellow] 3 16 9 2 4" xfId="34764"/>
    <cellStyle name="Input [yellow] 3 16 9 2 5" xfId="45957"/>
    <cellStyle name="Input [yellow] 3 16 9 20" xfId="11785"/>
    <cellStyle name="Input [yellow] 3 16 9 21" xfId="22955"/>
    <cellStyle name="Input [yellow] 3 16 9 22" xfId="34122"/>
    <cellStyle name="Input [yellow] 3 16 9 23" xfId="45308"/>
    <cellStyle name="Input [yellow] 3 16 9 3" xfId="1823"/>
    <cellStyle name="Input [yellow] 3 16 9 3 2" xfId="13020"/>
    <cellStyle name="Input [yellow] 3 16 9 3 3" xfId="24188"/>
    <cellStyle name="Input [yellow] 3 16 9 3 4" xfId="35353"/>
    <cellStyle name="Input [yellow] 3 16 9 3 5" xfId="46546"/>
    <cellStyle name="Input [yellow] 3 16 9 4" xfId="2510"/>
    <cellStyle name="Input [yellow] 3 16 9 4 2" xfId="13707"/>
    <cellStyle name="Input [yellow] 3 16 9 4 3" xfId="24875"/>
    <cellStyle name="Input [yellow] 3 16 9 4 4" xfId="36040"/>
    <cellStyle name="Input [yellow] 3 16 9 4 5" xfId="47233"/>
    <cellStyle name="Input [yellow] 3 16 9 5" xfId="2935"/>
    <cellStyle name="Input [yellow] 3 16 9 5 2" xfId="14132"/>
    <cellStyle name="Input [yellow] 3 16 9 5 3" xfId="25300"/>
    <cellStyle name="Input [yellow] 3 16 9 5 4" xfId="36465"/>
    <cellStyle name="Input [yellow] 3 16 9 5 5" xfId="47658"/>
    <cellStyle name="Input [yellow] 3 16 9 6" xfId="3569"/>
    <cellStyle name="Input [yellow] 3 16 9 6 2" xfId="14766"/>
    <cellStyle name="Input [yellow] 3 16 9 6 3" xfId="25934"/>
    <cellStyle name="Input [yellow] 3 16 9 6 4" xfId="37099"/>
    <cellStyle name="Input [yellow] 3 16 9 6 5" xfId="48292"/>
    <cellStyle name="Input [yellow] 3 16 9 7" xfId="4203"/>
    <cellStyle name="Input [yellow] 3 16 9 7 2" xfId="15400"/>
    <cellStyle name="Input [yellow] 3 16 9 7 3" xfId="26568"/>
    <cellStyle name="Input [yellow] 3 16 9 7 4" xfId="37733"/>
    <cellStyle name="Input [yellow] 3 16 9 7 5" xfId="48926"/>
    <cellStyle name="Input [yellow] 3 16 9 8" xfId="4836"/>
    <cellStyle name="Input [yellow] 3 16 9 8 2" xfId="16033"/>
    <cellStyle name="Input [yellow] 3 16 9 8 3" xfId="27201"/>
    <cellStyle name="Input [yellow] 3 16 9 8 4" xfId="38366"/>
    <cellStyle name="Input [yellow] 3 16 9 8 5" xfId="49559"/>
    <cellStyle name="Input [yellow] 3 16 9 9" xfId="5467"/>
    <cellStyle name="Input [yellow] 3 16 9 9 2" xfId="16664"/>
    <cellStyle name="Input [yellow] 3 16 9 9 3" xfId="27832"/>
    <cellStyle name="Input [yellow] 3 16 9 9 4" xfId="38997"/>
    <cellStyle name="Input [yellow] 3 16 9 9 5" xfId="50190"/>
    <cellStyle name="Input [yellow] 3 17" xfId="121"/>
    <cellStyle name="Input [yellow] 3 17 10" xfId="607"/>
    <cellStyle name="Input [yellow] 3 17 10 10" xfId="5757"/>
    <cellStyle name="Input [yellow] 3 17 10 10 2" xfId="16954"/>
    <cellStyle name="Input [yellow] 3 17 10 10 3" xfId="28122"/>
    <cellStyle name="Input [yellow] 3 17 10 10 4" xfId="39287"/>
    <cellStyle name="Input [yellow] 3 17 10 10 5" xfId="50480"/>
    <cellStyle name="Input [yellow] 3 17 10 11" xfId="6543"/>
    <cellStyle name="Input [yellow] 3 17 10 11 2" xfId="17740"/>
    <cellStyle name="Input [yellow] 3 17 10 11 3" xfId="28908"/>
    <cellStyle name="Input [yellow] 3 17 10 11 4" xfId="40073"/>
    <cellStyle name="Input [yellow] 3 17 10 11 5" xfId="51266"/>
    <cellStyle name="Input [yellow] 3 17 10 12" xfId="7176"/>
    <cellStyle name="Input [yellow] 3 17 10 12 2" xfId="18373"/>
    <cellStyle name="Input [yellow] 3 17 10 12 3" xfId="29541"/>
    <cellStyle name="Input [yellow] 3 17 10 12 4" xfId="40706"/>
    <cellStyle name="Input [yellow] 3 17 10 12 5" xfId="51899"/>
    <cellStyle name="Input [yellow] 3 17 10 13" xfId="7810"/>
    <cellStyle name="Input [yellow] 3 17 10 13 2" xfId="19007"/>
    <cellStyle name="Input [yellow] 3 17 10 13 3" xfId="30175"/>
    <cellStyle name="Input [yellow] 3 17 10 13 4" xfId="41340"/>
    <cellStyle name="Input [yellow] 3 17 10 13 5" xfId="52533"/>
    <cellStyle name="Input [yellow] 3 17 10 14" xfId="8444"/>
    <cellStyle name="Input [yellow] 3 17 10 14 2" xfId="19641"/>
    <cellStyle name="Input [yellow] 3 17 10 14 3" xfId="30809"/>
    <cellStyle name="Input [yellow] 3 17 10 14 4" xfId="41974"/>
    <cellStyle name="Input [yellow] 3 17 10 14 5" xfId="53167"/>
    <cellStyle name="Input [yellow] 3 17 10 15" xfId="9072"/>
    <cellStyle name="Input [yellow] 3 17 10 15 2" xfId="20269"/>
    <cellStyle name="Input [yellow] 3 17 10 15 3" xfId="31437"/>
    <cellStyle name="Input [yellow] 3 17 10 15 4" xfId="42602"/>
    <cellStyle name="Input [yellow] 3 17 10 15 5" xfId="53795"/>
    <cellStyle name="Input [yellow] 3 17 10 16" xfId="9495"/>
    <cellStyle name="Input [yellow] 3 17 10 16 2" xfId="20692"/>
    <cellStyle name="Input [yellow] 3 17 10 16 3" xfId="31860"/>
    <cellStyle name="Input [yellow] 3 17 10 16 4" xfId="43025"/>
    <cellStyle name="Input [yellow] 3 17 10 16 5" xfId="54218"/>
    <cellStyle name="Input [yellow] 3 17 10 17" xfId="10120"/>
    <cellStyle name="Input [yellow] 3 17 10 17 2" xfId="21317"/>
    <cellStyle name="Input [yellow] 3 17 10 17 3" xfId="32485"/>
    <cellStyle name="Input [yellow] 3 17 10 17 4" xfId="43650"/>
    <cellStyle name="Input [yellow] 3 17 10 17 5" xfId="54843"/>
    <cellStyle name="Input [yellow] 3 17 10 18" xfId="10543"/>
    <cellStyle name="Input [yellow] 3 17 10 18 2" xfId="21740"/>
    <cellStyle name="Input [yellow] 3 17 10 18 3" xfId="32908"/>
    <cellStyle name="Input [yellow] 3 17 10 18 4" xfId="44073"/>
    <cellStyle name="Input [yellow] 3 17 10 18 5" xfId="55266"/>
    <cellStyle name="Input [yellow] 3 17 10 19" xfId="11160"/>
    <cellStyle name="Input [yellow] 3 17 10 19 2" xfId="22357"/>
    <cellStyle name="Input [yellow] 3 17 10 19 3" xfId="33525"/>
    <cellStyle name="Input [yellow] 3 17 10 19 4" xfId="44690"/>
    <cellStyle name="Input [yellow] 3 17 10 19 5" xfId="55883"/>
    <cellStyle name="Input [yellow] 3 17 10 2" xfId="1256"/>
    <cellStyle name="Input [yellow] 3 17 10 2 2" xfId="12453"/>
    <cellStyle name="Input [yellow] 3 17 10 2 3" xfId="23621"/>
    <cellStyle name="Input [yellow] 3 17 10 2 4" xfId="34786"/>
    <cellStyle name="Input [yellow] 3 17 10 2 5" xfId="45979"/>
    <cellStyle name="Input [yellow] 3 17 10 20" xfId="11807"/>
    <cellStyle name="Input [yellow] 3 17 10 21" xfId="22977"/>
    <cellStyle name="Input [yellow] 3 17 10 22" xfId="34144"/>
    <cellStyle name="Input [yellow] 3 17 10 23" xfId="45330"/>
    <cellStyle name="Input [yellow] 3 17 10 3" xfId="1931"/>
    <cellStyle name="Input [yellow] 3 17 10 3 2" xfId="13128"/>
    <cellStyle name="Input [yellow] 3 17 10 3 3" xfId="24296"/>
    <cellStyle name="Input [yellow] 3 17 10 3 4" xfId="35461"/>
    <cellStyle name="Input [yellow] 3 17 10 3 5" xfId="46654"/>
    <cellStyle name="Input [yellow] 3 17 10 4" xfId="2532"/>
    <cellStyle name="Input [yellow] 3 17 10 4 2" xfId="13729"/>
    <cellStyle name="Input [yellow] 3 17 10 4 3" xfId="24897"/>
    <cellStyle name="Input [yellow] 3 17 10 4 4" xfId="36062"/>
    <cellStyle name="Input [yellow] 3 17 10 4 5" xfId="47255"/>
    <cellStyle name="Input [yellow] 3 17 10 5" xfId="2957"/>
    <cellStyle name="Input [yellow] 3 17 10 5 2" xfId="14154"/>
    <cellStyle name="Input [yellow] 3 17 10 5 3" xfId="25322"/>
    <cellStyle name="Input [yellow] 3 17 10 5 4" xfId="36487"/>
    <cellStyle name="Input [yellow] 3 17 10 5 5" xfId="47680"/>
    <cellStyle name="Input [yellow] 3 17 10 6" xfId="3591"/>
    <cellStyle name="Input [yellow] 3 17 10 6 2" xfId="14788"/>
    <cellStyle name="Input [yellow] 3 17 10 6 3" xfId="25956"/>
    <cellStyle name="Input [yellow] 3 17 10 6 4" xfId="37121"/>
    <cellStyle name="Input [yellow] 3 17 10 6 5" xfId="48314"/>
    <cellStyle name="Input [yellow] 3 17 10 7" xfId="4225"/>
    <cellStyle name="Input [yellow] 3 17 10 7 2" xfId="15422"/>
    <cellStyle name="Input [yellow] 3 17 10 7 3" xfId="26590"/>
    <cellStyle name="Input [yellow] 3 17 10 7 4" xfId="37755"/>
    <cellStyle name="Input [yellow] 3 17 10 7 5" xfId="48948"/>
    <cellStyle name="Input [yellow] 3 17 10 8" xfId="4858"/>
    <cellStyle name="Input [yellow] 3 17 10 8 2" xfId="16055"/>
    <cellStyle name="Input [yellow] 3 17 10 8 3" xfId="27223"/>
    <cellStyle name="Input [yellow] 3 17 10 8 4" xfId="38388"/>
    <cellStyle name="Input [yellow] 3 17 10 8 5" xfId="49581"/>
    <cellStyle name="Input [yellow] 3 17 10 9" xfId="5489"/>
    <cellStyle name="Input [yellow] 3 17 10 9 2" xfId="16686"/>
    <cellStyle name="Input [yellow] 3 17 10 9 3" xfId="27854"/>
    <cellStyle name="Input [yellow] 3 17 10 9 4" xfId="39019"/>
    <cellStyle name="Input [yellow] 3 17 10 9 5" xfId="50212"/>
    <cellStyle name="Input [yellow] 3 17 11" xfId="669"/>
    <cellStyle name="Input [yellow] 3 17 11 10" xfId="5578"/>
    <cellStyle name="Input [yellow] 3 17 11 10 2" xfId="16775"/>
    <cellStyle name="Input [yellow] 3 17 11 10 3" xfId="27943"/>
    <cellStyle name="Input [yellow] 3 17 11 10 4" xfId="39108"/>
    <cellStyle name="Input [yellow] 3 17 11 10 5" xfId="50301"/>
    <cellStyle name="Input [yellow] 3 17 11 11" xfId="6605"/>
    <cellStyle name="Input [yellow] 3 17 11 11 2" xfId="17802"/>
    <cellStyle name="Input [yellow] 3 17 11 11 3" xfId="28970"/>
    <cellStyle name="Input [yellow] 3 17 11 11 4" xfId="40135"/>
    <cellStyle name="Input [yellow] 3 17 11 11 5" xfId="51328"/>
    <cellStyle name="Input [yellow] 3 17 11 12" xfId="7238"/>
    <cellStyle name="Input [yellow] 3 17 11 12 2" xfId="18435"/>
    <cellStyle name="Input [yellow] 3 17 11 12 3" xfId="29603"/>
    <cellStyle name="Input [yellow] 3 17 11 12 4" xfId="40768"/>
    <cellStyle name="Input [yellow] 3 17 11 12 5" xfId="51961"/>
    <cellStyle name="Input [yellow] 3 17 11 13" xfId="7872"/>
    <cellStyle name="Input [yellow] 3 17 11 13 2" xfId="19069"/>
    <cellStyle name="Input [yellow] 3 17 11 13 3" xfId="30237"/>
    <cellStyle name="Input [yellow] 3 17 11 13 4" xfId="41402"/>
    <cellStyle name="Input [yellow] 3 17 11 13 5" xfId="52595"/>
    <cellStyle name="Input [yellow] 3 17 11 14" xfId="8506"/>
    <cellStyle name="Input [yellow] 3 17 11 14 2" xfId="19703"/>
    <cellStyle name="Input [yellow] 3 17 11 14 3" xfId="30871"/>
    <cellStyle name="Input [yellow] 3 17 11 14 4" xfId="42036"/>
    <cellStyle name="Input [yellow] 3 17 11 14 5" xfId="53229"/>
    <cellStyle name="Input [yellow] 3 17 11 15" xfId="9134"/>
    <cellStyle name="Input [yellow] 3 17 11 15 2" xfId="20331"/>
    <cellStyle name="Input [yellow] 3 17 11 15 3" xfId="31499"/>
    <cellStyle name="Input [yellow] 3 17 11 15 4" xfId="42664"/>
    <cellStyle name="Input [yellow] 3 17 11 15 5" xfId="53857"/>
    <cellStyle name="Input [yellow] 3 17 11 16" xfId="9557"/>
    <cellStyle name="Input [yellow] 3 17 11 16 2" xfId="20754"/>
    <cellStyle name="Input [yellow] 3 17 11 16 3" xfId="31922"/>
    <cellStyle name="Input [yellow] 3 17 11 16 4" xfId="43087"/>
    <cellStyle name="Input [yellow] 3 17 11 16 5" xfId="54280"/>
    <cellStyle name="Input [yellow] 3 17 11 17" xfId="10182"/>
    <cellStyle name="Input [yellow] 3 17 11 17 2" xfId="21379"/>
    <cellStyle name="Input [yellow] 3 17 11 17 3" xfId="32547"/>
    <cellStyle name="Input [yellow] 3 17 11 17 4" xfId="43712"/>
    <cellStyle name="Input [yellow] 3 17 11 17 5" xfId="54905"/>
    <cellStyle name="Input [yellow] 3 17 11 18" xfId="9742"/>
    <cellStyle name="Input [yellow] 3 17 11 18 2" xfId="20939"/>
    <cellStyle name="Input [yellow] 3 17 11 18 3" xfId="32107"/>
    <cellStyle name="Input [yellow] 3 17 11 18 4" xfId="43272"/>
    <cellStyle name="Input [yellow] 3 17 11 18 5" xfId="54465"/>
    <cellStyle name="Input [yellow] 3 17 11 19" xfId="11222"/>
    <cellStyle name="Input [yellow] 3 17 11 19 2" xfId="22419"/>
    <cellStyle name="Input [yellow] 3 17 11 19 3" xfId="33587"/>
    <cellStyle name="Input [yellow] 3 17 11 19 4" xfId="44752"/>
    <cellStyle name="Input [yellow] 3 17 11 19 5" xfId="55945"/>
    <cellStyle name="Input [yellow] 3 17 11 2" xfId="1318"/>
    <cellStyle name="Input [yellow] 3 17 11 2 2" xfId="12515"/>
    <cellStyle name="Input [yellow] 3 17 11 2 3" xfId="23683"/>
    <cellStyle name="Input [yellow] 3 17 11 2 4" xfId="34848"/>
    <cellStyle name="Input [yellow] 3 17 11 2 5" xfId="46041"/>
    <cellStyle name="Input [yellow] 3 17 11 20" xfId="11869"/>
    <cellStyle name="Input [yellow] 3 17 11 21" xfId="23039"/>
    <cellStyle name="Input [yellow] 3 17 11 22" xfId="34206"/>
    <cellStyle name="Input [yellow] 3 17 11 23" xfId="45392"/>
    <cellStyle name="Input [yellow] 3 17 11 3" xfId="1580"/>
    <cellStyle name="Input [yellow] 3 17 11 3 2" xfId="12777"/>
    <cellStyle name="Input [yellow] 3 17 11 3 3" xfId="23945"/>
    <cellStyle name="Input [yellow] 3 17 11 3 4" xfId="35110"/>
    <cellStyle name="Input [yellow] 3 17 11 3 5" xfId="46303"/>
    <cellStyle name="Input [yellow] 3 17 11 4" xfId="2594"/>
    <cellStyle name="Input [yellow] 3 17 11 4 2" xfId="13791"/>
    <cellStyle name="Input [yellow] 3 17 11 4 3" xfId="24959"/>
    <cellStyle name="Input [yellow] 3 17 11 4 4" xfId="36124"/>
    <cellStyle name="Input [yellow] 3 17 11 4 5" xfId="47317"/>
    <cellStyle name="Input [yellow] 3 17 11 5" xfId="3019"/>
    <cellStyle name="Input [yellow] 3 17 11 5 2" xfId="14216"/>
    <cellStyle name="Input [yellow] 3 17 11 5 3" xfId="25384"/>
    <cellStyle name="Input [yellow] 3 17 11 5 4" xfId="36549"/>
    <cellStyle name="Input [yellow] 3 17 11 5 5" xfId="47742"/>
    <cellStyle name="Input [yellow] 3 17 11 6" xfId="3653"/>
    <cellStyle name="Input [yellow] 3 17 11 6 2" xfId="14850"/>
    <cellStyle name="Input [yellow] 3 17 11 6 3" xfId="26018"/>
    <cellStyle name="Input [yellow] 3 17 11 6 4" xfId="37183"/>
    <cellStyle name="Input [yellow] 3 17 11 6 5" xfId="48376"/>
    <cellStyle name="Input [yellow] 3 17 11 7" xfId="4287"/>
    <cellStyle name="Input [yellow] 3 17 11 7 2" xfId="15484"/>
    <cellStyle name="Input [yellow] 3 17 11 7 3" xfId="26652"/>
    <cellStyle name="Input [yellow] 3 17 11 7 4" xfId="37817"/>
    <cellStyle name="Input [yellow] 3 17 11 7 5" xfId="49010"/>
    <cellStyle name="Input [yellow] 3 17 11 8" xfId="4920"/>
    <cellStyle name="Input [yellow] 3 17 11 8 2" xfId="16117"/>
    <cellStyle name="Input [yellow] 3 17 11 8 3" xfId="27285"/>
    <cellStyle name="Input [yellow] 3 17 11 8 4" xfId="38450"/>
    <cellStyle name="Input [yellow] 3 17 11 8 5" xfId="49643"/>
    <cellStyle name="Input [yellow] 3 17 11 9" xfId="5551"/>
    <cellStyle name="Input [yellow] 3 17 11 9 2" xfId="16748"/>
    <cellStyle name="Input [yellow] 3 17 11 9 3" xfId="27916"/>
    <cellStyle name="Input [yellow] 3 17 11 9 4" xfId="39081"/>
    <cellStyle name="Input [yellow] 3 17 11 9 5" xfId="50274"/>
    <cellStyle name="Input [yellow] 3 17 12" xfId="770"/>
    <cellStyle name="Input [yellow] 3 17 12 2" xfId="11967"/>
    <cellStyle name="Input [yellow] 3 17 12 3" xfId="23135"/>
    <cellStyle name="Input [yellow] 3 17 12 4" xfId="34300"/>
    <cellStyle name="Input [yellow] 3 17 12 5" xfId="45493"/>
    <cellStyle name="Input [yellow] 3 17 13" xfId="1676"/>
    <cellStyle name="Input [yellow] 3 17 13 2" xfId="12873"/>
    <cellStyle name="Input [yellow] 3 17 13 3" xfId="24041"/>
    <cellStyle name="Input [yellow] 3 17 13 4" xfId="35206"/>
    <cellStyle name="Input [yellow] 3 17 13 5" xfId="46399"/>
    <cellStyle name="Input [yellow] 3 17 14" xfId="2047"/>
    <cellStyle name="Input [yellow] 3 17 14 2" xfId="13244"/>
    <cellStyle name="Input [yellow] 3 17 14 3" xfId="24412"/>
    <cellStyle name="Input [yellow] 3 17 14 4" xfId="35577"/>
    <cellStyle name="Input [yellow] 3 17 14 5" xfId="46770"/>
    <cellStyle name="Input [yellow] 3 17 15" xfId="2282"/>
    <cellStyle name="Input [yellow] 3 17 15 2" xfId="13479"/>
    <cellStyle name="Input [yellow] 3 17 15 3" xfId="24647"/>
    <cellStyle name="Input [yellow] 3 17 15 4" xfId="35812"/>
    <cellStyle name="Input [yellow] 3 17 15 5" xfId="47005"/>
    <cellStyle name="Input [yellow] 3 17 16" xfId="3105"/>
    <cellStyle name="Input [yellow] 3 17 16 2" xfId="14302"/>
    <cellStyle name="Input [yellow] 3 17 16 3" xfId="25470"/>
    <cellStyle name="Input [yellow] 3 17 16 4" xfId="36635"/>
    <cellStyle name="Input [yellow] 3 17 16 5" xfId="47828"/>
    <cellStyle name="Input [yellow] 3 17 17" xfId="3739"/>
    <cellStyle name="Input [yellow] 3 17 17 2" xfId="14936"/>
    <cellStyle name="Input [yellow] 3 17 17 3" xfId="26104"/>
    <cellStyle name="Input [yellow] 3 17 17 4" xfId="37269"/>
    <cellStyle name="Input [yellow] 3 17 17 5" xfId="48462"/>
    <cellStyle name="Input [yellow] 3 17 18" xfId="4372"/>
    <cellStyle name="Input [yellow] 3 17 18 2" xfId="15569"/>
    <cellStyle name="Input [yellow] 3 17 18 3" xfId="26737"/>
    <cellStyle name="Input [yellow] 3 17 18 4" xfId="37902"/>
    <cellStyle name="Input [yellow] 3 17 18 5" xfId="49095"/>
    <cellStyle name="Input [yellow] 3 17 19" xfId="5003"/>
    <cellStyle name="Input [yellow] 3 17 19 2" xfId="16200"/>
    <cellStyle name="Input [yellow] 3 17 19 3" xfId="27368"/>
    <cellStyle name="Input [yellow] 3 17 19 4" xfId="38533"/>
    <cellStyle name="Input [yellow] 3 17 19 5" xfId="49726"/>
    <cellStyle name="Input [yellow] 3 17 2" xfId="184"/>
    <cellStyle name="Input [yellow] 3 17 2 10" xfId="5845"/>
    <cellStyle name="Input [yellow] 3 17 2 10 2" xfId="17042"/>
    <cellStyle name="Input [yellow] 3 17 2 10 3" xfId="28210"/>
    <cellStyle name="Input [yellow] 3 17 2 10 4" xfId="39375"/>
    <cellStyle name="Input [yellow] 3 17 2 10 5" xfId="50568"/>
    <cellStyle name="Input [yellow] 3 17 2 11" xfId="5851"/>
    <cellStyle name="Input [yellow] 3 17 2 11 2" xfId="17048"/>
    <cellStyle name="Input [yellow] 3 17 2 11 3" xfId="28216"/>
    <cellStyle name="Input [yellow] 3 17 2 11 4" xfId="39381"/>
    <cellStyle name="Input [yellow] 3 17 2 11 5" xfId="50574"/>
    <cellStyle name="Input [yellow] 3 17 2 12" xfId="6753"/>
    <cellStyle name="Input [yellow] 3 17 2 12 2" xfId="17950"/>
    <cellStyle name="Input [yellow] 3 17 2 12 3" xfId="29118"/>
    <cellStyle name="Input [yellow] 3 17 2 12 4" xfId="40283"/>
    <cellStyle name="Input [yellow] 3 17 2 12 5" xfId="51476"/>
    <cellStyle name="Input [yellow] 3 17 2 13" xfId="7387"/>
    <cellStyle name="Input [yellow] 3 17 2 13 2" xfId="18584"/>
    <cellStyle name="Input [yellow] 3 17 2 13 3" xfId="29752"/>
    <cellStyle name="Input [yellow] 3 17 2 13 4" xfId="40917"/>
    <cellStyle name="Input [yellow] 3 17 2 13 5" xfId="52110"/>
    <cellStyle name="Input [yellow] 3 17 2 14" xfId="8021"/>
    <cellStyle name="Input [yellow] 3 17 2 14 2" xfId="19218"/>
    <cellStyle name="Input [yellow] 3 17 2 14 3" xfId="30386"/>
    <cellStyle name="Input [yellow] 3 17 2 14 4" xfId="41551"/>
    <cellStyle name="Input [yellow] 3 17 2 14 5" xfId="52744"/>
    <cellStyle name="Input [yellow] 3 17 2 15" xfId="8652"/>
    <cellStyle name="Input [yellow] 3 17 2 15 2" xfId="19849"/>
    <cellStyle name="Input [yellow] 3 17 2 15 3" xfId="31017"/>
    <cellStyle name="Input [yellow] 3 17 2 15 4" xfId="42182"/>
    <cellStyle name="Input [yellow] 3 17 2 15 5" xfId="53375"/>
    <cellStyle name="Input [yellow] 3 17 2 16" xfId="9079"/>
    <cellStyle name="Input [yellow] 3 17 2 16 2" xfId="20276"/>
    <cellStyle name="Input [yellow] 3 17 2 16 3" xfId="31444"/>
    <cellStyle name="Input [yellow] 3 17 2 16 4" xfId="42609"/>
    <cellStyle name="Input [yellow] 3 17 2 16 5" xfId="53802"/>
    <cellStyle name="Input [yellow] 3 17 2 17" xfId="9704"/>
    <cellStyle name="Input [yellow] 3 17 2 17 2" xfId="20901"/>
    <cellStyle name="Input [yellow] 3 17 2 17 3" xfId="32069"/>
    <cellStyle name="Input [yellow] 3 17 2 17 4" xfId="43234"/>
    <cellStyle name="Input [yellow] 3 17 2 17 5" xfId="54427"/>
    <cellStyle name="Input [yellow] 3 17 2 18" xfId="10511"/>
    <cellStyle name="Input [yellow] 3 17 2 18 2" xfId="21708"/>
    <cellStyle name="Input [yellow] 3 17 2 18 3" xfId="32876"/>
    <cellStyle name="Input [yellow] 3 17 2 18 4" xfId="44041"/>
    <cellStyle name="Input [yellow] 3 17 2 18 5" xfId="55234"/>
    <cellStyle name="Input [yellow] 3 17 2 19" xfId="10737"/>
    <cellStyle name="Input [yellow] 3 17 2 19 2" xfId="21934"/>
    <cellStyle name="Input [yellow] 3 17 2 19 3" xfId="33102"/>
    <cellStyle name="Input [yellow] 3 17 2 19 4" xfId="44267"/>
    <cellStyle name="Input [yellow] 3 17 2 19 5" xfId="55460"/>
    <cellStyle name="Input [yellow] 3 17 2 2" xfId="833"/>
    <cellStyle name="Input [yellow] 3 17 2 2 2" xfId="12030"/>
    <cellStyle name="Input [yellow] 3 17 2 2 3" xfId="23198"/>
    <cellStyle name="Input [yellow] 3 17 2 2 4" xfId="34363"/>
    <cellStyle name="Input [yellow] 3 17 2 2 5" xfId="45556"/>
    <cellStyle name="Input [yellow] 3 17 2 20" xfId="11384"/>
    <cellStyle name="Input [yellow] 3 17 2 21" xfId="22554"/>
    <cellStyle name="Input [yellow] 3 17 2 22" xfId="33721"/>
    <cellStyle name="Input [yellow] 3 17 2 23" xfId="44907"/>
    <cellStyle name="Input [yellow] 3 17 2 3" xfId="1808"/>
    <cellStyle name="Input [yellow] 3 17 2 3 2" xfId="13005"/>
    <cellStyle name="Input [yellow] 3 17 2 3 3" xfId="24173"/>
    <cellStyle name="Input [yellow] 3 17 2 3 4" xfId="35338"/>
    <cellStyle name="Input [yellow] 3 17 2 3 5" xfId="46531"/>
    <cellStyle name="Input [yellow] 3 17 2 4" xfId="2110"/>
    <cellStyle name="Input [yellow] 3 17 2 4 2" xfId="13307"/>
    <cellStyle name="Input [yellow] 3 17 2 4 3" xfId="24475"/>
    <cellStyle name="Input [yellow] 3 17 2 4 4" xfId="35640"/>
    <cellStyle name="Input [yellow] 3 17 2 4 5" xfId="46833"/>
    <cellStyle name="Input [yellow] 3 17 2 5" xfId="2514"/>
    <cellStyle name="Input [yellow] 3 17 2 5 2" xfId="13711"/>
    <cellStyle name="Input [yellow] 3 17 2 5 3" xfId="24879"/>
    <cellStyle name="Input [yellow] 3 17 2 5 4" xfId="36044"/>
    <cellStyle name="Input [yellow] 3 17 2 5 5" xfId="47237"/>
    <cellStyle name="Input [yellow] 3 17 2 6" xfId="3168"/>
    <cellStyle name="Input [yellow] 3 17 2 6 2" xfId="14365"/>
    <cellStyle name="Input [yellow] 3 17 2 6 3" xfId="25533"/>
    <cellStyle name="Input [yellow] 3 17 2 6 4" xfId="36698"/>
    <cellStyle name="Input [yellow] 3 17 2 6 5" xfId="47891"/>
    <cellStyle name="Input [yellow] 3 17 2 7" xfId="3802"/>
    <cellStyle name="Input [yellow] 3 17 2 7 2" xfId="14999"/>
    <cellStyle name="Input [yellow] 3 17 2 7 3" xfId="26167"/>
    <cellStyle name="Input [yellow] 3 17 2 7 4" xfId="37332"/>
    <cellStyle name="Input [yellow] 3 17 2 7 5" xfId="48525"/>
    <cellStyle name="Input [yellow] 3 17 2 8" xfId="4435"/>
    <cellStyle name="Input [yellow] 3 17 2 8 2" xfId="15632"/>
    <cellStyle name="Input [yellow] 3 17 2 8 3" xfId="26800"/>
    <cellStyle name="Input [yellow] 3 17 2 8 4" xfId="37965"/>
    <cellStyle name="Input [yellow] 3 17 2 8 5" xfId="49158"/>
    <cellStyle name="Input [yellow] 3 17 2 9" xfId="5066"/>
    <cellStyle name="Input [yellow] 3 17 2 9 2" xfId="16263"/>
    <cellStyle name="Input [yellow] 3 17 2 9 3" xfId="27431"/>
    <cellStyle name="Input [yellow] 3 17 2 9 4" xfId="38596"/>
    <cellStyle name="Input [yellow] 3 17 2 9 5" xfId="49789"/>
    <cellStyle name="Input [yellow] 3 17 20" xfId="4325"/>
    <cellStyle name="Input [yellow] 3 17 20 2" xfId="15522"/>
    <cellStyle name="Input [yellow] 3 17 20 3" xfId="26690"/>
    <cellStyle name="Input [yellow] 3 17 20 4" xfId="37855"/>
    <cellStyle name="Input [yellow] 3 17 20 5" xfId="49048"/>
    <cellStyle name="Input [yellow] 3 17 21" xfId="6062"/>
    <cellStyle name="Input [yellow] 3 17 21 2" xfId="17259"/>
    <cellStyle name="Input [yellow] 3 17 21 3" xfId="28427"/>
    <cellStyle name="Input [yellow] 3 17 21 4" xfId="39592"/>
    <cellStyle name="Input [yellow] 3 17 21 5" xfId="50785"/>
    <cellStyle name="Input [yellow] 3 17 22" xfId="6690"/>
    <cellStyle name="Input [yellow] 3 17 22 2" xfId="17887"/>
    <cellStyle name="Input [yellow] 3 17 22 3" xfId="29055"/>
    <cellStyle name="Input [yellow] 3 17 22 4" xfId="40220"/>
    <cellStyle name="Input [yellow] 3 17 22 5" xfId="51413"/>
    <cellStyle name="Input [yellow] 3 17 23" xfId="7324"/>
    <cellStyle name="Input [yellow] 3 17 23 2" xfId="18521"/>
    <cellStyle name="Input [yellow] 3 17 23 3" xfId="29689"/>
    <cellStyle name="Input [yellow] 3 17 23 4" xfId="40854"/>
    <cellStyle name="Input [yellow] 3 17 23 5" xfId="52047"/>
    <cellStyle name="Input [yellow] 3 17 24" xfId="7958"/>
    <cellStyle name="Input [yellow] 3 17 24 2" xfId="19155"/>
    <cellStyle name="Input [yellow] 3 17 24 3" xfId="30323"/>
    <cellStyle name="Input [yellow] 3 17 24 4" xfId="41488"/>
    <cellStyle name="Input [yellow] 3 17 24 5" xfId="52681"/>
    <cellStyle name="Input [yellow] 3 17 25" xfId="8589"/>
    <cellStyle name="Input [yellow] 3 17 25 2" xfId="19786"/>
    <cellStyle name="Input [yellow] 3 17 25 3" xfId="30954"/>
    <cellStyle name="Input [yellow] 3 17 25 4" xfId="42119"/>
    <cellStyle name="Input [yellow] 3 17 25 5" xfId="53312"/>
    <cellStyle name="Input [yellow] 3 17 26" xfId="8957"/>
    <cellStyle name="Input [yellow] 3 17 26 2" xfId="20154"/>
    <cellStyle name="Input [yellow] 3 17 26 3" xfId="31322"/>
    <cellStyle name="Input [yellow] 3 17 26 4" xfId="42487"/>
    <cellStyle name="Input [yellow] 3 17 26 5" xfId="53680"/>
    <cellStyle name="Input [yellow] 3 17 27" xfId="9642"/>
    <cellStyle name="Input [yellow] 3 17 27 2" xfId="20839"/>
    <cellStyle name="Input [yellow] 3 17 27 3" xfId="32007"/>
    <cellStyle name="Input [yellow] 3 17 27 4" xfId="43172"/>
    <cellStyle name="Input [yellow] 3 17 27 5" xfId="54365"/>
    <cellStyle name="Input [yellow] 3 17 28" xfId="10404"/>
    <cellStyle name="Input [yellow] 3 17 28 2" xfId="21601"/>
    <cellStyle name="Input [yellow] 3 17 28 3" xfId="32769"/>
    <cellStyle name="Input [yellow] 3 17 28 4" xfId="43934"/>
    <cellStyle name="Input [yellow] 3 17 28 5" xfId="55127"/>
    <cellStyle name="Input [yellow] 3 17 29" xfId="10674"/>
    <cellStyle name="Input [yellow] 3 17 29 2" xfId="21871"/>
    <cellStyle name="Input [yellow] 3 17 29 3" xfId="33039"/>
    <cellStyle name="Input [yellow] 3 17 29 4" xfId="44204"/>
    <cellStyle name="Input [yellow] 3 17 29 5" xfId="55397"/>
    <cellStyle name="Input [yellow] 3 17 3" xfId="240"/>
    <cellStyle name="Input [yellow] 3 17 3 10" xfId="6076"/>
    <cellStyle name="Input [yellow] 3 17 3 10 2" xfId="17273"/>
    <cellStyle name="Input [yellow] 3 17 3 10 3" xfId="28441"/>
    <cellStyle name="Input [yellow] 3 17 3 10 4" xfId="39606"/>
    <cellStyle name="Input [yellow] 3 17 3 10 5" xfId="50799"/>
    <cellStyle name="Input [yellow] 3 17 3 11" xfId="5642"/>
    <cellStyle name="Input [yellow] 3 17 3 11 2" xfId="16839"/>
    <cellStyle name="Input [yellow] 3 17 3 11 3" xfId="28007"/>
    <cellStyle name="Input [yellow] 3 17 3 11 4" xfId="39172"/>
    <cellStyle name="Input [yellow] 3 17 3 11 5" xfId="50365"/>
    <cellStyle name="Input [yellow] 3 17 3 12" xfId="6809"/>
    <cellStyle name="Input [yellow] 3 17 3 12 2" xfId="18006"/>
    <cellStyle name="Input [yellow] 3 17 3 12 3" xfId="29174"/>
    <cellStyle name="Input [yellow] 3 17 3 12 4" xfId="40339"/>
    <cellStyle name="Input [yellow] 3 17 3 12 5" xfId="51532"/>
    <cellStyle name="Input [yellow] 3 17 3 13" xfId="7443"/>
    <cellStyle name="Input [yellow] 3 17 3 13 2" xfId="18640"/>
    <cellStyle name="Input [yellow] 3 17 3 13 3" xfId="29808"/>
    <cellStyle name="Input [yellow] 3 17 3 13 4" xfId="40973"/>
    <cellStyle name="Input [yellow] 3 17 3 13 5" xfId="52166"/>
    <cellStyle name="Input [yellow] 3 17 3 14" xfId="8077"/>
    <cellStyle name="Input [yellow] 3 17 3 14 2" xfId="19274"/>
    <cellStyle name="Input [yellow] 3 17 3 14 3" xfId="30442"/>
    <cellStyle name="Input [yellow] 3 17 3 14 4" xfId="41607"/>
    <cellStyle name="Input [yellow] 3 17 3 14 5" xfId="52800"/>
    <cellStyle name="Input [yellow] 3 17 3 15" xfId="8708"/>
    <cellStyle name="Input [yellow] 3 17 3 15 2" xfId="19905"/>
    <cellStyle name="Input [yellow] 3 17 3 15 3" xfId="31073"/>
    <cellStyle name="Input [yellow] 3 17 3 15 4" xfId="42238"/>
    <cellStyle name="Input [yellow] 3 17 3 15 5" xfId="53431"/>
    <cellStyle name="Input [yellow] 3 17 3 16" xfId="9106"/>
    <cellStyle name="Input [yellow] 3 17 3 16 2" xfId="20303"/>
    <cellStyle name="Input [yellow] 3 17 3 16 3" xfId="31471"/>
    <cellStyle name="Input [yellow] 3 17 3 16 4" xfId="42636"/>
    <cellStyle name="Input [yellow] 3 17 3 16 5" xfId="53829"/>
    <cellStyle name="Input [yellow] 3 17 3 17" xfId="9759"/>
    <cellStyle name="Input [yellow] 3 17 3 17 2" xfId="20956"/>
    <cellStyle name="Input [yellow] 3 17 3 17 3" xfId="32124"/>
    <cellStyle name="Input [yellow] 3 17 3 17 4" xfId="43289"/>
    <cellStyle name="Input [yellow] 3 17 3 17 5" xfId="54482"/>
    <cellStyle name="Input [yellow] 3 17 3 18" xfId="10438"/>
    <cellStyle name="Input [yellow] 3 17 3 18 2" xfId="21635"/>
    <cellStyle name="Input [yellow] 3 17 3 18 3" xfId="32803"/>
    <cellStyle name="Input [yellow] 3 17 3 18 4" xfId="43968"/>
    <cellStyle name="Input [yellow] 3 17 3 18 5" xfId="55161"/>
    <cellStyle name="Input [yellow] 3 17 3 19" xfId="10793"/>
    <cellStyle name="Input [yellow] 3 17 3 19 2" xfId="21990"/>
    <cellStyle name="Input [yellow] 3 17 3 19 3" xfId="33158"/>
    <cellStyle name="Input [yellow] 3 17 3 19 4" xfId="44323"/>
    <cellStyle name="Input [yellow] 3 17 3 19 5" xfId="55516"/>
    <cellStyle name="Input [yellow] 3 17 3 2" xfId="889"/>
    <cellStyle name="Input [yellow] 3 17 3 2 2" xfId="12086"/>
    <cellStyle name="Input [yellow] 3 17 3 2 3" xfId="23254"/>
    <cellStyle name="Input [yellow] 3 17 3 2 4" xfId="34419"/>
    <cellStyle name="Input [yellow] 3 17 3 2 5" xfId="45612"/>
    <cellStyle name="Input [yellow] 3 17 3 20" xfId="11440"/>
    <cellStyle name="Input [yellow] 3 17 3 21" xfId="22610"/>
    <cellStyle name="Input [yellow] 3 17 3 22" xfId="33777"/>
    <cellStyle name="Input [yellow] 3 17 3 23" xfId="44963"/>
    <cellStyle name="Input [yellow] 3 17 3 3" xfId="1632"/>
    <cellStyle name="Input [yellow] 3 17 3 3 2" xfId="12829"/>
    <cellStyle name="Input [yellow] 3 17 3 3 3" xfId="23997"/>
    <cellStyle name="Input [yellow] 3 17 3 3 4" xfId="35162"/>
    <cellStyle name="Input [yellow] 3 17 3 3 5" xfId="46355"/>
    <cellStyle name="Input [yellow] 3 17 3 4" xfId="2166"/>
    <cellStyle name="Input [yellow] 3 17 3 4 2" xfId="13363"/>
    <cellStyle name="Input [yellow] 3 17 3 4 3" xfId="24531"/>
    <cellStyle name="Input [yellow] 3 17 3 4 4" xfId="35696"/>
    <cellStyle name="Input [yellow] 3 17 3 4 5" xfId="46889"/>
    <cellStyle name="Input [yellow] 3 17 3 5" xfId="2437"/>
    <cellStyle name="Input [yellow] 3 17 3 5 2" xfId="13634"/>
    <cellStyle name="Input [yellow] 3 17 3 5 3" xfId="24802"/>
    <cellStyle name="Input [yellow] 3 17 3 5 4" xfId="35967"/>
    <cellStyle name="Input [yellow] 3 17 3 5 5" xfId="47160"/>
    <cellStyle name="Input [yellow] 3 17 3 6" xfId="3224"/>
    <cellStyle name="Input [yellow] 3 17 3 6 2" xfId="14421"/>
    <cellStyle name="Input [yellow] 3 17 3 6 3" xfId="25589"/>
    <cellStyle name="Input [yellow] 3 17 3 6 4" xfId="36754"/>
    <cellStyle name="Input [yellow] 3 17 3 6 5" xfId="47947"/>
    <cellStyle name="Input [yellow] 3 17 3 7" xfId="3858"/>
    <cellStyle name="Input [yellow] 3 17 3 7 2" xfId="15055"/>
    <cellStyle name="Input [yellow] 3 17 3 7 3" xfId="26223"/>
    <cellStyle name="Input [yellow] 3 17 3 7 4" xfId="37388"/>
    <cellStyle name="Input [yellow] 3 17 3 7 5" xfId="48581"/>
    <cellStyle name="Input [yellow] 3 17 3 8" xfId="4491"/>
    <cellStyle name="Input [yellow] 3 17 3 8 2" xfId="15688"/>
    <cellStyle name="Input [yellow] 3 17 3 8 3" xfId="26856"/>
    <cellStyle name="Input [yellow] 3 17 3 8 4" xfId="38021"/>
    <cellStyle name="Input [yellow] 3 17 3 8 5" xfId="49214"/>
    <cellStyle name="Input [yellow] 3 17 3 9" xfId="5122"/>
    <cellStyle name="Input [yellow] 3 17 3 9 2" xfId="16319"/>
    <cellStyle name="Input [yellow] 3 17 3 9 3" xfId="27487"/>
    <cellStyle name="Input [yellow] 3 17 3 9 4" xfId="38652"/>
    <cellStyle name="Input [yellow] 3 17 3 9 5" xfId="49845"/>
    <cellStyle name="Input [yellow] 3 17 30" xfId="11321"/>
    <cellStyle name="Input [yellow] 3 17 31" xfId="22491"/>
    <cellStyle name="Input [yellow] 3 17 32" xfId="33658"/>
    <cellStyle name="Input [yellow] 3 17 33" xfId="44844"/>
    <cellStyle name="Input [yellow] 3 17 4" xfId="134"/>
    <cellStyle name="Input [yellow] 3 17 4 10" xfId="5624"/>
    <cellStyle name="Input [yellow] 3 17 4 10 2" xfId="16821"/>
    <cellStyle name="Input [yellow] 3 17 4 10 3" xfId="27989"/>
    <cellStyle name="Input [yellow] 3 17 4 10 4" xfId="39154"/>
    <cellStyle name="Input [yellow] 3 17 4 10 5" xfId="50347"/>
    <cellStyle name="Input [yellow] 3 17 4 11" xfId="5893"/>
    <cellStyle name="Input [yellow] 3 17 4 11 2" xfId="17090"/>
    <cellStyle name="Input [yellow] 3 17 4 11 3" xfId="28258"/>
    <cellStyle name="Input [yellow] 3 17 4 11 4" xfId="39423"/>
    <cellStyle name="Input [yellow] 3 17 4 11 5" xfId="50616"/>
    <cellStyle name="Input [yellow] 3 17 4 12" xfId="6703"/>
    <cellStyle name="Input [yellow] 3 17 4 12 2" xfId="17900"/>
    <cellStyle name="Input [yellow] 3 17 4 12 3" xfId="29068"/>
    <cellStyle name="Input [yellow] 3 17 4 12 4" xfId="40233"/>
    <cellStyle name="Input [yellow] 3 17 4 12 5" xfId="51426"/>
    <cellStyle name="Input [yellow] 3 17 4 13" xfId="7337"/>
    <cellStyle name="Input [yellow] 3 17 4 13 2" xfId="18534"/>
    <cellStyle name="Input [yellow] 3 17 4 13 3" xfId="29702"/>
    <cellStyle name="Input [yellow] 3 17 4 13 4" xfId="40867"/>
    <cellStyle name="Input [yellow] 3 17 4 13 5" xfId="52060"/>
    <cellStyle name="Input [yellow] 3 17 4 14" xfId="7971"/>
    <cellStyle name="Input [yellow] 3 17 4 14 2" xfId="19168"/>
    <cellStyle name="Input [yellow] 3 17 4 14 3" xfId="30336"/>
    <cellStyle name="Input [yellow] 3 17 4 14 4" xfId="41501"/>
    <cellStyle name="Input [yellow] 3 17 4 14 5" xfId="52694"/>
    <cellStyle name="Input [yellow] 3 17 4 15" xfId="8602"/>
    <cellStyle name="Input [yellow] 3 17 4 15 2" xfId="19799"/>
    <cellStyle name="Input [yellow] 3 17 4 15 3" xfId="30967"/>
    <cellStyle name="Input [yellow] 3 17 4 15 4" xfId="42132"/>
    <cellStyle name="Input [yellow] 3 17 4 15 5" xfId="53325"/>
    <cellStyle name="Input [yellow] 3 17 4 16" xfId="8837"/>
    <cellStyle name="Input [yellow] 3 17 4 16 2" xfId="20034"/>
    <cellStyle name="Input [yellow] 3 17 4 16 3" xfId="31202"/>
    <cellStyle name="Input [yellow] 3 17 4 16 4" xfId="42367"/>
    <cellStyle name="Input [yellow] 3 17 4 16 5" xfId="53560"/>
    <cellStyle name="Input [yellow] 3 17 4 17" xfId="9655"/>
    <cellStyle name="Input [yellow] 3 17 4 17 2" xfId="20852"/>
    <cellStyle name="Input [yellow] 3 17 4 17 3" xfId="32020"/>
    <cellStyle name="Input [yellow] 3 17 4 17 4" xfId="43185"/>
    <cellStyle name="Input [yellow] 3 17 4 17 5" xfId="54378"/>
    <cellStyle name="Input [yellow] 3 17 4 18" xfId="10356"/>
    <cellStyle name="Input [yellow] 3 17 4 18 2" xfId="21553"/>
    <cellStyle name="Input [yellow] 3 17 4 18 3" xfId="32721"/>
    <cellStyle name="Input [yellow] 3 17 4 18 4" xfId="43886"/>
    <cellStyle name="Input [yellow] 3 17 4 18 5" xfId="55079"/>
    <cellStyle name="Input [yellow] 3 17 4 19" xfId="10687"/>
    <cellStyle name="Input [yellow] 3 17 4 19 2" xfId="21884"/>
    <cellStyle name="Input [yellow] 3 17 4 19 3" xfId="33052"/>
    <cellStyle name="Input [yellow] 3 17 4 19 4" xfId="44217"/>
    <cellStyle name="Input [yellow] 3 17 4 19 5" xfId="55410"/>
    <cellStyle name="Input [yellow] 3 17 4 2" xfId="783"/>
    <cellStyle name="Input [yellow] 3 17 4 2 2" xfId="11980"/>
    <cellStyle name="Input [yellow] 3 17 4 2 3" xfId="23148"/>
    <cellStyle name="Input [yellow] 3 17 4 2 4" xfId="34313"/>
    <cellStyle name="Input [yellow] 3 17 4 2 5" xfId="45506"/>
    <cellStyle name="Input [yellow] 3 17 4 20" xfId="11334"/>
    <cellStyle name="Input [yellow] 3 17 4 21" xfId="22504"/>
    <cellStyle name="Input [yellow] 3 17 4 22" xfId="33671"/>
    <cellStyle name="Input [yellow] 3 17 4 23" xfId="44857"/>
    <cellStyle name="Input [yellow] 3 17 4 3" xfId="1663"/>
    <cellStyle name="Input [yellow] 3 17 4 3 2" xfId="12860"/>
    <cellStyle name="Input [yellow] 3 17 4 3 3" xfId="24028"/>
    <cellStyle name="Input [yellow] 3 17 4 3 4" xfId="35193"/>
    <cellStyle name="Input [yellow] 3 17 4 3 5" xfId="46386"/>
    <cellStyle name="Input [yellow] 3 17 4 4" xfId="2060"/>
    <cellStyle name="Input [yellow] 3 17 4 4 2" xfId="13257"/>
    <cellStyle name="Input [yellow] 3 17 4 4 3" xfId="24425"/>
    <cellStyle name="Input [yellow] 3 17 4 4 4" xfId="35590"/>
    <cellStyle name="Input [yellow] 3 17 4 4 5" xfId="46783"/>
    <cellStyle name="Input [yellow] 3 17 4 5" xfId="2127"/>
    <cellStyle name="Input [yellow] 3 17 4 5 2" xfId="13324"/>
    <cellStyle name="Input [yellow] 3 17 4 5 3" xfId="24492"/>
    <cellStyle name="Input [yellow] 3 17 4 5 4" xfId="35657"/>
    <cellStyle name="Input [yellow] 3 17 4 5 5" xfId="46850"/>
    <cellStyle name="Input [yellow] 3 17 4 6" xfId="3118"/>
    <cellStyle name="Input [yellow] 3 17 4 6 2" xfId="14315"/>
    <cellStyle name="Input [yellow] 3 17 4 6 3" xfId="25483"/>
    <cellStyle name="Input [yellow] 3 17 4 6 4" xfId="36648"/>
    <cellStyle name="Input [yellow] 3 17 4 6 5" xfId="47841"/>
    <cellStyle name="Input [yellow] 3 17 4 7" xfId="3752"/>
    <cellStyle name="Input [yellow] 3 17 4 7 2" xfId="14949"/>
    <cellStyle name="Input [yellow] 3 17 4 7 3" xfId="26117"/>
    <cellStyle name="Input [yellow] 3 17 4 7 4" xfId="37282"/>
    <cellStyle name="Input [yellow] 3 17 4 7 5" xfId="48475"/>
    <cellStyle name="Input [yellow] 3 17 4 8" xfId="4385"/>
    <cellStyle name="Input [yellow] 3 17 4 8 2" xfId="15582"/>
    <cellStyle name="Input [yellow] 3 17 4 8 3" xfId="26750"/>
    <cellStyle name="Input [yellow] 3 17 4 8 4" xfId="37915"/>
    <cellStyle name="Input [yellow] 3 17 4 8 5" xfId="49108"/>
    <cellStyle name="Input [yellow] 3 17 4 9" xfId="5016"/>
    <cellStyle name="Input [yellow] 3 17 4 9 2" xfId="16213"/>
    <cellStyle name="Input [yellow] 3 17 4 9 3" xfId="27381"/>
    <cellStyle name="Input [yellow] 3 17 4 9 4" xfId="38546"/>
    <cellStyle name="Input [yellow] 3 17 4 9 5" xfId="49739"/>
    <cellStyle name="Input [yellow] 3 17 5" xfId="270"/>
    <cellStyle name="Input [yellow] 3 17 5 10" xfId="6098"/>
    <cellStyle name="Input [yellow] 3 17 5 10 2" xfId="17295"/>
    <cellStyle name="Input [yellow] 3 17 5 10 3" xfId="28463"/>
    <cellStyle name="Input [yellow] 3 17 5 10 4" xfId="39628"/>
    <cellStyle name="Input [yellow] 3 17 5 10 5" xfId="50821"/>
    <cellStyle name="Input [yellow] 3 17 5 11" xfId="5576"/>
    <cellStyle name="Input [yellow] 3 17 5 11 2" xfId="16773"/>
    <cellStyle name="Input [yellow] 3 17 5 11 3" xfId="27941"/>
    <cellStyle name="Input [yellow] 3 17 5 11 4" xfId="39106"/>
    <cellStyle name="Input [yellow] 3 17 5 11 5" xfId="50299"/>
    <cellStyle name="Input [yellow] 3 17 5 12" xfId="6839"/>
    <cellStyle name="Input [yellow] 3 17 5 12 2" xfId="18036"/>
    <cellStyle name="Input [yellow] 3 17 5 12 3" xfId="29204"/>
    <cellStyle name="Input [yellow] 3 17 5 12 4" xfId="40369"/>
    <cellStyle name="Input [yellow] 3 17 5 12 5" xfId="51562"/>
    <cellStyle name="Input [yellow] 3 17 5 13" xfId="7473"/>
    <cellStyle name="Input [yellow] 3 17 5 13 2" xfId="18670"/>
    <cellStyle name="Input [yellow] 3 17 5 13 3" xfId="29838"/>
    <cellStyle name="Input [yellow] 3 17 5 13 4" xfId="41003"/>
    <cellStyle name="Input [yellow] 3 17 5 13 5" xfId="52196"/>
    <cellStyle name="Input [yellow] 3 17 5 14" xfId="8107"/>
    <cellStyle name="Input [yellow] 3 17 5 14 2" xfId="19304"/>
    <cellStyle name="Input [yellow] 3 17 5 14 3" xfId="30472"/>
    <cellStyle name="Input [yellow] 3 17 5 14 4" xfId="41637"/>
    <cellStyle name="Input [yellow] 3 17 5 14 5" xfId="52830"/>
    <cellStyle name="Input [yellow] 3 17 5 15" xfId="8737"/>
    <cellStyle name="Input [yellow] 3 17 5 15 2" xfId="19934"/>
    <cellStyle name="Input [yellow] 3 17 5 15 3" xfId="31102"/>
    <cellStyle name="Input [yellow] 3 17 5 15 4" xfId="42267"/>
    <cellStyle name="Input [yellow] 3 17 5 15 5" xfId="53460"/>
    <cellStyle name="Input [yellow] 3 17 5 16" xfId="9158"/>
    <cellStyle name="Input [yellow] 3 17 5 16 2" xfId="20355"/>
    <cellStyle name="Input [yellow] 3 17 5 16 3" xfId="31523"/>
    <cellStyle name="Input [yellow] 3 17 5 16 4" xfId="42688"/>
    <cellStyle name="Input [yellow] 3 17 5 16 5" xfId="53881"/>
    <cellStyle name="Input [yellow] 3 17 5 17" xfId="9787"/>
    <cellStyle name="Input [yellow] 3 17 5 17 2" xfId="20984"/>
    <cellStyle name="Input [yellow] 3 17 5 17 3" xfId="32152"/>
    <cellStyle name="Input [yellow] 3 17 5 17 4" xfId="43317"/>
    <cellStyle name="Input [yellow] 3 17 5 17 5" xfId="54510"/>
    <cellStyle name="Input [yellow] 3 17 5 18" xfId="10559"/>
    <cellStyle name="Input [yellow] 3 17 5 18 2" xfId="21756"/>
    <cellStyle name="Input [yellow] 3 17 5 18 3" xfId="32924"/>
    <cellStyle name="Input [yellow] 3 17 5 18 4" xfId="44089"/>
    <cellStyle name="Input [yellow] 3 17 5 18 5" xfId="55282"/>
    <cellStyle name="Input [yellow] 3 17 5 19" xfId="10823"/>
    <cellStyle name="Input [yellow] 3 17 5 19 2" xfId="22020"/>
    <cellStyle name="Input [yellow] 3 17 5 19 3" xfId="33188"/>
    <cellStyle name="Input [yellow] 3 17 5 19 4" xfId="44353"/>
    <cellStyle name="Input [yellow] 3 17 5 19 5" xfId="55546"/>
    <cellStyle name="Input [yellow] 3 17 5 2" xfId="919"/>
    <cellStyle name="Input [yellow] 3 17 5 2 2" xfId="12116"/>
    <cellStyle name="Input [yellow] 3 17 5 2 3" xfId="23284"/>
    <cellStyle name="Input [yellow] 3 17 5 2 4" xfId="34449"/>
    <cellStyle name="Input [yellow] 3 17 5 2 5" xfId="45642"/>
    <cellStyle name="Input [yellow] 3 17 5 20" xfId="11470"/>
    <cellStyle name="Input [yellow] 3 17 5 21" xfId="22640"/>
    <cellStyle name="Input [yellow] 3 17 5 22" xfId="33807"/>
    <cellStyle name="Input [yellow] 3 17 5 23" xfId="44993"/>
    <cellStyle name="Input [yellow] 3 17 5 3" xfId="1771"/>
    <cellStyle name="Input [yellow] 3 17 5 3 2" xfId="12968"/>
    <cellStyle name="Input [yellow] 3 17 5 3 3" xfId="24136"/>
    <cellStyle name="Input [yellow] 3 17 5 3 4" xfId="35301"/>
    <cellStyle name="Input [yellow] 3 17 5 3 5" xfId="46494"/>
    <cellStyle name="Input [yellow] 3 17 5 4" xfId="2196"/>
    <cellStyle name="Input [yellow] 3 17 5 4 2" xfId="13393"/>
    <cellStyle name="Input [yellow] 3 17 5 4 3" xfId="24561"/>
    <cellStyle name="Input [yellow] 3 17 5 4 4" xfId="35726"/>
    <cellStyle name="Input [yellow] 3 17 5 4 5" xfId="46919"/>
    <cellStyle name="Input [yellow] 3 17 5 5" xfId="2620"/>
    <cellStyle name="Input [yellow] 3 17 5 5 2" xfId="13817"/>
    <cellStyle name="Input [yellow] 3 17 5 5 3" xfId="24985"/>
    <cellStyle name="Input [yellow] 3 17 5 5 4" xfId="36150"/>
    <cellStyle name="Input [yellow] 3 17 5 5 5" xfId="47343"/>
    <cellStyle name="Input [yellow] 3 17 5 6" xfId="3254"/>
    <cellStyle name="Input [yellow] 3 17 5 6 2" xfId="14451"/>
    <cellStyle name="Input [yellow] 3 17 5 6 3" xfId="25619"/>
    <cellStyle name="Input [yellow] 3 17 5 6 4" xfId="36784"/>
    <cellStyle name="Input [yellow] 3 17 5 6 5" xfId="47977"/>
    <cellStyle name="Input [yellow] 3 17 5 7" xfId="3888"/>
    <cellStyle name="Input [yellow] 3 17 5 7 2" xfId="15085"/>
    <cellStyle name="Input [yellow] 3 17 5 7 3" xfId="26253"/>
    <cellStyle name="Input [yellow] 3 17 5 7 4" xfId="37418"/>
    <cellStyle name="Input [yellow] 3 17 5 7 5" xfId="48611"/>
    <cellStyle name="Input [yellow] 3 17 5 8" xfId="4521"/>
    <cellStyle name="Input [yellow] 3 17 5 8 2" xfId="15718"/>
    <cellStyle name="Input [yellow] 3 17 5 8 3" xfId="26886"/>
    <cellStyle name="Input [yellow] 3 17 5 8 4" xfId="38051"/>
    <cellStyle name="Input [yellow] 3 17 5 8 5" xfId="49244"/>
    <cellStyle name="Input [yellow] 3 17 5 9" xfId="5152"/>
    <cellStyle name="Input [yellow] 3 17 5 9 2" xfId="16349"/>
    <cellStyle name="Input [yellow] 3 17 5 9 3" xfId="27517"/>
    <cellStyle name="Input [yellow] 3 17 5 9 4" xfId="38682"/>
    <cellStyle name="Input [yellow] 3 17 5 9 5" xfId="49875"/>
    <cellStyle name="Input [yellow] 3 17 6" xfId="372"/>
    <cellStyle name="Input [yellow] 3 17 6 10" xfId="5656"/>
    <cellStyle name="Input [yellow] 3 17 6 10 2" xfId="16853"/>
    <cellStyle name="Input [yellow] 3 17 6 10 3" xfId="28021"/>
    <cellStyle name="Input [yellow] 3 17 6 10 4" xfId="39186"/>
    <cellStyle name="Input [yellow] 3 17 6 10 5" xfId="50379"/>
    <cellStyle name="Input [yellow] 3 17 6 11" xfId="6308"/>
    <cellStyle name="Input [yellow] 3 17 6 11 2" xfId="17505"/>
    <cellStyle name="Input [yellow] 3 17 6 11 3" xfId="28673"/>
    <cellStyle name="Input [yellow] 3 17 6 11 4" xfId="39838"/>
    <cellStyle name="Input [yellow] 3 17 6 11 5" xfId="51031"/>
    <cellStyle name="Input [yellow] 3 17 6 12" xfId="6941"/>
    <cellStyle name="Input [yellow] 3 17 6 12 2" xfId="18138"/>
    <cellStyle name="Input [yellow] 3 17 6 12 3" xfId="29306"/>
    <cellStyle name="Input [yellow] 3 17 6 12 4" xfId="40471"/>
    <cellStyle name="Input [yellow] 3 17 6 12 5" xfId="51664"/>
    <cellStyle name="Input [yellow] 3 17 6 13" xfId="7575"/>
    <cellStyle name="Input [yellow] 3 17 6 13 2" xfId="18772"/>
    <cellStyle name="Input [yellow] 3 17 6 13 3" xfId="29940"/>
    <cellStyle name="Input [yellow] 3 17 6 13 4" xfId="41105"/>
    <cellStyle name="Input [yellow] 3 17 6 13 5" xfId="52298"/>
    <cellStyle name="Input [yellow] 3 17 6 14" xfId="8209"/>
    <cellStyle name="Input [yellow] 3 17 6 14 2" xfId="19406"/>
    <cellStyle name="Input [yellow] 3 17 6 14 3" xfId="30574"/>
    <cellStyle name="Input [yellow] 3 17 6 14 4" xfId="41739"/>
    <cellStyle name="Input [yellow] 3 17 6 14 5" xfId="52932"/>
    <cellStyle name="Input [yellow] 3 17 6 15" xfId="8838"/>
    <cellStyle name="Input [yellow] 3 17 6 15 2" xfId="20035"/>
    <cellStyle name="Input [yellow] 3 17 6 15 3" xfId="31203"/>
    <cellStyle name="Input [yellow] 3 17 6 15 4" xfId="42368"/>
    <cellStyle name="Input [yellow] 3 17 6 15 5" xfId="53561"/>
    <cellStyle name="Input [yellow] 3 17 6 16" xfId="9260"/>
    <cellStyle name="Input [yellow] 3 17 6 16 2" xfId="20457"/>
    <cellStyle name="Input [yellow] 3 17 6 16 3" xfId="31625"/>
    <cellStyle name="Input [yellow] 3 17 6 16 4" xfId="42790"/>
    <cellStyle name="Input [yellow] 3 17 6 16 5" xfId="53983"/>
    <cellStyle name="Input [yellow] 3 17 6 17" xfId="9887"/>
    <cellStyle name="Input [yellow] 3 17 6 17 2" xfId="21084"/>
    <cellStyle name="Input [yellow] 3 17 6 17 3" xfId="32252"/>
    <cellStyle name="Input [yellow] 3 17 6 17 4" xfId="43417"/>
    <cellStyle name="Input [yellow] 3 17 6 17 5" xfId="54610"/>
    <cellStyle name="Input [yellow] 3 17 6 18" xfId="9872"/>
    <cellStyle name="Input [yellow] 3 17 6 18 2" xfId="21069"/>
    <cellStyle name="Input [yellow] 3 17 6 18 3" xfId="32237"/>
    <cellStyle name="Input [yellow] 3 17 6 18 4" xfId="43402"/>
    <cellStyle name="Input [yellow] 3 17 6 18 5" xfId="54595"/>
    <cellStyle name="Input [yellow] 3 17 6 19" xfId="10925"/>
    <cellStyle name="Input [yellow] 3 17 6 19 2" xfId="22122"/>
    <cellStyle name="Input [yellow] 3 17 6 19 3" xfId="33290"/>
    <cellStyle name="Input [yellow] 3 17 6 19 4" xfId="44455"/>
    <cellStyle name="Input [yellow] 3 17 6 19 5" xfId="55648"/>
    <cellStyle name="Input [yellow] 3 17 6 2" xfId="1021"/>
    <cellStyle name="Input [yellow] 3 17 6 2 2" xfId="12218"/>
    <cellStyle name="Input [yellow] 3 17 6 2 3" xfId="23386"/>
    <cellStyle name="Input [yellow] 3 17 6 2 4" xfId="34551"/>
    <cellStyle name="Input [yellow] 3 17 6 2 5" xfId="45744"/>
    <cellStyle name="Input [yellow] 3 17 6 20" xfId="11572"/>
    <cellStyle name="Input [yellow] 3 17 6 21" xfId="22742"/>
    <cellStyle name="Input [yellow] 3 17 6 22" xfId="33909"/>
    <cellStyle name="Input [yellow] 3 17 6 23" xfId="45095"/>
    <cellStyle name="Input [yellow] 3 17 6 3" xfId="1873"/>
    <cellStyle name="Input [yellow] 3 17 6 3 2" xfId="13070"/>
    <cellStyle name="Input [yellow] 3 17 6 3 3" xfId="24238"/>
    <cellStyle name="Input [yellow] 3 17 6 3 4" xfId="35403"/>
    <cellStyle name="Input [yellow] 3 17 6 3 5" xfId="46596"/>
    <cellStyle name="Input [yellow] 3 17 6 4" xfId="2297"/>
    <cellStyle name="Input [yellow] 3 17 6 4 2" xfId="13494"/>
    <cellStyle name="Input [yellow] 3 17 6 4 3" xfId="24662"/>
    <cellStyle name="Input [yellow] 3 17 6 4 4" xfId="35827"/>
    <cellStyle name="Input [yellow] 3 17 6 4 5" xfId="47020"/>
    <cellStyle name="Input [yellow] 3 17 6 5" xfId="2722"/>
    <cellStyle name="Input [yellow] 3 17 6 5 2" xfId="13919"/>
    <cellStyle name="Input [yellow] 3 17 6 5 3" xfId="25087"/>
    <cellStyle name="Input [yellow] 3 17 6 5 4" xfId="36252"/>
    <cellStyle name="Input [yellow] 3 17 6 5 5" xfId="47445"/>
    <cellStyle name="Input [yellow] 3 17 6 6" xfId="3356"/>
    <cellStyle name="Input [yellow] 3 17 6 6 2" xfId="14553"/>
    <cellStyle name="Input [yellow] 3 17 6 6 3" xfId="25721"/>
    <cellStyle name="Input [yellow] 3 17 6 6 4" xfId="36886"/>
    <cellStyle name="Input [yellow] 3 17 6 6 5" xfId="48079"/>
    <cellStyle name="Input [yellow] 3 17 6 7" xfId="3990"/>
    <cellStyle name="Input [yellow] 3 17 6 7 2" xfId="15187"/>
    <cellStyle name="Input [yellow] 3 17 6 7 3" xfId="26355"/>
    <cellStyle name="Input [yellow] 3 17 6 7 4" xfId="37520"/>
    <cellStyle name="Input [yellow] 3 17 6 7 5" xfId="48713"/>
    <cellStyle name="Input [yellow] 3 17 6 8" xfId="4623"/>
    <cellStyle name="Input [yellow] 3 17 6 8 2" xfId="15820"/>
    <cellStyle name="Input [yellow] 3 17 6 8 3" xfId="26988"/>
    <cellStyle name="Input [yellow] 3 17 6 8 4" xfId="38153"/>
    <cellStyle name="Input [yellow] 3 17 6 8 5" xfId="49346"/>
    <cellStyle name="Input [yellow] 3 17 6 9" xfId="5254"/>
    <cellStyle name="Input [yellow] 3 17 6 9 2" xfId="16451"/>
    <cellStyle name="Input [yellow] 3 17 6 9 3" xfId="27619"/>
    <cellStyle name="Input [yellow] 3 17 6 9 4" xfId="38784"/>
    <cellStyle name="Input [yellow] 3 17 6 9 5" xfId="49977"/>
    <cellStyle name="Input [yellow] 3 17 7" xfId="451"/>
    <cellStyle name="Input [yellow] 3 17 7 10" xfId="5984"/>
    <cellStyle name="Input [yellow] 3 17 7 10 2" xfId="17181"/>
    <cellStyle name="Input [yellow] 3 17 7 10 3" xfId="28349"/>
    <cellStyle name="Input [yellow] 3 17 7 10 4" xfId="39514"/>
    <cellStyle name="Input [yellow] 3 17 7 10 5" xfId="50707"/>
    <cellStyle name="Input [yellow] 3 17 7 11" xfId="6387"/>
    <cellStyle name="Input [yellow] 3 17 7 11 2" xfId="17584"/>
    <cellStyle name="Input [yellow] 3 17 7 11 3" xfId="28752"/>
    <cellStyle name="Input [yellow] 3 17 7 11 4" xfId="39917"/>
    <cellStyle name="Input [yellow] 3 17 7 11 5" xfId="51110"/>
    <cellStyle name="Input [yellow] 3 17 7 12" xfId="7020"/>
    <cellStyle name="Input [yellow] 3 17 7 12 2" xfId="18217"/>
    <cellStyle name="Input [yellow] 3 17 7 12 3" xfId="29385"/>
    <cellStyle name="Input [yellow] 3 17 7 12 4" xfId="40550"/>
    <cellStyle name="Input [yellow] 3 17 7 12 5" xfId="51743"/>
    <cellStyle name="Input [yellow] 3 17 7 13" xfId="7654"/>
    <cellStyle name="Input [yellow] 3 17 7 13 2" xfId="18851"/>
    <cellStyle name="Input [yellow] 3 17 7 13 3" xfId="30019"/>
    <cellStyle name="Input [yellow] 3 17 7 13 4" xfId="41184"/>
    <cellStyle name="Input [yellow] 3 17 7 13 5" xfId="52377"/>
    <cellStyle name="Input [yellow] 3 17 7 14" xfId="8288"/>
    <cellStyle name="Input [yellow] 3 17 7 14 2" xfId="19485"/>
    <cellStyle name="Input [yellow] 3 17 7 14 3" xfId="30653"/>
    <cellStyle name="Input [yellow] 3 17 7 14 4" xfId="41818"/>
    <cellStyle name="Input [yellow] 3 17 7 14 5" xfId="53011"/>
    <cellStyle name="Input [yellow] 3 17 7 15" xfId="8916"/>
    <cellStyle name="Input [yellow] 3 17 7 15 2" xfId="20113"/>
    <cellStyle name="Input [yellow] 3 17 7 15 3" xfId="31281"/>
    <cellStyle name="Input [yellow] 3 17 7 15 4" xfId="42446"/>
    <cellStyle name="Input [yellow] 3 17 7 15 5" xfId="53639"/>
    <cellStyle name="Input [yellow] 3 17 7 16" xfId="9339"/>
    <cellStyle name="Input [yellow] 3 17 7 16 2" xfId="20536"/>
    <cellStyle name="Input [yellow] 3 17 7 16 3" xfId="31704"/>
    <cellStyle name="Input [yellow] 3 17 7 16 4" xfId="42869"/>
    <cellStyle name="Input [yellow] 3 17 7 16 5" xfId="54062"/>
    <cellStyle name="Input [yellow] 3 17 7 17" xfId="9965"/>
    <cellStyle name="Input [yellow] 3 17 7 17 2" xfId="21162"/>
    <cellStyle name="Input [yellow] 3 17 7 17 3" xfId="32330"/>
    <cellStyle name="Input [yellow] 3 17 7 17 4" xfId="43495"/>
    <cellStyle name="Input [yellow] 3 17 7 17 5" xfId="54688"/>
    <cellStyle name="Input [yellow] 3 17 7 18" xfId="10440"/>
    <cellStyle name="Input [yellow] 3 17 7 18 2" xfId="21637"/>
    <cellStyle name="Input [yellow] 3 17 7 18 3" xfId="32805"/>
    <cellStyle name="Input [yellow] 3 17 7 18 4" xfId="43970"/>
    <cellStyle name="Input [yellow] 3 17 7 18 5" xfId="55163"/>
    <cellStyle name="Input [yellow] 3 17 7 19" xfId="11004"/>
    <cellStyle name="Input [yellow] 3 17 7 19 2" xfId="22201"/>
    <cellStyle name="Input [yellow] 3 17 7 19 3" xfId="33369"/>
    <cellStyle name="Input [yellow] 3 17 7 19 4" xfId="44534"/>
    <cellStyle name="Input [yellow] 3 17 7 19 5" xfId="55727"/>
    <cellStyle name="Input [yellow] 3 17 7 2" xfId="1100"/>
    <cellStyle name="Input [yellow] 3 17 7 2 2" xfId="12297"/>
    <cellStyle name="Input [yellow] 3 17 7 2 3" xfId="23465"/>
    <cellStyle name="Input [yellow] 3 17 7 2 4" xfId="34630"/>
    <cellStyle name="Input [yellow] 3 17 7 2 5" xfId="45823"/>
    <cellStyle name="Input [yellow] 3 17 7 20" xfId="11651"/>
    <cellStyle name="Input [yellow] 3 17 7 21" xfId="22821"/>
    <cellStyle name="Input [yellow] 3 17 7 22" xfId="33988"/>
    <cellStyle name="Input [yellow] 3 17 7 23" xfId="45174"/>
    <cellStyle name="Input [yellow] 3 17 7 3" xfId="1698"/>
    <cellStyle name="Input [yellow] 3 17 7 3 2" xfId="12895"/>
    <cellStyle name="Input [yellow] 3 17 7 3 3" xfId="24063"/>
    <cellStyle name="Input [yellow] 3 17 7 3 4" xfId="35228"/>
    <cellStyle name="Input [yellow] 3 17 7 3 5" xfId="46421"/>
    <cellStyle name="Input [yellow] 3 17 7 4" xfId="2376"/>
    <cellStyle name="Input [yellow] 3 17 7 4 2" xfId="13573"/>
    <cellStyle name="Input [yellow] 3 17 7 4 3" xfId="24741"/>
    <cellStyle name="Input [yellow] 3 17 7 4 4" xfId="35906"/>
    <cellStyle name="Input [yellow] 3 17 7 4 5" xfId="47099"/>
    <cellStyle name="Input [yellow] 3 17 7 5" xfId="2801"/>
    <cellStyle name="Input [yellow] 3 17 7 5 2" xfId="13998"/>
    <cellStyle name="Input [yellow] 3 17 7 5 3" xfId="25166"/>
    <cellStyle name="Input [yellow] 3 17 7 5 4" xfId="36331"/>
    <cellStyle name="Input [yellow] 3 17 7 5 5" xfId="47524"/>
    <cellStyle name="Input [yellow] 3 17 7 6" xfId="3435"/>
    <cellStyle name="Input [yellow] 3 17 7 6 2" xfId="14632"/>
    <cellStyle name="Input [yellow] 3 17 7 6 3" xfId="25800"/>
    <cellStyle name="Input [yellow] 3 17 7 6 4" xfId="36965"/>
    <cellStyle name="Input [yellow] 3 17 7 6 5" xfId="48158"/>
    <cellStyle name="Input [yellow] 3 17 7 7" xfId="4069"/>
    <cellStyle name="Input [yellow] 3 17 7 7 2" xfId="15266"/>
    <cellStyle name="Input [yellow] 3 17 7 7 3" xfId="26434"/>
    <cellStyle name="Input [yellow] 3 17 7 7 4" xfId="37599"/>
    <cellStyle name="Input [yellow] 3 17 7 7 5" xfId="48792"/>
    <cellStyle name="Input [yellow] 3 17 7 8" xfId="4702"/>
    <cellStyle name="Input [yellow] 3 17 7 8 2" xfId="15899"/>
    <cellStyle name="Input [yellow] 3 17 7 8 3" xfId="27067"/>
    <cellStyle name="Input [yellow] 3 17 7 8 4" xfId="38232"/>
    <cellStyle name="Input [yellow] 3 17 7 8 5" xfId="49425"/>
    <cellStyle name="Input [yellow] 3 17 7 9" xfId="5333"/>
    <cellStyle name="Input [yellow] 3 17 7 9 2" xfId="16530"/>
    <cellStyle name="Input [yellow] 3 17 7 9 3" xfId="27698"/>
    <cellStyle name="Input [yellow] 3 17 7 9 4" xfId="38863"/>
    <cellStyle name="Input [yellow] 3 17 7 9 5" xfId="50056"/>
    <cellStyle name="Input [yellow] 3 17 8" xfId="530"/>
    <cellStyle name="Input [yellow] 3 17 8 10" xfId="6129"/>
    <cellStyle name="Input [yellow] 3 17 8 10 2" xfId="17326"/>
    <cellStyle name="Input [yellow] 3 17 8 10 3" xfId="28494"/>
    <cellStyle name="Input [yellow] 3 17 8 10 4" xfId="39659"/>
    <cellStyle name="Input [yellow] 3 17 8 10 5" xfId="50852"/>
    <cellStyle name="Input [yellow] 3 17 8 11" xfId="6466"/>
    <cellStyle name="Input [yellow] 3 17 8 11 2" xfId="17663"/>
    <cellStyle name="Input [yellow] 3 17 8 11 3" xfId="28831"/>
    <cellStyle name="Input [yellow] 3 17 8 11 4" xfId="39996"/>
    <cellStyle name="Input [yellow] 3 17 8 11 5" xfId="51189"/>
    <cellStyle name="Input [yellow] 3 17 8 12" xfId="7099"/>
    <cellStyle name="Input [yellow] 3 17 8 12 2" xfId="18296"/>
    <cellStyle name="Input [yellow] 3 17 8 12 3" xfId="29464"/>
    <cellStyle name="Input [yellow] 3 17 8 12 4" xfId="40629"/>
    <cellStyle name="Input [yellow] 3 17 8 12 5" xfId="51822"/>
    <cellStyle name="Input [yellow] 3 17 8 13" xfId="7733"/>
    <cellStyle name="Input [yellow] 3 17 8 13 2" xfId="18930"/>
    <cellStyle name="Input [yellow] 3 17 8 13 3" xfId="30098"/>
    <cellStyle name="Input [yellow] 3 17 8 13 4" xfId="41263"/>
    <cellStyle name="Input [yellow] 3 17 8 13 5" xfId="52456"/>
    <cellStyle name="Input [yellow] 3 17 8 14" xfId="8367"/>
    <cellStyle name="Input [yellow] 3 17 8 14 2" xfId="19564"/>
    <cellStyle name="Input [yellow] 3 17 8 14 3" xfId="30732"/>
    <cellStyle name="Input [yellow] 3 17 8 14 4" xfId="41897"/>
    <cellStyle name="Input [yellow] 3 17 8 14 5" xfId="53090"/>
    <cellStyle name="Input [yellow] 3 17 8 15" xfId="8995"/>
    <cellStyle name="Input [yellow] 3 17 8 15 2" xfId="20192"/>
    <cellStyle name="Input [yellow] 3 17 8 15 3" xfId="31360"/>
    <cellStyle name="Input [yellow] 3 17 8 15 4" xfId="42525"/>
    <cellStyle name="Input [yellow] 3 17 8 15 5" xfId="53718"/>
    <cellStyle name="Input [yellow] 3 17 8 16" xfId="9418"/>
    <cellStyle name="Input [yellow] 3 17 8 16 2" xfId="20615"/>
    <cellStyle name="Input [yellow] 3 17 8 16 3" xfId="31783"/>
    <cellStyle name="Input [yellow] 3 17 8 16 4" xfId="42948"/>
    <cellStyle name="Input [yellow] 3 17 8 16 5" xfId="54141"/>
    <cellStyle name="Input [yellow] 3 17 8 17" xfId="10043"/>
    <cellStyle name="Input [yellow] 3 17 8 17 2" xfId="21240"/>
    <cellStyle name="Input [yellow] 3 17 8 17 3" xfId="32408"/>
    <cellStyle name="Input [yellow] 3 17 8 17 4" xfId="43573"/>
    <cellStyle name="Input [yellow] 3 17 8 17 5" xfId="54766"/>
    <cellStyle name="Input [yellow] 3 17 8 18" xfId="10534"/>
    <cellStyle name="Input [yellow] 3 17 8 18 2" xfId="21731"/>
    <cellStyle name="Input [yellow] 3 17 8 18 3" xfId="32899"/>
    <cellStyle name="Input [yellow] 3 17 8 18 4" xfId="44064"/>
    <cellStyle name="Input [yellow] 3 17 8 18 5" xfId="55257"/>
    <cellStyle name="Input [yellow] 3 17 8 19" xfId="11083"/>
    <cellStyle name="Input [yellow] 3 17 8 19 2" xfId="22280"/>
    <cellStyle name="Input [yellow] 3 17 8 19 3" xfId="33448"/>
    <cellStyle name="Input [yellow] 3 17 8 19 4" xfId="44613"/>
    <cellStyle name="Input [yellow] 3 17 8 19 5" xfId="55806"/>
    <cellStyle name="Input [yellow] 3 17 8 2" xfId="1179"/>
    <cellStyle name="Input [yellow] 3 17 8 2 2" xfId="12376"/>
    <cellStyle name="Input [yellow] 3 17 8 2 3" xfId="23544"/>
    <cellStyle name="Input [yellow] 3 17 8 2 4" xfId="34709"/>
    <cellStyle name="Input [yellow] 3 17 8 2 5" xfId="45902"/>
    <cellStyle name="Input [yellow] 3 17 8 20" xfId="11730"/>
    <cellStyle name="Input [yellow] 3 17 8 21" xfId="22900"/>
    <cellStyle name="Input [yellow] 3 17 8 22" xfId="34067"/>
    <cellStyle name="Input [yellow] 3 17 8 23" xfId="45253"/>
    <cellStyle name="Input [yellow] 3 17 8 3" xfId="1380"/>
    <cellStyle name="Input [yellow] 3 17 8 3 2" xfId="12577"/>
    <cellStyle name="Input [yellow] 3 17 8 3 3" xfId="23745"/>
    <cellStyle name="Input [yellow] 3 17 8 3 4" xfId="34910"/>
    <cellStyle name="Input [yellow] 3 17 8 3 5" xfId="46103"/>
    <cellStyle name="Input [yellow] 3 17 8 4" xfId="2455"/>
    <cellStyle name="Input [yellow] 3 17 8 4 2" xfId="13652"/>
    <cellStyle name="Input [yellow] 3 17 8 4 3" xfId="24820"/>
    <cellStyle name="Input [yellow] 3 17 8 4 4" xfId="35985"/>
    <cellStyle name="Input [yellow] 3 17 8 4 5" xfId="47178"/>
    <cellStyle name="Input [yellow] 3 17 8 5" xfId="2880"/>
    <cellStyle name="Input [yellow] 3 17 8 5 2" xfId="14077"/>
    <cellStyle name="Input [yellow] 3 17 8 5 3" xfId="25245"/>
    <cellStyle name="Input [yellow] 3 17 8 5 4" xfId="36410"/>
    <cellStyle name="Input [yellow] 3 17 8 5 5" xfId="47603"/>
    <cellStyle name="Input [yellow] 3 17 8 6" xfId="3514"/>
    <cellStyle name="Input [yellow] 3 17 8 6 2" xfId="14711"/>
    <cellStyle name="Input [yellow] 3 17 8 6 3" xfId="25879"/>
    <cellStyle name="Input [yellow] 3 17 8 6 4" xfId="37044"/>
    <cellStyle name="Input [yellow] 3 17 8 6 5" xfId="48237"/>
    <cellStyle name="Input [yellow] 3 17 8 7" xfId="4148"/>
    <cellStyle name="Input [yellow] 3 17 8 7 2" xfId="15345"/>
    <cellStyle name="Input [yellow] 3 17 8 7 3" xfId="26513"/>
    <cellStyle name="Input [yellow] 3 17 8 7 4" xfId="37678"/>
    <cellStyle name="Input [yellow] 3 17 8 7 5" xfId="48871"/>
    <cellStyle name="Input [yellow] 3 17 8 8" xfId="4781"/>
    <cellStyle name="Input [yellow] 3 17 8 8 2" xfId="15978"/>
    <cellStyle name="Input [yellow] 3 17 8 8 3" xfId="27146"/>
    <cellStyle name="Input [yellow] 3 17 8 8 4" xfId="38311"/>
    <cellStyle name="Input [yellow] 3 17 8 8 5" xfId="49504"/>
    <cellStyle name="Input [yellow] 3 17 8 9" xfId="5412"/>
    <cellStyle name="Input [yellow] 3 17 8 9 2" xfId="16609"/>
    <cellStyle name="Input [yellow] 3 17 8 9 3" xfId="27777"/>
    <cellStyle name="Input [yellow] 3 17 8 9 4" xfId="38942"/>
    <cellStyle name="Input [yellow] 3 17 8 9 5" xfId="50135"/>
    <cellStyle name="Input [yellow] 3 17 9" xfId="588"/>
    <cellStyle name="Input [yellow] 3 17 9 10" xfId="6196"/>
    <cellStyle name="Input [yellow] 3 17 9 10 2" xfId="17393"/>
    <cellStyle name="Input [yellow] 3 17 9 10 3" xfId="28561"/>
    <cellStyle name="Input [yellow] 3 17 9 10 4" xfId="39726"/>
    <cellStyle name="Input [yellow] 3 17 9 10 5" xfId="50919"/>
    <cellStyle name="Input [yellow] 3 17 9 11" xfId="6524"/>
    <cellStyle name="Input [yellow] 3 17 9 11 2" xfId="17721"/>
    <cellStyle name="Input [yellow] 3 17 9 11 3" xfId="28889"/>
    <cellStyle name="Input [yellow] 3 17 9 11 4" xfId="40054"/>
    <cellStyle name="Input [yellow] 3 17 9 11 5" xfId="51247"/>
    <cellStyle name="Input [yellow] 3 17 9 12" xfId="7157"/>
    <cellStyle name="Input [yellow] 3 17 9 12 2" xfId="18354"/>
    <cellStyle name="Input [yellow] 3 17 9 12 3" xfId="29522"/>
    <cellStyle name="Input [yellow] 3 17 9 12 4" xfId="40687"/>
    <cellStyle name="Input [yellow] 3 17 9 12 5" xfId="51880"/>
    <cellStyle name="Input [yellow] 3 17 9 13" xfId="7791"/>
    <cellStyle name="Input [yellow] 3 17 9 13 2" xfId="18988"/>
    <cellStyle name="Input [yellow] 3 17 9 13 3" xfId="30156"/>
    <cellStyle name="Input [yellow] 3 17 9 13 4" xfId="41321"/>
    <cellStyle name="Input [yellow] 3 17 9 13 5" xfId="52514"/>
    <cellStyle name="Input [yellow] 3 17 9 14" xfId="8425"/>
    <cellStyle name="Input [yellow] 3 17 9 14 2" xfId="19622"/>
    <cellStyle name="Input [yellow] 3 17 9 14 3" xfId="30790"/>
    <cellStyle name="Input [yellow] 3 17 9 14 4" xfId="41955"/>
    <cellStyle name="Input [yellow] 3 17 9 14 5" xfId="53148"/>
    <cellStyle name="Input [yellow] 3 17 9 15" xfId="9053"/>
    <cellStyle name="Input [yellow] 3 17 9 15 2" xfId="20250"/>
    <cellStyle name="Input [yellow] 3 17 9 15 3" xfId="31418"/>
    <cellStyle name="Input [yellow] 3 17 9 15 4" xfId="42583"/>
    <cellStyle name="Input [yellow] 3 17 9 15 5" xfId="53776"/>
    <cellStyle name="Input [yellow] 3 17 9 16" xfId="9476"/>
    <cellStyle name="Input [yellow] 3 17 9 16 2" xfId="20673"/>
    <cellStyle name="Input [yellow] 3 17 9 16 3" xfId="31841"/>
    <cellStyle name="Input [yellow] 3 17 9 16 4" xfId="43006"/>
    <cellStyle name="Input [yellow] 3 17 9 16 5" xfId="54199"/>
    <cellStyle name="Input [yellow] 3 17 9 17" xfId="10101"/>
    <cellStyle name="Input [yellow] 3 17 9 17 2" xfId="21298"/>
    <cellStyle name="Input [yellow] 3 17 9 17 3" xfId="32466"/>
    <cellStyle name="Input [yellow] 3 17 9 17 4" xfId="43631"/>
    <cellStyle name="Input [yellow] 3 17 9 17 5" xfId="54824"/>
    <cellStyle name="Input [yellow] 3 17 9 18" xfId="10332"/>
    <cellStyle name="Input [yellow] 3 17 9 18 2" xfId="21529"/>
    <cellStyle name="Input [yellow] 3 17 9 18 3" xfId="32697"/>
    <cellStyle name="Input [yellow] 3 17 9 18 4" xfId="43862"/>
    <cellStyle name="Input [yellow] 3 17 9 18 5" xfId="55055"/>
    <cellStyle name="Input [yellow] 3 17 9 19" xfId="11141"/>
    <cellStyle name="Input [yellow] 3 17 9 19 2" xfId="22338"/>
    <cellStyle name="Input [yellow] 3 17 9 19 3" xfId="33506"/>
    <cellStyle name="Input [yellow] 3 17 9 19 4" xfId="44671"/>
    <cellStyle name="Input [yellow] 3 17 9 19 5" xfId="55864"/>
    <cellStyle name="Input [yellow] 3 17 9 2" xfId="1237"/>
    <cellStyle name="Input [yellow] 3 17 9 2 2" xfId="12434"/>
    <cellStyle name="Input [yellow] 3 17 9 2 3" xfId="23602"/>
    <cellStyle name="Input [yellow] 3 17 9 2 4" xfId="34767"/>
    <cellStyle name="Input [yellow] 3 17 9 2 5" xfId="45960"/>
    <cellStyle name="Input [yellow] 3 17 9 20" xfId="11788"/>
    <cellStyle name="Input [yellow] 3 17 9 21" xfId="22958"/>
    <cellStyle name="Input [yellow] 3 17 9 22" xfId="34125"/>
    <cellStyle name="Input [yellow] 3 17 9 23" xfId="45311"/>
    <cellStyle name="Input [yellow] 3 17 9 3" xfId="1624"/>
    <cellStyle name="Input [yellow] 3 17 9 3 2" xfId="12821"/>
    <cellStyle name="Input [yellow] 3 17 9 3 3" xfId="23989"/>
    <cellStyle name="Input [yellow] 3 17 9 3 4" xfId="35154"/>
    <cellStyle name="Input [yellow] 3 17 9 3 5" xfId="46347"/>
    <cellStyle name="Input [yellow] 3 17 9 4" xfId="2513"/>
    <cellStyle name="Input [yellow] 3 17 9 4 2" xfId="13710"/>
    <cellStyle name="Input [yellow] 3 17 9 4 3" xfId="24878"/>
    <cellStyle name="Input [yellow] 3 17 9 4 4" xfId="36043"/>
    <cellStyle name="Input [yellow] 3 17 9 4 5" xfId="47236"/>
    <cellStyle name="Input [yellow] 3 17 9 5" xfId="2938"/>
    <cellStyle name="Input [yellow] 3 17 9 5 2" xfId="14135"/>
    <cellStyle name="Input [yellow] 3 17 9 5 3" xfId="25303"/>
    <cellStyle name="Input [yellow] 3 17 9 5 4" xfId="36468"/>
    <cellStyle name="Input [yellow] 3 17 9 5 5" xfId="47661"/>
    <cellStyle name="Input [yellow] 3 17 9 6" xfId="3572"/>
    <cellStyle name="Input [yellow] 3 17 9 6 2" xfId="14769"/>
    <cellStyle name="Input [yellow] 3 17 9 6 3" xfId="25937"/>
    <cellStyle name="Input [yellow] 3 17 9 6 4" xfId="37102"/>
    <cellStyle name="Input [yellow] 3 17 9 6 5" xfId="48295"/>
    <cellStyle name="Input [yellow] 3 17 9 7" xfId="4206"/>
    <cellStyle name="Input [yellow] 3 17 9 7 2" xfId="15403"/>
    <cellStyle name="Input [yellow] 3 17 9 7 3" xfId="26571"/>
    <cellStyle name="Input [yellow] 3 17 9 7 4" xfId="37736"/>
    <cellStyle name="Input [yellow] 3 17 9 7 5" xfId="48929"/>
    <cellStyle name="Input [yellow] 3 17 9 8" xfId="4839"/>
    <cellStyle name="Input [yellow] 3 17 9 8 2" xfId="16036"/>
    <cellStyle name="Input [yellow] 3 17 9 8 3" xfId="27204"/>
    <cellStyle name="Input [yellow] 3 17 9 8 4" xfId="38369"/>
    <cellStyle name="Input [yellow] 3 17 9 8 5" xfId="49562"/>
    <cellStyle name="Input [yellow] 3 17 9 9" xfId="5470"/>
    <cellStyle name="Input [yellow] 3 17 9 9 2" xfId="16667"/>
    <cellStyle name="Input [yellow] 3 17 9 9 3" xfId="27835"/>
    <cellStyle name="Input [yellow] 3 17 9 9 4" xfId="39000"/>
    <cellStyle name="Input [yellow] 3 17 9 9 5" xfId="50193"/>
    <cellStyle name="Input [yellow] 3 18" xfId="125"/>
    <cellStyle name="Input [yellow] 3 18 10" xfId="647"/>
    <cellStyle name="Input [yellow] 3 18 10 10" xfId="5829"/>
    <cellStyle name="Input [yellow] 3 18 10 10 2" xfId="17026"/>
    <cellStyle name="Input [yellow] 3 18 10 10 3" xfId="28194"/>
    <cellStyle name="Input [yellow] 3 18 10 10 4" xfId="39359"/>
    <cellStyle name="Input [yellow] 3 18 10 10 5" xfId="50552"/>
    <cellStyle name="Input [yellow] 3 18 10 11" xfId="6583"/>
    <cellStyle name="Input [yellow] 3 18 10 11 2" xfId="17780"/>
    <cellStyle name="Input [yellow] 3 18 10 11 3" xfId="28948"/>
    <cellStyle name="Input [yellow] 3 18 10 11 4" xfId="40113"/>
    <cellStyle name="Input [yellow] 3 18 10 11 5" xfId="51306"/>
    <cellStyle name="Input [yellow] 3 18 10 12" xfId="7216"/>
    <cellStyle name="Input [yellow] 3 18 10 12 2" xfId="18413"/>
    <cellStyle name="Input [yellow] 3 18 10 12 3" xfId="29581"/>
    <cellStyle name="Input [yellow] 3 18 10 12 4" xfId="40746"/>
    <cellStyle name="Input [yellow] 3 18 10 12 5" xfId="51939"/>
    <cellStyle name="Input [yellow] 3 18 10 13" xfId="7850"/>
    <cellStyle name="Input [yellow] 3 18 10 13 2" xfId="19047"/>
    <cellStyle name="Input [yellow] 3 18 10 13 3" xfId="30215"/>
    <cellStyle name="Input [yellow] 3 18 10 13 4" xfId="41380"/>
    <cellStyle name="Input [yellow] 3 18 10 13 5" xfId="52573"/>
    <cellStyle name="Input [yellow] 3 18 10 14" xfId="8484"/>
    <cellStyle name="Input [yellow] 3 18 10 14 2" xfId="19681"/>
    <cellStyle name="Input [yellow] 3 18 10 14 3" xfId="30849"/>
    <cellStyle name="Input [yellow] 3 18 10 14 4" xfId="42014"/>
    <cellStyle name="Input [yellow] 3 18 10 14 5" xfId="53207"/>
    <cellStyle name="Input [yellow] 3 18 10 15" xfId="9112"/>
    <cellStyle name="Input [yellow] 3 18 10 15 2" xfId="20309"/>
    <cellStyle name="Input [yellow] 3 18 10 15 3" xfId="31477"/>
    <cellStyle name="Input [yellow] 3 18 10 15 4" xfId="42642"/>
    <cellStyle name="Input [yellow] 3 18 10 15 5" xfId="53835"/>
    <cellStyle name="Input [yellow] 3 18 10 16" xfId="9535"/>
    <cellStyle name="Input [yellow] 3 18 10 16 2" xfId="20732"/>
    <cellStyle name="Input [yellow] 3 18 10 16 3" xfId="31900"/>
    <cellStyle name="Input [yellow] 3 18 10 16 4" xfId="43065"/>
    <cellStyle name="Input [yellow] 3 18 10 16 5" xfId="54258"/>
    <cellStyle name="Input [yellow] 3 18 10 17" xfId="10160"/>
    <cellStyle name="Input [yellow] 3 18 10 17 2" xfId="21357"/>
    <cellStyle name="Input [yellow] 3 18 10 17 3" xfId="32525"/>
    <cellStyle name="Input [yellow] 3 18 10 17 4" xfId="43690"/>
    <cellStyle name="Input [yellow] 3 18 10 17 5" xfId="54883"/>
    <cellStyle name="Input [yellow] 3 18 10 18" xfId="10286"/>
    <cellStyle name="Input [yellow] 3 18 10 18 2" xfId="21483"/>
    <cellStyle name="Input [yellow] 3 18 10 18 3" xfId="32651"/>
    <cellStyle name="Input [yellow] 3 18 10 18 4" xfId="43816"/>
    <cellStyle name="Input [yellow] 3 18 10 18 5" xfId="55009"/>
    <cellStyle name="Input [yellow] 3 18 10 19" xfId="11200"/>
    <cellStyle name="Input [yellow] 3 18 10 19 2" xfId="22397"/>
    <cellStyle name="Input [yellow] 3 18 10 19 3" xfId="33565"/>
    <cellStyle name="Input [yellow] 3 18 10 19 4" xfId="44730"/>
    <cellStyle name="Input [yellow] 3 18 10 19 5" xfId="55923"/>
    <cellStyle name="Input [yellow] 3 18 10 2" xfId="1296"/>
    <cellStyle name="Input [yellow] 3 18 10 2 2" xfId="12493"/>
    <cellStyle name="Input [yellow] 3 18 10 2 3" xfId="23661"/>
    <cellStyle name="Input [yellow] 3 18 10 2 4" xfId="34826"/>
    <cellStyle name="Input [yellow] 3 18 10 2 5" xfId="46019"/>
    <cellStyle name="Input [yellow] 3 18 10 20" xfId="11847"/>
    <cellStyle name="Input [yellow] 3 18 10 21" xfId="23017"/>
    <cellStyle name="Input [yellow] 3 18 10 22" xfId="34184"/>
    <cellStyle name="Input [yellow] 3 18 10 23" xfId="45370"/>
    <cellStyle name="Input [yellow] 3 18 10 3" xfId="1483"/>
    <cellStyle name="Input [yellow] 3 18 10 3 2" xfId="12680"/>
    <cellStyle name="Input [yellow] 3 18 10 3 3" xfId="23848"/>
    <cellStyle name="Input [yellow] 3 18 10 3 4" xfId="35013"/>
    <cellStyle name="Input [yellow] 3 18 10 3 5" xfId="46206"/>
    <cellStyle name="Input [yellow] 3 18 10 4" xfId="2572"/>
    <cellStyle name="Input [yellow] 3 18 10 4 2" xfId="13769"/>
    <cellStyle name="Input [yellow] 3 18 10 4 3" xfId="24937"/>
    <cellStyle name="Input [yellow] 3 18 10 4 4" xfId="36102"/>
    <cellStyle name="Input [yellow] 3 18 10 4 5" xfId="47295"/>
    <cellStyle name="Input [yellow] 3 18 10 5" xfId="2997"/>
    <cellStyle name="Input [yellow] 3 18 10 5 2" xfId="14194"/>
    <cellStyle name="Input [yellow] 3 18 10 5 3" xfId="25362"/>
    <cellStyle name="Input [yellow] 3 18 10 5 4" xfId="36527"/>
    <cellStyle name="Input [yellow] 3 18 10 5 5" xfId="47720"/>
    <cellStyle name="Input [yellow] 3 18 10 6" xfId="3631"/>
    <cellStyle name="Input [yellow] 3 18 10 6 2" xfId="14828"/>
    <cellStyle name="Input [yellow] 3 18 10 6 3" xfId="25996"/>
    <cellStyle name="Input [yellow] 3 18 10 6 4" xfId="37161"/>
    <cellStyle name="Input [yellow] 3 18 10 6 5" xfId="48354"/>
    <cellStyle name="Input [yellow] 3 18 10 7" xfId="4265"/>
    <cellStyle name="Input [yellow] 3 18 10 7 2" xfId="15462"/>
    <cellStyle name="Input [yellow] 3 18 10 7 3" xfId="26630"/>
    <cellStyle name="Input [yellow] 3 18 10 7 4" xfId="37795"/>
    <cellStyle name="Input [yellow] 3 18 10 7 5" xfId="48988"/>
    <cellStyle name="Input [yellow] 3 18 10 8" xfId="4898"/>
    <cellStyle name="Input [yellow] 3 18 10 8 2" xfId="16095"/>
    <cellStyle name="Input [yellow] 3 18 10 8 3" xfId="27263"/>
    <cellStyle name="Input [yellow] 3 18 10 8 4" xfId="38428"/>
    <cellStyle name="Input [yellow] 3 18 10 8 5" xfId="49621"/>
    <cellStyle name="Input [yellow] 3 18 10 9" xfId="5529"/>
    <cellStyle name="Input [yellow] 3 18 10 9 2" xfId="16726"/>
    <cellStyle name="Input [yellow] 3 18 10 9 3" xfId="27894"/>
    <cellStyle name="Input [yellow] 3 18 10 9 4" xfId="39059"/>
    <cellStyle name="Input [yellow] 3 18 10 9 5" xfId="50252"/>
    <cellStyle name="Input [yellow] 3 18 11" xfId="622"/>
    <cellStyle name="Input [yellow] 3 18 11 10" xfId="6120"/>
    <cellStyle name="Input [yellow] 3 18 11 10 2" xfId="17317"/>
    <cellStyle name="Input [yellow] 3 18 11 10 3" xfId="28485"/>
    <cellStyle name="Input [yellow] 3 18 11 10 4" xfId="39650"/>
    <cellStyle name="Input [yellow] 3 18 11 10 5" xfId="50843"/>
    <cellStyle name="Input [yellow] 3 18 11 11" xfId="6558"/>
    <cellStyle name="Input [yellow] 3 18 11 11 2" xfId="17755"/>
    <cellStyle name="Input [yellow] 3 18 11 11 3" xfId="28923"/>
    <cellStyle name="Input [yellow] 3 18 11 11 4" xfId="40088"/>
    <cellStyle name="Input [yellow] 3 18 11 11 5" xfId="51281"/>
    <cellStyle name="Input [yellow] 3 18 11 12" xfId="7191"/>
    <cellStyle name="Input [yellow] 3 18 11 12 2" xfId="18388"/>
    <cellStyle name="Input [yellow] 3 18 11 12 3" xfId="29556"/>
    <cellStyle name="Input [yellow] 3 18 11 12 4" xfId="40721"/>
    <cellStyle name="Input [yellow] 3 18 11 12 5" xfId="51914"/>
    <cellStyle name="Input [yellow] 3 18 11 13" xfId="7825"/>
    <cellStyle name="Input [yellow] 3 18 11 13 2" xfId="19022"/>
    <cellStyle name="Input [yellow] 3 18 11 13 3" xfId="30190"/>
    <cellStyle name="Input [yellow] 3 18 11 13 4" xfId="41355"/>
    <cellStyle name="Input [yellow] 3 18 11 13 5" xfId="52548"/>
    <cellStyle name="Input [yellow] 3 18 11 14" xfId="8459"/>
    <cellStyle name="Input [yellow] 3 18 11 14 2" xfId="19656"/>
    <cellStyle name="Input [yellow] 3 18 11 14 3" xfId="30824"/>
    <cellStyle name="Input [yellow] 3 18 11 14 4" xfId="41989"/>
    <cellStyle name="Input [yellow] 3 18 11 14 5" xfId="53182"/>
    <cellStyle name="Input [yellow] 3 18 11 15" xfId="9087"/>
    <cellStyle name="Input [yellow] 3 18 11 15 2" xfId="20284"/>
    <cellStyle name="Input [yellow] 3 18 11 15 3" xfId="31452"/>
    <cellStyle name="Input [yellow] 3 18 11 15 4" xfId="42617"/>
    <cellStyle name="Input [yellow] 3 18 11 15 5" xfId="53810"/>
    <cellStyle name="Input [yellow] 3 18 11 16" xfId="9510"/>
    <cellStyle name="Input [yellow] 3 18 11 16 2" xfId="20707"/>
    <cellStyle name="Input [yellow] 3 18 11 16 3" xfId="31875"/>
    <cellStyle name="Input [yellow] 3 18 11 16 4" xfId="43040"/>
    <cellStyle name="Input [yellow] 3 18 11 16 5" xfId="54233"/>
    <cellStyle name="Input [yellow] 3 18 11 17" xfId="10135"/>
    <cellStyle name="Input [yellow] 3 18 11 17 2" xfId="21332"/>
    <cellStyle name="Input [yellow] 3 18 11 17 3" xfId="32500"/>
    <cellStyle name="Input [yellow] 3 18 11 17 4" xfId="43665"/>
    <cellStyle name="Input [yellow] 3 18 11 17 5" xfId="54858"/>
    <cellStyle name="Input [yellow] 3 18 11 18" xfId="10458"/>
    <cellStyle name="Input [yellow] 3 18 11 18 2" xfId="21655"/>
    <cellStyle name="Input [yellow] 3 18 11 18 3" xfId="32823"/>
    <cellStyle name="Input [yellow] 3 18 11 18 4" xfId="43988"/>
    <cellStyle name="Input [yellow] 3 18 11 18 5" xfId="55181"/>
    <cellStyle name="Input [yellow] 3 18 11 19" xfId="11175"/>
    <cellStyle name="Input [yellow] 3 18 11 19 2" xfId="22372"/>
    <cellStyle name="Input [yellow] 3 18 11 19 3" xfId="33540"/>
    <cellStyle name="Input [yellow] 3 18 11 19 4" xfId="44705"/>
    <cellStyle name="Input [yellow] 3 18 11 19 5" xfId="55898"/>
    <cellStyle name="Input [yellow] 3 18 11 2" xfId="1271"/>
    <cellStyle name="Input [yellow] 3 18 11 2 2" xfId="12468"/>
    <cellStyle name="Input [yellow] 3 18 11 2 3" xfId="23636"/>
    <cellStyle name="Input [yellow] 3 18 11 2 4" xfId="34801"/>
    <cellStyle name="Input [yellow] 3 18 11 2 5" xfId="45994"/>
    <cellStyle name="Input [yellow] 3 18 11 20" xfId="11822"/>
    <cellStyle name="Input [yellow] 3 18 11 21" xfId="22992"/>
    <cellStyle name="Input [yellow] 3 18 11 22" xfId="34159"/>
    <cellStyle name="Input [yellow] 3 18 11 23" xfId="45345"/>
    <cellStyle name="Input [yellow] 3 18 11 3" xfId="1731"/>
    <cellStyle name="Input [yellow] 3 18 11 3 2" xfId="12928"/>
    <cellStyle name="Input [yellow] 3 18 11 3 3" xfId="24096"/>
    <cellStyle name="Input [yellow] 3 18 11 3 4" xfId="35261"/>
    <cellStyle name="Input [yellow] 3 18 11 3 5" xfId="46454"/>
    <cellStyle name="Input [yellow] 3 18 11 4" xfId="2547"/>
    <cellStyle name="Input [yellow] 3 18 11 4 2" xfId="13744"/>
    <cellStyle name="Input [yellow] 3 18 11 4 3" xfId="24912"/>
    <cellStyle name="Input [yellow] 3 18 11 4 4" xfId="36077"/>
    <cellStyle name="Input [yellow] 3 18 11 4 5" xfId="47270"/>
    <cellStyle name="Input [yellow] 3 18 11 5" xfId="2972"/>
    <cellStyle name="Input [yellow] 3 18 11 5 2" xfId="14169"/>
    <cellStyle name="Input [yellow] 3 18 11 5 3" xfId="25337"/>
    <cellStyle name="Input [yellow] 3 18 11 5 4" xfId="36502"/>
    <cellStyle name="Input [yellow] 3 18 11 5 5" xfId="47695"/>
    <cellStyle name="Input [yellow] 3 18 11 6" xfId="3606"/>
    <cellStyle name="Input [yellow] 3 18 11 6 2" xfId="14803"/>
    <cellStyle name="Input [yellow] 3 18 11 6 3" xfId="25971"/>
    <cellStyle name="Input [yellow] 3 18 11 6 4" xfId="37136"/>
    <cellStyle name="Input [yellow] 3 18 11 6 5" xfId="48329"/>
    <cellStyle name="Input [yellow] 3 18 11 7" xfId="4240"/>
    <cellStyle name="Input [yellow] 3 18 11 7 2" xfId="15437"/>
    <cellStyle name="Input [yellow] 3 18 11 7 3" xfId="26605"/>
    <cellStyle name="Input [yellow] 3 18 11 7 4" xfId="37770"/>
    <cellStyle name="Input [yellow] 3 18 11 7 5" xfId="48963"/>
    <cellStyle name="Input [yellow] 3 18 11 8" xfId="4873"/>
    <cellStyle name="Input [yellow] 3 18 11 8 2" xfId="16070"/>
    <cellStyle name="Input [yellow] 3 18 11 8 3" xfId="27238"/>
    <cellStyle name="Input [yellow] 3 18 11 8 4" xfId="38403"/>
    <cellStyle name="Input [yellow] 3 18 11 8 5" xfId="49596"/>
    <cellStyle name="Input [yellow] 3 18 11 9" xfId="5504"/>
    <cellStyle name="Input [yellow] 3 18 11 9 2" xfId="16701"/>
    <cellStyle name="Input [yellow] 3 18 11 9 3" xfId="27869"/>
    <cellStyle name="Input [yellow] 3 18 11 9 4" xfId="39034"/>
    <cellStyle name="Input [yellow] 3 18 11 9 5" xfId="50227"/>
    <cellStyle name="Input [yellow] 3 18 12" xfId="774"/>
    <cellStyle name="Input [yellow] 3 18 12 2" xfId="11971"/>
    <cellStyle name="Input [yellow] 3 18 12 3" xfId="23139"/>
    <cellStyle name="Input [yellow] 3 18 12 4" xfId="34304"/>
    <cellStyle name="Input [yellow] 3 18 12 5" xfId="45497"/>
    <cellStyle name="Input [yellow] 3 18 13" xfId="1430"/>
    <cellStyle name="Input [yellow] 3 18 13 2" xfId="12627"/>
    <cellStyle name="Input [yellow] 3 18 13 3" xfId="23795"/>
    <cellStyle name="Input [yellow] 3 18 13 4" xfId="34960"/>
    <cellStyle name="Input [yellow] 3 18 13 5" xfId="46153"/>
    <cellStyle name="Input [yellow] 3 18 14" xfId="2051"/>
    <cellStyle name="Input [yellow] 3 18 14 2" xfId="13248"/>
    <cellStyle name="Input [yellow] 3 18 14 3" xfId="24416"/>
    <cellStyle name="Input [yellow] 3 18 14 4" xfId="35581"/>
    <cellStyle name="Input [yellow] 3 18 14 5" xfId="46774"/>
    <cellStyle name="Input [yellow] 3 18 15" xfId="2586"/>
    <cellStyle name="Input [yellow] 3 18 15 2" xfId="13783"/>
    <cellStyle name="Input [yellow] 3 18 15 3" xfId="24951"/>
    <cellStyle name="Input [yellow] 3 18 15 4" xfId="36116"/>
    <cellStyle name="Input [yellow] 3 18 15 5" xfId="47309"/>
    <cellStyle name="Input [yellow] 3 18 16" xfId="3109"/>
    <cellStyle name="Input [yellow] 3 18 16 2" xfId="14306"/>
    <cellStyle name="Input [yellow] 3 18 16 3" xfId="25474"/>
    <cellStyle name="Input [yellow] 3 18 16 4" xfId="36639"/>
    <cellStyle name="Input [yellow] 3 18 16 5" xfId="47832"/>
    <cellStyle name="Input [yellow] 3 18 17" xfId="3743"/>
    <cellStyle name="Input [yellow] 3 18 17 2" xfId="14940"/>
    <cellStyle name="Input [yellow] 3 18 17 3" xfId="26108"/>
    <cellStyle name="Input [yellow] 3 18 17 4" xfId="37273"/>
    <cellStyle name="Input [yellow] 3 18 17 5" xfId="48466"/>
    <cellStyle name="Input [yellow] 3 18 18" xfId="4376"/>
    <cellStyle name="Input [yellow] 3 18 18 2" xfId="15573"/>
    <cellStyle name="Input [yellow] 3 18 18 3" xfId="26741"/>
    <cellStyle name="Input [yellow] 3 18 18 4" xfId="37906"/>
    <cellStyle name="Input [yellow] 3 18 18 5" xfId="49099"/>
    <cellStyle name="Input [yellow] 3 18 19" xfId="5007"/>
    <cellStyle name="Input [yellow] 3 18 19 2" xfId="16204"/>
    <cellStyle name="Input [yellow] 3 18 19 3" xfId="27372"/>
    <cellStyle name="Input [yellow] 3 18 19 4" xfId="38537"/>
    <cellStyle name="Input [yellow] 3 18 19 5" xfId="49730"/>
    <cellStyle name="Input [yellow] 3 18 2" xfId="188"/>
    <cellStyle name="Input [yellow] 3 18 2 10" xfId="5812"/>
    <cellStyle name="Input [yellow] 3 18 2 10 2" xfId="17009"/>
    <cellStyle name="Input [yellow] 3 18 2 10 3" xfId="28177"/>
    <cellStyle name="Input [yellow] 3 18 2 10 4" xfId="39342"/>
    <cellStyle name="Input [yellow] 3 18 2 10 5" xfId="50535"/>
    <cellStyle name="Input [yellow] 3 18 2 11" xfId="5921"/>
    <cellStyle name="Input [yellow] 3 18 2 11 2" xfId="17118"/>
    <cellStyle name="Input [yellow] 3 18 2 11 3" xfId="28286"/>
    <cellStyle name="Input [yellow] 3 18 2 11 4" xfId="39451"/>
    <cellStyle name="Input [yellow] 3 18 2 11 5" xfId="50644"/>
    <cellStyle name="Input [yellow] 3 18 2 12" xfId="6757"/>
    <cellStyle name="Input [yellow] 3 18 2 12 2" xfId="17954"/>
    <cellStyle name="Input [yellow] 3 18 2 12 3" xfId="29122"/>
    <cellStyle name="Input [yellow] 3 18 2 12 4" xfId="40287"/>
    <cellStyle name="Input [yellow] 3 18 2 12 5" xfId="51480"/>
    <cellStyle name="Input [yellow] 3 18 2 13" xfId="7391"/>
    <cellStyle name="Input [yellow] 3 18 2 13 2" xfId="18588"/>
    <cellStyle name="Input [yellow] 3 18 2 13 3" xfId="29756"/>
    <cellStyle name="Input [yellow] 3 18 2 13 4" xfId="40921"/>
    <cellStyle name="Input [yellow] 3 18 2 13 5" xfId="52114"/>
    <cellStyle name="Input [yellow] 3 18 2 14" xfId="8025"/>
    <cellStyle name="Input [yellow] 3 18 2 14 2" xfId="19222"/>
    <cellStyle name="Input [yellow] 3 18 2 14 3" xfId="30390"/>
    <cellStyle name="Input [yellow] 3 18 2 14 4" xfId="41555"/>
    <cellStyle name="Input [yellow] 3 18 2 14 5" xfId="52748"/>
    <cellStyle name="Input [yellow] 3 18 2 15" xfId="8656"/>
    <cellStyle name="Input [yellow] 3 18 2 15 2" xfId="19853"/>
    <cellStyle name="Input [yellow] 3 18 2 15 3" xfId="31021"/>
    <cellStyle name="Input [yellow] 3 18 2 15 4" xfId="42186"/>
    <cellStyle name="Input [yellow] 3 18 2 15 5" xfId="53379"/>
    <cellStyle name="Input [yellow] 3 18 2 16" xfId="8996"/>
    <cellStyle name="Input [yellow] 3 18 2 16 2" xfId="20193"/>
    <cellStyle name="Input [yellow] 3 18 2 16 3" xfId="31361"/>
    <cellStyle name="Input [yellow] 3 18 2 16 4" xfId="42526"/>
    <cellStyle name="Input [yellow] 3 18 2 16 5" xfId="53719"/>
    <cellStyle name="Input [yellow] 3 18 2 17" xfId="9708"/>
    <cellStyle name="Input [yellow] 3 18 2 17 2" xfId="20905"/>
    <cellStyle name="Input [yellow] 3 18 2 17 3" xfId="32073"/>
    <cellStyle name="Input [yellow] 3 18 2 17 4" xfId="43238"/>
    <cellStyle name="Input [yellow] 3 18 2 17 5" xfId="54431"/>
    <cellStyle name="Input [yellow] 3 18 2 18" xfId="10232"/>
    <cellStyle name="Input [yellow] 3 18 2 18 2" xfId="21429"/>
    <cellStyle name="Input [yellow] 3 18 2 18 3" xfId="32597"/>
    <cellStyle name="Input [yellow] 3 18 2 18 4" xfId="43762"/>
    <cellStyle name="Input [yellow] 3 18 2 18 5" xfId="54955"/>
    <cellStyle name="Input [yellow] 3 18 2 19" xfId="10741"/>
    <cellStyle name="Input [yellow] 3 18 2 19 2" xfId="21938"/>
    <cellStyle name="Input [yellow] 3 18 2 19 3" xfId="33106"/>
    <cellStyle name="Input [yellow] 3 18 2 19 4" xfId="44271"/>
    <cellStyle name="Input [yellow] 3 18 2 19 5" xfId="55464"/>
    <cellStyle name="Input [yellow] 3 18 2 2" xfId="837"/>
    <cellStyle name="Input [yellow] 3 18 2 2 2" xfId="12034"/>
    <cellStyle name="Input [yellow] 3 18 2 2 3" xfId="23202"/>
    <cellStyle name="Input [yellow] 3 18 2 2 4" xfId="34367"/>
    <cellStyle name="Input [yellow] 3 18 2 2 5" xfId="45560"/>
    <cellStyle name="Input [yellow] 3 18 2 20" xfId="11388"/>
    <cellStyle name="Input [yellow] 3 18 2 21" xfId="22558"/>
    <cellStyle name="Input [yellow] 3 18 2 22" xfId="33725"/>
    <cellStyle name="Input [yellow] 3 18 2 23" xfId="44911"/>
    <cellStyle name="Input [yellow] 3 18 2 3" xfId="1572"/>
    <cellStyle name="Input [yellow] 3 18 2 3 2" xfId="12769"/>
    <cellStyle name="Input [yellow] 3 18 2 3 3" xfId="23937"/>
    <cellStyle name="Input [yellow] 3 18 2 3 4" xfId="35102"/>
    <cellStyle name="Input [yellow] 3 18 2 3 5" xfId="46295"/>
    <cellStyle name="Input [yellow] 3 18 2 4" xfId="2114"/>
    <cellStyle name="Input [yellow] 3 18 2 4 2" xfId="13311"/>
    <cellStyle name="Input [yellow] 3 18 2 4 3" xfId="24479"/>
    <cellStyle name="Input [yellow] 3 18 2 4 4" xfId="35644"/>
    <cellStyle name="Input [yellow] 3 18 2 4 5" xfId="46837"/>
    <cellStyle name="Input [yellow] 3 18 2 5" xfId="2255"/>
    <cellStyle name="Input [yellow] 3 18 2 5 2" xfId="13452"/>
    <cellStyle name="Input [yellow] 3 18 2 5 3" xfId="24620"/>
    <cellStyle name="Input [yellow] 3 18 2 5 4" xfId="35785"/>
    <cellStyle name="Input [yellow] 3 18 2 5 5" xfId="46978"/>
    <cellStyle name="Input [yellow] 3 18 2 6" xfId="3172"/>
    <cellStyle name="Input [yellow] 3 18 2 6 2" xfId="14369"/>
    <cellStyle name="Input [yellow] 3 18 2 6 3" xfId="25537"/>
    <cellStyle name="Input [yellow] 3 18 2 6 4" xfId="36702"/>
    <cellStyle name="Input [yellow] 3 18 2 6 5" xfId="47895"/>
    <cellStyle name="Input [yellow] 3 18 2 7" xfId="3806"/>
    <cellStyle name="Input [yellow] 3 18 2 7 2" xfId="15003"/>
    <cellStyle name="Input [yellow] 3 18 2 7 3" xfId="26171"/>
    <cellStyle name="Input [yellow] 3 18 2 7 4" xfId="37336"/>
    <cellStyle name="Input [yellow] 3 18 2 7 5" xfId="48529"/>
    <cellStyle name="Input [yellow] 3 18 2 8" xfId="4439"/>
    <cellStyle name="Input [yellow] 3 18 2 8 2" xfId="15636"/>
    <cellStyle name="Input [yellow] 3 18 2 8 3" xfId="26804"/>
    <cellStyle name="Input [yellow] 3 18 2 8 4" xfId="37969"/>
    <cellStyle name="Input [yellow] 3 18 2 8 5" xfId="49162"/>
    <cellStyle name="Input [yellow] 3 18 2 9" xfId="5070"/>
    <cellStyle name="Input [yellow] 3 18 2 9 2" xfId="16267"/>
    <cellStyle name="Input [yellow] 3 18 2 9 3" xfId="27435"/>
    <cellStyle name="Input [yellow] 3 18 2 9 4" xfId="38600"/>
    <cellStyle name="Input [yellow] 3 18 2 9 5" xfId="49793"/>
    <cellStyle name="Input [yellow] 3 18 20" xfId="5928"/>
    <cellStyle name="Input [yellow] 3 18 20 2" xfId="17125"/>
    <cellStyle name="Input [yellow] 3 18 20 3" xfId="28293"/>
    <cellStyle name="Input [yellow] 3 18 20 4" xfId="39458"/>
    <cellStyle name="Input [yellow] 3 18 20 5" xfId="50651"/>
    <cellStyle name="Input [yellow] 3 18 21" xfId="5782"/>
    <cellStyle name="Input [yellow] 3 18 21 2" xfId="16979"/>
    <cellStyle name="Input [yellow] 3 18 21 3" xfId="28147"/>
    <cellStyle name="Input [yellow] 3 18 21 4" xfId="39312"/>
    <cellStyle name="Input [yellow] 3 18 21 5" xfId="50505"/>
    <cellStyle name="Input [yellow] 3 18 22" xfId="6694"/>
    <cellStyle name="Input [yellow] 3 18 22 2" xfId="17891"/>
    <cellStyle name="Input [yellow] 3 18 22 3" xfId="29059"/>
    <cellStyle name="Input [yellow] 3 18 22 4" xfId="40224"/>
    <cellStyle name="Input [yellow] 3 18 22 5" xfId="51417"/>
    <cellStyle name="Input [yellow] 3 18 23" xfId="7328"/>
    <cellStyle name="Input [yellow] 3 18 23 2" xfId="18525"/>
    <cellStyle name="Input [yellow] 3 18 23 3" xfId="29693"/>
    <cellStyle name="Input [yellow] 3 18 23 4" xfId="40858"/>
    <cellStyle name="Input [yellow] 3 18 23 5" xfId="52051"/>
    <cellStyle name="Input [yellow] 3 18 24" xfId="7962"/>
    <cellStyle name="Input [yellow] 3 18 24 2" xfId="19159"/>
    <cellStyle name="Input [yellow] 3 18 24 3" xfId="30327"/>
    <cellStyle name="Input [yellow] 3 18 24 4" xfId="41492"/>
    <cellStyle name="Input [yellow] 3 18 24 5" xfId="52685"/>
    <cellStyle name="Input [yellow] 3 18 25" xfId="8593"/>
    <cellStyle name="Input [yellow] 3 18 25 2" xfId="19790"/>
    <cellStyle name="Input [yellow] 3 18 25 3" xfId="30958"/>
    <cellStyle name="Input [yellow] 3 18 25 4" xfId="42123"/>
    <cellStyle name="Input [yellow] 3 18 25 5" xfId="53316"/>
    <cellStyle name="Input [yellow] 3 18 26" xfId="8724"/>
    <cellStyle name="Input [yellow] 3 18 26 2" xfId="19921"/>
    <cellStyle name="Input [yellow] 3 18 26 3" xfId="31089"/>
    <cellStyle name="Input [yellow] 3 18 26 4" xfId="42254"/>
    <cellStyle name="Input [yellow] 3 18 26 5" xfId="53447"/>
    <cellStyle name="Input [yellow] 3 18 27" xfId="9646"/>
    <cellStyle name="Input [yellow] 3 18 27 2" xfId="20843"/>
    <cellStyle name="Input [yellow] 3 18 27 3" xfId="32011"/>
    <cellStyle name="Input [yellow] 3 18 27 4" xfId="43176"/>
    <cellStyle name="Input [yellow] 3 18 27 5" xfId="54369"/>
    <cellStyle name="Input [yellow] 3 18 28" xfId="10130"/>
    <cellStyle name="Input [yellow] 3 18 28 2" xfId="21327"/>
    <cellStyle name="Input [yellow] 3 18 28 3" xfId="32495"/>
    <cellStyle name="Input [yellow] 3 18 28 4" xfId="43660"/>
    <cellStyle name="Input [yellow] 3 18 28 5" xfId="54853"/>
    <cellStyle name="Input [yellow] 3 18 29" xfId="10678"/>
    <cellStyle name="Input [yellow] 3 18 29 2" xfId="21875"/>
    <cellStyle name="Input [yellow] 3 18 29 3" xfId="33043"/>
    <cellStyle name="Input [yellow] 3 18 29 4" xfId="44208"/>
    <cellStyle name="Input [yellow] 3 18 29 5" xfId="55401"/>
    <cellStyle name="Input [yellow] 3 18 3" xfId="244"/>
    <cellStyle name="Input [yellow] 3 18 3 10" xfId="5727"/>
    <cellStyle name="Input [yellow] 3 18 3 10 2" xfId="16924"/>
    <cellStyle name="Input [yellow] 3 18 3 10 3" xfId="28092"/>
    <cellStyle name="Input [yellow] 3 18 3 10 4" xfId="39257"/>
    <cellStyle name="Input [yellow] 3 18 3 10 5" xfId="50450"/>
    <cellStyle name="Input [yellow] 3 18 3 11" xfId="5836"/>
    <cellStyle name="Input [yellow] 3 18 3 11 2" xfId="17033"/>
    <cellStyle name="Input [yellow] 3 18 3 11 3" xfId="28201"/>
    <cellStyle name="Input [yellow] 3 18 3 11 4" xfId="39366"/>
    <cellStyle name="Input [yellow] 3 18 3 11 5" xfId="50559"/>
    <cellStyle name="Input [yellow] 3 18 3 12" xfId="6813"/>
    <cellStyle name="Input [yellow] 3 18 3 12 2" xfId="18010"/>
    <cellStyle name="Input [yellow] 3 18 3 12 3" xfId="29178"/>
    <cellStyle name="Input [yellow] 3 18 3 12 4" xfId="40343"/>
    <cellStyle name="Input [yellow] 3 18 3 12 5" xfId="51536"/>
    <cellStyle name="Input [yellow] 3 18 3 13" xfId="7447"/>
    <cellStyle name="Input [yellow] 3 18 3 13 2" xfId="18644"/>
    <cellStyle name="Input [yellow] 3 18 3 13 3" xfId="29812"/>
    <cellStyle name="Input [yellow] 3 18 3 13 4" xfId="40977"/>
    <cellStyle name="Input [yellow] 3 18 3 13 5" xfId="52170"/>
    <cellStyle name="Input [yellow] 3 18 3 14" xfId="8081"/>
    <cellStyle name="Input [yellow] 3 18 3 14 2" xfId="19278"/>
    <cellStyle name="Input [yellow] 3 18 3 14 3" xfId="30446"/>
    <cellStyle name="Input [yellow] 3 18 3 14 4" xfId="41611"/>
    <cellStyle name="Input [yellow] 3 18 3 14 5" xfId="52804"/>
    <cellStyle name="Input [yellow] 3 18 3 15" xfId="8712"/>
    <cellStyle name="Input [yellow] 3 18 3 15 2" xfId="19909"/>
    <cellStyle name="Input [yellow] 3 18 3 15 3" xfId="31077"/>
    <cellStyle name="Input [yellow] 3 18 3 15 4" xfId="42242"/>
    <cellStyle name="Input [yellow] 3 18 3 15 5" xfId="53435"/>
    <cellStyle name="Input [yellow] 3 18 3 16" xfId="8895"/>
    <cellStyle name="Input [yellow] 3 18 3 16 2" xfId="20092"/>
    <cellStyle name="Input [yellow] 3 18 3 16 3" xfId="31260"/>
    <cellStyle name="Input [yellow] 3 18 3 16 4" xfId="42425"/>
    <cellStyle name="Input [yellow] 3 18 3 16 5" xfId="53618"/>
    <cellStyle name="Input [yellow] 3 18 3 17" xfId="9763"/>
    <cellStyle name="Input [yellow] 3 18 3 17 2" xfId="20960"/>
    <cellStyle name="Input [yellow] 3 18 3 17 3" xfId="32128"/>
    <cellStyle name="Input [yellow] 3 18 3 17 4" xfId="43293"/>
    <cellStyle name="Input [yellow] 3 18 3 17 5" xfId="54486"/>
    <cellStyle name="Input [yellow] 3 18 3 18" xfId="9100"/>
    <cellStyle name="Input [yellow] 3 18 3 18 2" xfId="20297"/>
    <cellStyle name="Input [yellow] 3 18 3 18 3" xfId="31465"/>
    <cellStyle name="Input [yellow] 3 18 3 18 4" xfId="42630"/>
    <cellStyle name="Input [yellow] 3 18 3 18 5" xfId="53823"/>
    <cellStyle name="Input [yellow] 3 18 3 19" xfId="10797"/>
    <cellStyle name="Input [yellow] 3 18 3 19 2" xfId="21994"/>
    <cellStyle name="Input [yellow] 3 18 3 19 3" xfId="33162"/>
    <cellStyle name="Input [yellow] 3 18 3 19 4" xfId="44327"/>
    <cellStyle name="Input [yellow] 3 18 3 19 5" xfId="55520"/>
    <cellStyle name="Input [yellow] 3 18 3 2" xfId="893"/>
    <cellStyle name="Input [yellow] 3 18 3 2 2" xfId="12090"/>
    <cellStyle name="Input [yellow] 3 18 3 2 3" xfId="23258"/>
    <cellStyle name="Input [yellow] 3 18 3 2 4" xfId="34423"/>
    <cellStyle name="Input [yellow] 3 18 3 2 5" xfId="45616"/>
    <cellStyle name="Input [yellow] 3 18 3 20" xfId="11444"/>
    <cellStyle name="Input [yellow] 3 18 3 21" xfId="22614"/>
    <cellStyle name="Input [yellow] 3 18 3 22" xfId="33781"/>
    <cellStyle name="Input [yellow] 3 18 3 23" xfId="44967"/>
    <cellStyle name="Input [yellow] 3 18 3 3" xfId="1507"/>
    <cellStyle name="Input [yellow] 3 18 3 3 2" xfId="12704"/>
    <cellStyle name="Input [yellow] 3 18 3 3 3" xfId="23872"/>
    <cellStyle name="Input [yellow] 3 18 3 3 4" xfId="35037"/>
    <cellStyle name="Input [yellow] 3 18 3 3 5" xfId="46230"/>
    <cellStyle name="Input [yellow] 3 18 3 4" xfId="2170"/>
    <cellStyle name="Input [yellow] 3 18 3 4 2" xfId="13367"/>
    <cellStyle name="Input [yellow] 3 18 3 4 3" xfId="24535"/>
    <cellStyle name="Input [yellow] 3 18 3 4 4" xfId="35700"/>
    <cellStyle name="Input [yellow] 3 18 3 4 5" xfId="46893"/>
    <cellStyle name="Input [yellow] 3 18 3 5" xfId="2219"/>
    <cellStyle name="Input [yellow] 3 18 3 5 2" xfId="13416"/>
    <cellStyle name="Input [yellow] 3 18 3 5 3" xfId="24584"/>
    <cellStyle name="Input [yellow] 3 18 3 5 4" xfId="35749"/>
    <cellStyle name="Input [yellow] 3 18 3 5 5" xfId="46942"/>
    <cellStyle name="Input [yellow] 3 18 3 6" xfId="3228"/>
    <cellStyle name="Input [yellow] 3 18 3 6 2" xfId="14425"/>
    <cellStyle name="Input [yellow] 3 18 3 6 3" xfId="25593"/>
    <cellStyle name="Input [yellow] 3 18 3 6 4" xfId="36758"/>
    <cellStyle name="Input [yellow] 3 18 3 6 5" xfId="47951"/>
    <cellStyle name="Input [yellow] 3 18 3 7" xfId="3862"/>
    <cellStyle name="Input [yellow] 3 18 3 7 2" xfId="15059"/>
    <cellStyle name="Input [yellow] 3 18 3 7 3" xfId="26227"/>
    <cellStyle name="Input [yellow] 3 18 3 7 4" xfId="37392"/>
    <cellStyle name="Input [yellow] 3 18 3 7 5" xfId="48585"/>
    <cellStyle name="Input [yellow] 3 18 3 8" xfId="4495"/>
    <cellStyle name="Input [yellow] 3 18 3 8 2" xfId="15692"/>
    <cellStyle name="Input [yellow] 3 18 3 8 3" xfId="26860"/>
    <cellStyle name="Input [yellow] 3 18 3 8 4" xfId="38025"/>
    <cellStyle name="Input [yellow] 3 18 3 8 5" xfId="49218"/>
    <cellStyle name="Input [yellow] 3 18 3 9" xfId="5126"/>
    <cellStyle name="Input [yellow] 3 18 3 9 2" xfId="16323"/>
    <cellStyle name="Input [yellow] 3 18 3 9 3" xfId="27491"/>
    <cellStyle name="Input [yellow] 3 18 3 9 4" xfId="38656"/>
    <cellStyle name="Input [yellow] 3 18 3 9 5" xfId="49849"/>
    <cellStyle name="Input [yellow] 3 18 30" xfId="11325"/>
    <cellStyle name="Input [yellow] 3 18 31" xfId="22495"/>
    <cellStyle name="Input [yellow] 3 18 32" xfId="33662"/>
    <cellStyle name="Input [yellow] 3 18 33" xfId="44848"/>
    <cellStyle name="Input [yellow] 3 18 4" xfId="135"/>
    <cellStyle name="Input [yellow] 3 18 4 10" xfId="5702"/>
    <cellStyle name="Input [yellow] 3 18 4 10 2" xfId="16899"/>
    <cellStyle name="Input [yellow] 3 18 4 10 3" xfId="28067"/>
    <cellStyle name="Input [yellow] 3 18 4 10 4" xfId="39232"/>
    <cellStyle name="Input [yellow] 3 18 4 10 5" xfId="50425"/>
    <cellStyle name="Input [yellow] 3 18 4 11" xfId="6200"/>
    <cellStyle name="Input [yellow] 3 18 4 11 2" xfId="17397"/>
    <cellStyle name="Input [yellow] 3 18 4 11 3" xfId="28565"/>
    <cellStyle name="Input [yellow] 3 18 4 11 4" xfId="39730"/>
    <cellStyle name="Input [yellow] 3 18 4 11 5" xfId="50923"/>
    <cellStyle name="Input [yellow] 3 18 4 12" xfId="6704"/>
    <cellStyle name="Input [yellow] 3 18 4 12 2" xfId="17901"/>
    <cellStyle name="Input [yellow] 3 18 4 12 3" xfId="29069"/>
    <cellStyle name="Input [yellow] 3 18 4 12 4" xfId="40234"/>
    <cellStyle name="Input [yellow] 3 18 4 12 5" xfId="51427"/>
    <cellStyle name="Input [yellow] 3 18 4 13" xfId="7338"/>
    <cellStyle name="Input [yellow] 3 18 4 13 2" xfId="18535"/>
    <cellStyle name="Input [yellow] 3 18 4 13 3" xfId="29703"/>
    <cellStyle name="Input [yellow] 3 18 4 13 4" xfId="40868"/>
    <cellStyle name="Input [yellow] 3 18 4 13 5" xfId="52061"/>
    <cellStyle name="Input [yellow] 3 18 4 14" xfId="7972"/>
    <cellStyle name="Input [yellow] 3 18 4 14 2" xfId="19169"/>
    <cellStyle name="Input [yellow] 3 18 4 14 3" xfId="30337"/>
    <cellStyle name="Input [yellow] 3 18 4 14 4" xfId="41502"/>
    <cellStyle name="Input [yellow] 3 18 4 14 5" xfId="52695"/>
    <cellStyle name="Input [yellow] 3 18 4 15" xfId="8603"/>
    <cellStyle name="Input [yellow] 3 18 4 15 2" xfId="19800"/>
    <cellStyle name="Input [yellow] 3 18 4 15 3" xfId="30968"/>
    <cellStyle name="Input [yellow] 3 18 4 15 4" xfId="42133"/>
    <cellStyle name="Input [yellow] 3 18 4 15 5" xfId="53326"/>
    <cellStyle name="Input [yellow] 3 18 4 16" xfId="8758"/>
    <cellStyle name="Input [yellow] 3 18 4 16 2" xfId="19955"/>
    <cellStyle name="Input [yellow] 3 18 4 16 3" xfId="31123"/>
    <cellStyle name="Input [yellow] 3 18 4 16 4" xfId="42288"/>
    <cellStyle name="Input [yellow] 3 18 4 16 5" xfId="53481"/>
    <cellStyle name="Input [yellow] 3 18 4 17" xfId="9656"/>
    <cellStyle name="Input [yellow] 3 18 4 17 2" xfId="20853"/>
    <cellStyle name="Input [yellow] 3 18 4 17 3" xfId="32021"/>
    <cellStyle name="Input [yellow] 3 18 4 17 4" xfId="43186"/>
    <cellStyle name="Input [yellow] 3 18 4 17 5" xfId="54379"/>
    <cellStyle name="Input [yellow] 3 18 4 18" xfId="10310"/>
    <cellStyle name="Input [yellow] 3 18 4 18 2" xfId="21507"/>
    <cellStyle name="Input [yellow] 3 18 4 18 3" xfId="32675"/>
    <cellStyle name="Input [yellow] 3 18 4 18 4" xfId="43840"/>
    <cellStyle name="Input [yellow] 3 18 4 18 5" xfId="55033"/>
    <cellStyle name="Input [yellow] 3 18 4 19" xfId="10688"/>
    <cellStyle name="Input [yellow] 3 18 4 19 2" xfId="21885"/>
    <cellStyle name="Input [yellow] 3 18 4 19 3" xfId="33053"/>
    <cellStyle name="Input [yellow] 3 18 4 19 4" xfId="44218"/>
    <cellStyle name="Input [yellow] 3 18 4 19 5" xfId="55411"/>
    <cellStyle name="Input [yellow] 3 18 4 2" xfId="784"/>
    <cellStyle name="Input [yellow] 3 18 4 2 2" xfId="11981"/>
    <cellStyle name="Input [yellow] 3 18 4 2 3" xfId="23149"/>
    <cellStyle name="Input [yellow] 3 18 4 2 4" xfId="34314"/>
    <cellStyle name="Input [yellow] 3 18 4 2 5" xfId="45507"/>
    <cellStyle name="Input [yellow] 3 18 4 20" xfId="11335"/>
    <cellStyle name="Input [yellow] 3 18 4 21" xfId="22505"/>
    <cellStyle name="Input [yellow] 3 18 4 22" xfId="33672"/>
    <cellStyle name="Input [yellow] 3 18 4 23" xfId="44858"/>
    <cellStyle name="Input [yellow] 3 18 4 3" xfId="1568"/>
    <cellStyle name="Input [yellow] 3 18 4 3 2" xfId="12765"/>
    <cellStyle name="Input [yellow] 3 18 4 3 3" xfId="23933"/>
    <cellStyle name="Input [yellow] 3 18 4 3 4" xfId="35098"/>
    <cellStyle name="Input [yellow] 3 18 4 3 5" xfId="46291"/>
    <cellStyle name="Input [yellow] 3 18 4 4" xfId="2061"/>
    <cellStyle name="Input [yellow] 3 18 4 4 2" xfId="13258"/>
    <cellStyle name="Input [yellow] 3 18 4 4 3" xfId="24426"/>
    <cellStyle name="Input [yellow] 3 18 4 4 4" xfId="35591"/>
    <cellStyle name="Input [yellow] 3 18 4 4 5" xfId="46784"/>
    <cellStyle name="Input [yellow] 3 18 4 5" xfId="2071"/>
    <cellStyle name="Input [yellow] 3 18 4 5 2" xfId="13268"/>
    <cellStyle name="Input [yellow] 3 18 4 5 3" xfId="24436"/>
    <cellStyle name="Input [yellow] 3 18 4 5 4" xfId="35601"/>
    <cellStyle name="Input [yellow] 3 18 4 5 5" xfId="46794"/>
    <cellStyle name="Input [yellow] 3 18 4 6" xfId="3119"/>
    <cellStyle name="Input [yellow] 3 18 4 6 2" xfId="14316"/>
    <cellStyle name="Input [yellow] 3 18 4 6 3" xfId="25484"/>
    <cellStyle name="Input [yellow] 3 18 4 6 4" xfId="36649"/>
    <cellStyle name="Input [yellow] 3 18 4 6 5" xfId="47842"/>
    <cellStyle name="Input [yellow] 3 18 4 7" xfId="3753"/>
    <cellStyle name="Input [yellow] 3 18 4 7 2" xfId="14950"/>
    <cellStyle name="Input [yellow] 3 18 4 7 3" xfId="26118"/>
    <cellStyle name="Input [yellow] 3 18 4 7 4" xfId="37283"/>
    <cellStyle name="Input [yellow] 3 18 4 7 5" xfId="48476"/>
    <cellStyle name="Input [yellow] 3 18 4 8" xfId="4386"/>
    <cellStyle name="Input [yellow] 3 18 4 8 2" xfId="15583"/>
    <cellStyle name="Input [yellow] 3 18 4 8 3" xfId="26751"/>
    <cellStyle name="Input [yellow] 3 18 4 8 4" xfId="37916"/>
    <cellStyle name="Input [yellow] 3 18 4 8 5" xfId="49109"/>
    <cellStyle name="Input [yellow] 3 18 4 9" xfId="5017"/>
    <cellStyle name="Input [yellow] 3 18 4 9 2" xfId="16214"/>
    <cellStyle name="Input [yellow] 3 18 4 9 3" xfId="27382"/>
    <cellStyle name="Input [yellow] 3 18 4 9 4" xfId="38547"/>
    <cellStyle name="Input [yellow] 3 18 4 9 5" xfId="49740"/>
    <cellStyle name="Input [yellow] 3 18 5" xfId="312"/>
    <cellStyle name="Input [yellow] 3 18 5 10" xfId="5819"/>
    <cellStyle name="Input [yellow] 3 18 5 10 2" xfId="17016"/>
    <cellStyle name="Input [yellow] 3 18 5 10 3" xfId="28184"/>
    <cellStyle name="Input [yellow] 3 18 5 10 4" xfId="39349"/>
    <cellStyle name="Input [yellow] 3 18 5 10 5" xfId="50542"/>
    <cellStyle name="Input [yellow] 3 18 5 11" xfId="6248"/>
    <cellStyle name="Input [yellow] 3 18 5 11 2" xfId="17445"/>
    <cellStyle name="Input [yellow] 3 18 5 11 3" xfId="28613"/>
    <cellStyle name="Input [yellow] 3 18 5 11 4" xfId="39778"/>
    <cellStyle name="Input [yellow] 3 18 5 11 5" xfId="50971"/>
    <cellStyle name="Input [yellow] 3 18 5 12" xfId="6881"/>
    <cellStyle name="Input [yellow] 3 18 5 12 2" xfId="18078"/>
    <cellStyle name="Input [yellow] 3 18 5 12 3" xfId="29246"/>
    <cellStyle name="Input [yellow] 3 18 5 12 4" xfId="40411"/>
    <cellStyle name="Input [yellow] 3 18 5 12 5" xfId="51604"/>
    <cellStyle name="Input [yellow] 3 18 5 13" xfId="7515"/>
    <cellStyle name="Input [yellow] 3 18 5 13 2" xfId="18712"/>
    <cellStyle name="Input [yellow] 3 18 5 13 3" xfId="29880"/>
    <cellStyle name="Input [yellow] 3 18 5 13 4" xfId="41045"/>
    <cellStyle name="Input [yellow] 3 18 5 13 5" xfId="52238"/>
    <cellStyle name="Input [yellow] 3 18 5 14" xfId="8149"/>
    <cellStyle name="Input [yellow] 3 18 5 14 2" xfId="19346"/>
    <cellStyle name="Input [yellow] 3 18 5 14 3" xfId="30514"/>
    <cellStyle name="Input [yellow] 3 18 5 14 4" xfId="41679"/>
    <cellStyle name="Input [yellow] 3 18 5 14 5" xfId="52872"/>
    <cellStyle name="Input [yellow] 3 18 5 15" xfId="8778"/>
    <cellStyle name="Input [yellow] 3 18 5 15 2" xfId="19975"/>
    <cellStyle name="Input [yellow] 3 18 5 15 3" xfId="31143"/>
    <cellStyle name="Input [yellow] 3 18 5 15 4" xfId="42308"/>
    <cellStyle name="Input [yellow] 3 18 5 15 5" xfId="53501"/>
    <cellStyle name="Input [yellow] 3 18 5 16" xfId="9200"/>
    <cellStyle name="Input [yellow] 3 18 5 16 2" xfId="20397"/>
    <cellStyle name="Input [yellow] 3 18 5 16 3" xfId="31565"/>
    <cellStyle name="Input [yellow] 3 18 5 16 4" xfId="42730"/>
    <cellStyle name="Input [yellow] 3 18 5 16 5" xfId="53923"/>
    <cellStyle name="Input [yellow] 3 18 5 17" xfId="9827"/>
    <cellStyle name="Input [yellow] 3 18 5 17 2" xfId="21024"/>
    <cellStyle name="Input [yellow] 3 18 5 17 3" xfId="32192"/>
    <cellStyle name="Input [yellow] 3 18 5 17 4" xfId="43357"/>
    <cellStyle name="Input [yellow] 3 18 5 17 5" xfId="54550"/>
    <cellStyle name="Input [yellow] 3 18 5 18" xfId="10099"/>
    <cellStyle name="Input [yellow] 3 18 5 18 2" xfId="21296"/>
    <cellStyle name="Input [yellow] 3 18 5 18 3" xfId="32464"/>
    <cellStyle name="Input [yellow] 3 18 5 18 4" xfId="43629"/>
    <cellStyle name="Input [yellow] 3 18 5 18 5" xfId="54822"/>
    <cellStyle name="Input [yellow] 3 18 5 19" xfId="10865"/>
    <cellStyle name="Input [yellow] 3 18 5 19 2" xfId="22062"/>
    <cellStyle name="Input [yellow] 3 18 5 19 3" xfId="33230"/>
    <cellStyle name="Input [yellow] 3 18 5 19 4" xfId="44395"/>
    <cellStyle name="Input [yellow] 3 18 5 19 5" xfId="55588"/>
    <cellStyle name="Input [yellow] 3 18 5 2" xfId="961"/>
    <cellStyle name="Input [yellow] 3 18 5 2 2" xfId="12158"/>
    <cellStyle name="Input [yellow] 3 18 5 2 3" xfId="23326"/>
    <cellStyle name="Input [yellow] 3 18 5 2 4" xfId="34491"/>
    <cellStyle name="Input [yellow] 3 18 5 2 5" xfId="45684"/>
    <cellStyle name="Input [yellow] 3 18 5 20" xfId="11512"/>
    <cellStyle name="Input [yellow] 3 18 5 21" xfId="22682"/>
    <cellStyle name="Input [yellow] 3 18 5 22" xfId="33849"/>
    <cellStyle name="Input [yellow] 3 18 5 23" xfId="45035"/>
    <cellStyle name="Input [yellow] 3 18 5 3" xfId="1432"/>
    <cellStyle name="Input [yellow] 3 18 5 3 2" xfId="12629"/>
    <cellStyle name="Input [yellow] 3 18 5 3 3" xfId="23797"/>
    <cellStyle name="Input [yellow] 3 18 5 3 4" xfId="34962"/>
    <cellStyle name="Input [yellow] 3 18 5 3 5" xfId="46155"/>
    <cellStyle name="Input [yellow] 3 18 5 4" xfId="2237"/>
    <cellStyle name="Input [yellow] 3 18 5 4 2" xfId="13434"/>
    <cellStyle name="Input [yellow] 3 18 5 4 3" xfId="24602"/>
    <cellStyle name="Input [yellow] 3 18 5 4 4" xfId="35767"/>
    <cellStyle name="Input [yellow] 3 18 5 4 5" xfId="46960"/>
    <cellStyle name="Input [yellow] 3 18 5 5" xfId="2662"/>
    <cellStyle name="Input [yellow] 3 18 5 5 2" xfId="13859"/>
    <cellStyle name="Input [yellow] 3 18 5 5 3" xfId="25027"/>
    <cellStyle name="Input [yellow] 3 18 5 5 4" xfId="36192"/>
    <cellStyle name="Input [yellow] 3 18 5 5 5" xfId="47385"/>
    <cellStyle name="Input [yellow] 3 18 5 6" xfId="3296"/>
    <cellStyle name="Input [yellow] 3 18 5 6 2" xfId="14493"/>
    <cellStyle name="Input [yellow] 3 18 5 6 3" xfId="25661"/>
    <cellStyle name="Input [yellow] 3 18 5 6 4" xfId="36826"/>
    <cellStyle name="Input [yellow] 3 18 5 6 5" xfId="48019"/>
    <cellStyle name="Input [yellow] 3 18 5 7" xfId="3930"/>
    <cellStyle name="Input [yellow] 3 18 5 7 2" xfId="15127"/>
    <cellStyle name="Input [yellow] 3 18 5 7 3" xfId="26295"/>
    <cellStyle name="Input [yellow] 3 18 5 7 4" xfId="37460"/>
    <cellStyle name="Input [yellow] 3 18 5 7 5" xfId="48653"/>
    <cellStyle name="Input [yellow] 3 18 5 8" xfId="4563"/>
    <cellStyle name="Input [yellow] 3 18 5 8 2" xfId="15760"/>
    <cellStyle name="Input [yellow] 3 18 5 8 3" xfId="26928"/>
    <cellStyle name="Input [yellow] 3 18 5 8 4" xfId="38093"/>
    <cellStyle name="Input [yellow] 3 18 5 8 5" xfId="49286"/>
    <cellStyle name="Input [yellow] 3 18 5 9" xfId="5194"/>
    <cellStyle name="Input [yellow] 3 18 5 9 2" xfId="16391"/>
    <cellStyle name="Input [yellow] 3 18 5 9 3" xfId="27559"/>
    <cellStyle name="Input [yellow] 3 18 5 9 4" xfId="38724"/>
    <cellStyle name="Input [yellow] 3 18 5 9 5" xfId="49917"/>
    <cellStyle name="Input [yellow] 3 18 6" xfId="422"/>
    <cellStyle name="Input [yellow] 3 18 6 10" xfId="6072"/>
    <cellStyle name="Input [yellow] 3 18 6 10 2" xfId="17269"/>
    <cellStyle name="Input [yellow] 3 18 6 10 3" xfId="28437"/>
    <cellStyle name="Input [yellow] 3 18 6 10 4" xfId="39602"/>
    <cellStyle name="Input [yellow] 3 18 6 10 5" xfId="50795"/>
    <cellStyle name="Input [yellow] 3 18 6 11" xfId="6358"/>
    <cellStyle name="Input [yellow] 3 18 6 11 2" xfId="17555"/>
    <cellStyle name="Input [yellow] 3 18 6 11 3" xfId="28723"/>
    <cellStyle name="Input [yellow] 3 18 6 11 4" xfId="39888"/>
    <cellStyle name="Input [yellow] 3 18 6 11 5" xfId="51081"/>
    <cellStyle name="Input [yellow] 3 18 6 12" xfId="6991"/>
    <cellStyle name="Input [yellow] 3 18 6 12 2" xfId="18188"/>
    <cellStyle name="Input [yellow] 3 18 6 12 3" xfId="29356"/>
    <cellStyle name="Input [yellow] 3 18 6 12 4" xfId="40521"/>
    <cellStyle name="Input [yellow] 3 18 6 12 5" xfId="51714"/>
    <cellStyle name="Input [yellow] 3 18 6 13" xfId="7625"/>
    <cellStyle name="Input [yellow] 3 18 6 13 2" xfId="18822"/>
    <cellStyle name="Input [yellow] 3 18 6 13 3" xfId="29990"/>
    <cellStyle name="Input [yellow] 3 18 6 13 4" xfId="41155"/>
    <cellStyle name="Input [yellow] 3 18 6 13 5" xfId="52348"/>
    <cellStyle name="Input [yellow] 3 18 6 14" xfId="8259"/>
    <cellStyle name="Input [yellow] 3 18 6 14 2" xfId="19456"/>
    <cellStyle name="Input [yellow] 3 18 6 14 3" xfId="30624"/>
    <cellStyle name="Input [yellow] 3 18 6 14 4" xfId="41789"/>
    <cellStyle name="Input [yellow] 3 18 6 14 5" xfId="52982"/>
    <cellStyle name="Input [yellow] 3 18 6 15" xfId="8887"/>
    <cellStyle name="Input [yellow] 3 18 6 15 2" xfId="20084"/>
    <cellStyle name="Input [yellow] 3 18 6 15 3" xfId="31252"/>
    <cellStyle name="Input [yellow] 3 18 6 15 4" xfId="42417"/>
    <cellStyle name="Input [yellow] 3 18 6 15 5" xfId="53610"/>
    <cellStyle name="Input [yellow] 3 18 6 16" xfId="9310"/>
    <cellStyle name="Input [yellow] 3 18 6 16 2" xfId="20507"/>
    <cellStyle name="Input [yellow] 3 18 6 16 3" xfId="31675"/>
    <cellStyle name="Input [yellow] 3 18 6 16 4" xfId="42840"/>
    <cellStyle name="Input [yellow] 3 18 6 16 5" xfId="54033"/>
    <cellStyle name="Input [yellow] 3 18 6 17" xfId="9936"/>
    <cellStyle name="Input [yellow] 3 18 6 17 2" xfId="21133"/>
    <cellStyle name="Input [yellow] 3 18 6 17 3" xfId="32301"/>
    <cellStyle name="Input [yellow] 3 18 6 17 4" xfId="43466"/>
    <cellStyle name="Input [yellow] 3 18 6 17 5" xfId="54659"/>
    <cellStyle name="Input [yellow] 3 18 6 18" xfId="9685"/>
    <cellStyle name="Input [yellow] 3 18 6 18 2" xfId="20882"/>
    <cellStyle name="Input [yellow] 3 18 6 18 3" xfId="32050"/>
    <cellStyle name="Input [yellow] 3 18 6 18 4" xfId="43215"/>
    <cellStyle name="Input [yellow] 3 18 6 18 5" xfId="54408"/>
    <cellStyle name="Input [yellow] 3 18 6 19" xfId="10975"/>
    <cellStyle name="Input [yellow] 3 18 6 19 2" xfId="22172"/>
    <cellStyle name="Input [yellow] 3 18 6 19 3" xfId="33340"/>
    <cellStyle name="Input [yellow] 3 18 6 19 4" xfId="44505"/>
    <cellStyle name="Input [yellow] 3 18 6 19 5" xfId="55698"/>
    <cellStyle name="Input [yellow] 3 18 6 2" xfId="1071"/>
    <cellStyle name="Input [yellow] 3 18 6 2 2" xfId="12268"/>
    <cellStyle name="Input [yellow] 3 18 6 2 3" xfId="23436"/>
    <cellStyle name="Input [yellow] 3 18 6 2 4" xfId="34601"/>
    <cellStyle name="Input [yellow] 3 18 6 2 5" xfId="45794"/>
    <cellStyle name="Input [yellow] 3 18 6 20" xfId="11622"/>
    <cellStyle name="Input [yellow] 3 18 6 21" xfId="22792"/>
    <cellStyle name="Input [yellow] 3 18 6 22" xfId="33959"/>
    <cellStyle name="Input [yellow] 3 18 6 23" xfId="45145"/>
    <cellStyle name="Input [yellow] 3 18 6 3" xfId="1516"/>
    <cellStyle name="Input [yellow] 3 18 6 3 2" xfId="12713"/>
    <cellStyle name="Input [yellow] 3 18 6 3 3" xfId="23881"/>
    <cellStyle name="Input [yellow] 3 18 6 3 4" xfId="35046"/>
    <cellStyle name="Input [yellow] 3 18 6 3 5" xfId="46239"/>
    <cellStyle name="Input [yellow] 3 18 6 4" xfId="2347"/>
    <cellStyle name="Input [yellow] 3 18 6 4 2" xfId="13544"/>
    <cellStyle name="Input [yellow] 3 18 6 4 3" xfId="24712"/>
    <cellStyle name="Input [yellow] 3 18 6 4 4" xfId="35877"/>
    <cellStyle name="Input [yellow] 3 18 6 4 5" xfId="47070"/>
    <cellStyle name="Input [yellow] 3 18 6 5" xfId="2772"/>
    <cellStyle name="Input [yellow] 3 18 6 5 2" xfId="13969"/>
    <cellStyle name="Input [yellow] 3 18 6 5 3" xfId="25137"/>
    <cellStyle name="Input [yellow] 3 18 6 5 4" xfId="36302"/>
    <cellStyle name="Input [yellow] 3 18 6 5 5" xfId="47495"/>
    <cellStyle name="Input [yellow] 3 18 6 6" xfId="3406"/>
    <cellStyle name="Input [yellow] 3 18 6 6 2" xfId="14603"/>
    <cellStyle name="Input [yellow] 3 18 6 6 3" xfId="25771"/>
    <cellStyle name="Input [yellow] 3 18 6 6 4" xfId="36936"/>
    <cellStyle name="Input [yellow] 3 18 6 6 5" xfId="48129"/>
    <cellStyle name="Input [yellow] 3 18 6 7" xfId="4040"/>
    <cellStyle name="Input [yellow] 3 18 6 7 2" xfId="15237"/>
    <cellStyle name="Input [yellow] 3 18 6 7 3" xfId="26405"/>
    <cellStyle name="Input [yellow] 3 18 6 7 4" xfId="37570"/>
    <cellStyle name="Input [yellow] 3 18 6 7 5" xfId="48763"/>
    <cellStyle name="Input [yellow] 3 18 6 8" xfId="4673"/>
    <cellStyle name="Input [yellow] 3 18 6 8 2" xfId="15870"/>
    <cellStyle name="Input [yellow] 3 18 6 8 3" xfId="27038"/>
    <cellStyle name="Input [yellow] 3 18 6 8 4" xfId="38203"/>
    <cellStyle name="Input [yellow] 3 18 6 8 5" xfId="49396"/>
    <cellStyle name="Input [yellow] 3 18 6 9" xfId="5304"/>
    <cellStyle name="Input [yellow] 3 18 6 9 2" xfId="16501"/>
    <cellStyle name="Input [yellow] 3 18 6 9 3" xfId="27669"/>
    <cellStyle name="Input [yellow] 3 18 6 9 4" xfId="38834"/>
    <cellStyle name="Input [yellow] 3 18 6 9 5" xfId="50027"/>
    <cellStyle name="Input [yellow] 3 18 7" xfId="322"/>
    <cellStyle name="Input [yellow] 3 18 7 10" xfId="3678"/>
    <cellStyle name="Input [yellow] 3 18 7 10 2" xfId="14875"/>
    <cellStyle name="Input [yellow] 3 18 7 10 3" xfId="26043"/>
    <cellStyle name="Input [yellow] 3 18 7 10 4" xfId="37208"/>
    <cellStyle name="Input [yellow] 3 18 7 10 5" xfId="48401"/>
    <cellStyle name="Input [yellow] 3 18 7 11" xfId="6258"/>
    <cellStyle name="Input [yellow] 3 18 7 11 2" xfId="17455"/>
    <cellStyle name="Input [yellow] 3 18 7 11 3" xfId="28623"/>
    <cellStyle name="Input [yellow] 3 18 7 11 4" xfId="39788"/>
    <cellStyle name="Input [yellow] 3 18 7 11 5" xfId="50981"/>
    <cellStyle name="Input [yellow] 3 18 7 12" xfId="6891"/>
    <cellStyle name="Input [yellow] 3 18 7 12 2" xfId="18088"/>
    <cellStyle name="Input [yellow] 3 18 7 12 3" xfId="29256"/>
    <cellStyle name="Input [yellow] 3 18 7 12 4" xfId="40421"/>
    <cellStyle name="Input [yellow] 3 18 7 12 5" xfId="51614"/>
    <cellStyle name="Input [yellow] 3 18 7 13" xfId="7525"/>
    <cellStyle name="Input [yellow] 3 18 7 13 2" xfId="18722"/>
    <cellStyle name="Input [yellow] 3 18 7 13 3" xfId="29890"/>
    <cellStyle name="Input [yellow] 3 18 7 13 4" xfId="41055"/>
    <cellStyle name="Input [yellow] 3 18 7 13 5" xfId="52248"/>
    <cellStyle name="Input [yellow] 3 18 7 14" xfId="8159"/>
    <cellStyle name="Input [yellow] 3 18 7 14 2" xfId="19356"/>
    <cellStyle name="Input [yellow] 3 18 7 14 3" xfId="30524"/>
    <cellStyle name="Input [yellow] 3 18 7 14 4" xfId="41689"/>
    <cellStyle name="Input [yellow] 3 18 7 14 5" xfId="52882"/>
    <cellStyle name="Input [yellow] 3 18 7 15" xfId="8788"/>
    <cellStyle name="Input [yellow] 3 18 7 15 2" xfId="19985"/>
    <cellStyle name="Input [yellow] 3 18 7 15 3" xfId="31153"/>
    <cellStyle name="Input [yellow] 3 18 7 15 4" xfId="42318"/>
    <cellStyle name="Input [yellow] 3 18 7 15 5" xfId="53511"/>
    <cellStyle name="Input [yellow] 3 18 7 16" xfId="9210"/>
    <cellStyle name="Input [yellow] 3 18 7 16 2" xfId="20407"/>
    <cellStyle name="Input [yellow] 3 18 7 16 3" xfId="31575"/>
    <cellStyle name="Input [yellow] 3 18 7 16 4" xfId="42740"/>
    <cellStyle name="Input [yellow] 3 18 7 16 5" xfId="53933"/>
    <cellStyle name="Input [yellow] 3 18 7 17" xfId="9837"/>
    <cellStyle name="Input [yellow] 3 18 7 17 2" xfId="21034"/>
    <cellStyle name="Input [yellow] 3 18 7 17 3" xfId="32202"/>
    <cellStyle name="Input [yellow] 3 18 7 17 4" xfId="43367"/>
    <cellStyle name="Input [yellow] 3 18 7 17 5" xfId="54560"/>
    <cellStyle name="Input [yellow] 3 18 7 18" xfId="10384"/>
    <cellStyle name="Input [yellow] 3 18 7 18 2" xfId="21581"/>
    <cellStyle name="Input [yellow] 3 18 7 18 3" xfId="32749"/>
    <cellStyle name="Input [yellow] 3 18 7 18 4" xfId="43914"/>
    <cellStyle name="Input [yellow] 3 18 7 18 5" xfId="55107"/>
    <cellStyle name="Input [yellow] 3 18 7 19" xfId="10875"/>
    <cellStyle name="Input [yellow] 3 18 7 19 2" xfId="22072"/>
    <cellStyle name="Input [yellow] 3 18 7 19 3" xfId="33240"/>
    <cellStyle name="Input [yellow] 3 18 7 19 4" xfId="44405"/>
    <cellStyle name="Input [yellow] 3 18 7 19 5" xfId="55598"/>
    <cellStyle name="Input [yellow] 3 18 7 2" xfId="971"/>
    <cellStyle name="Input [yellow] 3 18 7 2 2" xfId="12168"/>
    <cellStyle name="Input [yellow] 3 18 7 2 3" xfId="23336"/>
    <cellStyle name="Input [yellow] 3 18 7 2 4" xfId="34501"/>
    <cellStyle name="Input [yellow] 3 18 7 2 5" xfId="45694"/>
    <cellStyle name="Input [yellow] 3 18 7 20" xfId="11522"/>
    <cellStyle name="Input [yellow] 3 18 7 21" xfId="22692"/>
    <cellStyle name="Input [yellow] 3 18 7 22" xfId="33859"/>
    <cellStyle name="Input [yellow] 3 18 7 23" xfId="45045"/>
    <cellStyle name="Input [yellow] 3 18 7 3" xfId="1574"/>
    <cellStyle name="Input [yellow] 3 18 7 3 2" xfId="12771"/>
    <cellStyle name="Input [yellow] 3 18 7 3 3" xfId="23939"/>
    <cellStyle name="Input [yellow] 3 18 7 3 4" xfId="35104"/>
    <cellStyle name="Input [yellow] 3 18 7 3 5" xfId="46297"/>
    <cellStyle name="Input [yellow] 3 18 7 4" xfId="2247"/>
    <cellStyle name="Input [yellow] 3 18 7 4 2" xfId="13444"/>
    <cellStyle name="Input [yellow] 3 18 7 4 3" xfId="24612"/>
    <cellStyle name="Input [yellow] 3 18 7 4 4" xfId="35777"/>
    <cellStyle name="Input [yellow] 3 18 7 4 5" xfId="46970"/>
    <cellStyle name="Input [yellow] 3 18 7 5" xfId="2672"/>
    <cellStyle name="Input [yellow] 3 18 7 5 2" xfId="13869"/>
    <cellStyle name="Input [yellow] 3 18 7 5 3" xfId="25037"/>
    <cellStyle name="Input [yellow] 3 18 7 5 4" xfId="36202"/>
    <cellStyle name="Input [yellow] 3 18 7 5 5" xfId="47395"/>
    <cellStyle name="Input [yellow] 3 18 7 6" xfId="3306"/>
    <cellStyle name="Input [yellow] 3 18 7 6 2" xfId="14503"/>
    <cellStyle name="Input [yellow] 3 18 7 6 3" xfId="25671"/>
    <cellStyle name="Input [yellow] 3 18 7 6 4" xfId="36836"/>
    <cellStyle name="Input [yellow] 3 18 7 6 5" xfId="48029"/>
    <cellStyle name="Input [yellow] 3 18 7 7" xfId="3940"/>
    <cellStyle name="Input [yellow] 3 18 7 7 2" xfId="15137"/>
    <cellStyle name="Input [yellow] 3 18 7 7 3" xfId="26305"/>
    <cellStyle name="Input [yellow] 3 18 7 7 4" xfId="37470"/>
    <cellStyle name="Input [yellow] 3 18 7 7 5" xfId="48663"/>
    <cellStyle name="Input [yellow] 3 18 7 8" xfId="4573"/>
    <cellStyle name="Input [yellow] 3 18 7 8 2" xfId="15770"/>
    <cellStyle name="Input [yellow] 3 18 7 8 3" xfId="26938"/>
    <cellStyle name="Input [yellow] 3 18 7 8 4" xfId="38103"/>
    <cellStyle name="Input [yellow] 3 18 7 8 5" xfId="49296"/>
    <cellStyle name="Input [yellow] 3 18 7 9" xfId="5204"/>
    <cellStyle name="Input [yellow] 3 18 7 9 2" xfId="16401"/>
    <cellStyle name="Input [yellow] 3 18 7 9 3" xfId="27569"/>
    <cellStyle name="Input [yellow] 3 18 7 9 4" xfId="38734"/>
    <cellStyle name="Input [yellow] 3 18 7 9 5" xfId="49927"/>
    <cellStyle name="Input [yellow] 3 18 8" xfId="534"/>
    <cellStyle name="Input [yellow] 3 18 8 10" xfId="5919"/>
    <cellStyle name="Input [yellow] 3 18 8 10 2" xfId="17116"/>
    <cellStyle name="Input [yellow] 3 18 8 10 3" xfId="28284"/>
    <cellStyle name="Input [yellow] 3 18 8 10 4" xfId="39449"/>
    <cellStyle name="Input [yellow] 3 18 8 10 5" xfId="50642"/>
    <cellStyle name="Input [yellow] 3 18 8 11" xfId="6470"/>
    <cellStyle name="Input [yellow] 3 18 8 11 2" xfId="17667"/>
    <cellStyle name="Input [yellow] 3 18 8 11 3" xfId="28835"/>
    <cellStyle name="Input [yellow] 3 18 8 11 4" xfId="40000"/>
    <cellStyle name="Input [yellow] 3 18 8 11 5" xfId="51193"/>
    <cellStyle name="Input [yellow] 3 18 8 12" xfId="7103"/>
    <cellStyle name="Input [yellow] 3 18 8 12 2" xfId="18300"/>
    <cellStyle name="Input [yellow] 3 18 8 12 3" xfId="29468"/>
    <cellStyle name="Input [yellow] 3 18 8 12 4" xfId="40633"/>
    <cellStyle name="Input [yellow] 3 18 8 12 5" xfId="51826"/>
    <cellStyle name="Input [yellow] 3 18 8 13" xfId="7737"/>
    <cellStyle name="Input [yellow] 3 18 8 13 2" xfId="18934"/>
    <cellStyle name="Input [yellow] 3 18 8 13 3" xfId="30102"/>
    <cellStyle name="Input [yellow] 3 18 8 13 4" xfId="41267"/>
    <cellStyle name="Input [yellow] 3 18 8 13 5" xfId="52460"/>
    <cellStyle name="Input [yellow] 3 18 8 14" xfId="8371"/>
    <cellStyle name="Input [yellow] 3 18 8 14 2" xfId="19568"/>
    <cellStyle name="Input [yellow] 3 18 8 14 3" xfId="30736"/>
    <cellStyle name="Input [yellow] 3 18 8 14 4" xfId="41901"/>
    <cellStyle name="Input [yellow] 3 18 8 14 5" xfId="53094"/>
    <cellStyle name="Input [yellow] 3 18 8 15" xfId="8999"/>
    <cellStyle name="Input [yellow] 3 18 8 15 2" xfId="20196"/>
    <cellStyle name="Input [yellow] 3 18 8 15 3" xfId="31364"/>
    <cellStyle name="Input [yellow] 3 18 8 15 4" xfId="42529"/>
    <cellStyle name="Input [yellow] 3 18 8 15 5" xfId="53722"/>
    <cellStyle name="Input [yellow] 3 18 8 16" xfId="9422"/>
    <cellStyle name="Input [yellow] 3 18 8 16 2" xfId="20619"/>
    <cellStyle name="Input [yellow] 3 18 8 16 3" xfId="31787"/>
    <cellStyle name="Input [yellow] 3 18 8 16 4" xfId="42952"/>
    <cellStyle name="Input [yellow] 3 18 8 16 5" xfId="54145"/>
    <cellStyle name="Input [yellow] 3 18 8 17" xfId="10047"/>
    <cellStyle name="Input [yellow] 3 18 8 17 2" xfId="21244"/>
    <cellStyle name="Input [yellow] 3 18 8 17 3" xfId="32412"/>
    <cellStyle name="Input [yellow] 3 18 8 17 4" xfId="43577"/>
    <cellStyle name="Input [yellow] 3 18 8 17 5" xfId="54770"/>
    <cellStyle name="Input [yellow] 3 18 8 18" xfId="10317"/>
    <cellStyle name="Input [yellow] 3 18 8 18 2" xfId="21514"/>
    <cellStyle name="Input [yellow] 3 18 8 18 3" xfId="32682"/>
    <cellStyle name="Input [yellow] 3 18 8 18 4" xfId="43847"/>
    <cellStyle name="Input [yellow] 3 18 8 18 5" xfId="55040"/>
    <cellStyle name="Input [yellow] 3 18 8 19" xfId="11087"/>
    <cellStyle name="Input [yellow] 3 18 8 19 2" xfId="22284"/>
    <cellStyle name="Input [yellow] 3 18 8 19 3" xfId="33452"/>
    <cellStyle name="Input [yellow] 3 18 8 19 4" xfId="44617"/>
    <cellStyle name="Input [yellow] 3 18 8 19 5" xfId="55810"/>
    <cellStyle name="Input [yellow] 3 18 8 2" xfId="1183"/>
    <cellStyle name="Input [yellow] 3 18 8 2 2" xfId="12380"/>
    <cellStyle name="Input [yellow] 3 18 8 2 3" xfId="23548"/>
    <cellStyle name="Input [yellow] 3 18 8 2 4" xfId="34713"/>
    <cellStyle name="Input [yellow] 3 18 8 2 5" xfId="45906"/>
    <cellStyle name="Input [yellow] 3 18 8 20" xfId="11734"/>
    <cellStyle name="Input [yellow] 3 18 8 21" xfId="22904"/>
    <cellStyle name="Input [yellow] 3 18 8 22" xfId="34071"/>
    <cellStyle name="Input [yellow] 3 18 8 23" xfId="45257"/>
    <cellStyle name="Input [yellow] 3 18 8 3" xfId="1705"/>
    <cellStyle name="Input [yellow] 3 18 8 3 2" xfId="12902"/>
    <cellStyle name="Input [yellow] 3 18 8 3 3" xfId="24070"/>
    <cellStyle name="Input [yellow] 3 18 8 3 4" xfId="35235"/>
    <cellStyle name="Input [yellow] 3 18 8 3 5" xfId="46428"/>
    <cellStyle name="Input [yellow] 3 18 8 4" xfId="2459"/>
    <cellStyle name="Input [yellow] 3 18 8 4 2" xfId="13656"/>
    <cellStyle name="Input [yellow] 3 18 8 4 3" xfId="24824"/>
    <cellStyle name="Input [yellow] 3 18 8 4 4" xfId="35989"/>
    <cellStyle name="Input [yellow] 3 18 8 4 5" xfId="47182"/>
    <cellStyle name="Input [yellow] 3 18 8 5" xfId="2884"/>
    <cellStyle name="Input [yellow] 3 18 8 5 2" xfId="14081"/>
    <cellStyle name="Input [yellow] 3 18 8 5 3" xfId="25249"/>
    <cellStyle name="Input [yellow] 3 18 8 5 4" xfId="36414"/>
    <cellStyle name="Input [yellow] 3 18 8 5 5" xfId="47607"/>
    <cellStyle name="Input [yellow] 3 18 8 6" xfId="3518"/>
    <cellStyle name="Input [yellow] 3 18 8 6 2" xfId="14715"/>
    <cellStyle name="Input [yellow] 3 18 8 6 3" xfId="25883"/>
    <cellStyle name="Input [yellow] 3 18 8 6 4" xfId="37048"/>
    <cellStyle name="Input [yellow] 3 18 8 6 5" xfId="48241"/>
    <cellStyle name="Input [yellow] 3 18 8 7" xfId="4152"/>
    <cellStyle name="Input [yellow] 3 18 8 7 2" xfId="15349"/>
    <cellStyle name="Input [yellow] 3 18 8 7 3" xfId="26517"/>
    <cellStyle name="Input [yellow] 3 18 8 7 4" xfId="37682"/>
    <cellStyle name="Input [yellow] 3 18 8 7 5" xfId="48875"/>
    <cellStyle name="Input [yellow] 3 18 8 8" xfId="4785"/>
    <cellStyle name="Input [yellow] 3 18 8 8 2" xfId="15982"/>
    <cellStyle name="Input [yellow] 3 18 8 8 3" xfId="27150"/>
    <cellStyle name="Input [yellow] 3 18 8 8 4" xfId="38315"/>
    <cellStyle name="Input [yellow] 3 18 8 8 5" xfId="49508"/>
    <cellStyle name="Input [yellow] 3 18 8 9" xfId="5416"/>
    <cellStyle name="Input [yellow] 3 18 8 9 2" xfId="16613"/>
    <cellStyle name="Input [yellow] 3 18 8 9 3" xfId="27781"/>
    <cellStyle name="Input [yellow] 3 18 8 9 4" xfId="38946"/>
    <cellStyle name="Input [yellow] 3 18 8 9 5" xfId="50139"/>
    <cellStyle name="Input [yellow] 3 18 9" xfId="592"/>
    <cellStyle name="Input [yellow] 3 18 9 10" xfId="6094"/>
    <cellStyle name="Input [yellow] 3 18 9 10 2" xfId="17291"/>
    <cellStyle name="Input [yellow] 3 18 9 10 3" xfId="28459"/>
    <cellStyle name="Input [yellow] 3 18 9 10 4" xfId="39624"/>
    <cellStyle name="Input [yellow] 3 18 9 10 5" xfId="50817"/>
    <cellStyle name="Input [yellow] 3 18 9 11" xfId="6528"/>
    <cellStyle name="Input [yellow] 3 18 9 11 2" xfId="17725"/>
    <cellStyle name="Input [yellow] 3 18 9 11 3" xfId="28893"/>
    <cellStyle name="Input [yellow] 3 18 9 11 4" xfId="40058"/>
    <cellStyle name="Input [yellow] 3 18 9 11 5" xfId="51251"/>
    <cellStyle name="Input [yellow] 3 18 9 12" xfId="7161"/>
    <cellStyle name="Input [yellow] 3 18 9 12 2" xfId="18358"/>
    <cellStyle name="Input [yellow] 3 18 9 12 3" xfId="29526"/>
    <cellStyle name="Input [yellow] 3 18 9 12 4" xfId="40691"/>
    <cellStyle name="Input [yellow] 3 18 9 12 5" xfId="51884"/>
    <cellStyle name="Input [yellow] 3 18 9 13" xfId="7795"/>
    <cellStyle name="Input [yellow] 3 18 9 13 2" xfId="18992"/>
    <cellStyle name="Input [yellow] 3 18 9 13 3" xfId="30160"/>
    <cellStyle name="Input [yellow] 3 18 9 13 4" xfId="41325"/>
    <cellStyle name="Input [yellow] 3 18 9 13 5" xfId="52518"/>
    <cellStyle name="Input [yellow] 3 18 9 14" xfId="8429"/>
    <cellStyle name="Input [yellow] 3 18 9 14 2" xfId="19626"/>
    <cellStyle name="Input [yellow] 3 18 9 14 3" xfId="30794"/>
    <cellStyle name="Input [yellow] 3 18 9 14 4" xfId="41959"/>
    <cellStyle name="Input [yellow] 3 18 9 14 5" xfId="53152"/>
    <cellStyle name="Input [yellow] 3 18 9 15" xfId="9057"/>
    <cellStyle name="Input [yellow] 3 18 9 15 2" xfId="20254"/>
    <cellStyle name="Input [yellow] 3 18 9 15 3" xfId="31422"/>
    <cellStyle name="Input [yellow] 3 18 9 15 4" xfId="42587"/>
    <cellStyle name="Input [yellow] 3 18 9 15 5" xfId="53780"/>
    <cellStyle name="Input [yellow] 3 18 9 16" xfId="9480"/>
    <cellStyle name="Input [yellow] 3 18 9 16 2" xfId="20677"/>
    <cellStyle name="Input [yellow] 3 18 9 16 3" xfId="31845"/>
    <cellStyle name="Input [yellow] 3 18 9 16 4" xfId="43010"/>
    <cellStyle name="Input [yellow] 3 18 9 16 5" xfId="54203"/>
    <cellStyle name="Input [yellow] 3 18 9 17" xfId="10105"/>
    <cellStyle name="Input [yellow] 3 18 9 17 2" xfId="21302"/>
    <cellStyle name="Input [yellow] 3 18 9 17 3" xfId="32470"/>
    <cellStyle name="Input [yellow] 3 18 9 17 4" xfId="43635"/>
    <cellStyle name="Input [yellow] 3 18 9 17 5" xfId="54828"/>
    <cellStyle name="Input [yellow] 3 18 9 18" xfId="9760"/>
    <cellStyle name="Input [yellow] 3 18 9 18 2" xfId="20957"/>
    <cellStyle name="Input [yellow] 3 18 9 18 3" xfId="32125"/>
    <cellStyle name="Input [yellow] 3 18 9 18 4" xfId="43290"/>
    <cellStyle name="Input [yellow] 3 18 9 18 5" xfId="54483"/>
    <cellStyle name="Input [yellow] 3 18 9 19" xfId="11145"/>
    <cellStyle name="Input [yellow] 3 18 9 19 2" xfId="22342"/>
    <cellStyle name="Input [yellow] 3 18 9 19 3" xfId="33510"/>
    <cellStyle name="Input [yellow] 3 18 9 19 4" xfId="44675"/>
    <cellStyle name="Input [yellow] 3 18 9 19 5" xfId="55868"/>
    <cellStyle name="Input [yellow] 3 18 9 2" xfId="1241"/>
    <cellStyle name="Input [yellow] 3 18 9 2 2" xfId="12438"/>
    <cellStyle name="Input [yellow] 3 18 9 2 3" xfId="23606"/>
    <cellStyle name="Input [yellow] 3 18 9 2 4" xfId="34771"/>
    <cellStyle name="Input [yellow] 3 18 9 2 5" xfId="45964"/>
    <cellStyle name="Input [yellow] 3 18 9 20" xfId="11792"/>
    <cellStyle name="Input [yellow] 3 18 9 21" xfId="22962"/>
    <cellStyle name="Input [yellow] 3 18 9 22" xfId="34129"/>
    <cellStyle name="Input [yellow] 3 18 9 23" xfId="45315"/>
    <cellStyle name="Input [yellow] 3 18 9 3" xfId="1428"/>
    <cellStyle name="Input [yellow] 3 18 9 3 2" xfId="12625"/>
    <cellStyle name="Input [yellow] 3 18 9 3 3" xfId="23793"/>
    <cellStyle name="Input [yellow] 3 18 9 3 4" xfId="34958"/>
    <cellStyle name="Input [yellow] 3 18 9 3 5" xfId="46151"/>
    <cellStyle name="Input [yellow] 3 18 9 4" xfId="2517"/>
    <cellStyle name="Input [yellow] 3 18 9 4 2" xfId="13714"/>
    <cellStyle name="Input [yellow] 3 18 9 4 3" xfId="24882"/>
    <cellStyle name="Input [yellow] 3 18 9 4 4" xfId="36047"/>
    <cellStyle name="Input [yellow] 3 18 9 4 5" xfId="47240"/>
    <cellStyle name="Input [yellow] 3 18 9 5" xfId="2942"/>
    <cellStyle name="Input [yellow] 3 18 9 5 2" xfId="14139"/>
    <cellStyle name="Input [yellow] 3 18 9 5 3" xfId="25307"/>
    <cellStyle name="Input [yellow] 3 18 9 5 4" xfId="36472"/>
    <cellStyle name="Input [yellow] 3 18 9 5 5" xfId="47665"/>
    <cellStyle name="Input [yellow] 3 18 9 6" xfId="3576"/>
    <cellStyle name="Input [yellow] 3 18 9 6 2" xfId="14773"/>
    <cellStyle name="Input [yellow] 3 18 9 6 3" xfId="25941"/>
    <cellStyle name="Input [yellow] 3 18 9 6 4" xfId="37106"/>
    <cellStyle name="Input [yellow] 3 18 9 6 5" xfId="48299"/>
    <cellStyle name="Input [yellow] 3 18 9 7" xfId="4210"/>
    <cellStyle name="Input [yellow] 3 18 9 7 2" xfId="15407"/>
    <cellStyle name="Input [yellow] 3 18 9 7 3" xfId="26575"/>
    <cellStyle name="Input [yellow] 3 18 9 7 4" xfId="37740"/>
    <cellStyle name="Input [yellow] 3 18 9 7 5" xfId="48933"/>
    <cellStyle name="Input [yellow] 3 18 9 8" xfId="4843"/>
    <cellStyle name="Input [yellow] 3 18 9 8 2" xfId="16040"/>
    <cellStyle name="Input [yellow] 3 18 9 8 3" xfId="27208"/>
    <cellStyle name="Input [yellow] 3 18 9 8 4" xfId="38373"/>
    <cellStyle name="Input [yellow] 3 18 9 8 5" xfId="49566"/>
    <cellStyle name="Input [yellow] 3 18 9 9" xfId="5474"/>
    <cellStyle name="Input [yellow] 3 18 9 9 2" xfId="16671"/>
    <cellStyle name="Input [yellow] 3 18 9 9 3" xfId="27839"/>
    <cellStyle name="Input [yellow] 3 18 9 9 4" xfId="39004"/>
    <cellStyle name="Input [yellow] 3 18 9 9 5" xfId="50197"/>
    <cellStyle name="Input [yellow] 3 19" xfId="129"/>
    <cellStyle name="Input [yellow] 3 19 10" xfId="5989"/>
    <cellStyle name="Input [yellow] 3 19 10 2" xfId="17186"/>
    <cellStyle name="Input [yellow] 3 19 10 3" xfId="28354"/>
    <cellStyle name="Input [yellow] 3 19 10 4" xfId="39519"/>
    <cellStyle name="Input [yellow] 3 19 10 5" xfId="50712"/>
    <cellStyle name="Input [yellow] 3 19 11" xfId="5906"/>
    <cellStyle name="Input [yellow] 3 19 11 2" xfId="17103"/>
    <cellStyle name="Input [yellow] 3 19 11 3" xfId="28271"/>
    <cellStyle name="Input [yellow] 3 19 11 4" xfId="39436"/>
    <cellStyle name="Input [yellow] 3 19 11 5" xfId="50629"/>
    <cellStyle name="Input [yellow] 3 19 12" xfId="6698"/>
    <cellStyle name="Input [yellow] 3 19 12 2" xfId="17895"/>
    <cellStyle name="Input [yellow] 3 19 12 3" xfId="29063"/>
    <cellStyle name="Input [yellow] 3 19 12 4" xfId="40228"/>
    <cellStyle name="Input [yellow] 3 19 12 5" xfId="51421"/>
    <cellStyle name="Input [yellow] 3 19 13" xfId="7332"/>
    <cellStyle name="Input [yellow] 3 19 13 2" xfId="18529"/>
    <cellStyle name="Input [yellow] 3 19 13 3" xfId="29697"/>
    <cellStyle name="Input [yellow] 3 19 13 4" xfId="40862"/>
    <cellStyle name="Input [yellow] 3 19 13 5" xfId="52055"/>
    <cellStyle name="Input [yellow] 3 19 14" xfId="7966"/>
    <cellStyle name="Input [yellow] 3 19 14 2" xfId="19163"/>
    <cellStyle name="Input [yellow] 3 19 14 3" xfId="30331"/>
    <cellStyle name="Input [yellow] 3 19 14 4" xfId="41496"/>
    <cellStyle name="Input [yellow] 3 19 14 5" xfId="52689"/>
    <cellStyle name="Input [yellow] 3 19 15" xfId="8597"/>
    <cellStyle name="Input [yellow] 3 19 15 2" xfId="19794"/>
    <cellStyle name="Input [yellow] 3 19 15 3" xfId="30962"/>
    <cellStyle name="Input [yellow] 3 19 15 4" xfId="42127"/>
    <cellStyle name="Input [yellow] 3 19 15 5" xfId="53320"/>
    <cellStyle name="Input [yellow] 3 19 16" xfId="9080"/>
    <cellStyle name="Input [yellow] 3 19 16 2" xfId="20277"/>
    <cellStyle name="Input [yellow] 3 19 16 3" xfId="31445"/>
    <cellStyle name="Input [yellow] 3 19 16 4" xfId="42610"/>
    <cellStyle name="Input [yellow] 3 19 16 5" xfId="53803"/>
    <cellStyle name="Input [yellow] 3 19 17" xfId="9650"/>
    <cellStyle name="Input [yellow] 3 19 17 2" xfId="20847"/>
    <cellStyle name="Input [yellow] 3 19 17 3" xfId="32015"/>
    <cellStyle name="Input [yellow] 3 19 17 4" xfId="43180"/>
    <cellStyle name="Input [yellow] 3 19 17 5" xfId="54373"/>
    <cellStyle name="Input [yellow] 3 19 18" xfId="9613"/>
    <cellStyle name="Input [yellow] 3 19 18 2" xfId="20810"/>
    <cellStyle name="Input [yellow] 3 19 18 3" xfId="31978"/>
    <cellStyle name="Input [yellow] 3 19 18 4" xfId="43143"/>
    <cellStyle name="Input [yellow] 3 19 18 5" xfId="54336"/>
    <cellStyle name="Input [yellow] 3 19 19" xfId="10682"/>
    <cellStyle name="Input [yellow] 3 19 19 2" xfId="21879"/>
    <cellStyle name="Input [yellow] 3 19 19 3" xfId="33047"/>
    <cellStyle name="Input [yellow] 3 19 19 4" xfId="44212"/>
    <cellStyle name="Input [yellow] 3 19 19 5" xfId="55405"/>
    <cellStyle name="Input [yellow] 3 19 2" xfId="778"/>
    <cellStyle name="Input [yellow] 3 19 2 2" xfId="11975"/>
    <cellStyle name="Input [yellow] 3 19 2 3" xfId="23143"/>
    <cellStyle name="Input [yellow] 3 19 2 4" xfId="34308"/>
    <cellStyle name="Input [yellow] 3 19 2 5" xfId="45501"/>
    <cellStyle name="Input [yellow] 3 19 20" xfId="11329"/>
    <cellStyle name="Input [yellow] 3 19 21" xfId="22499"/>
    <cellStyle name="Input [yellow] 3 19 22" xfId="33666"/>
    <cellStyle name="Input [yellow] 3 19 23" xfId="44852"/>
    <cellStyle name="Input [yellow] 3 19 3" xfId="1920"/>
    <cellStyle name="Input [yellow] 3 19 3 2" xfId="13117"/>
    <cellStyle name="Input [yellow] 3 19 3 3" xfId="24285"/>
    <cellStyle name="Input [yellow] 3 19 3 4" xfId="35450"/>
    <cellStyle name="Input [yellow] 3 19 3 5" xfId="46643"/>
    <cellStyle name="Input [yellow] 3 19 4" xfId="2055"/>
    <cellStyle name="Input [yellow] 3 19 4 2" xfId="13252"/>
    <cellStyle name="Input [yellow] 3 19 4 3" xfId="24420"/>
    <cellStyle name="Input [yellow] 3 19 4 4" xfId="35585"/>
    <cellStyle name="Input [yellow] 3 19 4 5" xfId="46778"/>
    <cellStyle name="Input [yellow] 3 19 5" xfId="2414"/>
    <cellStyle name="Input [yellow] 3 19 5 2" xfId="13611"/>
    <cellStyle name="Input [yellow] 3 19 5 3" xfId="24779"/>
    <cellStyle name="Input [yellow] 3 19 5 4" xfId="35944"/>
    <cellStyle name="Input [yellow] 3 19 5 5" xfId="47137"/>
    <cellStyle name="Input [yellow] 3 19 6" xfId="3113"/>
    <cellStyle name="Input [yellow] 3 19 6 2" xfId="14310"/>
    <cellStyle name="Input [yellow] 3 19 6 3" xfId="25478"/>
    <cellStyle name="Input [yellow] 3 19 6 4" xfId="36643"/>
    <cellStyle name="Input [yellow] 3 19 6 5" xfId="47836"/>
    <cellStyle name="Input [yellow] 3 19 7" xfId="3747"/>
    <cellStyle name="Input [yellow] 3 19 7 2" xfId="14944"/>
    <cellStyle name="Input [yellow] 3 19 7 3" xfId="26112"/>
    <cellStyle name="Input [yellow] 3 19 7 4" xfId="37277"/>
    <cellStyle name="Input [yellow] 3 19 7 5" xfId="48470"/>
    <cellStyle name="Input [yellow] 3 19 8" xfId="4380"/>
    <cellStyle name="Input [yellow] 3 19 8 2" xfId="15577"/>
    <cellStyle name="Input [yellow] 3 19 8 3" xfId="26745"/>
    <cellStyle name="Input [yellow] 3 19 8 4" xfId="37910"/>
    <cellStyle name="Input [yellow] 3 19 8 5" xfId="49103"/>
    <cellStyle name="Input [yellow] 3 19 9" xfId="5011"/>
    <cellStyle name="Input [yellow] 3 19 9 2" xfId="16208"/>
    <cellStyle name="Input [yellow] 3 19 9 3" xfId="27376"/>
    <cellStyle name="Input [yellow] 3 19 9 4" xfId="38541"/>
    <cellStyle name="Input [yellow] 3 19 9 5" xfId="49734"/>
    <cellStyle name="Input [yellow] 3 2" xfId="71"/>
    <cellStyle name="Input [yellow] 3 2 10" xfId="599"/>
    <cellStyle name="Input [yellow] 3 2 10 10" xfId="6142"/>
    <cellStyle name="Input [yellow] 3 2 10 10 2" xfId="17339"/>
    <cellStyle name="Input [yellow] 3 2 10 10 3" xfId="28507"/>
    <cellStyle name="Input [yellow] 3 2 10 10 4" xfId="39672"/>
    <cellStyle name="Input [yellow] 3 2 10 10 5" xfId="50865"/>
    <cellStyle name="Input [yellow] 3 2 10 11" xfId="6535"/>
    <cellStyle name="Input [yellow] 3 2 10 11 2" xfId="17732"/>
    <cellStyle name="Input [yellow] 3 2 10 11 3" xfId="28900"/>
    <cellStyle name="Input [yellow] 3 2 10 11 4" xfId="40065"/>
    <cellStyle name="Input [yellow] 3 2 10 11 5" xfId="51258"/>
    <cellStyle name="Input [yellow] 3 2 10 12" xfId="7168"/>
    <cellStyle name="Input [yellow] 3 2 10 12 2" xfId="18365"/>
    <cellStyle name="Input [yellow] 3 2 10 12 3" xfId="29533"/>
    <cellStyle name="Input [yellow] 3 2 10 12 4" xfId="40698"/>
    <cellStyle name="Input [yellow] 3 2 10 12 5" xfId="51891"/>
    <cellStyle name="Input [yellow] 3 2 10 13" xfId="7802"/>
    <cellStyle name="Input [yellow] 3 2 10 13 2" xfId="18999"/>
    <cellStyle name="Input [yellow] 3 2 10 13 3" xfId="30167"/>
    <cellStyle name="Input [yellow] 3 2 10 13 4" xfId="41332"/>
    <cellStyle name="Input [yellow] 3 2 10 13 5" xfId="52525"/>
    <cellStyle name="Input [yellow] 3 2 10 14" xfId="8436"/>
    <cellStyle name="Input [yellow] 3 2 10 14 2" xfId="19633"/>
    <cellStyle name="Input [yellow] 3 2 10 14 3" xfId="30801"/>
    <cellStyle name="Input [yellow] 3 2 10 14 4" xfId="41966"/>
    <cellStyle name="Input [yellow] 3 2 10 14 5" xfId="53159"/>
    <cellStyle name="Input [yellow] 3 2 10 15" xfId="9064"/>
    <cellStyle name="Input [yellow] 3 2 10 15 2" xfId="20261"/>
    <cellStyle name="Input [yellow] 3 2 10 15 3" xfId="31429"/>
    <cellStyle name="Input [yellow] 3 2 10 15 4" xfId="42594"/>
    <cellStyle name="Input [yellow] 3 2 10 15 5" xfId="53787"/>
    <cellStyle name="Input [yellow] 3 2 10 16" xfId="9487"/>
    <cellStyle name="Input [yellow] 3 2 10 16 2" xfId="20684"/>
    <cellStyle name="Input [yellow] 3 2 10 16 3" xfId="31852"/>
    <cellStyle name="Input [yellow] 3 2 10 16 4" xfId="43017"/>
    <cellStyle name="Input [yellow] 3 2 10 16 5" xfId="54210"/>
    <cellStyle name="Input [yellow] 3 2 10 17" xfId="10112"/>
    <cellStyle name="Input [yellow] 3 2 10 17 2" xfId="21309"/>
    <cellStyle name="Input [yellow] 3 2 10 17 3" xfId="32477"/>
    <cellStyle name="Input [yellow] 3 2 10 17 4" xfId="43642"/>
    <cellStyle name="Input [yellow] 3 2 10 17 5" xfId="54835"/>
    <cellStyle name="Input [yellow] 3 2 10 18" xfId="10522"/>
    <cellStyle name="Input [yellow] 3 2 10 18 2" xfId="21719"/>
    <cellStyle name="Input [yellow] 3 2 10 18 3" xfId="32887"/>
    <cellStyle name="Input [yellow] 3 2 10 18 4" xfId="44052"/>
    <cellStyle name="Input [yellow] 3 2 10 18 5" xfId="55245"/>
    <cellStyle name="Input [yellow] 3 2 10 19" xfId="11152"/>
    <cellStyle name="Input [yellow] 3 2 10 19 2" xfId="22349"/>
    <cellStyle name="Input [yellow] 3 2 10 19 3" xfId="33517"/>
    <cellStyle name="Input [yellow] 3 2 10 19 4" xfId="44682"/>
    <cellStyle name="Input [yellow] 3 2 10 19 5" xfId="55875"/>
    <cellStyle name="Input [yellow] 3 2 10 2" xfId="1248"/>
    <cellStyle name="Input [yellow] 3 2 10 2 2" xfId="12445"/>
    <cellStyle name="Input [yellow] 3 2 10 2 3" xfId="23613"/>
    <cellStyle name="Input [yellow] 3 2 10 2 4" xfId="34778"/>
    <cellStyle name="Input [yellow] 3 2 10 2 5" xfId="45971"/>
    <cellStyle name="Input [yellow] 3 2 10 20" xfId="11799"/>
    <cellStyle name="Input [yellow] 3 2 10 21" xfId="22969"/>
    <cellStyle name="Input [yellow] 3 2 10 22" xfId="34136"/>
    <cellStyle name="Input [yellow] 3 2 10 23" xfId="45322"/>
    <cellStyle name="Input [yellow] 3 2 10 3" xfId="1819"/>
    <cellStyle name="Input [yellow] 3 2 10 3 2" xfId="13016"/>
    <cellStyle name="Input [yellow] 3 2 10 3 3" xfId="24184"/>
    <cellStyle name="Input [yellow] 3 2 10 3 4" xfId="35349"/>
    <cellStyle name="Input [yellow] 3 2 10 3 5" xfId="46542"/>
    <cellStyle name="Input [yellow] 3 2 10 4" xfId="2524"/>
    <cellStyle name="Input [yellow] 3 2 10 4 2" xfId="13721"/>
    <cellStyle name="Input [yellow] 3 2 10 4 3" xfId="24889"/>
    <cellStyle name="Input [yellow] 3 2 10 4 4" xfId="36054"/>
    <cellStyle name="Input [yellow] 3 2 10 4 5" xfId="47247"/>
    <cellStyle name="Input [yellow] 3 2 10 5" xfId="2949"/>
    <cellStyle name="Input [yellow] 3 2 10 5 2" xfId="14146"/>
    <cellStyle name="Input [yellow] 3 2 10 5 3" xfId="25314"/>
    <cellStyle name="Input [yellow] 3 2 10 5 4" xfId="36479"/>
    <cellStyle name="Input [yellow] 3 2 10 5 5" xfId="47672"/>
    <cellStyle name="Input [yellow] 3 2 10 6" xfId="3583"/>
    <cellStyle name="Input [yellow] 3 2 10 6 2" xfId="14780"/>
    <cellStyle name="Input [yellow] 3 2 10 6 3" xfId="25948"/>
    <cellStyle name="Input [yellow] 3 2 10 6 4" xfId="37113"/>
    <cellStyle name="Input [yellow] 3 2 10 6 5" xfId="48306"/>
    <cellStyle name="Input [yellow] 3 2 10 7" xfId="4217"/>
    <cellStyle name="Input [yellow] 3 2 10 7 2" xfId="15414"/>
    <cellStyle name="Input [yellow] 3 2 10 7 3" xfId="26582"/>
    <cellStyle name="Input [yellow] 3 2 10 7 4" xfId="37747"/>
    <cellStyle name="Input [yellow] 3 2 10 7 5" xfId="48940"/>
    <cellStyle name="Input [yellow] 3 2 10 8" xfId="4850"/>
    <cellStyle name="Input [yellow] 3 2 10 8 2" xfId="16047"/>
    <cellStyle name="Input [yellow] 3 2 10 8 3" xfId="27215"/>
    <cellStyle name="Input [yellow] 3 2 10 8 4" xfId="38380"/>
    <cellStyle name="Input [yellow] 3 2 10 8 5" xfId="49573"/>
    <cellStyle name="Input [yellow] 3 2 10 9" xfId="5481"/>
    <cellStyle name="Input [yellow] 3 2 10 9 2" xfId="16678"/>
    <cellStyle name="Input [yellow] 3 2 10 9 3" xfId="27846"/>
    <cellStyle name="Input [yellow] 3 2 10 9 4" xfId="39011"/>
    <cellStyle name="Input [yellow] 3 2 10 9 5" xfId="50204"/>
    <cellStyle name="Input [yellow] 3 2 11" xfId="650"/>
    <cellStyle name="Input [yellow] 3 2 11 10" xfId="5791"/>
    <cellStyle name="Input [yellow] 3 2 11 10 2" xfId="16988"/>
    <cellStyle name="Input [yellow] 3 2 11 10 3" xfId="28156"/>
    <cellStyle name="Input [yellow] 3 2 11 10 4" xfId="39321"/>
    <cellStyle name="Input [yellow] 3 2 11 10 5" xfId="50514"/>
    <cellStyle name="Input [yellow] 3 2 11 11" xfId="6586"/>
    <cellStyle name="Input [yellow] 3 2 11 11 2" xfId="17783"/>
    <cellStyle name="Input [yellow] 3 2 11 11 3" xfId="28951"/>
    <cellStyle name="Input [yellow] 3 2 11 11 4" xfId="40116"/>
    <cellStyle name="Input [yellow] 3 2 11 11 5" xfId="51309"/>
    <cellStyle name="Input [yellow] 3 2 11 12" xfId="7219"/>
    <cellStyle name="Input [yellow] 3 2 11 12 2" xfId="18416"/>
    <cellStyle name="Input [yellow] 3 2 11 12 3" xfId="29584"/>
    <cellStyle name="Input [yellow] 3 2 11 12 4" xfId="40749"/>
    <cellStyle name="Input [yellow] 3 2 11 12 5" xfId="51942"/>
    <cellStyle name="Input [yellow] 3 2 11 13" xfId="7853"/>
    <cellStyle name="Input [yellow] 3 2 11 13 2" xfId="19050"/>
    <cellStyle name="Input [yellow] 3 2 11 13 3" xfId="30218"/>
    <cellStyle name="Input [yellow] 3 2 11 13 4" xfId="41383"/>
    <cellStyle name="Input [yellow] 3 2 11 13 5" xfId="52576"/>
    <cellStyle name="Input [yellow] 3 2 11 14" xfId="8487"/>
    <cellStyle name="Input [yellow] 3 2 11 14 2" xfId="19684"/>
    <cellStyle name="Input [yellow] 3 2 11 14 3" xfId="30852"/>
    <cellStyle name="Input [yellow] 3 2 11 14 4" xfId="42017"/>
    <cellStyle name="Input [yellow] 3 2 11 14 5" xfId="53210"/>
    <cellStyle name="Input [yellow] 3 2 11 15" xfId="9115"/>
    <cellStyle name="Input [yellow] 3 2 11 15 2" xfId="20312"/>
    <cellStyle name="Input [yellow] 3 2 11 15 3" xfId="31480"/>
    <cellStyle name="Input [yellow] 3 2 11 15 4" xfId="42645"/>
    <cellStyle name="Input [yellow] 3 2 11 15 5" xfId="53838"/>
    <cellStyle name="Input [yellow] 3 2 11 16" xfId="9538"/>
    <cellStyle name="Input [yellow] 3 2 11 16 2" xfId="20735"/>
    <cellStyle name="Input [yellow] 3 2 11 16 3" xfId="31903"/>
    <cellStyle name="Input [yellow] 3 2 11 16 4" xfId="43068"/>
    <cellStyle name="Input [yellow] 3 2 11 16 5" xfId="54261"/>
    <cellStyle name="Input [yellow] 3 2 11 17" xfId="10163"/>
    <cellStyle name="Input [yellow] 3 2 11 17 2" xfId="21360"/>
    <cellStyle name="Input [yellow] 3 2 11 17 3" xfId="32528"/>
    <cellStyle name="Input [yellow] 3 2 11 17 4" xfId="43693"/>
    <cellStyle name="Input [yellow] 3 2 11 17 5" xfId="54886"/>
    <cellStyle name="Input [yellow] 3 2 11 18" xfId="10106"/>
    <cellStyle name="Input [yellow] 3 2 11 18 2" xfId="21303"/>
    <cellStyle name="Input [yellow] 3 2 11 18 3" xfId="32471"/>
    <cellStyle name="Input [yellow] 3 2 11 18 4" xfId="43636"/>
    <cellStyle name="Input [yellow] 3 2 11 18 5" xfId="54829"/>
    <cellStyle name="Input [yellow] 3 2 11 19" xfId="11203"/>
    <cellStyle name="Input [yellow] 3 2 11 19 2" xfId="22400"/>
    <cellStyle name="Input [yellow] 3 2 11 19 3" xfId="33568"/>
    <cellStyle name="Input [yellow] 3 2 11 19 4" xfId="44733"/>
    <cellStyle name="Input [yellow] 3 2 11 19 5" xfId="55926"/>
    <cellStyle name="Input [yellow] 3 2 11 2" xfId="1299"/>
    <cellStyle name="Input [yellow] 3 2 11 2 2" xfId="12496"/>
    <cellStyle name="Input [yellow] 3 2 11 2 3" xfId="23664"/>
    <cellStyle name="Input [yellow] 3 2 11 2 4" xfId="34829"/>
    <cellStyle name="Input [yellow] 3 2 11 2 5" xfId="46022"/>
    <cellStyle name="Input [yellow] 3 2 11 20" xfId="11850"/>
    <cellStyle name="Input [yellow] 3 2 11 21" xfId="23020"/>
    <cellStyle name="Input [yellow] 3 2 11 22" xfId="34187"/>
    <cellStyle name="Input [yellow] 3 2 11 23" xfId="45373"/>
    <cellStyle name="Input [yellow] 3 2 11 3" xfId="1934"/>
    <cellStyle name="Input [yellow] 3 2 11 3 2" xfId="13131"/>
    <cellStyle name="Input [yellow] 3 2 11 3 3" xfId="24299"/>
    <cellStyle name="Input [yellow] 3 2 11 3 4" xfId="35464"/>
    <cellStyle name="Input [yellow] 3 2 11 3 5" xfId="46657"/>
    <cellStyle name="Input [yellow] 3 2 11 4" xfId="2575"/>
    <cellStyle name="Input [yellow] 3 2 11 4 2" xfId="13772"/>
    <cellStyle name="Input [yellow] 3 2 11 4 3" xfId="24940"/>
    <cellStyle name="Input [yellow] 3 2 11 4 4" xfId="36105"/>
    <cellStyle name="Input [yellow] 3 2 11 4 5" xfId="47298"/>
    <cellStyle name="Input [yellow] 3 2 11 5" xfId="3000"/>
    <cellStyle name="Input [yellow] 3 2 11 5 2" xfId="14197"/>
    <cellStyle name="Input [yellow] 3 2 11 5 3" xfId="25365"/>
    <cellStyle name="Input [yellow] 3 2 11 5 4" xfId="36530"/>
    <cellStyle name="Input [yellow] 3 2 11 5 5" xfId="47723"/>
    <cellStyle name="Input [yellow] 3 2 11 6" xfId="3634"/>
    <cellStyle name="Input [yellow] 3 2 11 6 2" xfId="14831"/>
    <cellStyle name="Input [yellow] 3 2 11 6 3" xfId="25999"/>
    <cellStyle name="Input [yellow] 3 2 11 6 4" xfId="37164"/>
    <cellStyle name="Input [yellow] 3 2 11 6 5" xfId="48357"/>
    <cellStyle name="Input [yellow] 3 2 11 7" xfId="4268"/>
    <cellStyle name="Input [yellow] 3 2 11 7 2" xfId="15465"/>
    <cellStyle name="Input [yellow] 3 2 11 7 3" xfId="26633"/>
    <cellStyle name="Input [yellow] 3 2 11 7 4" xfId="37798"/>
    <cellStyle name="Input [yellow] 3 2 11 7 5" xfId="48991"/>
    <cellStyle name="Input [yellow] 3 2 11 8" xfId="4901"/>
    <cellStyle name="Input [yellow] 3 2 11 8 2" xfId="16098"/>
    <cellStyle name="Input [yellow] 3 2 11 8 3" xfId="27266"/>
    <cellStyle name="Input [yellow] 3 2 11 8 4" xfId="38431"/>
    <cellStyle name="Input [yellow] 3 2 11 8 5" xfId="49624"/>
    <cellStyle name="Input [yellow] 3 2 11 9" xfId="5532"/>
    <cellStyle name="Input [yellow] 3 2 11 9 2" xfId="16729"/>
    <cellStyle name="Input [yellow] 3 2 11 9 3" xfId="27897"/>
    <cellStyle name="Input [yellow] 3 2 11 9 4" xfId="39062"/>
    <cellStyle name="Input [yellow] 3 2 11 9 5" xfId="50255"/>
    <cellStyle name="Input [yellow] 3 2 12" xfId="722"/>
    <cellStyle name="Input [yellow] 3 2 12 2" xfId="11920"/>
    <cellStyle name="Input [yellow] 3 2 12 3" xfId="23089"/>
    <cellStyle name="Input [yellow] 3 2 12 4" xfId="34254"/>
    <cellStyle name="Input [yellow] 3 2 12 5" xfId="45445"/>
    <cellStyle name="Input [yellow] 3 2 13" xfId="1969"/>
    <cellStyle name="Input [yellow] 3 2 13 2" xfId="13166"/>
    <cellStyle name="Input [yellow] 3 2 13 3" xfId="24334"/>
    <cellStyle name="Input [yellow] 3 2 13 4" xfId="35499"/>
    <cellStyle name="Input [yellow] 3 2 13 5" xfId="46692"/>
    <cellStyle name="Input [yellow] 3 2 14" xfId="1997"/>
    <cellStyle name="Input [yellow] 3 2 14 2" xfId="13194"/>
    <cellStyle name="Input [yellow] 3 2 14 3" xfId="24362"/>
    <cellStyle name="Input [yellow] 3 2 14 4" xfId="35527"/>
    <cellStyle name="Input [yellow] 3 2 14 5" xfId="46720"/>
    <cellStyle name="Input [yellow] 3 2 15" xfId="2560"/>
    <cellStyle name="Input [yellow] 3 2 15 2" xfId="13757"/>
    <cellStyle name="Input [yellow] 3 2 15 3" xfId="24925"/>
    <cellStyle name="Input [yellow] 3 2 15 4" xfId="36090"/>
    <cellStyle name="Input [yellow] 3 2 15 5" xfId="47283"/>
    <cellStyle name="Input [yellow] 3 2 16" xfId="3055"/>
    <cellStyle name="Input [yellow] 3 2 16 2" xfId="14252"/>
    <cellStyle name="Input [yellow] 3 2 16 3" xfId="25420"/>
    <cellStyle name="Input [yellow] 3 2 16 4" xfId="36585"/>
    <cellStyle name="Input [yellow] 3 2 16 5" xfId="47778"/>
    <cellStyle name="Input [yellow] 3 2 17" xfId="3690"/>
    <cellStyle name="Input [yellow] 3 2 17 2" xfId="14887"/>
    <cellStyle name="Input [yellow] 3 2 17 3" xfId="26055"/>
    <cellStyle name="Input [yellow] 3 2 17 4" xfId="37220"/>
    <cellStyle name="Input [yellow] 3 2 17 5" xfId="48413"/>
    <cellStyle name="Input [yellow] 3 2 18" xfId="4322"/>
    <cellStyle name="Input [yellow] 3 2 18 2" xfId="15519"/>
    <cellStyle name="Input [yellow] 3 2 18 3" xfId="26687"/>
    <cellStyle name="Input [yellow] 3 2 18 4" xfId="37852"/>
    <cellStyle name="Input [yellow] 3 2 18 5" xfId="49045"/>
    <cellStyle name="Input [yellow] 3 2 19" xfId="4955"/>
    <cellStyle name="Input [yellow] 3 2 19 2" xfId="16152"/>
    <cellStyle name="Input [yellow] 3 2 19 3" xfId="27320"/>
    <cellStyle name="Input [yellow] 3 2 19 4" xfId="38485"/>
    <cellStyle name="Input [yellow] 3 2 19 5" xfId="49678"/>
    <cellStyle name="Input [yellow] 3 2 2" xfId="137"/>
    <cellStyle name="Input [yellow] 3 2 2 10" xfId="5615"/>
    <cellStyle name="Input [yellow] 3 2 2 10 2" xfId="16812"/>
    <cellStyle name="Input [yellow] 3 2 2 10 3" xfId="27980"/>
    <cellStyle name="Input [yellow] 3 2 2 10 4" xfId="39145"/>
    <cellStyle name="Input [yellow] 3 2 2 10 5" xfId="50338"/>
    <cellStyle name="Input [yellow] 3 2 2 11" xfId="5687"/>
    <cellStyle name="Input [yellow] 3 2 2 11 2" xfId="16884"/>
    <cellStyle name="Input [yellow] 3 2 2 11 3" xfId="28052"/>
    <cellStyle name="Input [yellow] 3 2 2 11 4" xfId="39217"/>
    <cellStyle name="Input [yellow] 3 2 2 11 5" xfId="50410"/>
    <cellStyle name="Input [yellow] 3 2 2 12" xfId="6706"/>
    <cellStyle name="Input [yellow] 3 2 2 12 2" xfId="17903"/>
    <cellStyle name="Input [yellow] 3 2 2 12 3" xfId="29071"/>
    <cellStyle name="Input [yellow] 3 2 2 12 4" xfId="40236"/>
    <cellStyle name="Input [yellow] 3 2 2 12 5" xfId="51429"/>
    <cellStyle name="Input [yellow] 3 2 2 13" xfId="7340"/>
    <cellStyle name="Input [yellow] 3 2 2 13 2" xfId="18537"/>
    <cellStyle name="Input [yellow] 3 2 2 13 3" xfId="29705"/>
    <cellStyle name="Input [yellow] 3 2 2 13 4" xfId="40870"/>
    <cellStyle name="Input [yellow] 3 2 2 13 5" xfId="52063"/>
    <cellStyle name="Input [yellow] 3 2 2 14" xfId="7974"/>
    <cellStyle name="Input [yellow] 3 2 2 14 2" xfId="19171"/>
    <cellStyle name="Input [yellow] 3 2 2 14 3" xfId="30339"/>
    <cellStyle name="Input [yellow] 3 2 2 14 4" xfId="41504"/>
    <cellStyle name="Input [yellow] 3 2 2 14 5" xfId="52697"/>
    <cellStyle name="Input [yellow] 3 2 2 15" xfId="8605"/>
    <cellStyle name="Input [yellow] 3 2 2 15 2" xfId="19802"/>
    <cellStyle name="Input [yellow] 3 2 2 15 3" xfId="30970"/>
    <cellStyle name="Input [yellow] 3 2 2 15 4" xfId="42135"/>
    <cellStyle name="Input [yellow] 3 2 2 15 5" xfId="53328"/>
    <cellStyle name="Input [yellow] 3 2 2 16" xfId="8669"/>
    <cellStyle name="Input [yellow] 3 2 2 16 2" xfId="19866"/>
    <cellStyle name="Input [yellow] 3 2 2 16 3" xfId="31034"/>
    <cellStyle name="Input [yellow] 3 2 2 16 4" xfId="42199"/>
    <cellStyle name="Input [yellow] 3 2 2 16 5" xfId="53392"/>
    <cellStyle name="Input [yellow] 3 2 2 17" xfId="9658"/>
    <cellStyle name="Input [yellow] 3 2 2 17 2" xfId="20855"/>
    <cellStyle name="Input [yellow] 3 2 2 17 3" xfId="32023"/>
    <cellStyle name="Input [yellow] 3 2 2 17 4" xfId="43188"/>
    <cellStyle name="Input [yellow] 3 2 2 17 5" xfId="54381"/>
    <cellStyle name="Input [yellow] 3 2 2 18" xfId="9809"/>
    <cellStyle name="Input [yellow] 3 2 2 18 2" xfId="21006"/>
    <cellStyle name="Input [yellow] 3 2 2 18 3" xfId="32174"/>
    <cellStyle name="Input [yellow] 3 2 2 18 4" xfId="43339"/>
    <cellStyle name="Input [yellow] 3 2 2 18 5" xfId="54532"/>
    <cellStyle name="Input [yellow] 3 2 2 19" xfId="10690"/>
    <cellStyle name="Input [yellow] 3 2 2 19 2" xfId="21887"/>
    <cellStyle name="Input [yellow] 3 2 2 19 3" xfId="33055"/>
    <cellStyle name="Input [yellow] 3 2 2 19 4" xfId="44220"/>
    <cellStyle name="Input [yellow] 3 2 2 19 5" xfId="55413"/>
    <cellStyle name="Input [yellow] 3 2 2 2" xfId="786"/>
    <cellStyle name="Input [yellow] 3 2 2 2 2" xfId="11983"/>
    <cellStyle name="Input [yellow] 3 2 2 2 3" xfId="23151"/>
    <cellStyle name="Input [yellow] 3 2 2 2 4" xfId="34316"/>
    <cellStyle name="Input [yellow] 3 2 2 2 5" xfId="45509"/>
    <cellStyle name="Input [yellow] 3 2 2 20" xfId="11337"/>
    <cellStyle name="Input [yellow] 3 2 2 21" xfId="22507"/>
    <cellStyle name="Input [yellow] 3 2 2 22" xfId="33674"/>
    <cellStyle name="Input [yellow] 3 2 2 23" xfId="44860"/>
    <cellStyle name="Input [yellow] 3 2 2 3" xfId="1356"/>
    <cellStyle name="Input [yellow] 3 2 2 3 2" xfId="12553"/>
    <cellStyle name="Input [yellow] 3 2 2 3 3" xfId="23721"/>
    <cellStyle name="Input [yellow] 3 2 2 3 4" xfId="34886"/>
    <cellStyle name="Input [yellow] 3 2 2 3 5" xfId="46079"/>
    <cellStyle name="Input [yellow] 3 2 2 4" xfId="2063"/>
    <cellStyle name="Input [yellow] 3 2 2 4 2" xfId="13260"/>
    <cellStyle name="Input [yellow] 3 2 2 4 3" xfId="24428"/>
    <cellStyle name="Input [yellow] 3 2 2 4 4" xfId="35593"/>
    <cellStyle name="Input [yellow] 3 2 2 4 5" xfId="46786"/>
    <cellStyle name="Input [yellow] 3 2 2 5" xfId="2528"/>
    <cellStyle name="Input [yellow] 3 2 2 5 2" xfId="13725"/>
    <cellStyle name="Input [yellow] 3 2 2 5 3" xfId="24893"/>
    <cellStyle name="Input [yellow] 3 2 2 5 4" xfId="36058"/>
    <cellStyle name="Input [yellow] 3 2 2 5 5" xfId="47251"/>
    <cellStyle name="Input [yellow] 3 2 2 6" xfId="3121"/>
    <cellStyle name="Input [yellow] 3 2 2 6 2" xfId="14318"/>
    <cellStyle name="Input [yellow] 3 2 2 6 3" xfId="25486"/>
    <cellStyle name="Input [yellow] 3 2 2 6 4" xfId="36651"/>
    <cellStyle name="Input [yellow] 3 2 2 6 5" xfId="47844"/>
    <cellStyle name="Input [yellow] 3 2 2 7" xfId="3755"/>
    <cellStyle name="Input [yellow] 3 2 2 7 2" xfId="14952"/>
    <cellStyle name="Input [yellow] 3 2 2 7 3" xfId="26120"/>
    <cellStyle name="Input [yellow] 3 2 2 7 4" xfId="37285"/>
    <cellStyle name="Input [yellow] 3 2 2 7 5" xfId="48478"/>
    <cellStyle name="Input [yellow] 3 2 2 8" xfId="4388"/>
    <cellStyle name="Input [yellow] 3 2 2 8 2" xfId="15585"/>
    <cellStyle name="Input [yellow] 3 2 2 8 3" xfId="26753"/>
    <cellStyle name="Input [yellow] 3 2 2 8 4" xfId="37918"/>
    <cellStyle name="Input [yellow] 3 2 2 8 5" xfId="49111"/>
    <cellStyle name="Input [yellow] 3 2 2 9" xfId="5019"/>
    <cellStyle name="Input [yellow] 3 2 2 9 2" xfId="16216"/>
    <cellStyle name="Input [yellow] 3 2 2 9 3" xfId="27384"/>
    <cellStyle name="Input [yellow] 3 2 2 9 4" xfId="38549"/>
    <cellStyle name="Input [yellow] 3 2 2 9 5" xfId="49742"/>
    <cellStyle name="Input [yellow] 3 2 20" xfId="6137"/>
    <cellStyle name="Input [yellow] 3 2 20 2" xfId="17334"/>
    <cellStyle name="Input [yellow] 3 2 20 3" xfId="28502"/>
    <cellStyle name="Input [yellow] 3 2 20 4" xfId="39667"/>
    <cellStyle name="Input [yellow] 3 2 20 5" xfId="50860"/>
    <cellStyle name="Input [yellow] 3 2 21" xfId="5970"/>
    <cellStyle name="Input [yellow] 3 2 21 2" xfId="17167"/>
    <cellStyle name="Input [yellow] 3 2 21 3" xfId="28335"/>
    <cellStyle name="Input [yellow] 3 2 21 4" xfId="39500"/>
    <cellStyle name="Input [yellow] 3 2 21 5" xfId="50693"/>
    <cellStyle name="Input [yellow] 3 2 22" xfId="6642"/>
    <cellStyle name="Input [yellow] 3 2 22 2" xfId="17839"/>
    <cellStyle name="Input [yellow] 3 2 22 3" xfId="29007"/>
    <cellStyle name="Input [yellow] 3 2 22 4" xfId="40172"/>
    <cellStyle name="Input [yellow] 3 2 22 5" xfId="51365"/>
    <cellStyle name="Input [yellow] 3 2 23" xfId="7274"/>
    <cellStyle name="Input [yellow] 3 2 23 2" xfId="18471"/>
    <cellStyle name="Input [yellow] 3 2 23 3" xfId="29639"/>
    <cellStyle name="Input [yellow] 3 2 23 4" xfId="40804"/>
    <cellStyle name="Input [yellow] 3 2 23 5" xfId="51997"/>
    <cellStyle name="Input [yellow] 3 2 24" xfId="7908"/>
    <cellStyle name="Input [yellow] 3 2 24 2" xfId="19105"/>
    <cellStyle name="Input [yellow] 3 2 24 3" xfId="30273"/>
    <cellStyle name="Input [yellow] 3 2 24 4" xfId="41438"/>
    <cellStyle name="Input [yellow] 3 2 24 5" xfId="52631"/>
    <cellStyle name="Input [yellow] 3 2 25" xfId="8541"/>
    <cellStyle name="Input [yellow] 3 2 25 2" xfId="19738"/>
    <cellStyle name="Input [yellow] 3 2 25 3" xfId="30906"/>
    <cellStyle name="Input [yellow] 3 2 25 4" xfId="42071"/>
    <cellStyle name="Input [yellow] 3 2 25 5" xfId="53264"/>
    <cellStyle name="Input [yellow] 3 2 26" xfId="8680"/>
    <cellStyle name="Input [yellow] 3 2 26 2" xfId="19877"/>
    <cellStyle name="Input [yellow] 3 2 26 3" xfId="31045"/>
    <cellStyle name="Input [yellow] 3 2 26 4" xfId="42210"/>
    <cellStyle name="Input [yellow] 3 2 26 5" xfId="53403"/>
    <cellStyle name="Input [yellow] 3 2 27" xfId="9593"/>
    <cellStyle name="Input [yellow] 3 2 27 2" xfId="20790"/>
    <cellStyle name="Input [yellow] 3 2 27 3" xfId="31958"/>
    <cellStyle name="Input [yellow] 3 2 27 4" xfId="43123"/>
    <cellStyle name="Input [yellow] 3 2 27 5" xfId="54316"/>
    <cellStyle name="Input [yellow] 3 2 28" xfId="9984"/>
    <cellStyle name="Input [yellow] 3 2 28 2" xfId="21181"/>
    <cellStyle name="Input [yellow] 3 2 28 3" xfId="32349"/>
    <cellStyle name="Input [yellow] 3 2 28 4" xfId="43514"/>
    <cellStyle name="Input [yellow] 3 2 28 5" xfId="54707"/>
    <cellStyle name="Input [yellow] 3 2 29" xfId="10628"/>
    <cellStyle name="Input [yellow] 3 2 29 2" xfId="21825"/>
    <cellStyle name="Input [yellow] 3 2 29 3" xfId="32993"/>
    <cellStyle name="Input [yellow] 3 2 29 4" xfId="44158"/>
    <cellStyle name="Input [yellow] 3 2 29 5" xfId="55351"/>
    <cellStyle name="Input [yellow] 3 2 3" xfId="192"/>
    <cellStyle name="Input [yellow] 3 2 3 10" xfId="4962"/>
    <cellStyle name="Input [yellow] 3 2 3 10 2" xfId="16159"/>
    <cellStyle name="Input [yellow] 3 2 3 10 3" xfId="27327"/>
    <cellStyle name="Input [yellow] 3 2 3 10 4" xfId="38492"/>
    <cellStyle name="Input [yellow] 3 2 3 10 5" xfId="49685"/>
    <cellStyle name="Input [yellow] 3 2 3 11" xfId="5753"/>
    <cellStyle name="Input [yellow] 3 2 3 11 2" xfId="16950"/>
    <cellStyle name="Input [yellow] 3 2 3 11 3" xfId="28118"/>
    <cellStyle name="Input [yellow] 3 2 3 11 4" xfId="39283"/>
    <cellStyle name="Input [yellow] 3 2 3 11 5" xfId="50476"/>
    <cellStyle name="Input [yellow] 3 2 3 12" xfId="6761"/>
    <cellStyle name="Input [yellow] 3 2 3 12 2" xfId="17958"/>
    <cellStyle name="Input [yellow] 3 2 3 12 3" xfId="29126"/>
    <cellStyle name="Input [yellow] 3 2 3 12 4" xfId="40291"/>
    <cellStyle name="Input [yellow] 3 2 3 12 5" xfId="51484"/>
    <cellStyle name="Input [yellow] 3 2 3 13" xfId="7395"/>
    <cellStyle name="Input [yellow] 3 2 3 13 2" xfId="18592"/>
    <cellStyle name="Input [yellow] 3 2 3 13 3" xfId="29760"/>
    <cellStyle name="Input [yellow] 3 2 3 13 4" xfId="40925"/>
    <cellStyle name="Input [yellow] 3 2 3 13 5" xfId="52118"/>
    <cellStyle name="Input [yellow] 3 2 3 14" xfId="8029"/>
    <cellStyle name="Input [yellow] 3 2 3 14 2" xfId="19226"/>
    <cellStyle name="Input [yellow] 3 2 3 14 3" xfId="30394"/>
    <cellStyle name="Input [yellow] 3 2 3 14 4" xfId="41559"/>
    <cellStyle name="Input [yellow] 3 2 3 14 5" xfId="52752"/>
    <cellStyle name="Input [yellow] 3 2 3 15" xfId="8660"/>
    <cellStyle name="Input [yellow] 3 2 3 15 2" xfId="19857"/>
    <cellStyle name="Input [yellow] 3 2 3 15 3" xfId="31025"/>
    <cellStyle name="Input [yellow] 3 2 3 15 4" xfId="42190"/>
    <cellStyle name="Input [yellow] 3 2 3 15 5" xfId="53383"/>
    <cellStyle name="Input [yellow] 3 2 3 16" xfId="8717"/>
    <cellStyle name="Input [yellow] 3 2 3 16 2" xfId="19914"/>
    <cellStyle name="Input [yellow] 3 2 3 16 3" xfId="31082"/>
    <cellStyle name="Input [yellow] 3 2 3 16 4" xfId="42247"/>
    <cellStyle name="Input [yellow] 3 2 3 16 5" xfId="53440"/>
    <cellStyle name="Input [yellow] 3 2 3 17" xfId="9712"/>
    <cellStyle name="Input [yellow] 3 2 3 17 2" xfId="20909"/>
    <cellStyle name="Input [yellow] 3 2 3 17 3" xfId="32077"/>
    <cellStyle name="Input [yellow] 3 2 3 17 4" xfId="43242"/>
    <cellStyle name="Input [yellow] 3 2 3 17 5" xfId="54435"/>
    <cellStyle name="Input [yellow] 3 2 3 18" xfId="10617"/>
    <cellStyle name="Input [yellow] 3 2 3 18 2" xfId="21814"/>
    <cellStyle name="Input [yellow] 3 2 3 18 3" xfId="32982"/>
    <cellStyle name="Input [yellow] 3 2 3 18 4" xfId="44147"/>
    <cellStyle name="Input [yellow] 3 2 3 18 5" xfId="55340"/>
    <cellStyle name="Input [yellow] 3 2 3 19" xfId="10745"/>
    <cellStyle name="Input [yellow] 3 2 3 19 2" xfId="21942"/>
    <cellStyle name="Input [yellow] 3 2 3 19 3" xfId="33110"/>
    <cellStyle name="Input [yellow] 3 2 3 19 4" xfId="44275"/>
    <cellStyle name="Input [yellow] 3 2 3 19 5" xfId="55468"/>
    <cellStyle name="Input [yellow] 3 2 3 2" xfId="841"/>
    <cellStyle name="Input [yellow] 3 2 3 2 2" xfId="12038"/>
    <cellStyle name="Input [yellow] 3 2 3 2 3" xfId="23206"/>
    <cellStyle name="Input [yellow] 3 2 3 2 4" xfId="34371"/>
    <cellStyle name="Input [yellow] 3 2 3 2 5" xfId="45564"/>
    <cellStyle name="Input [yellow] 3 2 3 20" xfId="11392"/>
    <cellStyle name="Input [yellow] 3 2 3 21" xfId="22562"/>
    <cellStyle name="Input [yellow] 3 2 3 22" xfId="33729"/>
    <cellStyle name="Input [yellow] 3 2 3 23" xfId="44915"/>
    <cellStyle name="Input [yellow] 3 2 3 3" xfId="1739"/>
    <cellStyle name="Input [yellow] 3 2 3 3 2" xfId="12936"/>
    <cellStyle name="Input [yellow] 3 2 3 3 3" xfId="24104"/>
    <cellStyle name="Input [yellow] 3 2 3 3 4" xfId="35269"/>
    <cellStyle name="Input [yellow] 3 2 3 3 5" xfId="46462"/>
    <cellStyle name="Input [yellow] 3 2 3 4" xfId="2118"/>
    <cellStyle name="Input [yellow] 3 2 3 4 2" xfId="13315"/>
    <cellStyle name="Input [yellow] 3 2 3 4 3" xfId="24483"/>
    <cellStyle name="Input [yellow] 3 2 3 4 4" xfId="35648"/>
    <cellStyle name="Input [yellow] 3 2 3 4 5" xfId="46841"/>
    <cellStyle name="Input [yellow] 3 2 3 5" xfId="2535"/>
    <cellStyle name="Input [yellow] 3 2 3 5 2" xfId="13732"/>
    <cellStyle name="Input [yellow] 3 2 3 5 3" xfId="24900"/>
    <cellStyle name="Input [yellow] 3 2 3 5 4" xfId="36065"/>
    <cellStyle name="Input [yellow] 3 2 3 5 5" xfId="47258"/>
    <cellStyle name="Input [yellow] 3 2 3 6" xfId="3176"/>
    <cellStyle name="Input [yellow] 3 2 3 6 2" xfId="14373"/>
    <cellStyle name="Input [yellow] 3 2 3 6 3" xfId="25541"/>
    <cellStyle name="Input [yellow] 3 2 3 6 4" xfId="36706"/>
    <cellStyle name="Input [yellow] 3 2 3 6 5" xfId="47899"/>
    <cellStyle name="Input [yellow] 3 2 3 7" xfId="3810"/>
    <cellStyle name="Input [yellow] 3 2 3 7 2" xfId="15007"/>
    <cellStyle name="Input [yellow] 3 2 3 7 3" xfId="26175"/>
    <cellStyle name="Input [yellow] 3 2 3 7 4" xfId="37340"/>
    <cellStyle name="Input [yellow] 3 2 3 7 5" xfId="48533"/>
    <cellStyle name="Input [yellow] 3 2 3 8" xfId="4443"/>
    <cellStyle name="Input [yellow] 3 2 3 8 2" xfId="15640"/>
    <cellStyle name="Input [yellow] 3 2 3 8 3" xfId="26808"/>
    <cellStyle name="Input [yellow] 3 2 3 8 4" xfId="37973"/>
    <cellStyle name="Input [yellow] 3 2 3 8 5" xfId="49166"/>
    <cellStyle name="Input [yellow] 3 2 3 9" xfId="5074"/>
    <cellStyle name="Input [yellow] 3 2 3 9 2" xfId="16271"/>
    <cellStyle name="Input [yellow] 3 2 3 9 3" xfId="27439"/>
    <cellStyle name="Input [yellow] 3 2 3 9 4" xfId="38604"/>
    <cellStyle name="Input [yellow] 3 2 3 9 5" xfId="49797"/>
    <cellStyle name="Input [yellow] 3 2 30" xfId="11272"/>
    <cellStyle name="Input [yellow] 3 2 31" xfId="22445"/>
    <cellStyle name="Input [yellow] 3 2 32" xfId="33612"/>
    <cellStyle name="Input [yellow] 3 2 33" xfId="44796"/>
    <cellStyle name="Input [yellow] 3 2 4" xfId="191"/>
    <cellStyle name="Input [yellow] 3 2 4 10" xfId="5697"/>
    <cellStyle name="Input [yellow] 3 2 4 10 2" xfId="16894"/>
    <cellStyle name="Input [yellow] 3 2 4 10 3" xfId="28062"/>
    <cellStyle name="Input [yellow] 3 2 4 10 4" xfId="39227"/>
    <cellStyle name="Input [yellow] 3 2 4 10 5" xfId="50420"/>
    <cellStyle name="Input [yellow] 3 2 4 11" xfId="5882"/>
    <cellStyle name="Input [yellow] 3 2 4 11 2" xfId="17079"/>
    <cellStyle name="Input [yellow] 3 2 4 11 3" xfId="28247"/>
    <cellStyle name="Input [yellow] 3 2 4 11 4" xfId="39412"/>
    <cellStyle name="Input [yellow] 3 2 4 11 5" xfId="50605"/>
    <cellStyle name="Input [yellow] 3 2 4 12" xfId="6760"/>
    <cellStyle name="Input [yellow] 3 2 4 12 2" xfId="17957"/>
    <cellStyle name="Input [yellow] 3 2 4 12 3" xfId="29125"/>
    <cellStyle name="Input [yellow] 3 2 4 12 4" xfId="40290"/>
    <cellStyle name="Input [yellow] 3 2 4 12 5" xfId="51483"/>
    <cellStyle name="Input [yellow] 3 2 4 13" xfId="7394"/>
    <cellStyle name="Input [yellow] 3 2 4 13 2" xfId="18591"/>
    <cellStyle name="Input [yellow] 3 2 4 13 3" xfId="29759"/>
    <cellStyle name="Input [yellow] 3 2 4 13 4" xfId="40924"/>
    <cellStyle name="Input [yellow] 3 2 4 13 5" xfId="52117"/>
    <cellStyle name="Input [yellow] 3 2 4 14" xfId="8028"/>
    <cellStyle name="Input [yellow] 3 2 4 14 2" xfId="19225"/>
    <cellStyle name="Input [yellow] 3 2 4 14 3" xfId="30393"/>
    <cellStyle name="Input [yellow] 3 2 4 14 4" xfId="41558"/>
    <cellStyle name="Input [yellow] 3 2 4 14 5" xfId="52751"/>
    <cellStyle name="Input [yellow] 3 2 4 15" xfId="8659"/>
    <cellStyle name="Input [yellow] 3 2 4 15 2" xfId="19856"/>
    <cellStyle name="Input [yellow] 3 2 4 15 3" xfId="31024"/>
    <cellStyle name="Input [yellow] 3 2 4 15 4" xfId="42189"/>
    <cellStyle name="Input [yellow] 3 2 4 15 5" xfId="53382"/>
    <cellStyle name="Input [yellow] 3 2 4 16" xfId="8796"/>
    <cellStyle name="Input [yellow] 3 2 4 16 2" xfId="19993"/>
    <cellStyle name="Input [yellow] 3 2 4 16 3" xfId="31161"/>
    <cellStyle name="Input [yellow] 3 2 4 16 4" xfId="42326"/>
    <cellStyle name="Input [yellow] 3 2 4 16 5" xfId="53519"/>
    <cellStyle name="Input [yellow] 3 2 4 17" xfId="9711"/>
    <cellStyle name="Input [yellow] 3 2 4 17 2" xfId="20908"/>
    <cellStyle name="Input [yellow] 3 2 4 17 3" xfId="32076"/>
    <cellStyle name="Input [yellow] 3 2 4 17 4" xfId="43241"/>
    <cellStyle name="Input [yellow] 3 2 4 17 5" xfId="54434"/>
    <cellStyle name="Input [yellow] 3 2 4 18" xfId="9904"/>
    <cellStyle name="Input [yellow] 3 2 4 18 2" xfId="21101"/>
    <cellStyle name="Input [yellow] 3 2 4 18 3" xfId="32269"/>
    <cellStyle name="Input [yellow] 3 2 4 18 4" xfId="43434"/>
    <cellStyle name="Input [yellow] 3 2 4 18 5" xfId="54627"/>
    <cellStyle name="Input [yellow] 3 2 4 19" xfId="10744"/>
    <cellStyle name="Input [yellow] 3 2 4 19 2" xfId="21941"/>
    <cellStyle name="Input [yellow] 3 2 4 19 3" xfId="33109"/>
    <cellStyle name="Input [yellow] 3 2 4 19 4" xfId="44274"/>
    <cellStyle name="Input [yellow] 3 2 4 19 5" xfId="55467"/>
    <cellStyle name="Input [yellow] 3 2 4 2" xfId="840"/>
    <cellStyle name="Input [yellow] 3 2 4 2 2" xfId="12037"/>
    <cellStyle name="Input [yellow] 3 2 4 2 3" xfId="23205"/>
    <cellStyle name="Input [yellow] 3 2 4 2 4" xfId="34370"/>
    <cellStyle name="Input [yellow] 3 2 4 2 5" xfId="45563"/>
    <cellStyle name="Input [yellow] 3 2 4 20" xfId="11391"/>
    <cellStyle name="Input [yellow] 3 2 4 21" xfId="22561"/>
    <cellStyle name="Input [yellow] 3 2 4 22" xfId="33728"/>
    <cellStyle name="Input [yellow] 3 2 4 23" xfId="44914"/>
    <cellStyle name="Input [yellow] 3 2 4 3" xfId="1971"/>
    <cellStyle name="Input [yellow] 3 2 4 3 2" xfId="13168"/>
    <cellStyle name="Input [yellow] 3 2 4 3 3" xfId="24336"/>
    <cellStyle name="Input [yellow] 3 2 4 3 4" xfId="35501"/>
    <cellStyle name="Input [yellow] 3 2 4 3 5" xfId="46694"/>
    <cellStyle name="Input [yellow] 3 2 4 4" xfId="2117"/>
    <cellStyle name="Input [yellow] 3 2 4 4 2" xfId="13314"/>
    <cellStyle name="Input [yellow] 3 2 4 4 3" xfId="24482"/>
    <cellStyle name="Input [yellow] 3 2 4 4 4" xfId="35647"/>
    <cellStyle name="Input [yellow] 3 2 4 4 5" xfId="46840"/>
    <cellStyle name="Input [yellow] 3 2 4 5" xfId="2111"/>
    <cellStyle name="Input [yellow] 3 2 4 5 2" xfId="13308"/>
    <cellStyle name="Input [yellow] 3 2 4 5 3" xfId="24476"/>
    <cellStyle name="Input [yellow] 3 2 4 5 4" xfId="35641"/>
    <cellStyle name="Input [yellow] 3 2 4 5 5" xfId="46834"/>
    <cellStyle name="Input [yellow] 3 2 4 6" xfId="3175"/>
    <cellStyle name="Input [yellow] 3 2 4 6 2" xfId="14372"/>
    <cellStyle name="Input [yellow] 3 2 4 6 3" xfId="25540"/>
    <cellStyle name="Input [yellow] 3 2 4 6 4" xfId="36705"/>
    <cellStyle name="Input [yellow] 3 2 4 6 5" xfId="47898"/>
    <cellStyle name="Input [yellow] 3 2 4 7" xfId="3809"/>
    <cellStyle name="Input [yellow] 3 2 4 7 2" xfId="15006"/>
    <cellStyle name="Input [yellow] 3 2 4 7 3" xfId="26174"/>
    <cellStyle name="Input [yellow] 3 2 4 7 4" xfId="37339"/>
    <cellStyle name="Input [yellow] 3 2 4 7 5" xfId="48532"/>
    <cellStyle name="Input [yellow] 3 2 4 8" xfId="4442"/>
    <cellStyle name="Input [yellow] 3 2 4 8 2" xfId="15639"/>
    <cellStyle name="Input [yellow] 3 2 4 8 3" xfId="26807"/>
    <cellStyle name="Input [yellow] 3 2 4 8 4" xfId="37972"/>
    <cellStyle name="Input [yellow] 3 2 4 8 5" xfId="49165"/>
    <cellStyle name="Input [yellow] 3 2 4 9" xfId="5073"/>
    <cellStyle name="Input [yellow] 3 2 4 9 2" xfId="16270"/>
    <cellStyle name="Input [yellow] 3 2 4 9 3" xfId="27438"/>
    <cellStyle name="Input [yellow] 3 2 4 9 4" xfId="38603"/>
    <cellStyle name="Input [yellow] 3 2 4 9 5" xfId="49796"/>
    <cellStyle name="Input [yellow] 3 2 5" xfId="355"/>
    <cellStyle name="Input [yellow] 3 2 5 10" xfId="5706"/>
    <cellStyle name="Input [yellow] 3 2 5 10 2" xfId="16903"/>
    <cellStyle name="Input [yellow] 3 2 5 10 3" xfId="28071"/>
    <cellStyle name="Input [yellow] 3 2 5 10 4" xfId="39236"/>
    <cellStyle name="Input [yellow] 3 2 5 10 5" xfId="50429"/>
    <cellStyle name="Input [yellow] 3 2 5 11" xfId="6291"/>
    <cellStyle name="Input [yellow] 3 2 5 11 2" xfId="17488"/>
    <cellStyle name="Input [yellow] 3 2 5 11 3" xfId="28656"/>
    <cellStyle name="Input [yellow] 3 2 5 11 4" xfId="39821"/>
    <cellStyle name="Input [yellow] 3 2 5 11 5" xfId="51014"/>
    <cellStyle name="Input [yellow] 3 2 5 12" xfId="6924"/>
    <cellStyle name="Input [yellow] 3 2 5 12 2" xfId="18121"/>
    <cellStyle name="Input [yellow] 3 2 5 12 3" xfId="29289"/>
    <cellStyle name="Input [yellow] 3 2 5 12 4" xfId="40454"/>
    <cellStyle name="Input [yellow] 3 2 5 12 5" xfId="51647"/>
    <cellStyle name="Input [yellow] 3 2 5 13" xfId="7558"/>
    <cellStyle name="Input [yellow] 3 2 5 13 2" xfId="18755"/>
    <cellStyle name="Input [yellow] 3 2 5 13 3" xfId="29923"/>
    <cellStyle name="Input [yellow] 3 2 5 13 4" xfId="41088"/>
    <cellStyle name="Input [yellow] 3 2 5 13 5" xfId="52281"/>
    <cellStyle name="Input [yellow] 3 2 5 14" xfId="8192"/>
    <cellStyle name="Input [yellow] 3 2 5 14 2" xfId="19389"/>
    <cellStyle name="Input [yellow] 3 2 5 14 3" xfId="30557"/>
    <cellStyle name="Input [yellow] 3 2 5 14 4" xfId="41722"/>
    <cellStyle name="Input [yellow] 3 2 5 14 5" xfId="52915"/>
    <cellStyle name="Input [yellow] 3 2 5 15" xfId="8821"/>
    <cellStyle name="Input [yellow] 3 2 5 15 2" xfId="20018"/>
    <cellStyle name="Input [yellow] 3 2 5 15 3" xfId="31186"/>
    <cellStyle name="Input [yellow] 3 2 5 15 4" xfId="42351"/>
    <cellStyle name="Input [yellow] 3 2 5 15 5" xfId="53544"/>
    <cellStyle name="Input [yellow] 3 2 5 16" xfId="9243"/>
    <cellStyle name="Input [yellow] 3 2 5 16 2" xfId="20440"/>
    <cellStyle name="Input [yellow] 3 2 5 16 3" xfId="31608"/>
    <cellStyle name="Input [yellow] 3 2 5 16 4" xfId="42773"/>
    <cellStyle name="Input [yellow] 3 2 5 16 5" xfId="53966"/>
    <cellStyle name="Input [yellow] 3 2 5 17" xfId="9870"/>
    <cellStyle name="Input [yellow] 3 2 5 17 2" xfId="21067"/>
    <cellStyle name="Input [yellow] 3 2 5 17 3" xfId="32235"/>
    <cellStyle name="Input [yellow] 3 2 5 17 4" xfId="43400"/>
    <cellStyle name="Input [yellow] 3 2 5 17 5" xfId="54593"/>
    <cellStyle name="Input [yellow] 3 2 5 18" xfId="10279"/>
    <cellStyle name="Input [yellow] 3 2 5 18 2" xfId="21476"/>
    <cellStyle name="Input [yellow] 3 2 5 18 3" xfId="32644"/>
    <cellStyle name="Input [yellow] 3 2 5 18 4" xfId="43809"/>
    <cellStyle name="Input [yellow] 3 2 5 18 5" xfId="55002"/>
    <cellStyle name="Input [yellow] 3 2 5 19" xfId="10908"/>
    <cellStyle name="Input [yellow] 3 2 5 19 2" xfId="22105"/>
    <cellStyle name="Input [yellow] 3 2 5 19 3" xfId="33273"/>
    <cellStyle name="Input [yellow] 3 2 5 19 4" xfId="44438"/>
    <cellStyle name="Input [yellow] 3 2 5 19 5" xfId="55631"/>
    <cellStyle name="Input [yellow] 3 2 5 2" xfId="1004"/>
    <cellStyle name="Input [yellow] 3 2 5 2 2" xfId="12201"/>
    <cellStyle name="Input [yellow] 3 2 5 2 3" xfId="23369"/>
    <cellStyle name="Input [yellow] 3 2 5 2 4" xfId="34534"/>
    <cellStyle name="Input [yellow] 3 2 5 2 5" xfId="45727"/>
    <cellStyle name="Input [yellow] 3 2 5 20" xfId="11555"/>
    <cellStyle name="Input [yellow] 3 2 5 21" xfId="22725"/>
    <cellStyle name="Input [yellow] 3 2 5 22" xfId="33892"/>
    <cellStyle name="Input [yellow] 3 2 5 23" xfId="45078"/>
    <cellStyle name="Input [yellow] 3 2 5 3" xfId="1540"/>
    <cellStyle name="Input [yellow] 3 2 5 3 2" xfId="12737"/>
    <cellStyle name="Input [yellow] 3 2 5 3 3" xfId="23905"/>
    <cellStyle name="Input [yellow] 3 2 5 3 4" xfId="35070"/>
    <cellStyle name="Input [yellow] 3 2 5 3 5" xfId="46263"/>
    <cellStyle name="Input [yellow] 3 2 5 4" xfId="2280"/>
    <cellStyle name="Input [yellow] 3 2 5 4 2" xfId="13477"/>
    <cellStyle name="Input [yellow] 3 2 5 4 3" xfId="24645"/>
    <cellStyle name="Input [yellow] 3 2 5 4 4" xfId="35810"/>
    <cellStyle name="Input [yellow] 3 2 5 4 5" xfId="47003"/>
    <cellStyle name="Input [yellow] 3 2 5 5" xfId="2705"/>
    <cellStyle name="Input [yellow] 3 2 5 5 2" xfId="13902"/>
    <cellStyle name="Input [yellow] 3 2 5 5 3" xfId="25070"/>
    <cellStyle name="Input [yellow] 3 2 5 5 4" xfId="36235"/>
    <cellStyle name="Input [yellow] 3 2 5 5 5" xfId="47428"/>
    <cellStyle name="Input [yellow] 3 2 5 6" xfId="3339"/>
    <cellStyle name="Input [yellow] 3 2 5 6 2" xfId="14536"/>
    <cellStyle name="Input [yellow] 3 2 5 6 3" xfId="25704"/>
    <cellStyle name="Input [yellow] 3 2 5 6 4" xfId="36869"/>
    <cellStyle name="Input [yellow] 3 2 5 6 5" xfId="48062"/>
    <cellStyle name="Input [yellow] 3 2 5 7" xfId="3973"/>
    <cellStyle name="Input [yellow] 3 2 5 7 2" xfId="15170"/>
    <cellStyle name="Input [yellow] 3 2 5 7 3" xfId="26338"/>
    <cellStyle name="Input [yellow] 3 2 5 7 4" xfId="37503"/>
    <cellStyle name="Input [yellow] 3 2 5 7 5" xfId="48696"/>
    <cellStyle name="Input [yellow] 3 2 5 8" xfId="4606"/>
    <cellStyle name="Input [yellow] 3 2 5 8 2" xfId="15803"/>
    <cellStyle name="Input [yellow] 3 2 5 8 3" xfId="26971"/>
    <cellStyle name="Input [yellow] 3 2 5 8 4" xfId="38136"/>
    <cellStyle name="Input [yellow] 3 2 5 8 5" xfId="49329"/>
    <cellStyle name="Input [yellow] 3 2 5 9" xfId="5237"/>
    <cellStyle name="Input [yellow] 3 2 5 9 2" xfId="16434"/>
    <cellStyle name="Input [yellow] 3 2 5 9 3" xfId="27602"/>
    <cellStyle name="Input [yellow] 3 2 5 9 4" xfId="38767"/>
    <cellStyle name="Input [yellow] 3 2 5 9 5" xfId="49960"/>
    <cellStyle name="Input [yellow] 3 2 6" xfId="405"/>
    <cellStyle name="Input [yellow] 3 2 6 10" xfId="6057"/>
    <cellStyle name="Input [yellow] 3 2 6 10 2" xfId="17254"/>
    <cellStyle name="Input [yellow] 3 2 6 10 3" xfId="28422"/>
    <cellStyle name="Input [yellow] 3 2 6 10 4" xfId="39587"/>
    <cellStyle name="Input [yellow] 3 2 6 10 5" xfId="50780"/>
    <cellStyle name="Input [yellow] 3 2 6 11" xfId="6341"/>
    <cellStyle name="Input [yellow] 3 2 6 11 2" xfId="17538"/>
    <cellStyle name="Input [yellow] 3 2 6 11 3" xfId="28706"/>
    <cellStyle name="Input [yellow] 3 2 6 11 4" xfId="39871"/>
    <cellStyle name="Input [yellow] 3 2 6 11 5" xfId="51064"/>
    <cellStyle name="Input [yellow] 3 2 6 12" xfId="6974"/>
    <cellStyle name="Input [yellow] 3 2 6 12 2" xfId="18171"/>
    <cellStyle name="Input [yellow] 3 2 6 12 3" xfId="29339"/>
    <cellStyle name="Input [yellow] 3 2 6 12 4" xfId="40504"/>
    <cellStyle name="Input [yellow] 3 2 6 12 5" xfId="51697"/>
    <cellStyle name="Input [yellow] 3 2 6 13" xfId="7608"/>
    <cellStyle name="Input [yellow] 3 2 6 13 2" xfId="18805"/>
    <cellStyle name="Input [yellow] 3 2 6 13 3" xfId="29973"/>
    <cellStyle name="Input [yellow] 3 2 6 13 4" xfId="41138"/>
    <cellStyle name="Input [yellow] 3 2 6 13 5" xfId="52331"/>
    <cellStyle name="Input [yellow] 3 2 6 14" xfId="8242"/>
    <cellStyle name="Input [yellow] 3 2 6 14 2" xfId="19439"/>
    <cellStyle name="Input [yellow] 3 2 6 14 3" xfId="30607"/>
    <cellStyle name="Input [yellow] 3 2 6 14 4" xfId="41772"/>
    <cellStyle name="Input [yellow] 3 2 6 14 5" xfId="52965"/>
    <cellStyle name="Input [yellow] 3 2 6 15" xfId="8870"/>
    <cellStyle name="Input [yellow] 3 2 6 15 2" xfId="20067"/>
    <cellStyle name="Input [yellow] 3 2 6 15 3" xfId="31235"/>
    <cellStyle name="Input [yellow] 3 2 6 15 4" xfId="42400"/>
    <cellStyle name="Input [yellow] 3 2 6 15 5" xfId="53593"/>
    <cellStyle name="Input [yellow] 3 2 6 16" xfId="9293"/>
    <cellStyle name="Input [yellow] 3 2 6 16 2" xfId="20490"/>
    <cellStyle name="Input [yellow] 3 2 6 16 3" xfId="31658"/>
    <cellStyle name="Input [yellow] 3 2 6 16 4" xfId="42823"/>
    <cellStyle name="Input [yellow] 3 2 6 16 5" xfId="54016"/>
    <cellStyle name="Input [yellow] 3 2 6 17" xfId="9919"/>
    <cellStyle name="Input [yellow] 3 2 6 17 2" xfId="21116"/>
    <cellStyle name="Input [yellow] 3 2 6 17 3" xfId="32284"/>
    <cellStyle name="Input [yellow] 3 2 6 17 4" xfId="43449"/>
    <cellStyle name="Input [yellow] 3 2 6 17 5" xfId="54642"/>
    <cellStyle name="Input [yellow] 3 2 6 18" xfId="10168"/>
    <cellStyle name="Input [yellow] 3 2 6 18 2" xfId="21365"/>
    <cellStyle name="Input [yellow] 3 2 6 18 3" xfId="32533"/>
    <cellStyle name="Input [yellow] 3 2 6 18 4" xfId="43698"/>
    <cellStyle name="Input [yellow] 3 2 6 18 5" xfId="54891"/>
    <cellStyle name="Input [yellow] 3 2 6 19" xfId="10958"/>
    <cellStyle name="Input [yellow] 3 2 6 19 2" xfId="22155"/>
    <cellStyle name="Input [yellow] 3 2 6 19 3" xfId="33323"/>
    <cellStyle name="Input [yellow] 3 2 6 19 4" xfId="44488"/>
    <cellStyle name="Input [yellow] 3 2 6 19 5" xfId="55681"/>
    <cellStyle name="Input [yellow] 3 2 6 2" xfId="1054"/>
    <cellStyle name="Input [yellow] 3 2 6 2 2" xfId="12251"/>
    <cellStyle name="Input [yellow] 3 2 6 2 3" xfId="23419"/>
    <cellStyle name="Input [yellow] 3 2 6 2 4" xfId="34584"/>
    <cellStyle name="Input [yellow] 3 2 6 2 5" xfId="45777"/>
    <cellStyle name="Input [yellow] 3 2 6 20" xfId="11605"/>
    <cellStyle name="Input [yellow] 3 2 6 21" xfId="22775"/>
    <cellStyle name="Input [yellow] 3 2 6 22" xfId="33942"/>
    <cellStyle name="Input [yellow] 3 2 6 23" xfId="45128"/>
    <cellStyle name="Input [yellow] 3 2 6 3" xfId="1864"/>
    <cellStyle name="Input [yellow] 3 2 6 3 2" xfId="13061"/>
    <cellStyle name="Input [yellow] 3 2 6 3 3" xfId="24229"/>
    <cellStyle name="Input [yellow] 3 2 6 3 4" xfId="35394"/>
    <cellStyle name="Input [yellow] 3 2 6 3 5" xfId="46587"/>
    <cellStyle name="Input [yellow] 3 2 6 4" xfId="2330"/>
    <cellStyle name="Input [yellow] 3 2 6 4 2" xfId="13527"/>
    <cellStyle name="Input [yellow] 3 2 6 4 3" xfId="24695"/>
    <cellStyle name="Input [yellow] 3 2 6 4 4" xfId="35860"/>
    <cellStyle name="Input [yellow] 3 2 6 4 5" xfId="47053"/>
    <cellStyle name="Input [yellow] 3 2 6 5" xfId="2755"/>
    <cellStyle name="Input [yellow] 3 2 6 5 2" xfId="13952"/>
    <cellStyle name="Input [yellow] 3 2 6 5 3" xfId="25120"/>
    <cellStyle name="Input [yellow] 3 2 6 5 4" xfId="36285"/>
    <cellStyle name="Input [yellow] 3 2 6 5 5" xfId="47478"/>
    <cellStyle name="Input [yellow] 3 2 6 6" xfId="3389"/>
    <cellStyle name="Input [yellow] 3 2 6 6 2" xfId="14586"/>
    <cellStyle name="Input [yellow] 3 2 6 6 3" xfId="25754"/>
    <cellStyle name="Input [yellow] 3 2 6 6 4" xfId="36919"/>
    <cellStyle name="Input [yellow] 3 2 6 6 5" xfId="48112"/>
    <cellStyle name="Input [yellow] 3 2 6 7" xfId="4023"/>
    <cellStyle name="Input [yellow] 3 2 6 7 2" xfId="15220"/>
    <cellStyle name="Input [yellow] 3 2 6 7 3" xfId="26388"/>
    <cellStyle name="Input [yellow] 3 2 6 7 4" xfId="37553"/>
    <cellStyle name="Input [yellow] 3 2 6 7 5" xfId="48746"/>
    <cellStyle name="Input [yellow] 3 2 6 8" xfId="4656"/>
    <cellStyle name="Input [yellow] 3 2 6 8 2" xfId="15853"/>
    <cellStyle name="Input [yellow] 3 2 6 8 3" xfId="27021"/>
    <cellStyle name="Input [yellow] 3 2 6 8 4" xfId="38186"/>
    <cellStyle name="Input [yellow] 3 2 6 8 5" xfId="49379"/>
    <cellStyle name="Input [yellow] 3 2 6 9" xfId="5287"/>
    <cellStyle name="Input [yellow] 3 2 6 9 2" xfId="16484"/>
    <cellStyle name="Input [yellow] 3 2 6 9 3" xfId="27652"/>
    <cellStyle name="Input [yellow] 3 2 6 9 4" xfId="38817"/>
    <cellStyle name="Input [yellow] 3 2 6 9 5" xfId="50010"/>
    <cellStyle name="Input [yellow] 3 2 7" xfId="427"/>
    <cellStyle name="Input [yellow] 3 2 7 10" xfId="5913"/>
    <cellStyle name="Input [yellow] 3 2 7 10 2" xfId="17110"/>
    <cellStyle name="Input [yellow] 3 2 7 10 3" xfId="28278"/>
    <cellStyle name="Input [yellow] 3 2 7 10 4" xfId="39443"/>
    <cellStyle name="Input [yellow] 3 2 7 10 5" xfId="50636"/>
    <cellStyle name="Input [yellow] 3 2 7 11" xfId="6363"/>
    <cellStyle name="Input [yellow] 3 2 7 11 2" xfId="17560"/>
    <cellStyle name="Input [yellow] 3 2 7 11 3" xfId="28728"/>
    <cellStyle name="Input [yellow] 3 2 7 11 4" xfId="39893"/>
    <cellStyle name="Input [yellow] 3 2 7 11 5" xfId="51086"/>
    <cellStyle name="Input [yellow] 3 2 7 12" xfId="6996"/>
    <cellStyle name="Input [yellow] 3 2 7 12 2" xfId="18193"/>
    <cellStyle name="Input [yellow] 3 2 7 12 3" xfId="29361"/>
    <cellStyle name="Input [yellow] 3 2 7 12 4" xfId="40526"/>
    <cellStyle name="Input [yellow] 3 2 7 12 5" xfId="51719"/>
    <cellStyle name="Input [yellow] 3 2 7 13" xfId="7630"/>
    <cellStyle name="Input [yellow] 3 2 7 13 2" xfId="18827"/>
    <cellStyle name="Input [yellow] 3 2 7 13 3" xfId="29995"/>
    <cellStyle name="Input [yellow] 3 2 7 13 4" xfId="41160"/>
    <cellStyle name="Input [yellow] 3 2 7 13 5" xfId="52353"/>
    <cellStyle name="Input [yellow] 3 2 7 14" xfId="8264"/>
    <cellStyle name="Input [yellow] 3 2 7 14 2" xfId="19461"/>
    <cellStyle name="Input [yellow] 3 2 7 14 3" xfId="30629"/>
    <cellStyle name="Input [yellow] 3 2 7 14 4" xfId="41794"/>
    <cellStyle name="Input [yellow] 3 2 7 14 5" xfId="52987"/>
    <cellStyle name="Input [yellow] 3 2 7 15" xfId="8892"/>
    <cellStyle name="Input [yellow] 3 2 7 15 2" xfId="20089"/>
    <cellStyle name="Input [yellow] 3 2 7 15 3" xfId="31257"/>
    <cellStyle name="Input [yellow] 3 2 7 15 4" xfId="42422"/>
    <cellStyle name="Input [yellow] 3 2 7 15 5" xfId="53615"/>
    <cellStyle name="Input [yellow] 3 2 7 16" xfId="9315"/>
    <cellStyle name="Input [yellow] 3 2 7 16 2" xfId="20512"/>
    <cellStyle name="Input [yellow] 3 2 7 16 3" xfId="31680"/>
    <cellStyle name="Input [yellow] 3 2 7 16 4" xfId="42845"/>
    <cellStyle name="Input [yellow] 3 2 7 16 5" xfId="54038"/>
    <cellStyle name="Input [yellow] 3 2 7 17" xfId="9941"/>
    <cellStyle name="Input [yellow] 3 2 7 17 2" xfId="21138"/>
    <cellStyle name="Input [yellow] 3 2 7 17 3" xfId="32306"/>
    <cellStyle name="Input [yellow] 3 2 7 17 4" xfId="43471"/>
    <cellStyle name="Input [yellow] 3 2 7 17 5" xfId="54664"/>
    <cellStyle name="Input [yellow] 3 2 7 18" xfId="9611"/>
    <cellStyle name="Input [yellow] 3 2 7 18 2" xfId="20808"/>
    <cellStyle name="Input [yellow] 3 2 7 18 3" xfId="31976"/>
    <cellStyle name="Input [yellow] 3 2 7 18 4" xfId="43141"/>
    <cellStyle name="Input [yellow] 3 2 7 18 5" xfId="54334"/>
    <cellStyle name="Input [yellow] 3 2 7 19" xfId="10980"/>
    <cellStyle name="Input [yellow] 3 2 7 19 2" xfId="22177"/>
    <cellStyle name="Input [yellow] 3 2 7 19 3" xfId="33345"/>
    <cellStyle name="Input [yellow] 3 2 7 19 4" xfId="44510"/>
    <cellStyle name="Input [yellow] 3 2 7 19 5" xfId="55703"/>
    <cellStyle name="Input [yellow] 3 2 7 2" xfId="1076"/>
    <cellStyle name="Input [yellow] 3 2 7 2 2" xfId="12273"/>
    <cellStyle name="Input [yellow] 3 2 7 2 3" xfId="23441"/>
    <cellStyle name="Input [yellow] 3 2 7 2 4" xfId="34606"/>
    <cellStyle name="Input [yellow] 3 2 7 2 5" xfId="45799"/>
    <cellStyle name="Input [yellow] 3 2 7 20" xfId="11627"/>
    <cellStyle name="Input [yellow] 3 2 7 21" xfId="22797"/>
    <cellStyle name="Input [yellow] 3 2 7 22" xfId="33964"/>
    <cellStyle name="Input [yellow] 3 2 7 23" xfId="45150"/>
    <cellStyle name="Input [yellow] 3 2 7 3" xfId="1855"/>
    <cellStyle name="Input [yellow] 3 2 7 3 2" xfId="13052"/>
    <cellStyle name="Input [yellow] 3 2 7 3 3" xfId="24220"/>
    <cellStyle name="Input [yellow] 3 2 7 3 4" xfId="35385"/>
    <cellStyle name="Input [yellow] 3 2 7 3 5" xfId="46578"/>
    <cellStyle name="Input [yellow] 3 2 7 4" xfId="2352"/>
    <cellStyle name="Input [yellow] 3 2 7 4 2" xfId="13549"/>
    <cellStyle name="Input [yellow] 3 2 7 4 3" xfId="24717"/>
    <cellStyle name="Input [yellow] 3 2 7 4 4" xfId="35882"/>
    <cellStyle name="Input [yellow] 3 2 7 4 5" xfId="47075"/>
    <cellStyle name="Input [yellow] 3 2 7 5" xfId="2777"/>
    <cellStyle name="Input [yellow] 3 2 7 5 2" xfId="13974"/>
    <cellStyle name="Input [yellow] 3 2 7 5 3" xfId="25142"/>
    <cellStyle name="Input [yellow] 3 2 7 5 4" xfId="36307"/>
    <cellStyle name="Input [yellow] 3 2 7 5 5" xfId="47500"/>
    <cellStyle name="Input [yellow] 3 2 7 6" xfId="3411"/>
    <cellStyle name="Input [yellow] 3 2 7 6 2" xfId="14608"/>
    <cellStyle name="Input [yellow] 3 2 7 6 3" xfId="25776"/>
    <cellStyle name="Input [yellow] 3 2 7 6 4" xfId="36941"/>
    <cellStyle name="Input [yellow] 3 2 7 6 5" xfId="48134"/>
    <cellStyle name="Input [yellow] 3 2 7 7" xfId="4045"/>
    <cellStyle name="Input [yellow] 3 2 7 7 2" xfId="15242"/>
    <cellStyle name="Input [yellow] 3 2 7 7 3" xfId="26410"/>
    <cellStyle name="Input [yellow] 3 2 7 7 4" xfId="37575"/>
    <cellStyle name="Input [yellow] 3 2 7 7 5" xfId="48768"/>
    <cellStyle name="Input [yellow] 3 2 7 8" xfId="4678"/>
    <cellStyle name="Input [yellow] 3 2 7 8 2" xfId="15875"/>
    <cellStyle name="Input [yellow] 3 2 7 8 3" xfId="27043"/>
    <cellStyle name="Input [yellow] 3 2 7 8 4" xfId="38208"/>
    <cellStyle name="Input [yellow] 3 2 7 8 5" xfId="49401"/>
    <cellStyle name="Input [yellow] 3 2 7 9" xfId="5309"/>
    <cellStyle name="Input [yellow] 3 2 7 9 2" xfId="16506"/>
    <cellStyle name="Input [yellow] 3 2 7 9 3" xfId="27674"/>
    <cellStyle name="Input [yellow] 3 2 7 9 4" xfId="38839"/>
    <cellStyle name="Input [yellow] 3 2 7 9 5" xfId="50032"/>
    <cellStyle name="Input [yellow] 3 2 8" xfId="480"/>
    <cellStyle name="Input [yellow] 3 2 8 10" xfId="6115"/>
    <cellStyle name="Input [yellow] 3 2 8 10 2" xfId="17312"/>
    <cellStyle name="Input [yellow] 3 2 8 10 3" xfId="28480"/>
    <cellStyle name="Input [yellow] 3 2 8 10 4" xfId="39645"/>
    <cellStyle name="Input [yellow] 3 2 8 10 5" xfId="50838"/>
    <cellStyle name="Input [yellow] 3 2 8 11" xfId="6416"/>
    <cellStyle name="Input [yellow] 3 2 8 11 2" xfId="17613"/>
    <cellStyle name="Input [yellow] 3 2 8 11 3" xfId="28781"/>
    <cellStyle name="Input [yellow] 3 2 8 11 4" xfId="39946"/>
    <cellStyle name="Input [yellow] 3 2 8 11 5" xfId="51139"/>
    <cellStyle name="Input [yellow] 3 2 8 12" xfId="7049"/>
    <cellStyle name="Input [yellow] 3 2 8 12 2" xfId="18246"/>
    <cellStyle name="Input [yellow] 3 2 8 12 3" xfId="29414"/>
    <cellStyle name="Input [yellow] 3 2 8 12 4" xfId="40579"/>
    <cellStyle name="Input [yellow] 3 2 8 12 5" xfId="51772"/>
    <cellStyle name="Input [yellow] 3 2 8 13" xfId="7683"/>
    <cellStyle name="Input [yellow] 3 2 8 13 2" xfId="18880"/>
    <cellStyle name="Input [yellow] 3 2 8 13 3" xfId="30048"/>
    <cellStyle name="Input [yellow] 3 2 8 13 4" xfId="41213"/>
    <cellStyle name="Input [yellow] 3 2 8 13 5" xfId="52406"/>
    <cellStyle name="Input [yellow] 3 2 8 14" xfId="8317"/>
    <cellStyle name="Input [yellow] 3 2 8 14 2" xfId="19514"/>
    <cellStyle name="Input [yellow] 3 2 8 14 3" xfId="30682"/>
    <cellStyle name="Input [yellow] 3 2 8 14 4" xfId="41847"/>
    <cellStyle name="Input [yellow] 3 2 8 14 5" xfId="53040"/>
    <cellStyle name="Input [yellow] 3 2 8 15" xfId="8945"/>
    <cellStyle name="Input [yellow] 3 2 8 15 2" xfId="20142"/>
    <cellStyle name="Input [yellow] 3 2 8 15 3" xfId="31310"/>
    <cellStyle name="Input [yellow] 3 2 8 15 4" xfId="42475"/>
    <cellStyle name="Input [yellow] 3 2 8 15 5" xfId="53668"/>
    <cellStyle name="Input [yellow] 3 2 8 16" xfId="9368"/>
    <cellStyle name="Input [yellow] 3 2 8 16 2" xfId="20565"/>
    <cellStyle name="Input [yellow] 3 2 8 16 3" xfId="31733"/>
    <cellStyle name="Input [yellow] 3 2 8 16 4" xfId="42898"/>
    <cellStyle name="Input [yellow] 3 2 8 16 5" xfId="54091"/>
    <cellStyle name="Input [yellow] 3 2 8 17" xfId="9994"/>
    <cellStyle name="Input [yellow] 3 2 8 17 2" xfId="21191"/>
    <cellStyle name="Input [yellow] 3 2 8 17 3" xfId="32359"/>
    <cellStyle name="Input [yellow] 3 2 8 17 4" xfId="43524"/>
    <cellStyle name="Input [yellow] 3 2 8 17 5" xfId="54717"/>
    <cellStyle name="Input [yellow] 3 2 8 18" xfId="10333"/>
    <cellStyle name="Input [yellow] 3 2 8 18 2" xfId="21530"/>
    <cellStyle name="Input [yellow] 3 2 8 18 3" xfId="32698"/>
    <cellStyle name="Input [yellow] 3 2 8 18 4" xfId="43863"/>
    <cellStyle name="Input [yellow] 3 2 8 18 5" xfId="55056"/>
    <cellStyle name="Input [yellow] 3 2 8 19" xfId="11033"/>
    <cellStyle name="Input [yellow] 3 2 8 19 2" xfId="22230"/>
    <cellStyle name="Input [yellow] 3 2 8 19 3" xfId="33398"/>
    <cellStyle name="Input [yellow] 3 2 8 19 4" xfId="44563"/>
    <cellStyle name="Input [yellow] 3 2 8 19 5" xfId="55756"/>
    <cellStyle name="Input [yellow] 3 2 8 2" xfId="1129"/>
    <cellStyle name="Input [yellow] 3 2 8 2 2" xfId="12326"/>
    <cellStyle name="Input [yellow] 3 2 8 2 3" xfId="23494"/>
    <cellStyle name="Input [yellow] 3 2 8 2 4" xfId="34659"/>
    <cellStyle name="Input [yellow] 3 2 8 2 5" xfId="45852"/>
    <cellStyle name="Input [yellow] 3 2 8 20" xfId="11680"/>
    <cellStyle name="Input [yellow] 3 2 8 21" xfId="22850"/>
    <cellStyle name="Input [yellow] 3 2 8 22" xfId="34017"/>
    <cellStyle name="Input [yellow] 3 2 8 23" xfId="45203"/>
    <cellStyle name="Input [yellow] 3 2 8 3" xfId="1605"/>
    <cellStyle name="Input [yellow] 3 2 8 3 2" xfId="12802"/>
    <cellStyle name="Input [yellow] 3 2 8 3 3" xfId="23970"/>
    <cellStyle name="Input [yellow] 3 2 8 3 4" xfId="35135"/>
    <cellStyle name="Input [yellow] 3 2 8 3 5" xfId="46328"/>
    <cellStyle name="Input [yellow] 3 2 8 4" xfId="2405"/>
    <cellStyle name="Input [yellow] 3 2 8 4 2" xfId="13602"/>
    <cellStyle name="Input [yellow] 3 2 8 4 3" xfId="24770"/>
    <cellStyle name="Input [yellow] 3 2 8 4 4" xfId="35935"/>
    <cellStyle name="Input [yellow] 3 2 8 4 5" xfId="47128"/>
    <cellStyle name="Input [yellow] 3 2 8 5" xfId="2830"/>
    <cellStyle name="Input [yellow] 3 2 8 5 2" xfId="14027"/>
    <cellStyle name="Input [yellow] 3 2 8 5 3" xfId="25195"/>
    <cellStyle name="Input [yellow] 3 2 8 5 4" xfId="36360"/>
    <cellStyle name="Input [yellow] 3 2 8 5 5" xfId="47553"/>
    <cellStyle name="Input [yellow] 3 2 8 6" xfId="3464"/>
    <cellStyle name="Input [yellow] 3 2 8 6 2" xfId="14661"/>
    <cellStyle name="Input [yellow] 3 2 8 6 3" xfId="25829"/>
    <cellStyle name="Input [yellow] 3 2 8 6 4" xfId="36994"/>
    <cellStyle name="Input [yellow] 3 2 8 6 5" xfId="48187"/>
    <cellStyle name="Input [yellow] 3 2 8 7" xfId="4098"/>
    <cellStyle name="Input [yellow] 3 2 8 7 2" xfId="15295"/>
    <cellStyle name="Input [yellow] 3 2 8 7 3" xfId="26463"/>
    <cellStyle name="Input [yellow] 3 2 8 7 4" xfId="37628"/>
    <cellStyle name="Input [yellow] 3 2 8 7 5" xfId="48821"/>
    <cellStyle name="Input [yellow] 3 2 8 8" xfId="4731"/>
    <cellStyle name="Input [yellow] 3 2 8 8 2" xfId="15928"/>
    <cellStyle name="Input [yellow] 3 2 8 8 3" xfId="27096"/>
    <cellStyle name="Input [yellow] 3 2 8 8 4" xfId="38261"/>
    <cellStyle name="Input [yellow] 3 2 8 8 5" xfId="49454"/>
    <cellStyle name="Input [yellow] 3 2 8 9" xfId="5362"/>
    <cellStyle name="Input [yellow] 3 2 8 9 2" xfId="16559"/>
    <cellStyle name="Input [yellow] 3 2 8 9 3" xfId="27727"/>
    <cellStyle name="Input [yellow] 3 2 8 9 4" xfId="38892"/>
    <cellStyle name="Input [yellow] 3 2 8 9 5" xfId="50085"/>
    <cellStyle name="Input [yellow] 3 2 9" xfId="538"/>
    <cellStyle name="Input [yellow] 3 2 9 10" xfId="5911"/>
    <cellStyle name="Input [yellow] 3 2 9 10 2" xfId="17108"/>
    <cellStyle name="Input [yellow] 3 2 9 10 3" xfId="28276"/>
    <cellStyle name="Input [yellow] 3 2 9 10 4" xfId="39441"/>
    <cellStyle name="Input [yellow] 3 2 9 10 5" xfId="50634"/>
    <cellStyle name="Input [yellow] 3 2 9 11" xfId="6474"/>
    <cellStyle name="Input [yellow] 3 2 9 11 2" xfId="17671"/>
    <cellStyle name="Input [yellow] 3 2 9 11 3" xfId="28839"/>
    <cellStyle name="Input [yellow] 3 2 9 11 4" xfId="40004"/>
    <cellStyle name="Input [yellow] 3 2 9 11 5" xfId="51197"/>
    <cellStyle name="Input [yellow] 3 2 9 12" xfId="7107"/>
    <cellStyle name="Input [yellow] 3 2 9 12 2" xfId="18304"/>
    <cellStyle name="Input [yellow] 3 2 9 12 3" xfId="29472"/>
    <cellStyle name="Input [yellow] 3 2 9 12 4" xfId="40637"/>
    <cellStyle name="Input [yellow] 3 2 9 12 5" xfId="51830"/>
    <cellStyle name="Input [yellow] 3 2 9 13" xfId="7741"/>
    <cellStyle name="Input [yellow] 3 2 9 13 2" xfId="18938"/>
    <cellStyle name="Input [yellow] 3 2 9 13 3" xfId="30106"/>
    <cellStyle name="Input [yellow] 3 2 9 13 4" xfId="41271"/>
    <cellStyle name="Input [yellow] 3 2 9 13 5" xfId="52464"/>
    <cellStyle name="Input [yellow] 3 2 9 14" xfId="8375"/>
    <cellStyle name="Input [yellow] 3 2 9 14 2" xfId="19572"/>
    <cellStyle name="Input [yellow] 3 2 9 14 3" xfId="30740"/>
    <cellStyle name="Input [yellow] 3 2 9 14 4" xfId="41905"/>
    <cellStyle name="Input [yellow] 3 2 9 14 5" xfId="53098"/>
    <cellStyle name="Input [yellow] 3 2 9 15" xfId="9003"/>
    <cellStyle name="Input [yellow] 3 2 9 15 2" xfId="20200"/>
    <cellStyle name="Input [yellow] 3 2 9 15 3" xfId="31368"/>
    <cellStyle name="Input [yellow] 3 2 9 15 4" xfId="42533"/>
    <cellStyle name="Input [yellow] 3 2 9 15 5" xfId="53726"/>
    <cellStyle name="Input [yellow] 3 2 9 16" xfId="9426"/>
    <cellStyle name="Input [yellow] 3 2 9 16 2" xfId="20623"/>
    <cellStyle name="Input [yellow] 3 2 9 16 3" xfId="31791"/>
    <cellStyle name="Input [yellow] 3 2 9 16 4" xfId="42956"/>
    <cellStyle name="Input [yellow] 3 2 9 16 5" xfId="54149"/>
    <cellStyle name="Input [yellow] 3 2 9 17" xfId="10051"/>
    <cellStyle name="Input [yellow] 3 2 9 17 2" xfId="21248"/>
    <cellStyle name="Input [yellow] 3 2 9 17 3" xfId="32416"/>
    <cellStyle name="Input [yellow] 3 2 9 17 4" xfId="43581"/>
    <cellStyle name="Input [yellow] 3 2 9 17 5" xfId="54774"/>
    <cellStyle name="Input [yellow] 3 2 9 18" xfId="10144"/>
    <cellStyle name="Input [yellow] 3 2 9 18 2" xfId="21341"/>
    <cellStyle name="Input [yellow] 3 2 9 18 3" xfId="32509"/>
    <cellStyle name="Input [yellow] 3 2 9 18 4" xfId="43674"/>
    <cellStyle name="Input [yellow] 3 2 9 18 5" xfId="54867"/>
    <cellStyle name="Input [yellow] 3 2 9 19" xfId="11091"/>
    <cellStyle name="Input [yellow] 3 2 9 19 2" xfId="22288"/>
    <cellStyle name="Input [yellow] 3 2 9 19 3" xfId="33456"/>
    <cellStyle name="Input [yellow] 3 2 9 19 4" xfId="44621"/>
    <cellStyle name="Input [yellow] 3 2 9 19 5" xfId="55814"/>
    <cellStyle name="Input [yellow] 3 2 9 2" xfId="1187"/>
    <cellStyle name="Input [yellow] 3 2 9 2 2" xfId="12384"/>
    <cellStyle name="Input [yellow] 3 2 9 2 3" xfId="23552"/>
    <cellStyle name="Input [yellow] 3 2 9 2 4" xfId="34717"/>
    <cellStyle name="Input [yellow] 3 2 9 2 5" xfId="45910"/>
    <cellStyle name="Input [yellow] 3 2 9 20" xfId="11738"/>
    <cellStyle name="Input [yellow] 3 2 9 21" xfId="22908"/>
    <cellStyle name="Input [yellow] 3 2 9 22" xfId="34075"/>
    <cellStyle name="Input [yellow] 3 2 9 23" xfId="45261"/>
    <cellStyle name="Input [yellow] 3 2 9 3" xfId="1441"/>
    <cellStyle name="Input [yellow] 3 2 9 3 2" xfId="12638"/>
    <cellStyle name="Input [yellow] 3 2 9 3 3" xfId="23806"/>
    <cellStyle name="Input [yellow] 3 2 9 3 4" xfId="34971"/>
    <cellStyle name="Input [yellow] 3 2 9 3 5" xfId="46164"/>
    <cellStyle name="Input [yellow] 3 2 9 4" xfId="2463"/>
    <cellStyle name="Input [yellow] 3 2 9 4 2" xfId="13660"/>
    <cellStyle name="Input [yellow] 3 2 9 4 3" xfId="24828"/>
    <cellStyle name="Input [yellow] 3 2 9 4 4" xfId="35993"/>
    <cellStyle name="Input [yellow] 3 2 9 4 5" xfId="47186"/>
    <cellStyle name="Input [yellow] 3 2 9 5" xfId="2888"/>
    <cellStyle name="Input [yellow] 3 2 9 5 2" xfId="14085"/>
    <cellStyle name="Input [yellow] 3 2 9 5 3" xfId="25253"/>
    <cellStyle name="Input [yellow] 3 2 9 5 4" xfId="36418"/>
    <cellStyle name="Input [yellow] 3 2 9 5 5" xfId="47611"/>
    <cellStyle name="Input [yellow] 3 2 9 6" xfId="3522"/>
    <cellStyle name="Input [yellow] 3 2 9 6 2" xfId="14719"/>
    <cellStyle name="Input [yellow] 3 2 9 6 3" xfId="25887"/>
    <cellStyle name="Input [yellow] 3 2 9 6 4" xfId="37052"/>
    <cellStyle name="Input [yellow] 3 2 9 6 5" xfId="48245"/>
    <cellStyle name="Input [yellow] 3 2 9 7" xfId="4156"/>
    <cellStyle name="Input [yellow] 3 2 9 7 2" xfId="15353"/>
    <cellStyle name="Input [yellow] 3 2 9 7 3" xfId="26521"/>
    <cellStyle name="Input [yellow] 3 2 9 7 4" xfId="37686"/>
    <cellStyle name="Input [yellow] 3 2 9 7 5" xfId="48879"/>
    <cellStyle name="Input [yellow] 3 2 9 8" xfId="4789"/>
    <cellStyle name="Input [yellow] 3 2 9 8 2" xfId="15986"/>
    <cellStyle name="Input [yellow] 3 2 9 8 3" xfId="27154"/>
    <cellStyle name="Input [yellow] 3 2 9 8 4" xfId="38319"/>
    <cellStyle name="Input [yellow] 3 2 9 8 5" xfId="49512"/>
    <cellStyle name="Input [yellow] 3 2 9 9" xfId="5420"/>
    <cellStyle name="Input [yellow] 3 2 9 9 2" xfId="16617"/>
    <cellStyle name="Input [yellow] 3 2 9 9 3" xfId="27785"/>
    <cellStyle name="Input [yellow] 3 2 9 9 4" xfId="38950"/>
    <cellStyle name="Input [yellow] 3 2 9 9 5" xfId="50143"/>
    <cellStyle name="Input [yellow] 3 20" xfId="58"/>
    <cellStyle name="Input [yellow] 3 20 10" xfId="6012"/>
    <cellStyle name="Input [yellow] 3 20 10 2" xfId="17209"/>
    <cellStyle name="Input [yellow] 3 20 10 3" xfId="28377"/>
    <cellStyle name="Input [yellow] 3 20 10 4" xfId="39542"/>
    <cellStyle name="Input [yellow] 3 20 10 5" xfId="50735"/>
    <cellStyle name="Input [yellow] 3 20 11" xfId="5714"/>
    <cellStyle name="Input [yellow] 3 20 11 2" xfId="16911"/>
    <cellStyle name="Input [yellow] 3 20 11 3" xfId="28079"/>
    <cellStyle name="Input [yellow] 3 20 11 4" xfId="39244"/>
    <cellStyle name="Input [yellow] 3 20 11 5" xfId="50437"/>
    <cellStyle name="Input [yellow] 3 20 12" xfId="6629"/>
    <cellStyle name="Input [yellow] 3 20 12 2" xfId="17826"/>
    <cellStyle name="Input [yellow] 3 20 12 3" xfId="28994"/>
    <cellStyle name="Input [yellow] 3 20 12 4" xfId="40159"/>
    <cellStyle name="Input [yellow] 3 20 12 5" xfId="51352"/>
    <cellStyle name="Input [yellow] 3 20 13" xfId="7262"/>
    <cellStyle name="Input [yellow] 3 20 13 2" xfId="18459"/>
    <cellStyle name="Input [yellow] 3 20 13 3" xfId="29627"/>
    <cellStyle name="Input [yellow] 3 20 13 4" xfId="40792"/>
    <cellStyle name="Input [yellow] 3 20 13 5" xfId="51985"/>
    <cellStyle name="Input [yellow] 3 20 14" xfId="7896"/>
    <cellStyle name="Input [yellow] 3 20 14 2" xfId="19093"/>
    <cellStyle name="Input [yellow] 3 20 14 3" xfId="30261"/>
    <cellStyle name="Input [yellow] 3 20 14 4" xfId="41426"/>
    <cellStyle name="Input [yellow] 3 20 14 5" xfId="52619"/>
    <cellStyle name="Input [yellow] 3 20 15" xfId="7270"/>
    <cellStyle name="Input [yellow] 3 20 15 2" xfId="18467"/>
    <cellStyle name="Input [yellow] 3 20 15 3" xfId="29635"/>
    <cellStyle name="Input [yellow] 3 20 15 4" xfId="40800"/>
    <cellStyle name="Input [yellow] 3 20 15 5" xfId="51993"/>
    <cellStyle name="Input [yellow] 3 20 16" xfId="8785"/>
    <cellStyle name="Input [yellow] 3 20 16 2" xfId="19982"/>
    <cellStyle name="Input [yellow] 3 20 16 3" xfId="31150"/>
    <cellStyle name="Input [yellow] 3 20 16 4" xfId="42315"/>
    <cellStyle name="Input [yellow] 3 20 16 5" xfId="53508"/>
    <cellStyle name="Input [yellow] 3 20 17" xfId="9581"/>
    <cellStyle name="Input [yellow] 3 20 17 2" xfId="20778"/>
    <cellStyle name="Input [yellow] 3 20 17 3" xfId="31946"/>
    <cellStyle name="Input [yellow] 3 20 17 4" xfId="43111"/>
    <cellStyle name="Input [yellow] 3 20 17 5" xfId="54304"/>
    <cellStyle name="Input [yellow] 3 20 18" xfId="10207"/>
    <cellStyle name="Input [yellow] 3 20 18 2" xfId="21404"/>
    <cellStyle name="Input [yellow] 3 20 18 3" xfId="32572"/>
    <cellStyle name="Input [yellow] 3 20 18 4" xfId="43737"/>
    <cellStyle name="Input [yellow] 3 20 18 5" xfId="54930"/>
    <cellStyle name="Input [yellow] 3 20 19" xfId="10622"/>
    <cellStyle name="Input [yellow] 3 20 19 2" xfId="21819"/>
    <cellStyle name="Input [yellow] 3 20 19 3" xfId="32987"/>
    <cellStyle name="Input [yellow] 3 20 19 4" xfId="44152"/>
    <cellStyle name="Input [yellow] 3 20 19 5" xfId="55345"/>
    <cellStyle name="Input [yellow] 3 20 2" xfId="713"/>
    <cellStyle name="Input [yellow] 3 20 2 2" xfId="11912"/>
    <cellStyle name="Input [yellow] 3 20 2 3" xfId="23081"/>
    <cellStyle name="Input [yellow] 3 20 2 4" xfId="34248"/>
    <cellStyle name="Input [yellow] 3 20 2 5" xfId="45436"/>
    <cellStyle name="Input [yellow] 3 20 20" xfId="11260"/>
    <cellStyle name="Input [yellow] 3 20 21" xfId="11250"/>
    <cellStyle name="Input [yellow] 3 20 22" xfId="11901"/>
    <cellStyle name="Input [yellow] 3 20 23" xfId="44787"/>
    <cellStyle name="Input [yellow] 3 20 3" xfId="1504"/>
    <cellStyle name="Input [yellow] 3 20 3 2" xfId="12701"/>
    <cellStyle name="Input [yellow] 3 20 3 3" xfId="23869"/>
    <cellStyle name="Input [yellow] 3 20 3 4" xfId="35034"/>
    <cellStyle name="Input [yellow] 3 20 3 5" xfId="46227"/>
    <cellStyle name="Input [yellow] 3 20 4" xfId="1987"/>
    <cellStyle name="Input [yellow] 3 20 4 2" xfId="13184"/>
    <cellStyle name="Input [yellow] 3 20 4 3" xfId="24352"/>
    <cellStyle name="Input [yellow] 3 20 4 4" xfId="35517"/>
    <cellStyle name="Input [yellow] 3 20 4 5" xfId="46710"/>
    <cellStyle name="Input [yellow] 3 20 5" xfId="2100"/>
    <cellStyle name="Input [yellow] 3 20 5 2" xfId="13297"/>
    <cellStyle name="Input [yellow] 3 20 5 3" xfId="24465"/>
    <cellStyle name="Input [yellow] 3 20 5 4" xfId="35630"/>
    <cellStyle name="Input [yellow] 3 20 5 5" xfId="46823"/>
    <cellStyle name="Input [yellow] 3 20 6" xfId="3043"/>
    <cellStyle name="Input [yellow] 3 20 6 2" xfId="14240"/>
    <cellStyle name="Input [yellow] 3 20 6 3" xfId="25408"/>
    <cellStyle name="Input [yellow] 3 20 6 4" xfId="36573"/>
    <cellStyle name="Input [yellow] 3 20 6 5" xfId="47766"/>
    <cellStyle name="Input [yellow] 3 20 7" xfId="3677"/>
    <cellStyle name="Input [yellow] 3 20 7 2" xfId="14874"/>
    <cellStyle name="Input [yellow] 3 20 7 3" xfId="26042"/>
    <cellStyle name="Input [yellow] 3 20 7 4" xfId="37207"/>
    <cellStyle name="Input [yellow] 3 20 7 5" xfId="48400"/>
    <cellStyle name="Input [yellow] 3 20 8" xfId="3052"/>
    <cellStyle name="Input [yellow] 3 20 8 2" xfId="14249"/>
    <cellStyle name="Input [yellow] 3 20 8 3" xfId="25417"/>
    <cellStyle name="Input [yellow] 3 20 8 4" xfId="36582"/>
    <cellStyle name="Input [yellow] 3 20 8 5" xfId="47775"/>
    <cellStyle name="Input [yellow] 3 20 9" xfId="3044"/>
    <cellStyle name="Input [yellow] 3 20 9 2" xfId="14241"/>
    <cellStyle name="Input [yellow] 3 20 9 3" xfId="25409"/>
    <cellStyle name="Input [yellow] 3 20 9 4" xfId="36574"/>
    <cellStyle name="Input [yellow] 3 20 9 5" xfId="47767"/>
    <cellStyle name="Input [yellow] 3 21" xfId="247"/>
    <cellStyle name="Input [yellow] 3 21 10" xfId="5683"/>
    <cellStyle name="Input [yellow] 3 21 10 2" xfId="16880"/>
    <cellStyle name="Input [yellow] 3 21 10 3" xfId="28048"/>
    <cellStyle name="Input [yellow] 3 21 10 4" xfId="39213"/>
    <cellStyle name="Input [yellow] 3 21 10 5" xfId="50406"/>
    <cellStyle name="Input [yellow] 3 21 11" xfId="5644"/>
    <cellStyle name="Input [yellow] 3 21 11 2" xfId="16841"/>
    <cellStyle name="Input [yellow] 3 21 11 3" xfId="28009"/>
    <cellStyle name="Input [yellow] 3 21 11 4" xfId="39174"/>
    <cellStyle name="Input [yellow] 3 21 11 5" xfId="50367"/>
    <cellStyle name="Input [yellow] 3 21 12" xfId="6816"/>
    <cellStyle name="Input [yellow] 3 21 12 2" xfId="18013"/>
    <cellStyle name="Input [yellow] 3 21 12 3" xfId="29181"/>
    <cellStyle name="Input [yellow] 3 21 12 4" xfId="40346"/>
    <cellStyle name="Input [yellow] 3 21 12 5" xfId="51539"/>
    <cellStyle name="Input [yellow] 3 21 13" xfId="7450"/>
    <cellStyle name="Input [yellow] 3 21 13 2" xfId="18647"/>
    <cellStyle name="Input [yellow] 3 21 13 3" xfId="29815"/>
    <cellStyle name="Input [yellow] 3 21 13 4" xfId="40980"/>
    <cellStyle name="Input [yellow] 3 21 13 5" xfId="52173"/>
    <cellStyle name="Input [yellow] 3 21 14" xfId="8084"/>
    <cellStyle name="Input [yellow] 3 21 14 2" xfId="19281"/>
    <cellStyle name="Input [yellow] 3 21 14 3" xfId="30449"/>
    <cellStyle name="Input [yellow] 3 21 14 4" xfId="41614"/>
    <cellStyle name="Input [yellow] 3 21 14 5" xfId="52807"/>
    <cellStyle name="Input [yellow] 3 21 15" xfId="8715"/>
    <cellStyle name="Input [yellow] 3 21 15 2" xfId="19912"/>
    <cellStyle name="Input [yellow] 3 21 15 3" xfId="31080"/>
    <cellStyle name="Input [yellow] 3 21 15 4" xfId="42245"/>
    <cellStyle name="Input [yellow] 3 21 15 5" xfId="53438"/>
    <cellStyle name="Input [yellow] 3 21 16" xfId="8760"/>
    <cellStyle name="Input [yellow] 3 21 16 2" xfId="19957"/>
    <cellStyle name="Input [yellow] 3 21 16 3" xfId="31125"/>
    <cellStyle name="Input [yellow] 3 21 16 4" xfId="42290"/>
    <cellStyle name="Input [yellow] 3 21 16 5" xfId="53483"/>
    <cellStyle name="Input [yellow] 3 21 17" xfId="9766"/>
    <cellStyle name="Input [yellow] 3 21 17 2" xfId="20963"/>
    <cellStyle name="Input [yellow] 3 21 17 3" xfId="32131"/>
    <cellStyle name="Input [yellow] 3 21 17 4" xfId="43296"/>
    <cellStyle name="Input [yellow] 3 21 17 5" xfId="54489"/>
    <cellStyle name="Input [yellow] 3 21 18" xfId="10599"/>
    <cellStyle name="Input [yellow] 3 21 18 2" xfId="21796"/>
    <cellStyle name="Input [yellow] 3 21 18 3" xfId="32964"/>
    <cellStyle name="Input [yellow] 3 21 18 4" xfId="44129"/>
    <cellStyle name="Input [yellow] 3 21 18 5" xfId="55322"/>
    <cellStyle name="Input [yellow] 3 21 19" xfId="10800"/>
    <cellStyle name="Input [yellow] 3 21 19 2" xfId="21997"/>
    <cellStyle name="Input [yellow] 3 21 19 3" xfId="33165"/>
    <cellStyle name="Input [yellow] 3 21 19 4" xfId="44330"/>
    <cellStyle name="Input [yellow] 3 21 19 5" xfId="55523"/>
    <cellStyle name="Input [yellow] 3 21 2" xfId="896"/>
    <cellStyle name="Input [yellow] 3 21 2 2" xfId="12093"/>
    <cellStyle name="Input [yellow] 3 21 2 3" xfId="23261"/>
    <cellStyle name="Input [yellow] 3 21 2 4" xfId="34426"/>
    <cellStyle name="Input [yellow] 3 21 2 5" xfId="45619"/>
    <cellStyle name="Input [yellow] 3 21 20" xfId="11447"/>
    <cellStyle name="Input [yellow] 3 21 21" xfId="22617"/>
    <cellStyle name="Input [yellow] 3 21 22" xfId="33784"/>
    <cellStyle name="Input [yellow] 3 21 23" xfId="44970"/>
    <cellStyle name="Input [yellow] 3 21 3" xfId="1881"/>
    <cellStyle name="Input [yellow] 3 21 3 2" xfId="13078"/>
    <cellStyle name="Input [yellow] 3 21 3 3" xfId="24246"/>
    <cellStyle name="Input [yellow] 3 21 3 4" xfId="35411"/>
    <cellStyle name="Input [yellow] 3 21 3 5" xfId="46604"/>
    <cellStyle name="Input [yellow] 3 21 4" xfId="2173"/>
    <cellStyle name="Input [yellow] 3 21 4 2" xfId="13370"/>
    <cellStyle name="Input [yellow] 3 21 4 3" xfId="24538"/>
    <cellStyle name="Input [yellow] 3 21 4 4" xfId="35703"/>
    <cellStyle name="Input [yellow] 3 21 4 5" xfId="46896"/>
    <cellStyle name="Input [yellow] 3 21 5" xfId="2404"/>
    <cellStyle name="Input [yellow] 3 21 5 2" xfId="13601"/>
    <cellStyle name="Input [yellow] 3 21 5 3" xfId="24769"/>
    <cellStyle name="Input [yellow] 3 21 5 4" xfId="35934"/>
    <cellStyle name="Input [yellow] 3 21 5 5" xfId="47127"/>
    <cellStyle name="Input [yellow] 3 21 6" xfId="3231"/>
    <cellStyle name="Input [yellow] 3 21 6 2" xfId="14428"/>
    <cellStyle name="Input [yellow] 3 21 6 3" xfId="25596"/>
    <cellStyle name="Input [yellow] 3 21 6 4" xfId="36761"/>
    <cellStyle name="Input [yellow] 3 21 6 5" xfId="47954"/>
    <cellStyle name="Input [yellow] 3 21 7" xfId="3865"/>
    <cellStyle name="Input [yellow] 3 21 7 2" xfId="15062"/>
    <cellStyle name="Input [yellow] 3 21 7 3" xfId="26230"/>
    <cellStyle name="Input [yellow] 3 21 7 4" xfId="37395"/>
    <cellStyle name="Input [yellow] 3 21 7 5" xfId="48588"/>
    <cellStyle name="Input [yellow] 3 21 8" xfId="4498"/>
    <cellStyle name="Input [yellow] 3 21 8 2" xfId="15695"/>
    <cellStyle name="Input [yellow] 3 21 8 3" xfId="26863"/>
    <cellStyle name="Input [yellow] 3 21 8 4" xfId="38028"/>
    <cellStyle name="Input [yellow] 3 21 8 5" xfId="49221"/>
    <cellStyle name="Input [yellow] 3 21 9" xfId="5129"/>
    <cellStyle name="Input [yellow] 3 21 9 2" xfId="16326"/>
    <cellStyle name="Input [yellow] 3 21 9 3" xfId="27494"/>
    <cellStyle name="Input [yellow] 3 21 9 4" xfId="38659"/>
    <cellStyle name="Input [yellow] 3 21 9 5" xfId="49852"/>
    <cellStyle name="Input [yellow] 3 22" xfId="281"/>
    <cellStyle name="Input [yellow] 3 22 10" xfId="5985"/>
    <cellStyle name="Input [yellow] 3 22 10 2" xfId="17182"/>
    <cellStyle name="Input [yellow] 3 22 10 3" xfId="28350"/>
    <cellStyle name="Input [yellow] 3 22 10 4" xfId="39515"/>
    <cellStyle name="Input [yellow] 3 22 10 5" xfId="50708"/>
    <cellStyle name="Input [yellow] 3 22 11" xfId="6217"/>
    <cellStyle name="Input [yellow] 3 22 11 2" xfId="17414"/>
    <cellStyle name="Input [yellow] 3 22 11 3" xfId="28582"/>
    <cellStyle name="Input [yellow] 3 22 11 4" xfId="39747"/>
    <cellStyle name="Input [yellow] 3 22 11 5" xfId="50940"/>
    <cellStyle name="Input [yellow] 3 22 12" xfId="6850"/>
    <cellStyle name="Input [yellow] 3 22 12 2" xfId="18047"/>
    <cellStyle name="Input [yellow] 3 22 12 3" xfId="29215"/>
    <cellStyle name="Input [yellow] 3 22 12 4" xfId="40380"/>
    <cellStyle name="Input [yellow] 3 22 12 5" xfId="51573"/>
    <cellStyle name="Input [yellow] 3 22 13" xfId="7484"/>
    <cellStyle name="Input [yellow] 3 22 13 2" xfId="18681"/>
    <cellStyle name="Input [yellow] 3 22 13 3" xfId="29849"/>
    <cellStyle name="Input [yellow] 3 22 13 4" xfId="41014"/>
    <cellStyle name="Input [yellow] 3 22 13 5" xfId="52207"/>
    <cellStyle name="Input [yellow] 3 22 14" xfId="8118"/>
    <cellStyle name="Input [yellow] 3 22 14 2" xfId="19315"/>
    <cellStyle name="Input [yellow] 3 22 14 3" xfId="30483"/>
    <cellStyle name="Input [yellow] 3 22 14 4" xfId="41648"/>
    <cellStyle name="Input [yellow] 3 22 14 5" xfId="52841"/>
    <cellStyle name="Input [yellow] 3 22 15" xfId="8747"/>
    <cellStyle name="Input [yellow] 3 22 15 2" xfId="19944"/>
    <cellStyle name="Input [yellow] 3 22 15 3" xfId="31112"/>
    <cellStyle name="Input [yellow] 3 22 15 4" xfId="42277"/>
    <cellStyle name="Input [yellow] 3 22 15 5" xfId="53470"/>
    <cellStyle name="Input [yellow] 3 22 16" xfId="9169"/>
    <cellStyle name="Input [yellow] 3 22 16 2" xfId="20366"/>
    <cellStyle name="Input [yellow] 3 22 16 3" xfId="31534"/>
    <cellStyle name="Input [yellow] 3 22 16 4" xfId="42699"/>
    <cellStyle name="Input [yellow] 3 22 16 5" xfId="53892"/>
    <cellStyle name="Input [yellow] 3 22 17" xfId="9796"/>
    <cellStyle name="Input [yellow] 3 22 17 2" xfId="20993"/>
    <cellStyle name="Input [yellow] 3 22 17 3" xfId="32161"/>
    <cellStyle name="Input [yellow] 3 22 17 4" xfId="43326"/>
    <cellStyle name="Input [yellow] 3 22 17 5" xfId="54519"/>
    <cellStyle name="Input [yellow] 3 22 18" xfId="10583"/>
    <cellStyle name="Input [yellow] 3 22 18 2" xfId="21780"/>
    <cellStyle name="Input [yellow] 3 22 18 3" xfId="32948"/>
    <cellStyle name="Input [yellow] 3 22 18 4" xfId="44113"/>
    <cellStyle name="Input [yellow] 3 22 18 5" xfId="55306"/>
    <cellStyle name="Input [yellow] 3 22 19" xfId="10834"/>
    <cellStyle name="Input [yellow] 3 22 19 2" xfId="22031"/>
    <cellStyle name="Input [yellow] 3 22 19 3" xfId="33199"/>
    <cellStyle name="Input [yellow] 3 22 19 4" xfId="44364"/>
    <cellStyle name="Input [yellow] 3 22 19 5" xfId="55557"/>
    <cellStyle name="Input [yellow] 3 22 2" xfId="930"/>
    <cellStyle name="Input [yellow] 3 22 2 2" xfId="12127"/>
    <cellStyle name="Input [yellow] 3 22 2 3" xfId="23295"/>
    <cellStyle name="Input [yellow] 3 22 2 4" xfId="34460"/>
    <cellStyle name="Input [yellow] 3 22 2 5" xfId="45653"/>
    <cellStyle name="Input [yellow] 3 22 20" xfId="11481"/>
    <cellStyle name="Input [yellow] 3 22 21" xfId="22651"/>
    <cellStyle name="Input [yellow] 3 22 22" xfId="33818"/>
    <cellStyle name="Input [yellow] 3 22 23" xfId="45004"/>
    <cellStyle name="Input [yellow] 3 22 3" xfId="1892"/>
    <cellStyle name="Input [yellow] 3 22 3 2" xfId="13089"/>
    <cellStyle name="Input [yellow] 3 22 3 3" xfId="24257"/>
    <cellStyle name="Input [yellow] 3 22 3 4" xfId="35422"/>
    <cellStyle name="Input [yellow] 3 22 3 5" xfId="46615"/>
    <cellStyle name="Input [yellow] 3 22 4" xfId="2207"/>
    <cellStyle name="Input [yellow] 3 22 4 2" xfId="13404"/>
    <cellStyle name="Input [yellow] 3 22 4 3" xfId="24572"/>
    <cellStyle name="Input [yellow] 3 22 4 4" xfId="35737"/>
    <cellStyle name="Input [yellow] 3 22 4 5" xfId="46930"/>
    <cellStyle name="Input [yellow] 3 22 5" xfId="2631"/>
    <cellStyle name="Input [yellow] 3 22 5 2" xfId="13828"/>
    <cellStyle name="Input [yellow] 3 22 5 3" xfId="24996"/>
    <cellStyle name="Input [yellow] 3 22 5 4" xfId="36161"/>
    <cellStyle name="Input [yellow] 3 22 5 5" xfId="47354"/>
    <cellStyle name="Input [yellow] 3 22 6" xfId="3265"/>
    <cellStyle name="Input [yellow] 3 22 6 2" xfId="14462"/>
    <cellStyle name="Input [yellow] 3 22 6 3" xfId="25630"/>
    <cellStyle name="Input [yellow] 3 22 6 4" xfId="36795"/>
    <cellStyle name="Input [yellow] 3 22 6 5" xfId="47988"/>
    <cellStyle name="Input [yellow] 3 22 7" xfId="3899"/>
    <cellStyle name="Input [yellow] 3 22 7 2" xfId="15096"/>
    <cellStyle name="Input [yellow] 3 22 7 3" xfId="26264"/>
    <cellStyle name="Input [yellow] 3 22 7 4" xfId="37429"/>
    <cellStyle name="Input [yellow] 3 22 7 5" xfId="48622"/>
    <cellStyle name="Input [yellow] 3 22 8" xfId="4532"/>
    <cellStyle name="Input [yellow] 3 22 8 2" xfId="15729"/>
    <cellStyle name="Input [yellow] 3 22 8 3" xfId="26897"/>
    <cellStyle name="Input [yellow] 3 22 8 4" xfId="38062"/>
    <cellStyle name="Input [yellow] 3 22 8 5" xfId="49255"/>
    <cellStyle name="Input [yellow] 3 22 9" xfId="5163"/>
    <cellStyle name="Input [yellow] 3 22 9 2" xfId="16360"/>
    <cellStyle name="Input [yellow] 3 22 9 3" xfId="27528"/>
    <cellStyle name="Input [yellow] 3 22 9 4" xfId="38693"/>
    <cellStyle name="Input [yellow] 3 22 9 5" xfId="49886"/>
    <cellStyle name="Input [yellow] 3 23" xfId="378"/>
    <cellStyle name="Input [yellow] 3 23 10" xfId="5869"/>
    <cellStyle name="Input [yellow] 3 23 10 2" xfId="17066"/>
    <cellStyle name="Input [yellow] 3 23 10 3" xfId="28234"/>
    <cellStyle name="Input [yellow] 3 23 10 4" xfId="39399"/>
    <cellStyle name="Input [yellow] 3 23 10 5" xfId="50592"/>
    <cellStyle name="Input [yellow] 3 23 11" xfId="6314"/>
    <cellStyle name="Input [yellow] 3 23 11 2" xfId="17511"/>
    <cellStyle name="Input [yellow] 3 23 11 3" xfId="28679"/>
    <cellStyle name="Input [yellow] 3 23 11 4" xfId="39844"/>
    <cellStyle name="Input [yellow] 3 23 11 5" xfId="51037"/>
    <cellStyle name="Input [yellow] 3 23 12" xfId="6947"/>
    <cellStyle name="Input [yellow] 3 23 12 2" xfId="18144"/>
    <cellStyle name="Input [yellow] 3 23 12 3" xfId="29312"/>
    <cellStyle name="Input [yellow] 3 23 12 4" xfId="40477"/>
    <cellStyle name="Input [yellow] 3 23 12 5" xfId="51670"/>
    <cellStyle name="Input [yellow] 3 23 13" xfId="7581"/>
    <cellStyle name="Input [yellow] 3 23 13 2" xfId="18778"/>
    <cellStyle name="Input [yellow] 3 23 13 3" xfId="29946"/>
    <cellStyle name="Input [yellow] 3 23 13 4" xfId="41111"/>
    <cellStyle name="Input [yellow] 3 23 13 5" xfId="52304"/>
    <cellStyle name="Input [yellow] 3 23 14" xfId="8215"/>
    <cellStyle name="Input [yellow] 3 23 14 2" xfId="19412"/>
    <cellStyle name="Input [yellow] 3 23 14 3" xfId="30580"/>
    <cellStyle name="Input [yellow] 3 23 14 4" xfId="41745"/>
    <cellStyle name="Input [yellow] 3 23 14 5" xfId="52938"/>
    <cellStyle name="Input [yellow] 3 23 15" xfId="8844"/>
    <cellStyle name="Input [yellow] 3 23 15 2" xfId="20041"/>
    <cellStyle name="Input [yellow] 3 23 15 3" xfId="31209"/>
    <cellStyle name="Input [yellow] 3 23 15 4" xfId="42374"/>
    <cellStyle name="Input [yellow] 3 23 15 5" xfId="53567"/>
    <cellStyle name="Input [yellow] 3 23 16" xfId="9266"/>
    <cellStyle name="Input [yellow] 3 23 16 2" xfId="20463"/>
    <cellStyle name="Input [yellow] 3 23 16 3" xfId="31631"/>
    <cellStyle name="Input [yellow] 3 23 16 4" xfId="42796"/>
    <cellStyle name="Input [yellow] 3 23 16 5" xfId="53989"/>
    <cellStyle name="Input [yellow] 3 23 17" xfId="9893"/>
    <cellStyle name="Input [yellow] 3 23 17 2" xfId="21090"/>
    <cellStyle name="Input [yellow] 3 23 17 3" xfId="32258"/>
    <cellStyle name="Input [yellow] 3 23 17 4" xfId="43423"/>
    <cellStyle name="Input [yellow] 3 23 17 5" xfId="54616"/>
    <cellStyle name="Input [yellow] 3 23 18" xfId="10080"/>
    <cellStyle name="Input [yellow] 3 23 18 2" xfId="21277"/>
    <cellStyle name="Input [yellow] 3 23 18 3" xfId="32445"/>
    <cellStyle name="Input [yellow] 3 23 18 4" xfId="43610"/>
    <cellStyle name="Input [yellow] 3 23 18 5" xfId="54803"/>
    <cellStyle name="Input [yellow] 3 23 19" xfId="10931"/>
    <cellStyle name="Input [yellow] 3 23 19 2" xfId="22128"/>
    <cellStyle name="Input [yellow] 3 23 19 3" xfId="33296"/>
    <cellStyle name="Input [yellow] 3 23 19 4" xfId="44461"/>
    <cellStyle name="Input [yellow] 3 23 19 5" xfId="55654"/>
    <cellStyle name="Input [yellow] 3 23 2" xfId="1027"/>
    <cellStyle name="Input [yellow] 3 23 2 2" xfId="12224"/>
    <cellStyle name="Input [yellow] 3 23 2 3" xfId="23392"/>
    <cellStyle name="Input [yellow] 3 23 2 4" xfId="34557"/>
    <cellStyle name="Input [yellow] 3 23 2 5" xfId="45750"/>
    <cellStyle name="Input [yellow] 3 23 20" xfId="11578"/>
    <cellStyle name="Input [yellow] 3 23 21" xfId="22748"/>
    <cellStyle name="Input [yellow] 3 23 22" xfId="33915"/>
    <cellStyle name="Input [yellow] 3 23 23" xfId="45101"/>
    <cellStyle name="Input [yellow] 3 23 3" xfId="1530"/>
    <cellStyle name="Input [yellow] 3 23 3 2" xfId="12727"/>
    <cellStyle name="Input [yellow] 3 23 3 3" xfId="23895"/>
    <cellStyle name="Input [yellow] 3 23 3 4" xfId="35060"/>
    <cellStyle name="Input [yellow] 3 23 3 5" xfId="46253"/>
    <cellStyle name="Input [yellow] 3 23 4" xfId="2303"/>
    <cellStyle name="Input [yellow] 3 23 4 2" xfId="13500"/>
    <cellStyle name="Input [yellow] 3 23 4 3" xfId="24668"/>
    <cellStyle name="Input [yellow] 3 23 4 4" xfId="35833"/>
    <cellStyle name="Input [yellow] 3 23 4 5" xfId="47026"/>
    <cellStyle name="Input [yellow] 3 23 5" xfId="2728"/>
    <cellStyle name="Input [yellow] 3 23 5 2" xfId="13925"/>
    <cellStyle name="Input [yellow] 3 23 5 3" xfId="25093"/>
    <cellStyle name="Input [yellow] 3 23 5 4" xfId="36258"/>
    <cellStyle name="Input [yellow] 3 23 5 5" xfId="47451"/>
    <cellStyle name="Input [yellow] 3 23 6" xfId="3362"/>
    <cellStyle name="Input [yellow] 3 23 6 2" xfId="14559"/>
    <cellStyle name="Input [yellow] 3 23 6 3" xfId="25727"/>
    <cellStyle name="Input [yellow] 3 23 6 4" xfId="36892"/>
    <cellStyle name="Input [yellow] 3 23 6 5" xfId="48085"/>
    <cellStyle name="Input [yellow] 3 23 7" xfId="3996"/>
    <cellStyle name="Input [yellow] 3 23 7 2" xfId="15193"/>
    <cellStyle name="Input [yellow] 3 23 7 3" xfId="26361"/>
    <cellStyle name="Input [yellow] 3 23 7 4" xfId="37526"/>
    <cellStyle name="Input [yellow] 3 23 7 5" xfId="48719"/>
    <cellStyle name="Input [yellow] 3 23 8" xfId="4629"/>
    <cellStyle name="Input [yellow] 3 23 8 2" xfId="15826"/>
    <cellStyle name="Input [yellow] 3 23 8 3" xfId="26994"/>
    <cellStyle name="Input [yellow] 3 23 8 4" xfId="38159"/>
    <cellStyle name="Input [yellow] 3 23 8 5" xfId="49352"/>
    <cellStyle name="Input [yellow] 3 23 9" xfId="5260"/>
    <cellStyle name="Input [yellow] 3 23 9 2" xfId="16457"/>
    <cellStyle name="Input [yellow] 3 23 9 3" xfId="27625"/>
    <cellStyle name="Input [yellow] 3 23 9 4" xfId="38790"/>
    <cellStyle name="Input [yellow] 3 23 9 5" xfId="49983"/>
    <cellStyle name="Input [yellow] 3 24" xfId="425"/>
    <cellStyle name="Input [yellow] 3 24 10" xfId="6177"/>
    <cellStyle name="Input [yellow] 3 24 10 2" xfId="17374"/>
    <cellStyle name="Input [yellow] 3 24 10 3" xfId="28542"/>
    <cellStyle name="Input [yellow] 3 24 10 4" xfId="39707"/>
    <cellStyle name="Input [yellow] 3 24 10 5" xfId="50900"/>
    <cellStyle name="Input [yellow] 3 24 11" xfId="6361"/>
    <cellStyle name="Input [yellow] 3 24 11 2" xfId="17558"/>
    <cellStyle name="Input [yellow] 3 24 11 3" xfId="28726"/>
    <cellStyle name="Input [yellow] 3 24 11 4" xfId="39891"/>
    <cellStyle name="Input [yellow] 3 24 11 5" xfId="51084"/>
    <cellStyle name="Input [yellow] 3 24 12" xfId="6994"/>
    <cellStyle name="Input [yellow] 3 24 12 2" xfId="18191"/>
    <cellStyle name="Input [yellow] 3 24 12 3" xfId="29359"/>
    <cellStyle name="Input [yellow] 3 24 12 4" xfId="40524"/>
    <cellStyle name="Input [yellow] 3 24 12 5" xfId="51717"/>
    <cellStyle name="Input [yellow] 3 24 13" xfId="7628"/>
    <cellStyle name="Input [yellow] 3 24 13 2" xfId="18825"/>
    <cellStyle name="Input [yellow] 3 24 13 3" xfId="29993"/>
    <cellStyle name="Input [yellow] 3 24 13 4" xfId="41158"/>
    <cellStyle name="Input [yellow] 3 24 13 5" xfId="52351"/>
    <cellStyle name="Input [yellow] 3 24 14" xfId="8262"/>
    <cellStyle name="Input [yellow] 3 24 14 2" xfId="19459"/>
    <cellStyle name="Input [yellow] 3 24 14 3" xfId="30627"/>
    <cellStyle name="Input [yellow] 3 24 14 4" xfId="41792"/>
    <cellStyle name="Input [yellow] 3 24 14 5" xfId="52985"/>
    <cellStyle name="Input [yellow] 3 24 15" xfId="8890"/>
    <cellStyle name="Input [yellow] 3 24 15 2" xfId="20087"/>
    <cellStyle name="Input [yellow] 3 24 15 3" xfId="31255"/>
    <cellStyle name="Input [yellow] 3 24 15 4" xfId="42420"/>
    <cellStyle name="Input [yellow] 3 24 15 5" xfId="53613"/>
    <cellStyle name="Input [yellow] 3 24 16" xfId="9313"/>
    <cellStyle name="Input [yellow] 3 24 16 2" xfId="20510"/>
    <cellStyle name="Input [yellow] 3 24 16 3" xfId="31678"/>
    <cellStyle name="Input [yellow] 3 24 16 4" xfId="42843"/>
    <cellStyle name="Input [yellow] 3 24 16 5" xfId="54036"/>
    <cellStyle name="Input [yellow] 3 24 17" xfId="9939"/>
    <cellStyle name="Input [yellow] 3 24 17 2" xfId="21136"/>
    <cellStyle name="Input [yellow] 3 24 17 3" xfId="32304"/>
    <cellStyle name="Input [yellow] 3 24 17 4" xfId="43469"/>
    <cellStyle name="Input [yellow] 3 24 17 5" xfId="54662"/>
    <cellStyle name="Input [yellow] 3 24 18" xfId="10589"/>
    <cellStyle name="Input [yellow] 3 24 18 2" xfId="21786"/>
    <cellStyle name="Input [yellow] 3 24 18 3" xfId="32954"/>
    <cellStyle name="Input [yellow] 3 24 18 4" xfId="44119"/>
    <cellStyle name="Input [yellow] 3 24 18 5" xfId="55312"/>
    <cellStyle name="Input [yellow] 3 24 19" xfId="10978"/>
    <cellStyle name="Input [yellow] 3 24 19 2" xfId="22175"/>
    <cellStyle name="Input [yellow] 3 24 19 3" xfId="33343"/>
    <cellStyle name="Input [yellow] 3 24 19 4" xfId="44508"/>
    <cellStyle name="Input [yellow] 3 24 19 5" xfId="55701"/>
    <cellStyle name="Input [yellow] 3 24 2" xfId="1074"/>
    <cellStyle name="Input [yellow] 3 24 2 2" xfId="12271"/>
    <cellStyle name="Input [yellow] 3 24 2 3" xfId="23439"/>
    <cellStyle name="Input [yellow] 3 24 2 4" xfId="34604"/>
    <cellStyle name="Input [yellow] 3 24 2 5" xfId="45797"/>
    <cellStyle name="Input [yellow] 3 24 20" xfId="11625"/>
    <cellStyle name="Input [yellow] 3 24 21" xfId="22795"/>
    <cellStyle name="Input [yellow] 3 24 22" xfId="33962"/>
    <cellStyle name="Input [yellow] 3 24 23" xfId="45148"/>
    <cellStyle name="Input [yellow] 3 24 3" xfId="1908"/>
    <cellStyle name="Input [yellow] 3 24 3 2" xfId="13105"/>
    <cellStyle name="Input [yellow] 3 24 3 3" xfId="24273"/>
    <cellStyle name="Input [yellow] 3 24 3 4" xfId="35438"/>
    <cellStyle name="Input [yellow] 3 24 3 5" xfId="46631"/>
    <cellStyle name="Input [yellow] 3 24 4" xfId="2350"/>
    <cellStyle name="Input [yellow] 3 24 4 2" xfId="13547"/>
    <cellStyle name="Input [yellow] 3 24 4 3" xfId="24715"/>
    <cellStyle name="Input [yellow] 3 24 4 4" xfId="35880"/>
    <cellStyle name="Input [yellow] 3 24 4 5" xfId="47073"/>
    <cellStyle name="Input [yellow] 3 24 5" xfId="2775"/>
    <cellStyle name="Input [yellow] 3 24 5 2" xfId="13972"/>
    <cellStyle name="Input [yellow] 3 24 5 3" xfId="25140"/>
    <cellStyle name="Input [yellow] 3 24 5 4" xfId="36305"/>
    <cellStyle name="Input [yellow] 3 24 5 5" xfId="47498"/>
    <cellStyle name="Input [yellow] 3 24 6" xfId="3409"/>
    <cellStyle name="Input [yellow] 3 24 6 2" xfId="14606"/>
    <cellStyle name="Input [yellow] 3 24 6 3" xfId="25774"/>
    <cellStyle name="Input [yellow] 3 24 6 4" xfId="36939"/>
    <cellStyle name="Input [yellow] 3 24 6 5" xfId="48132"/>
    <cellStyle name="Input [yellow] 3 24 7" xfId="4043"/>
    <cellStyle name="Input [yellow] 3 24 7 2" xfId="15240"/>
    <cellStyle name="Input [yellow] 3 24 7 3" xfId="26408"/>
    <cellStyle name="Input [yellow] 3 24 7 4" xfId="37573"/>
    <cellStyle name="Input [yellow] 3 24 7 5" xfId="48766"/>
    <cellStyle name="Input [yellow] 3 24 8" xfId="4676"/>
    <cellStyle name="Input [yellow] 3 24 8 2" xfId="15873"/>
    <cellStyle name="Input [yellow] 3 24 8 3" xfId="27041"/>
    <cellStyle name="Input [yellow] 3 24 8 4" xfId="38206"/>
    <cellStyle name="Input [yellow] 3 24 8 5" xfId="49399"/>
    <cellStyle name="Input [yellow] 3 24 9" xfId="5307"/>
    <cellStyle name="Input [yellow] 3 24 9 2" xfId="16504"/>
    <cellStyle name="Input [yellow] 3 24 9 3" xfId="27672"/>
    <cellStyle name="Input [yellow] 3 24 9 4" xfId="38837"/>
    <cellStyle name="Input [yellow] 3 24 9 5" xfId="50030"/>
    <cellStyle name="Input [yellow] 3 25" xfId="431"/>
    <cellStyle name="Input [yellow] 3 25 10" xfId="6159"/>
    <cellStyle name="Input [yellow] 3 25 10 2" xfId="17356"/>
    <cellStyle name="Input [yellow] 3 25 10 3" xfId="28524"/>
    <cellStyle name="Input [yellow] 3 25 10 4" xfId="39689"/>
    <cellStyle name="Input [yellow] 3 25 10 5" xfId="50882"/>
    <cellStyle name="Input [yellow] 3 25 11" xfId="6367"/>
    <cellStyle name="Input [yellow] 3 25 11 2" xfId="17564"/>
    <cellStyle name="Input [yellow] 3 25 11 3" xfId="28732"/>
    <cellStyle name="Input [yellow] 3 25 11 4" xfId="39897"/>
    <cellStyle name="Input [yellow] 3 25 11 5" xfId="51090"/>
    <cellStyle name="Input [yellow] 3 25 12" xfId="7000"/>
    <cellStyle name="Input [yellow] 3 25 12 2" xfId="18197"/>
    <cellStyle name="Input [yellow] 3 25 12 3" xfId="29365"/>
    <cellStyle name="Input [yellow] 3 25 12 4" xfId="40530"/>
    <cellStyle name="Input [yellow] 3 25 12 5" xfId="51723"/>
    <cellStyle name="Input [yellow] 3 25 13" xfId="7634"/>
    <cellStyle name="Input [yellow] 3 25 13 2" xfId="18831"/>
    <cellStyle name="Input [yellow] 3 25 13 3" xfId="29999"/>
    <cellStyle name="Input [yellow] 3 25 13 4" xfId="41164"/>
    <cellStyle name="Input [yellow] 3 25 13 5" xfId="52357"/>
    <cellStyle name="Input [yellow] 3 25 14" xfId="8268"/>
    <cellStyle name="Input [yellow] 3 25 14 2" xfId="19465"/>
    <cellStyle name="Input [yellow] 3 25 14 3" xfId="30633"/>
    <cellStyle name="Input [yellow] 3 25 14 4" xfId="41798"/>
    <cellStyle name="Input [yellow] 3 25 14 5" xfId="52991"/>
    <cellStyle name="Input [yellow] 3 25 15" xfId="8896"/>
    <cellStyle name="Input [yellow] 3 25 15 2" xfId="20093"/>
    <cellStyle name="Input [yellow] 3 25 15 3" xfId="31261"/>
    <cellStyle name="Input [yellow] 3 25 15 4" xfId="42426"/>
    <cellStyle name="Input [yellow] 3 25 15 5" xfId="53619"/>
    <cellStyle name="Input [yellow] 3 25 16" xfId="9319"/>
    <cellStyle name="Input [yellow] 3 25 16 2" xfId="20516"/>
    <cellStyle name="Input [yellow] 3 25 16 3" xfId="31684"/>
    <cellStyle name="Input [yellow] 3 25 16 4" xfId="42849"/>
    <cellStyle name="Input [yellow] 3 25 16 5" xfId="54042"/>
    <cellStyle name="Input [yellow] 3 25 17" xfId="9945"/>
    <cellStyle name="Input [yellow] 3 25 17 2" xfId="21142"/>
    <cellStyle name="Input [yellow] 3 25 17 3" xfId="32310"/>
    <cellStyle name="Input [yellow] 3 25 17 4" xfId="43475"/>
    <cellStyle name="Input [yellow] 3 25 17 5" xfId="54668"/>
    <cellStyle name="Input [yellow] 3 25 18" xfId="10312"/>
    <cellStyle name="Input [yellow] 3 25 18 2" xfId="21509"/>
    <cellStyle name="Input [yellow] 3 25 18 3" xfId="32677"/>
    <cellStyle name="Input [yellow] 3 25 18 4" xfId="43842"/>
    <cellStyle name="Input [yellow] 3 25 18 5" xfId="55035"/>
    <cellStyle name="Input [yellow] 3 25 19" xfId="10984"/>
    <cellStyle name="Input [yellow] 3 25 19 2" xfId="22181"/>
    <cellStyle name="Input [yellow] 3 25 19 3" xfId="33349"/>
    <cellStyle name="Input [yellow] 3 25 19 4" xfId="44514"/>
    <cellStyle name="Input [yellow] 3 25 19 5" xfId="55707"/>
    <cellStyle name="Input [yellow] 3 25 2" xfId="1080"/>
    <cellStyle name="Input [yellow] 3 25 2 2" xfId="12277"/>
    <cellStyle name="Input [yellow] 3 25 2 3" xfId="23445"/>
    <cellStyle name="Input [yellow] 3 25 2 4" xfId="34610"/>
    <cellStyle name="Input [yellow] 3 25 2 5" xfId="45803"/>
    <cellStyle name="Input [yellow] 3 25 20" xfId="11631"/>
    <cellStyle name="Input [yellow] 3 25 21" xfId="22801"/>
    <cellStyle name="Input [yellow] 3 25 22" xfId="33968"/>
    <cellStyle name="Input [yellow] 3 25 23" xfId="45154"/>
    <cellStyle name="Input [yellow] 3 25 3" xfId="1639"/>
    <cellStyle name="Input [yellow] 3 25 3 2" xfId="12836"/>
    <cellStyle name="Input [yellow] 3 25 3 3" xfId="24004"/>
    <cellStyle name="Input [yellow] 3 25 3 4" xfId="35169"/>
    <cellStyle name="Input [yellow] 3 25 3 5" xfId="46362"/>
    <cellStyle name="Input [yellow] 3 25 4" xfId="2356"/>
    <cellStyle name="Input [yellow] 3 25 4 2" xfId="13553"/>
    <cellStyle name="Input [yellow] 3 25 4 3" xfId="24721"/>
    <cellStyle name="Input [yellow] 3 25 4 4" xfId="35886"/>
    <cellStyle name="Input [yellow] 3 25 4 5" xfId="47079"/>
    <cellStyle name="Input [yellow] 3 25 5" xfId="2781"/>
    <cellStyle name="Input [yellow] 3 25 5 2" xfId="13978"/>
    <cellStyle name="Input [yellow] 3 25 5 3" xfId="25146"/>
    <cellStyle name="Input [yellow] 3 25 5 4" xfId="36311"/>
    <cellStyle name="Input [yellow] 3 25 5 5" xfId="47504"/>
    <cellStyle name="Input [yellow] 3 25 6" xfId="3415"/>
    <cellStyle name="Input [yellow] 3 25 6 2" xfId="14612"/>
    <cellStyle name="Input [yellow] 3 25 6 3" xfId="25780"/>
    <cellStyle name="Input [yellow] 3 25 6 4" xfId="36945"/>
    <cellStyle name="Input [yellow] 3 25 6 5" xfId="48138"/>
    <cellStyle name="Input [yellow] 3 25 7" xfId="4049"/>
    <cellStyle name="Input [yellow] 3 25 7 2" xfId="15246"/>
    <cellStyle name="Input [yellow] 3 25 7 3" xfId="26414"/>
    <cellStyle name="Input [yellow] 3 25 7 4" xfId="37579"/>
    <cellStyle name="Input [yellow] 3 25 7 5" xfId="48772"/>
    <cellStyle name="Input [yellow] 3 25 8" xfId="4682"/>
    <cellStyle name="Input [yellow] 3 25 8 2" xfId="15879"/>
    <cellStyle name="Input [yellow] 3 25 8 3" xfId="27047"/>
    <cellStyle name="Input [yellow] 3 25 8 4" xfId="38212"/>
    <cellStyle name="Input [yellow] 3 25 8 5" xfId="49405"/>
    <cellStyle name="Input [yellow] 3 25 9" xfId="5313"/>
    <cellStyle name="Input [yellow] 3 25 9 2" xfId="16510"/>
    <cellStyle name="Input [yellow] 3 25 9 3" xfId="27678"/>
    <cellStyle name="Input [yellow] 3 25 9 4" xfId="38843"/>
    <cellStyle name="Input [yellow] 3 25 9 5" xfId="50036"/>
    <cellStyle name="Input [yellow] 3 26" xfId="448"/>
    <cellStyle name="Input [yellow] 3 26 10" xfId="5847"/>
    <cellStyle name="Input [yellow] 3 26 10 2" xfId="17044"/>
    <cellStyle name="Input [yellow] 3 26 10 3" xfId="28212"/>
    <cellStyle name="Input [yellow] 3 26 10 4" xfId="39377"/>
    <cellStyle name="Input [yellow] 3 26 10 5" xfId="50570"/>
    <cellStyle name="Input [yellow] 3 26 11" xfId="6384"/>
    <cellStyle name="Input [yellow] 3 26 11 2" xfId="17581"/>
    <cellStyle name="Input [yellow] 3 26 11 3" xfId="28749"/>
    <cellStyle name="Input [yellow] 3 26 11 4" xfId="39914"/>
    <cellStyle name="Input [yellow] 3 26 11 5" xfId="51107"/>
    <cellStyle name="Input [yellow] 3 26 12" xfId="7017"/>
    <cellStyle name="Input [yellow] 3 26 12 2" xfId="18214"/>
    <cellStyle name="Input [yellow] 3 26 12 3" xfId="29382"/>
    <cellStyle name="Input [yellow] 3 26 12 4" xfId="40547"/>
    <cellStyle name="Input [yellow] 3 26 12 5" xfId="51740"/>
    <cellStyle name="Input [yellow] 3 26 13" xfId="7651"/>
    <cellStyle name="Input [yellow] 3 26 13 2" xfId="18848"/>
    <cellStyle name="Input [yellow] 3 26 13 3" xfId="30016"/>
    <cellStyle name="Input [yellow] 3 26 13 4" xfId="41181"/>
    <cellStyle name="Input [yellow] 3 26 13 5" xfId="52374"/>
    <cellStyle name="Input [yellow] 3 26 14" xfId="8285"/>
    <cellStyle name="Input [yellow] 3 26 14 2" xfId="19482"/>
    <cellStyle name="Input [yellow] 3 26 14 3" xfId="30650"/>
    <cellStyle name="Input [yellow] 3 26 14 4" xfId="41815"/>
    <cellStyle name="Input [yellow] 3 26 14 5" xfId="53008"/>
    <cellStyle name="Input [yellow] 3 26 15" xfId="8913"/>
    <cellStyle name="Input [yellow] 3 26 15 2" xfId="20110"/>
    <cellStyle name="Input [yellow] 3 26 15 3" xfId="31278"/>
    <cellStyle name="Input [yellow] 3 26 15 4" xfId="42443"/>
    <cellStyle name="Input [yellow] 3 26 15 5" xfId="53636"/>
    <cellStyle name="Input [yellow] 3 26 16" xfId="9336"/>
    <cellStyle name="Input [yellow] 3 26 16 2" xfId="20533"/>
    <cellStyle name="Input [yellow] 3 26 16 3" xfId="31701"/>
    <cellStyle name="Input [yellow] 3 26 16 4" xfId="42866"/>
    <cellStyle name="Input [yellow] 3 26 16 5" xfId="54059"/>
    <cellStyle name="Input [yellow] 3 26 17" xfId="9962"/>
    <cellStyle name="Input [yellow] 3 26 17 2" xfId="21159"/>
    <cellStyle name="Input [yellow] 3 26 17 3" xfId="32327"/>
    <cellStyle name="Input [yellow] 3 26 17 4" xfId="43492"/>
    <cellStyle name="Input [yellow] 3 26 17 5" xfId="54685"/>
    <cellStyle name="Input [yellow] 3 26 18" xfId="10393"/>
    <cellStyle name="Input [yellow] 3 26 18 2" xfId="21590"/>
    <cellStyle name="Input [yellow] 3 26 18 3" xfId="32758"/>
    <cellStyle name="Input [yellow] 3 26 18 4" xfId="43923"/>
    <cellStyle name="Input [yellow] 3 26 18 5" xfId="55116"/>
    <cellStyle name="Input [yellow] 3 26 19" xfId="11001"/>
    <cellStyle name="Input [yellow] 3 26 19 2" xfId="22198"/>
    <cellStyle name="Input [yellow] 3 26 19 3" xfId="33366"/>
    <cellStyle name="Input [yellow] 3 26 19 4" xfId="44531"/>
    <cellStyle name="Input [yellow] 3 26 19 5" xfId="55724"/>
    <cellStyle name="Input [yellow] 3 26 2" xfId="1097"/>
    <cellStyle name="Input [yellow] 3 26 2 2" xfId="12294"/>
    <cellStyle name="Input [yellow] 3 26 2 3" xfId="23462"/>
    <cellStyle name="Input [yellow] 3 26 2 4" xfId="34627"/>
    <cellStyle name="Input [yellow] 3 26 2 5" xfId="45820"/>
    <cellStyle name="Input [yellow] 3 26 20" xfId="11648"/>
    <cellStyle name="Input [yellow] 3 26 21" xfId="22818"/>
    <cellStyle name="Input [yellow] 3 26 22" xfId="33985"/>
    <cellStyle name="Input [yellow] 3 26 23" xfId="45171"/>
    <cellStyle name="Input [yellow] 3 26 3" xfId="1395"/>
    <cellStyle name="Input [yellow] 3 26 3 2" xfId="12592"/>
    <cellStyle name="Input [yellow] 3 26 3 3" xfId="23760"/>
    <cellStyle name="Input [yellow] 3 26 3 4" xfId="34925"/>
    <cellStyle name="Input [yellow] 3 26 3 5" xfId="46118"/>
    <cellStyle name="Input [yellow] 3 26 4" xfId="2373"/>
    <cellStyle name="Input [yellow] 3 26 4 2" xfId="13570"/>
    <cellStyle name="Input [yellow] 3 26 4 3" xfId="24738"/>
    <cellStyle name="Input [yellow] 3 26 4 4" xfId="35903"/>
    <cellStyle name="Input [yellow] 3 26 4 5" xfId="47096"/>
    <cellStyle name="Input [yellow] 3 26 5" xfId="2798"/>
    <cellStyle name="Input [yellow] 3 26 5 2" xfId="13995"/>
    <cellStyle name="Input [yellow] 3 26 5 3" xfId="25163"/>
    <cellStyle name="Input [yellow] 3 26 5 4" xfId="36328"/>
    <cellStyle name="Input [yellow] 3 26 5 5" xfId="47521"/>
    <cellStyle name="Input [yellow] 3 26 6" xfId="3432"/>
    <cellStyle name="Input [yellow] 3 26 6 2" xfId="14629"/>
    <cellStyle name="Input [yellow] 3 26 6 3" xfId="25797"/>
    <cellStyle name="Input [yellow] 3 26 6 4" xfId="36962"/>
    <cellStyle name="Input [yellow] 3 26 6 5" xfId="48155"/>
    <cellStyle name="Input [yellow] 3 26 7" xfId="4066"/>
    <cellStyle name="Input [yellow] 3 26 7 2" xfId="15263"/>
    <cellStyle name="Input [yellow] 3 26 7 3" xfId="26431"/>
    <cellStyle name="Input [yellow] 3 26 7 4" xfId="37596"/>
    <cellStyle name="Input [yellow] 3 26 7 5" xfId="48789"/>
    <cellStyle name="Input [yellow] 3 26 8" xfId="4699"/>
    <cellStyle name="Input [yellow] 3 26 8 2" xfId="15896"/>
    <cellStyle name="Input [yellow] 3 26 8 3" xfId="27064"/>
    <cellStyle name="Input [yellow] 3 26 8 4" xfId="38229"/>
    <cellStyle name="Input [yellow] 3 26 8 5" xfId="49422"/>
    <cellStyle name="Input [yellow] 3 26 9" xfId="5330"/>
    <cellStyle name="Input [yellow] 3 26 9 2" xfId="16527"/>
    <cellStyle name="Input [yellow] 3 26 9 3" xfId="27695"/>
    <cellStyle name="Input [yellow] 3 26 9 4" xfId="38860"/>
    <cellStyle name="Input [yellow] 3 26 9 5" xfId="50053"/>
    <cellStyle name="Input [yellow] 3 27" xfId="606"/>
    <cellStyle name="Input [yellow] 3 27 10" xfId="5694"/>
    <cellStyle name="Input [yellow] 3 27 10 2" xfId="16891"/>
    <cellStyle name="Input [yellow] 3 27 10 3" xfId="28059"/>
    <cellStyle name="Input [yellow] 3 27 10 4" xfId="39224"/>
    <cellStyle name="Input [yellow] 3 27 10 5" xfId="50417"/>
    <cellStyle name="Input [yellow] 3 27 11" xfId="6542"/>
    <cellStyle name="Input [yellow] 3 27 11 2" xfId="17739"/>
    <cellStyle name="Input [yellow] 3 27 11 3" xfId="28907"/>
    <cellStyle name="Input [yellow] 3 27 11 4" xfId="40072"/>
    <cellStyle name="Input [yellow] 3 27 11 5" xfId="51265"/>
    <cellStyle name="Input [yellow] 3 27 12" xfId="7175"/>
    <cellStyle name="Input [yellow] 3 27 12 2" xfId="18372"/>
    <cellStyle name="Input [yellow] 3 27 12 3" xfId="29540"/>
    <cellStyle name="Input [yellow] 3 27 12 4" xfId="40705"/>
    <cellStyle name="Input [yellow] 3 27 12 5" xfId="51898"/>
    <cellStyle name="Input [yellow] 3 27 13" xfId="7809"/>
    <cellStyle name="Input [yellow] 3 27 13 2" xfId="19006"/>
    <cellStyle name="Input [yellow] 3 27 13 3" xfId="30174"/>
    <cellStyle name="Input [yellow] 3 27 13 4" xfId="41339"/>
    <cellStyle name="Input [yellow] 3 27 13 5" xfId="52532"/>
    <cellStyle name="Input [yellow] 3 27 14" xfId="8443"/>
    <cellStyle name="Input [yellow] 3 27 14 2" xfId="19640"/>
    <cellStyle name="Input [yellow] 3 27 14 3" xfId="30808"/>
    <cellStyle name="Input [yellow] 3 27 14 4" xfId="41973"/>
    <cellStyle name="Input [yellow] 3 27 14 5" xfId="53166"/>
    <cellStyle name="Input [yellow] 3 27 15" xfId="9071"/>
    <cellStyle name="Input [yellow] 3 27 15 2" xfId="20268"/>
    <cellStyle name="Input [yellow] 3 27 15 3" xfId="31436"/>
    <cellStyle name="Input [yellow] 3 27 15 4" xfId="42601"/>
    <cellStyle name="Input [yellow] 3 27 15 5" xfId="53794"/>
    <cellStyle name="Input [yellow] 3 27 16" xfId="9494"/>
    <cellStyle name="Input [yellow] 3 27 16 2" xfId="20691"/>
    <cellStyle name="Input [yellow] 3 27 16 3" xfId="31859"/>
    <cellStyle name="Input [yellow] 3 27 16 4" xfId="43024"/>
    <cellStyle name="Input [yellow] 3 27 16 5" xfId="54217"/>
    <cellStyle name="Input [yellow] 3 27 17" xfId="10119"/>
    <cellStyle name="Input [yellow] 3 27 17 2" xfId="21316"/>
    <cellStyle name="Input [yellow] 3 27 17 3" xfId="32484"/>
    <cellStyle name="Input [yellow] 3 27 17 4" xfId="43649"/>
    <cellStyle name="Input [yellow] 3 27 17 5" xfId="54842"/>
    <cellStyle name="Input [yellow] 3 27 18" xfId="9921"/>
    <cellStyle name="Input [yellow] 3 27 18 2" xfId="21118"/>
    <cellStyle name="Input [yellow] 3 27 18 3" xfId="32286"/>
    <cellStyle name="Input [yellow] 3 27 18 4" xfId="43451"/>
    <cellStyle name="Input [yellow] 3 27 18 5" xfId="54644"/>
    <cellStyle name="Input [yellow] 3 27 19" xfId="11159"/>
    <cellStyle name="Input [yellow] 3 27 19 2" xfId="22356"/>
    <cellStyle name="Input [yellow] 3 27 19 3" xfId="33524"/>
    <cellStyle name="Input [yellow] 3 27 19 4" xfId="44689"/>
    <cellStyle name="Input [yellow] 3 27 19 5" xfId="55882"/>
    <cellStyle name="Input [yellow] 3 27 2" xfId="1255"/>
    <cellStyle name="Input [yellow] 3 27 2 2" xfId="12452"/>
    <cellStyle name="Input [yellow] 3 27 2 3" xfId="23620"/>
    <cellStyle name="Input [yellow] 3 27 2 4" xfId="34785"/>
    <cellStyle name="Input [yellow] 3 27 2 5" xfId="45978"/>
    <cellStyle name="Input [yellow] 3 27 20" xfId="11806"/>
    <cellStyle name="Input [yellow] 3 27 21" xfId="22976"/>
    <cellStyle name="Input [yellow] 3 27 22" xfId="34143"/>
    <cellStyle name="Input [yellow] 3 27 23" xfId="45329"/>
    <cellStyle name="Input [yellow] 3 27 3" xfId="1897"/>
    <cellStyle name="Input [yellow] 3 27 3 2" xfId="13094"/>
    <cellStyle name="Input [yellow] 3 27 3 3" xfId="24262"/>
    <cellStyle name="Input [yellow] 3 27 3 4" xfId="35427"/>
    <cellStyle name="Input [yellow] 3 27 3 5" xfId="46620"/>
    <cellStyle name="Input [yellow] 3 27 4" xfId="2531"/>
    <cellStyle name="Input [yellow] 3 27 4 2" xfId="13728"/>
    <cellStyle name="Input [yellow] 3 27 4 3" xfId="24896"/>
    <cellStyle name="Input [yellow] 3 27 4 4" xfId="36061"/>
    <cellStyle name="Input [yellow] 3 27 4 5" xfId="47254"/>
    <cellStyle name="Input [yellow] 3 27 5" xfId="2956"/>
    <cellStyle name="Input [yellow] 3 27 5 2" xfId="14153"/>
    <cellStyle name="Input [yellow] 3 27 5 3" xfId="25321"/>
    <cellStyle name="Input [yellow] 3 27 5 4" xfId="36486"/>
    <cellStyle name="Input [yellow] 3 27 5 5" xfId="47679"/>
    <cellStyle name="Input [yellow] 3 27 6" xfId="3590"/>
    <cellStyle name="Input [yellow] 3 27 6 2" xfId="14787"/>
    <cellStyle name="Input [yellow] 3 27 6 3" xfId="25955"/>
    <cellStyle name="Input [yellow] 3 27 6 4" xfId="37120"/>
    <cellStyle name="Input [yellow] 3 27 6 5" xfId="48313"/>
    <cellStyle name="Input [yellow] 3 27 7" xfId="4224"/>
    <cellStyle name="Input [yellow] 3 27 7 2" xfId="15421"/>
    <cellStyle name="Input [yellow] 3 27 7 3" xfId="26589"/>
    <cellStyle name="Input [yellow] 3 27 7 4" xfId="37754"/>
    <cellStyle name="Input [yellow] 3 27 7 5" xfId="48947"/>
    <cellStyle name="Input [yellow] 3 27 8" xfId="4857"/>
    <cellStyle name="Input [yellow] 3 27 8 2" xfId="16054"/>
    <cellStyle name="Input [yellow] 3 27 8 3" xfId="27222"/>
    <cellStyle name="Input [yellow] 3 27 8 4" xfId="38387"/>
    <cellStyle name="Input [yellow] 3 27 8 5" xfId="49580"/>
    <cellStyle name="Input [yellow] 3 27 9" xfId="5488"/>
    <cellStyle name="Input [yellow] 3 27 9 2" xfId="16685"/>
    <cellStyle name="Input [yellow] 3 27 9 3" xfId="27853"/>
    <cellStyle name="Input [yellow] 3 27 9 4" xfId="39018"/>
    <cellStyle name="Input [yellow] 3 27 9 5" xfId="50211"/>
    <cellStyle name="Input [yellow] 3 28" xfId="637"/>
    <cellStyle name="Input [yellow] 3 28 10" xfId="5848"/>
    <cellStyle name="Input [yellow] 3 28 10 2" xfId="17045"/>
    <cellStyle name="Input [yellow] 3 28 10 3" xfId="28213"/>
    <cellStyle name="Input [yellow] 3 28 10 4" xfId="39378"/>
    <cellStyle name="Input [yellow] 3 28 10 5" xfId="50571"/>
    <cellStyle name="Input [yellow] 3 28 11" xfId="6573"/>
    <cellStyle name="Input [yellow] 3 28 11 2" xfId="17770"/>
    <cellStyle name="Input [yellow] 3 28 11 3" xfId="28938"/>
    <cellStyle name="Input [yellow] 3 28 11 4" xfId="40103"/>
    <cellStyle name="Input [yellow] 3 28 11 5" xfId="51296"/>
    <cellStyle name="Input [yellow] 3 28 12" xfId="7206"/>
    <cellStyle name="Input [yellow] 3 28 12 2" xfId="18403"/>
    <cellStyle name="Input [yellow] 3 28 12 3" xfId="29571"/>
    <cellStyle name="Input [yellow] 3 28 12 4" xfId="40736"/>
    <cellStyle name="Input [yellow] 3 28 12 5" xfId="51929"/>
    <cellStyle name="Input [yellow] 3 28 13" xfId="7840"/>
    <cellStyle name="Input [yellow] 3 28 13 2" xfId="19037"/>
    <cellStyle name="Input [yellow] 3 28 13 3" xfId="30205"/>
    <cellStyle name="Input [yellow] 3 28 13 4" xfId="41370"/>
    <cellStyle name="Input [yellow] 3 28 13 5" xfId="52563"/>
    <cellStyle name="Input [yellow] 3 28 14" xfId="8474"/>
    <cellStyle name="Input [yellow] 3 28 14 2" xfId="19671"/>
    <cellStyle name="Input [yellow] 3 28 14 3" xfId="30839"/>
    <cellStyle name="Input [yellow] 3 28 14 4" xfId="42004"/>
    <cellStyle name="Input [yellow] 3 28 14 5" xfId="53197"/>
    <cellStyle name="Input [yellow] 3 28 15" xfId="9102"/>
    <cellStyle name="Input [yellow] 3 28 15 2" xfId="20299"/>
    <cellStyle name="Input [yellow] 3 28 15 3" xfId="31467"/>
    <cellStyle name="Input [yellow] 3 28 15 4" xfId="42632"/>
    <cellStyle name="Input [yellow] 3 28 15 5" xfId="53825"/>
    <cellStyle name="Input [yellow] 3 28 16" xfId="9525"/>
    <cellStyle name="Input [yellow] 3 28 16 2" xfId="20722"/>
    <cellStyle name="Input [yellow] 3 28 16 3" xfId="31890"/>
    <cellStyle name="Input [yellow] 3 28 16 4" xfId="43055"/>
    <cellStyle name="Input [yellow] 3 28 16 5" xfId="54248"/>
    <cellStyle name="Input [yellow] 3 28 17" xfId="10150"/>
    <cellStyle name="Input [yellow] 3 28 17 2" xfId="21347"/>
    <cellStyle name="Input [yellow] 3 28 17 3" xfId="32515"/>
    <cellStyle name="Input [yellow] 3 28 17 4" xfId="43680"/>
    <cellStyle name="Input [yellow] 3 28 17 5" xfId="54873"/>
    <cellStyle name="Input [yellow] 3 28 18" xfId="10229"/>
    <cellStyle name="Input [yellow] 3 28 18 2" xfId="21426"/>
    <cellStyle name="Input [yellow] 3 28 18 3" xfId="32594"/>
    <cellStyle name="Input [yellow] 3 28 18 4" xfId="43759"/>
    <cellStyle name="Input [yellow] 3 28 18 5" xfId="54952"/>
    <cellStyle name="Input [yellow] 3 28 19" xfId="11190"/>
    <cellStyle name="Input [yellow] 3 28 19 2" xfId="22387"/>
    <cellStyle name="Input [yellow] 3 28 19 3" xfId="33555"/>
    <cellStyle name="Input [yellow] 3 28 19 4" xfId="44720"/>
    <cellStyle name="Input [yellow] 3 28 19 5" xfId="55913"/>
    <cellStyle name="Input [yellow] 3 28 2" xfId="1286"/>
    <cellStyle name="Input [yellow] 3 28 2 2" xfId="12483"/>
    <cellStyle name="Input [yellow] 3 28 2 3" xfId="23651"/>
    <cellStyle name="Input [yellow] 3 28 2 4" xfId="34816"/>
    <cellStyle name="Input [yellow] 3 28 2 5" xfId="46009"/>
    <cellStyle name="Input [yellow] 3 28 20" xfId="11837"/>
    <cellStyle name="Input [yellow] 3 28 21" xfId="23007"/>
    <cellStyle name="Input [yellow] 3 28 22" xfId="34174"/>
    <cellStyle name="Input [yellow] 3 28 23" xfId="45360"/>
    <cellStyle name="Input [yellow] 3 28 3" xfId="1523"/>
    <cellStyle name="Input [yellow] 3 28 3 2" xfId="12720"/>
    <cellStyle name="Input [yellow] 3 28 3 3" xfId="23888"/>
    <cellStyle name="Input [yellow] 3 28 3 4" xfId="35053"/>
    <cellStyle name="Input [yellow] 3 28 3 5" xfId="46246"/>
    <cellStyle name="Input [yellow] 3 28 4" xfId="2562"/>
    <cellStyle name="Input [yellow] 3 28 4 2" xfId="13759"/>
    <cellStyle name="Input [yellow] 3 28 4 3" xfId="24927"/>
    <cellStyle name="Input [yellow] 3 28 4 4" xfId="36092"/>
    <cellStyle name="Input [yellow] 3 28 4 5" xfId="47285"/>
    <cellStyle name="Input [yellow] 3 28 5" xfId="2987"/>
    <cellStyle name="Input [yellow] 3 28 5 2" xfId="14184"/>
    <cellStyle name="Input [yellow] 3 28 5 3" xfId="25352"/>
    <cellStyle name="Input [yellow] 3 28 5 4" xfId="36517"/>
    <cellStyle name="Input [yellow] 3 28 5 5" xfId="47710"/>
    <cellStyle name="Input [yellow] 3 28 6" xfId="3621"/>
    <cellStyle name="Input [yellow] 3 28 6 2" xfId="14818"/>
    <cellStyle name="Input [yellow] 3 28 6 3" xfId="25986"/>
    <cellStyle name="Input [yellow] 3 28 6 4" xfId="37151"/>
    <cellStyle name="Input [yellow] 3 28 6 5" xfId="48344"/>
    <cellStyle name="Input [yellow] 3 28 7" xfId="4255"/>
    <cellStyle name="Input [yellow] 3 28 7 2" xfId="15452"/>
    <cellStyle name="Input [yellow] 3 28 7 3" xfId="26620"/>
    <cellStyle name="Input [yellow] 3 28 7 4" xfId="37785"/>
    <cellStyle name="Input [yellow] 3 28 7 5" xfId="48978"/>
    <cellStyle name="Input [yellow] 3 28 8" xfId="4888"/>
    <cellStyle name="Input [yellow] 3 28 8 2" xfId="16085"/>
    <cellStyle name="Input [yellow] 3 28 8 3" xfId="27253"/>
    <cellStyle name="Input [yellow] 3 28 8 4" xfId="38418"/>
    <cellStyle name="Input [yellow] 3 28 8 5" xfId="49611"/>
    <cellStyle name="Input [yellow] 3 28 9" xfId="5519"/>
    <cellStyle name="Input [yellow] 3 28 9 2" xfId="16716"/>
    <cellStyle name="Input [yellow] 3 28 9 3" xfId="27884"/>
    <cellStyle name="Input [yellow] 3 28 9 4" xfId="39049"/>
    <cellStyle name="Input [yellow] 3 28 9 5" xfId="50242"/>
    <cellStyle name="Input [yellow] 3 29" xfId="716"/>
    <cellStyle name="Input [yellow] 3 29 2" xfId="11914"/>
    <cellStyle name="Input [yellow] 3 29 3" xfId="23083"/>
    <cellStyle name="Input [yellow] 3 29 4" xfId="34250"/>
    <cellStyle name="Input [yellow] 3 29 5" xfId="45439"/>
    <cellStyle name="Input [yellow] 3 3" xfId="75"/>
    <cellStyle name="Input [yellow] 3 3 10" xfId="438"/>
    <cellStyle name="Input [yellow] 3 3 10 10" xfId="5599"/>
    <cellStyle name="Input [yellow] 3 3 10 10 2" xfId="16796"/>
    <cellStyle name="Input [yellow] 3 3 10 10 3" xfId="27964"/>
    <cellStyle name="Input [yellow] 3 3 10 10 4" xfId="39129"/>
    <cellStyle name="Input [yellow] 3 3 10 10 5" xfId="50322"/>
    <cellStyle name="Input [yellow] 3 3 10 11" xfId="6374"/>
    <cellStyle name="Input [yellow] 3 3 10 11 2" xfId="17571"/>
    <cellStyle name="Input [yellow] 3 3 10 11 3" xfId="28739"/>
    <cellStyle name="Input [yellow] 3 3 10 11 4" xfId="39904"/>
    <cellStyle name="Input [yellow] 3 3 10 11 5" xfId="51097"/>
    <cellStyle name="Input [yellow] 3 3 10 12" xfId="7007"/>
    <cellStyle name="Input [yellow] 3 3 10 12 2" xfId="18204"/>
    <cellStyle name="Input [yellow] 3 3 10 12 3" xfId="29372"/>
    <cellStyle name="Input [yellow] 3 3 10 12 4" xfId="40537"/>
    <cellStyle name="Input [yellow] 3 3 10 12 5" xfId="51730"/>
    <cellStyle name="Input [yellow] 3 3 10 13" xfId="7641"/>
    <cellStyle name="Input [yellow] 3 3 10 13 2" xfId="18838"/>
    <cellStyle name="Input [yellow] 3 3 10 13 3" xfId="30006"/>
    <cellStyle name="Input [yellow] 3 3 10 13 4" xfId="41171"/>
    <cellStyle name="Input [yellow] 3 3 10 13 5" xfId="52364"/>
    <cellStyle name="Input [yellow] 3 3 10 14" xfId="8275"/>
    <cellStyle name="Input [yellow] 3 3 10 14 2" xfId="19472"/>
    <cellStyle name="Input [yellow] 3 3 10 14 3" xfId="30640"/>
    <cellStyle name="Input [yellow] 3 3 10 14 4" xfId="41805"/>
    <cellStyle name="Input [yellow] 3 3 10 14 5" xfId="52998"/>
    <cellStyle name="Input [yellow] 3 3 10 15" xfId="8903"/>
    <cellStyle name="Input [yellow] 3 3 10 15 2" xfId="20100"/>
    <cellStyle name="Input [yellow] 3 3 10 15 3" xfId="31268"/>
    <cellStyle name="Input [yellow] 3 3 10 15 4" xfId="42433"/>
    <cellStyle name="Input [yellow] 3 3 10 15 5" xfId="53626"/>
    <cellStyle name="Input [yellow] 3 3 10 16" xfId="9326"/>
    <cellStyle name="Input [yellow] 3 3 10 16 2" xfId="20523"/>
    <cellStyle name="Input [yellow] 3 3 10 16 3" xfId="31691"/>
    <cellStyle name="Input [yellow] 3 3 10 16 4" xfId="42856"/>
    <cellStyle name="Input [yellow] 3 3 10 16 5" xfId="54049"/>
    <cellStyle name="Input [yellow] 3 3 10 17" xfId="9952"/>
    <cellStyle name="Input [yellow] 3 3 10 17 2" xfId="21149"/>
    <cellStyle name="Input [yellow] 3 3 10 17 3" xfId="32317"/>
    <cellStyle name="Input [yellow] 3 3 10 17 4" xfId="43482"/>
    <cellStyle name="Input [yellow] 3 3 10 17 5" xfId="54675"/>
    <cellStyle name="Input [yellow] 3 3 10 18" xfId="9675"/>
    <cellStyle name="Input [yellow] 3 3 10 18 2" xfId="20872"/>
    <cellStyle name="Input [yellow] 3 3 10 18 3" xfId="32040"/>
    <cellStyle name="Input [yellow] 3 3 10 18 4" xfId="43205"/>
    <cellStyle name="Input [yellow] 3 3 10 18 5" xfId="54398"/>
    <cellStyle name="Input [yellow] 3 3 10 19" xfId="10991"/>
    <cellStyle name="Input [yellow] 3 3 10 19 2" xfId="22188"/>
    <cellStyle name="Input [yellow] 3 3 10 19 3" xfId="33356"/>
    <cellStyle name="Input [yellow] 3 3 10 19 4" xfId="44521"/>
    <cellStyle name="Input [yellow] 3 3 10 19 5" xfId="55714"/>
    <cellStyle name="Input [yellow] 3 3 10 2" xfId="1087"/>
    <cellStyle name="Input [yellow] 3 3 10 2 2" xfId="12284"/>
    <cellStyle name="Input [yellow] 3 3 10 2 3" xfId="23452"/>
    <cellStyle name="Input [yellow] 3 3 10 2 4" xfId="34617"/>
    <cellStyle name="Input [yellow] 3 3 10 2 5" xfId="45810"/>
    <cellStyle name="Input [yellow] 3 3 10 20" xfId="11638"/>
    <cellStyle name="Input [yellow] 3 3 10 21" xfId="22808"/>
    <cellStyle name="Input [yellow] 3 3 10 22" xfId="33975"/>
    <cellStyle name="Input [yellow] 3 3 10 23" xfId="45161"/>
    <cellStyle name="Input [yellow] 3 3 10 3" xfId="1854"/>
    <cellStyle name="Input [yellow] 3 3 10 3 2" xfId="13051"/>
    <cellStyle name="Input [yellow] 3 3 10 3 3" xfId="24219"/>
    <cellStyle name="Input [yellow] 3 3 10 3 4" xfId="35384"/>
    <cellStyle name="Input [yellow] 3 3 10 3 5" xfId="46577"/>
    <cellStyle name="Input [yellow] 3 3 10 4" xfId="2363"/>
    <cellStyle name="Input [yellow] 3 3 10 4 2" xfId="13560"/>
    <cellStyle name="Input [yellow] 3 3 10 4 3" xfId="24728"/>
    <cellStyle name="Input [yellow] 3 3 10 4 4" xfId="35893"/>
    <cellStyle name="Input [yellow] 3 3 10 4 5" xfId="47086"/>
    <cellStyle name="Input [yellow] 3 3 10 5" xfId="2788"/>
    <cellStyle name="Input [yellow] 3 3 10 5 2" xfId="13985"/>
    <cellStyle name="Input [yellow] 3 3 10 5 3" xfId="25153"/>
    <cellStyle name="Input [yellow] 3 3 10 5 4" xfId="36318"/>
    <cellStyle name="Input [yellow] 3 3 10 5 5" xfId="47511"/>
    <cellStyle name="Input [yellow] 3 3 10 6" xfId="3422"/>
    <cellStyle name="Input [yellow] 3 3 10 6 2" xfId="14619"/>
    <cellStyle name="Input [yellow] 3 3 10 6 3" xfId="25787"/>
    <cellStyle name="Input [yellow] 3 3 10 6 4" xfId="36952"/>
    <cellStyle name="Input [yellow] 3 3 10 6 5" xfId="48145"/>
    <cellStyle name="Input [yellow] 3 3 10 7" xfId="4056"/>
    <cellStyle name="Input [yellow] 3 3 10 7 2" xfId="15253"/>
    <cellStyle name="Input [yellow] 3 3 10 7 3" xfId="26421"/>
    <cellStyle name="Input [yellow] 3 3 10 7 4" xfId="37586"/>
    <cellStyle name="Input [yellow] 3 3 10 7 5" xfId="48779"/>
    <cellStyle name="Input [yellow] 3 3 10 8" xfId="4689"/>
    <cellStyle name="Input [yellow] 3 3 10 8 2" xfId="15886"/>
    <cellStyle name="Input [yellow] 3 3 10 8 3" xfId="27054"/>
    <cellStyle name="Input [yellow] 3 3 10 8 4" xfId="38219"/>
    <cellStyle name="Input [yellow] 3 3 10 8 5" xfId="49412"/>
    <cellStyle name="Input [yellow] 3 3 10 9" xfId="5320"/>
    <cellStyle name="Input [yellow] 3 3 10 9 2" xfId="16517"/>
    <cellStyle name="Input [yellow] 3 3 10 9 3" xfId="27685"/>
    <cellStyle name="Input [yellow] 3 3 10 9 4" xfId="38850"/>
    <cellStyle name="Input [yellow] 3 3 10 9 5" xfId="50043"/>
    <cellStyle name="Input [yellow] 3 3 11" xfId="682"/>
    <cellStyle name="Input [yellow] 3 3 11 10" xfId="5815"/>
    <cellStyle name="Input [yellow] 3 3 11 10 2" xfId="17012"/>
    <cellStyle name="Input [yellow] 3 3 11 10 3" xfId="28180"/>
    <cellStyle name="Input [yellow] 3 3 11 10 4" xfId="39345"/>
    <cellStyle name="Input [yellow] 3 3 11 10 5" xfId="50538"/>
    <cellStyle name="Input [yellow] 3 3 11 11" xfId="6618"/>
    <cellStyle name="Input [yellow] 3 3 11 11 2" xfId="17815"/>
    <cellStyle name="Input [yellow] 3 3 11 11 3" xfId="28983"/>
    <cellStyle name="Input [yellow] 3 3 11 11 4" xfId="40148"/>
    <cellStyle name="Input [yellow] 3 3 11 11 5" xfId="51341"/>
    <cellStyle name="Input [yellow] 3 3 11 12" xfId="7251"/>
    <cellStyle name="Input [yellow] 3 3 11 12 2" xfId="18448"/>
    <cellStyle name="Input [yellow] 3 3 11 12 3" xfId="29616"/>
    <cellStyle name="Input [yellow] 3 3 11 12 4" xfId="40781"/>
    <cellStyle name="Input [yellow] 3 3 11 12 5" xfId="51974"/>
    <cellStyle name="Input [yellow] 3 3 11 13" xfId="7885"/>
    <cellStyle name="Input [yellow] 3 3 11 13 2" xfId="19082"/>
    <cellStyle name="Input [yellow] 3 3 11 13 3" xfId="30250"/>
    <cellStyle name="Input [yellow] 3 3 11 13 4" xfId="41415"/>
    <cellStyle name="Input [yellow] 3 3 11 13 5" xfId="52608"/>
    <cellStyle name="Input [yellow] 3 3 11 14" xfId="8519"/>
    <cellStyle name="Input [yellow] 3 3 11 14 2" xfId="19716"/>
    <cellStyle name="Input [yellow] 3 3 11 14 3" xfId="30884"/>
    <cellStyle name="Input [yellow] 3 3 11 14 4" xfId="42049"/>
    <cellStyle name="Input [yellow] 3 3 11 14 5" xfId="53242"/>
    <cellStyle name="Input [yellow] 3 3 11 15" xfId="9147"/>
    <cellStyle name="Input [yellow] 3 3 11 15 2" xfId="20344"/>
    <cellStyle name="Input [yellow] 3 3 11 15 3" xfId="31512"/>
    <cellStyle name="Input [yellow] 3 3 11 15 4" xfId="42677"/>
    <cellStyle name="Input [yellow] 3 3 11 15 5" xfId="53870"/>
    <cellStyle name="Input [yellow] 3 3 11 16" xfId="9570"/>
    <cellStyle name="Input [yellow] 3 3 11 16 2" xfId="20767"/>
    <cellStyle name="Input [yellow] 3 3 11 16 3" xfId="31935"/>
    <cellStyle name="Input [yellow] 3 3 11 16 4" xfId="43100"/>
    <cellStyle name="Input [yellow] 3 3 11 16 5" xfId="54293"/>
    <cellStyle name="Input [yellow] 3 3 11 17" xfId="10194"/>
    <cellStyle name="Input [yellow] 3 3 11 17 2" xfId="21391"/>
    <cellStyle name="Input [yellow] 3 3 11 17 3" xfId="32559"/>
    <cellStyle name="Input [yellow] 3 3 11 17 4" xfId="43724"/>
    <cellStyle name="Input [yellow] 3 3 11 17 5" xfId="54917"/>
    <cellStyle name="Input [yellow] 3 3 11 18" xfId="10093"/>
    <cellStyle name="Input [yellow] 3 3 11 18 2" xfId="21290"/>
    <cellStyle name="Input [yellow] 3 3 11 18 3" xfId="32458"/>
    <cellStyle name="Input [yellow] 3 3 11 18 4" xfId="43623"/>
    <cellStyle name="Input [yellow] 3 3 11 18 5" xfId="54816"/>
    <cellStyle name="Input [yellow] 3 3 11 19" xfId="11235"/>
    <cellStyle name="Input [yellow] 3 3 11 19 2" xfId="22432"/>
    <cellStyle name="Input [yellow] 3 3 11 19 3" xfId="33600"/>
    <cellStyle name="Input [yellow] 3 3 11 19 4" xfId="44765"/>
    <cellStyle name="Input [yellow] 3 3 11 19 5" xfId="55958"/>
    <cellStyle name="Input [yellow] 3 3 11 2" xfId="1331"/>
    <cellStyle name="Input [yellow] 3 3 11 2 2" xfId="12528"/>
    <cellStyle name="Input [yellow] 3 3 11 2 3" xfId="23696"/>
    <cellStyle name="Input [yellow] 3 3 11 2 4" xfId="34861"/>
    <cellStyle name="Input [yellow] 3 3 11 2 5" xfId="46054"/>
    <cellStyle name="Input [yellow] 3 3 11 20" xfId="11882"/>
    <cellStyle name="Input [yellow] 3 3 11 21" xfId="23052"/>
    <cellStyle name="Input [yellow] 3 3 11 22" xfId="34219"/>
    <cellStyle name="Input [yellow] 3 3 11 23" xfId="45405"/>
    <cellStyle name="Input [yellow] 3 3 11 3" xfId="1452"/>
    <cellStyle name="Input [yellow] 3 3 11 3 2" xfId="12649"/>
    <cellStyle name="Input [yellow] 3 3 11 3 3" xfId="23817"/>
    <cellStyle name="Input [yellow] 3 3 11 3 4" xfId="34982"/>
    <cellStyle name="Input [yellow] 3 3 11 3 5" xfId="46175"/>
    <cellStyle name="Input [yellow] 3 3 11 4" xfId="2607"/>
    <cellStyle name="Input [yellow] 3 3 11 4 2" xfId="13804"/>
    <cellStyle name="Input [yellow] 3 3 11 4 3" xfId="24972"/>
    <cellStyle name="Input [yellow] 3 3 11 4 4" xfId="36137"/>
    <cellStyle name="Input [yellow] 3 3 11 4 5" xfId="47330"/>
    <cellStyle name="Input [yellow] 3 3 11 5" xfId="3032"/>
    <cellStyle name="Input [yellow] 3 3 11 5 2" xfId="14229"/>
    <cellStyle name="Input [yellow] 3 3 11 5 3" xfId="25397"/>
    <cellStyle name="Input [yellow] 3 3 11 5 4" xfId="36562"/>
    <cellStyle name="Input [yellow] 3 3 11 5 5" xfId="47755"/>
    <cellStyle name="Input [yellow] 3 3 11 6" xfId="3666"/>
    <cellStyle name="Input [yellow] 3 3 11 6 2" xfId="14863"/>
    <cellStyle name="Input [yellow] 3 3 11 6 3" xfId="26031"/>
    <cellStyle name="Input [yellow] 3 3 11 6 4" xfId="37196"/>
    <cellStyle name="Input [yellow] 3 3 11 6 5" xfId="48389"/>
    <cellStyle name="Input [yellow] 3 3 11 7" xfId="4300"/>
    <cellStyle name="Input [yellow] 3 3 11 7 2" xfId="15497"/>
    <cellStyle name="Input [yellow] 3 3 11 7 3" xfId="26665"/>
    <cellStyle name="Input [yellow] 3 3 11 7 4" xfId="37830"/>
    <cellStyle name="Input [yellow] 3 3 11 7 5" xfId="49023"/>
    <cellStyle name="Input [yellow] 3 3 11 8" xfId="4933"/>
    <cellStyle name="Input [yellow] 3 3 11 8 2" xfId="16130"/>
    <cellStyle name="Input [yellow] 3 3 11 8 3" xfId="27298"/>
    <cellStyle name="Input [yellow] 3 3 11 8 4" xfId="38463"/>
    <cellStyle name="Input [yellow] 3 3 11 8 5" xfId="49656"/>
    <cellStyle name="Input [yellow] 3 3 11 9" xfId="5564"/>
    <cellStyle name="Input [yellow] 3 3 11 9 2" xfId="16761"/>
    <cellStyle name="Input [yellow] 3 3 11 9 3" xfId="27929"/>
    <cellStyle name="Input [yellow] 3 3 11 9 4" xfId="39094"/>
    <cellStyle name="Input [yellow] 3 3 11 9 5" xfId="50287"/>
    <cellStyle name="Input [yellow] 3 3 12" xfId="725"/>
    <cellStyle name="Input [yellow] 3 3 12 2" xfId="11923"/>
    <cellStyle name="Input [yellow] 3 3 12 3" xfId="23092"/>
    <cellStyle name="Input [yellow] 3 3 12 4" xfId="34257"/>
    <cellStyle name="Input [yellow] 3 3 12 5" xfId="45448"/>
    <cellStyle name="Input [yellow] 3 3 13" xfId="1781"/>
    <cellStyle name="Input [yellow] 3 3 13 2" xfId="12978"/>
    <cellStyle name="Input [yellow] 3 3 13 3" xfId="24146"/>
    <cellStyle name="Input [yellow] 3 3 13 4" xfId="35311"/>
    <cellStyle name="Input [yellow] 3 3 13 5" xfId="46504"/>
    <cellStyle name="Input [yellow] 3 3 14" xfId="2001"/>
    <cellStyle name="Input [yellow] 3 3 14 2" xfId="13198"/>
    <cellStyle name="Input [yellow] 3 3 14 3" xfId="24366"/>
    <cellStyle name="Input [yellow] 3 3 14 4" xfId="35531"/>
    <cellStyle name="Input [yellow] 3 3 14 5" xfId="46724"/>
    <cellStyle name="Input [yellow] 3 3 15" xfId="2369"/>
    <cellStyle name="Input [yellow] 3 3 15 2" xfId="13566"/>
    <cellStyle name="Input [yellow] 3 3 15 3" xfId="24734"/>
    <cellStyle name="Input [yellow] 3 3 15 4" xfId="35899"/>
    <cellStyle name="Input [yellow] 3 3 15 5" xfId="47092"/>
    <cellStyle name="Input [yellow] 3 3 16" xfId="3059"/>
    <cellStyle name="Input [yellow] 3 3 16 2" xfId="14256"/>
    <cellStyle name="Input [yellow] 3 3 16 3" xfId="25424"/>
    <cellStyle name="Input [yellow] 3 3 16 4" xfId="36589"/>
    <cellStyle name="Input [yellow] 3 3 16 5" xfId="47782"/>
    <cellStyle name="Input [yellow] 3 3 17" xfId="3694"/>
    <cellStyle name="Input [yellow] 3 3 17 2" xfId="14891"/>
    <cellStyle name="Input [yellow] 3 3 17 3" xfId="26059"/>
    <cellStyle name="Input [yellow] 3 3 17 4" xfId="37224"/>
    <cellStyle name="Input [yellow] 3 3 17 5" xfId="48417"/>
    <cellStyle name="Input [yellow] 3 3 18" xfId="4326"/>
    <cellStyle name="Input [yellow] 3 3 18 2" xfId="15523"/>
    <cellStyle name="Input [yellow] 3 3 18 3" xfId="26691"/>
    <cellStyle name="Input [yellow] 3 3 18 4" xfId="37856"/>
    <cellStyle name="Input [yellow] 3 3 18 5" xfId="49049"/>
    <cellStyle name="Input [yellow] 3 3 19" xfId="4959"/>
    <cellStyle name="Input [yellow] 3 3 19 2" xfId="16156"/>
    <cellStyle name="Input [yellow] 3 3 19 3" xfId="27324"/>
    <cellStyle name="Input [yellow] 3 3 19 4" xfId="38489"/>
    <cellStyle name="Input [yellow] 3 3 19 5" xfId="49682"/>
    <cellStyle name="Input [yellow] 3 3 2" xfId="140"/>
    <cellStyle name="Input [yellow] 3 3 2 10" xfId="5796"/>
    <cellStyle name="Input [yellow] 3 3 2 10 2" xfId="16993"/>
    <cellStyle name="Input [yellow] 3 3 2 10 3" xfId="28161"/>
    <cellStyle name="Input [yellow] 3 3 2 10 4" xfId="39326"/>
    <cellStyle name="Input [yellow] 3 3 2 10 5" xfId="50519"/>
    <cellStyle name="Input [yellow] 3 3 2 11" xfId="5631"/>
    <cellStyle name="Input [yellow] 3 3 2 11 2" xfId="16828"/>
    <cellStyle name="Input [yellow] 3 3 2 11 3" xfId="27996"/>
    <cellStyle name="Input [yellow] 3 3 2 11 4" xfId="39161"/>
    <cellStyle name="Input [yellow] 3 3 2 11 5" xfId="50354"/>
    <cellStyle name="Input [yellow] 3 3 2 12" xfId="6709"/>
    <cellStyle name="Input [yellow] 3 3 2 12 2" xfId="17906"/>
    <cellStyle name="Input [yellow] 3 3 2 12 3" xfId="29074"/>
    <cellStyle name="Input [yellow] 3 3 2 12 4" xfId="40239"/>
    <cellStyle name="Input [yellow] 3 3 2 12 5" xfId="51432"/>
    <cellStyle name="Input [yellow] 3 3 2 13" xfId="7343"/>
    <cellStyle name="Input [yellow] 3 3 2 13 2" xfId="18540"/>
    <cellStyle name="Input [yellow] 3 3 2 13 3" xfId="29708"/>
    <cellStyle name="Input [yellow] 3 3 2 13 4" xfId="40873"/>
    <cellStyle name="Input [yellow] 3 3 2 13 5" xfId="52066"/>
    <cellStyle name="Input [yellow] 3 3 2 14" xfId="7977"/>
    <cellStyle name="Input [yellow] 3 3 2 14 2" xfId="19174"/>
    <cellStyle name="Input [yellow] 3 3 2 14 3" xfId="30342"/>
    <cellStyle name="Input [yellow] 3 3 2 14 4" xfId="41507"/>
    <cellStyle name="Input [yellow] 3 3 2 14 5" xfId="52700"/>
    <cellStyle name="Input [yellow] 3 3 2 15" xfId="8608"/>
    <cellStyle name="Input [yellow] 3 3 2 15 2" xfId="19805"/>
    <cellStyle name="Input [yellow] 3 3 2 15 3" xfId="30973"/>
    <cellStyle name="Input [yellow] 3 3 2 15 4" xfId="42138"/>
    <cellStyle name="Input [yellow] 3 3 2 15 5" xfId="53331"/>
    <cellStyle name="Input [yellow] 3 3 2 16" xfId="9068"/>
    <cellStyle name="Input [yellow] 3 3 2 16 2" xfId="20265"/>
    <cellStyle name="Input [yellow] 3 3 2 16 3" xfId="31433"/>
    <cellStyle name="Input [yellow] 3 3 2 16 4" xfId="42598"/>
    <cellStyle name="Input [yellow] 3 3 2 16 5" xfId="53791"/>
    <cellStyle name="Input [yellow] 3 3 2 17" xfId="9661"/>
    <cellStyle name="Input [yellow] 3 3 2 17 2" xfId="20858"/>
    <cellStyle name="Input [yellow] 3 3 2 17 3" xfId="32026"/>
    <cellStyle name="Input [yellow] 3 3 2 17 4" xfId="43191"/>
    <cellStyle name="Input [yellow] 3 3 2 17 5" xfId="54384"/>
    <cellStyle name="Input [yellow] 3 3 2 18" xfId="10410"/>
    <cellStyle name="Input [yellow] 3 3 2 18 2" xfId="21607"/>
    <cellStyle name="Input [yellow] 3 3 2 18 3" xfId="32775"/>
    <cellStyle name="Input [yellow] 3 3 2 18 4" xfId="43940"/>
    <cellStyle name="Input [yellow] 3 3 2 18 5" xfId="55133"/>
    <cellStyle name="Input [yellow] 3 3 2 19" xfId="10693"/>
    <cellStyle name="Input [yellow] 3 3 2 19 2" xfId="21890"/>
    <cellStyle name="Input [yellow] 3 3 2 19 3" xfId="33058"/>
    <cellStyle name="Input [yellow] 3 3 2 19 4" xfId="44223"/>
    <cellStyle name="Input [yellow] 3 3 2 19 5" xfId="55416"/>
    <cellStyle name="Input [yellow] 3 3 2 2" xfId="789"/>
    <cellStyle name="Input [yellow] 3 3 2 2 2" xfId="11986"/>
    <cellStyle name="Input [yellow] 3 3 2 2 3" xfId="23154"/>
    <cellStyle name="Input [yellow] 3 3 2 2 4" xfId="34319"/>
    <cellStyle name="Input [yellow] 3 3 2 2 5" xfId="45512"/>
    <cellStyle name="Input [yellow] 3 3 2 20" xfId="11340"/>
    <cellStyle name="Input [yellow] 3 3 2 21" xfId="22510"/>
    <cellStyle name="Input [yellow] 3 3 2 22" xfId="33677"/>
    <cellStyle name="Input [yellow] 3 3 2 23" xfId="44863"/>
    <cellStyle name="Input [yellow] 3 3 2 3" xfId="1711"/>
    <cellStyle name="Input [yellow] 3 3 2 3 2" xfId="12908"/>
    <cellStyle name="Input [yellow] 3 3 2 3 3" xfId="24076"/>
    <cellStyle name="Input [yellow] 3 3 2 3 4" xfId="35241"/>
    <cellStyle name="Input [yellow] 3 3 2 3 5" xfId="46434"/>
    <cellStyle name="Input [yellow] 3 3 2 4" xfId="2066"/>
    <cellStyle name="Input [yellow] 3 3 2 4 2" xfId="13263"/>
    <cellStyle name="Input [yellow] 3 3 2 4 3" xfId="24431"/>
    <cellStyle name="Input [yellow] 3 3 2 4 4" xfId="35596"/>
    <cellStyle name="Input [yellow] 3 3 2 4 5" xfId="46789"/>
    <cellStyle name="Input [yellow] 3 3 2 5" xfId="2410"/>
    <cellStyle name="Input [yellow] 3 3 2 5 2" xfId="13607"/>
    <cellStyle name="Input [yellow] 3 3 2 5 3" xfId="24775"/>
    <cellStyle name="Input [yellow] 3 3 2 5 4" xfId="35940"/>
    <cellStyle name="Input [yellow] 3 3 2 5 5" xfId="47133"/>
    <cellStyle name="Input [yellow] 3 3 2 6" xfId="3124"/>
    <cellStyle name="Input [yellow] 3 3 2 6 2" xfId="14321"/>
    <cellStyle name="Input [yellow] 3 3 2 6 3" xfId="25489"/>
    <cellStyle name="Input [yellow] 3 3 2 6 4" xfId="36654"/>
    <cellStyle name="Input [yellow] 3 3 2 6 5" xfId="47847"/>
    <cellStyle name="Input [yellow] 3 3 2 7" xfId="3758"/>
    <cellStyle name="Input [yellow] 3 3 2 7 2" xfId="14955"/>
    <cellStyle name="Input [yellow] 3 3 2 7 3" xfId="26123"/>
    <cellStyle name="Input [yellow] 3 3 2 7 4" xfId="37288"/>
    <cellStyle name="Input [yellow] 3 3 2 7 5" xfId="48481"/>
    <cellStyle name="Input [yellow] 3 3 2 8" xfId="4391"/>
    <cellStyle name="Input [yellow] 3 3 2 8 2" xfId="15588"/>
    <cellStyle name="Input [yellow] 3 3 2 8 3" xfId="26756"/>
    <cellStyle name="Input [yellow] 3 3 2 8 4" xfId="37921"/>
    <cellStyle name="Input [yellow] 3 3 2 8 5" xfId="49114"/>
    <cellStyle name="Input [yellow] 3 3 2 9" xfId="5022"/>
    <cellStyle name="Input [yellow] 3 3 2 9 2" xfId="16219"/>
    <cellStyle name="Input [yellow] 3 3 2 9 3" xfId="27387"/>
    <cellStyle name="Input [yellow] 3 3 2 9 4" xfId="38552"/>
    <cellStyle name="Input [yellow] 3 3 2 9 5" xfId="49745"/>
    <cellStyle name="Input [yellow] 3 3 20" xfId="5887"/>
    <cellStyle name="Input [yellow] 3 3 20 2" xfId="17084"/>
    <cellStyle name="Input [yellow] 3 3 20 3" xfId="28252"/>
    <cellStyle name="Input [yellow] 3 3 20 4" xfId="39417"/>
    <cellStyle name="Input [yellow] 3 3 20 5" xfId="50610"/>
    <cellStyle name="Input [yellow] 3 3 21" xfId="5591"/>
    <cellStyle name="Input [yellow] 3 3 21 2" xfId="16788"/>
    <cellStyle name="Input [yellow] 3 3 21 3" xfId="27956"/>
    <cellStyle name="Input [yellow] 3 3 21 4" xfId="39121"/>
    <cellStyle name="Input [yellow] 3 3 21 5" xfId="50314"/>
    <cellStyle name="Input [yellow] 3 3 22" xfId="6646"/>
    <cellStyle name="Input [yellow] 3 3 22 2" xfId="17843"/>
    <cellStyle name="Input [yellow] 3 3 22 3" xfId="29011"/>
    <cellStyle name="Input [yellow] 3 3 22 4" xfId="40176"/>
    <cellStyle name="Input [yellow] 3 3 22 5" xfId="51369"/>
    <cellStyle name="Input [yellow] 3 3 23" xfId="7278"/>
    <cellStyle name="Input [yellow] 3 3 23 2" xfId="18475"/>
    <cellStyle name="Input [yellow] 3 3 23 3" xfId="29643"/>
    <cellStyle name="Input [yellow] 3 3 23 4" xfId="40808"/>
    <cellStyle name="Input [yellow] 3 3 23 5" xfId="52001"/>
    <cellStyle name="Input [yellow] 3 3 24" xfId="7912"/>
    <cellStyle name="Input [yellow] 3 3 24 2" xfId="19109"/>
    <cellStyle name="Input [yellow] 3 3 24 3" xfId="30277"/>
    <cellStyle name="Input [yellow] 3 3 24 4" xfId="41442"/>
    <cellStyle name="Input [yellow] 3 3 24 5" xfId="52635"/>
    <cellStyle name="Input [yellow] 3 3 25" xfId="8545"/>
    <cellStyle name="Input [yellow] 3 3 25 2" xfId="19742"/>
    <cellStyle name="Input [yellow] 3 3 25 3" xfId="30910"/>
    <cellStyle name="Input [yellow] 3 3 25 4" xfId="42075"/>
    <cellStyle name="Input [yellow] 3 3 25 5" xfId="53268"/>
    <cellStyle name="Input [yellow] 3 3 26" xfId="8561"/>
    <cellStyle name="Input [yellow] 3 3 26 2" xfId="19758"/>
    <cellStyle name="Input [yellow] 3 3 26 3" xfId="30926"/>
    <cellStyle name="Input [yellow] 3 3 26 4" xfId="42091"/>
    <cellStyle name="Input [yellow] 3 3 26 5" xfId="53284"/>
    <cellStyle name="Input [yellow] 3 3 27" xfId="9597"/>
    <cellStyle name="Input [yellow] 3 3 27 2" xfId="20794"/>
    <cellStyle name="Input [yellow] 3 3 27 3" xfId="31962"/>
    <cellStyle name="Input [yellow] 3 3 27 4" xfId="43127"/>
    <cellStyle name="Input [yellow] 3 3 27 5" xfId="54320"/>
    <cellStyle name="Input [yellow] 3 3 28" xfId="10485"/>
    <cellStyle name="Input [yellow] 3 3 28 2" xfId="21682"/>
    <cellStyle name="Input [yellow] 3 3 28 3" xfId="32850"/>
    <cellStyle name="Input [yellow] 3 3 28 4" xfId="44015"/>
    <cellStyle name="Input [yellow] 3 3 28 5" xfId="55208"/>
    <cellStyle name="Input [yellow] 3 3 29" xfId="10631"/>
    <cellStyle name="Input [yellow] 3 3 29 2" xfId="21828"/>
    <cellStyle name="Input [yellow] 3 3 29 3" xfId="32996"/>
    <cellStyle name="Input [yellow] 3 3 29 4" xfId="44161"/>
    <cellStyle name="Input [yellow] 3 3 29 5" xfId="55354"/>
    <cellStyle name="Input [yellow] 3 3 3" xfId="196"/>
    <cellStyle name="Input [yellow] 3 3 3 10" xfId="5934"/>
    <cellStyle name="Input [yellow] 3 3 3 10 2" xfId="17131"/>
    <cellStyle name="Input [yellow] 3 3 3 10 3" xfId="28299"/>
    <cellStyle name="Input [yellow] 3 3 3 10 4" xfId="39464"/>
    <cellStyle name="Input [yellow] 3 3 3 10 5" xfId="50657"/>
    <cellStyle name="Input [yellow] 3 3 3 11" xfId="2082"/>
    <cellStyle name="Input [yellow] 3 3 3 11 2" xfId="13279"/>
    <cellStyle name="Input [yellow] 3 3 3 11 3" xfId="24447"/>
    <cellStyle name="Input [yellow] 3 3 3 11 4" xfId="35612"/>
    <cellStyle name="Input [yellow] 3 3 3 11 5" xfId="46805"/>
    <cellStyle name="Input [yellow] 3 3 3 12" xfId="6765"/>
    <cellStyle name="Input [yellow] 3 3 3 12 2" xfId="17962"/>
    <cellStyle name="Input [yellow] 3 3 3 12 3" xfId="29130"/>
    <cellStyle name="Input [yellow] 3 3 3 12 4" xfId="40295"/>
    <cellStyle name="Input [yellow] 3 3 3 12 5" xfId="51488"/>
    <cellStyle name="Input [yellow] 3 3 3 13" xfId="7399"/>
    <cellStyle name="Input [yellow] 3 3 3 13 2" xfId="18596"/>
    <cellStyle name="Input [yellow] 3 3 3 13 3" xfId="29764"/>
    <cellStyle name="Input [yellow] 3 3 3 13 4" xfId="40929"/>
    <cellStyle name="Input [yellow] 3 3 3 13 5" xfId="52122"/>
    <cellStyle name="Input [yellow] 3 3 3 14" xfId="8033"/>
    <cellStyle name="Input [yellow] 3 3 3 14 2" xfId="19230"/>
    <cellStyle name="Input [yellow] 3 3 3 14 3" xfId="30398"/>
    <cellStyle name="Input [yellow] 3 3 3 14 4" xfId="41563"/>
    <cellStyle name="Input [yellow] 3 3 3 14 5" xfId="52756"/>
    <cellStyle name="Input [yellow] 3 3 3 15" xfId="8664"/>
    <cellStyle name="Input [yellow] 3 3 3 15 2" xfId="19861"/>
    <cellStyle name="Input [yellow] 3 3 3 15 3" xfId="31029"/>
    <cellStyle name="Input [yellow] 3 3 3 15 4" xfId="42194"/>
    <cellStyle name="Input [yellow] 3 3 3 15 5" xfId="53387"/>
    <cellStyle name="Input [yellow] 3 3 3 16" xfId="9082"/>
    <cellStyle name="Input [yellow] 3 3 3 16 2" xfId="20279"/>
    <cellStyle name="Input [yellow] 3 3 3 16 3" xfId="31447"/>
    <cellStyle name="Input [yellow] 3 3 3 16 4" xfId="42612"/>
    <cellStyle name="Input [yellow] 3 3 3 16 5" xfId="53805"/>
    <cellStyle name="Input [yellow] 3 3 3 17" xfId="9716"/>
    <cellStyle name="Input [yellow] 3 3 3 17 2" xfId="20913"/>
    <cellStyle name="Input [yellow] 3 3 3 17 3" xfId="32081"/>
    <cellStyle name="Input [yellow] 3 3 3 17 4" xfId="43246"/>
    <cellStyle name="Input [yellow] 3 3 3 17 5" xfId="54439"/>
    <cellStyle name="Input [yellow] 3 3 3 18" xfId="10451"/>
    <cellStyle name="Input [yellow] 3 3 3 18 2" xfId="21648"/>
    <cellStyle name="Input [yellow] 3 3 3 18 3" xfId="32816"/>
    <cellStyle name="Input [yellow] 3 3 3 18 4" xfId="43981"/>
    <cellStyle name="Input [yellow] 3 3 3 18 5" xfId="55174"/>
    <cellStyle name="Input [yellow] 3 3 3 19" xfId="10749"/>
    <cellStyle name="Input [yellow] 3 3 3 19 2" xfId="21946"/>
    <cellStyle name="Input [yellow] 3 3 3 19 3" xfId="33114"/>
    <cellStyle name="Input [yellow] 3 3 3 19 4" xfId="44279"/>
    <cellStyle name="Input [yellow] 3 3 3 19 5" xfId="55472"/>
    <cellStyle name="Input [yellow] 3 3 3 2" xfId="845"/>
    <cellStyle name="Input [yellow] 3 3 3 2 2" xfId="12042"/>
    <cellStyle name="Input [yellow] 3 3 3 2 3" xfId="23210"/>
    <cellStyle name="Input [yellow] 3 3 3 2 4" xfId="34375"/>
    <cellStyle name="Input [yellow] 3 3 3 2 5" xfId="45568"/>
    <cellStyle name="Input [yellow] 3 3 3 20" xfId="11396"/>
    <cellStyle name="Input [yellow] 3 3 3 21" xfId="22566"/>
    <cellStyle name="Input [yellow] 3 3 3 22" xfId="33733"/>
    <cellStyle name="Input [yellow] 3 3 3 23" xfId="44919"/>
    <cellStyle name="Input [yellow] 3 3 3 3" xfId="1748"/>
    <cellStyle name="Input [yellow] 3 3 3 3 2" xfId="12945"/>
    <cellStyle name="Input [yellow] 3 3 3 3 3" xfId="24113"/>
    <cellStyle name="Input [yellow] 3 3 3 3 4" xfId="35278"/>
    <cellStyle name="Input [yellow] 3 3 3 3 5" xfId="46471"/>
    <cellStyle name="Input [yellow] 3 3 3 4" xfId="2122"/>
    <cellStyle name="Input [yellow] 3 3 3 4 2" xfId="13319"/>
    <cellStyle name="Input [yellow] 3 3 3 4 3" xfId="24487"/>
    <cellStyle name="Input [yellow] 3 3 3 4 4" xfId="35652"/>
    <cellStyle name="Input [yellow] 3 3 3 4 5" xfId="46845"/>
    <cellStyle name="Input [yellow] 3 3 3 5" xfId="2453"/>
    <cellStyle name="Input [yellow] 3 3 3 5 2" xfId="13650"/>
    <cellStyle name="Input [yellow] 3 3 3 5 3" xfId="24818"/>
    <cellStyle name="Input [yellow] 3 3 3 5 4" xfId="35983"/>
    <cellStyle name="Input [yellow] 3 3 3 5 5" xfId="47176"/>
    <cellStyle name="Input [yellow] 3 3 3 6" xfId="3180"/>
    <cellStyle name="Input [yellow] 3 3 3 6 2" xfId="14377"/>
    <cellStyle name="Input [yellow] 3 3 3 6 3" xfId="25545"/>
    <cellStyle name="Input [yellow] 3 3 3 6 4" xfId="36710"/>
    <cellStyle name="Input [yellow] 3 3 3 6 5" xfId="47903"/>
    <cellStyle name="Input [yellow] 3 3 3 7" xfId="3814"/>
    <cellStyle name="Input [yellow] 3 3 3 7 2" xfId="15011"/>
    <cellStyle name="Input [yellow] 3 3 3 7 3" xfId="26179"/>
    <cellStyle name="Input [yellow] 3 3 3 7 4" xfId="37344"/>
    <cellStyle name="Input [yellow] 3 3 3 7 5" xfId="48537"/>
    <cellStyle name="Input [yellow] 3 3 3 8" xfId="4447"/>
    <cellStyle name="Input [yellow] 3 3 3 8 2" xfId="15644"/>
    <cellStyle name="Input [yellow] 3 3 3 8 3" xfId="26812"/>
    <cellStyle name="Input [yellow] 3 3 3 8 4" xfId="37977"/>
    <cellStyle name="Input [yellow] 3 3 3 8 5" xfId="49170"/>
    <cellStyle name="Input [yellow] 3 3 3 9" xfId="5078"/>
    <cellStyle name="Input [yellow] 3 3 3 9 2" xfId="16275"/>
    <cellStyle name="Input [yellow] 3 3 3 9 3" xfId="27443"/>
    <cellStyle name="Input [yellow] 3 3 3 9 4" xfId="38608"/>
    <cellStyle name="Input [yellow] 3 3 3 9 5" xfId="49801"/>
    <cellStyle name="Input [yellow] 3 3 30" xfId="11276"/>
    <cellStyle name="Input [yellow] 3 3 31" xfId="22448"/>
    <cellStyle name="Input [yellow] 3 3 32" xfId="33615"/>
    <cellStyle name="Input [yellow] 3 3 33" xfId="44799"/>
    <cellStyle name="Input [yellow] 3 3 4" xfId="255"/>
    <cellStyle name="Input [yellow] 3 3 4 10" xfId="5861"/>
    <cellStyle name="Input [yellow] 3 3 4 10 2" xfId="17058"/>
    <cellStyle name="Input [yellow] 3 3 4 10 3" xfId="28226"/>
    <cellStyle name="Input [yellow] 3 3 4 10 4" xfId="39391"/>
    <cellStyle name="Input [yellow] 3 3 4 10 5" xfId="50584"/>
    <cellStyle name="Input [yellow] 3 3 4 11" xfId="5741"/>
    <cellStyle name="Input [yellow] 3 3 4 11 2" xfId="16938"/>
    <cellStyle name="Input [yellow] 3 3 4 11 3" xfId="28106"/>
    <cellStyle name="Input [yellow] 3 3 4 11 4" xfId="39271"/>
    <cellStyle name="Input [yellow] 3 3 4 11 5" xfId="50464"/>
    <cellStyle name="Input [yellow] 3 3 4 12" xfId="6824"/>
    <cellStyle name="Input [yellow] 3 3 4 12 2" xfId="18021"/>
    <cellStyle name="Input [yellow] 3 3 4 12 3" xfId="29189"/>
    <cellStyle name="Input [yellow] 3 3 4 12 4" xfId="40354"/>
    <cellStyle name="Input [yellow] 3 3 4 12 5" xfId="51547"/>
    <cellStyle name="Input [yellow] 3 3 4 13" xfId="7458"/>
    <cellStyle name="Input [yellow] 3 3 4 13 2" xfId="18655"/>
    <cellStyle name="Input [yellow] 3 3 4 13 3" xfId="29823"/>
    <cellStyle name="Input [yellow] 3 3 4 13 4" xfId="40988"/>
    <cellStyle name="Input [yellow] 3 3 4 13 5" xfId="52181"/>
    <cellStyle name="Input [yellow] 3 3 4 14" xfId="8092"/>
    <cellStyle name="Input [yellow] 3 3 4 14 2" xfId="19289"/>
    <cellStyle name="Input [yellow] 3 3 4 14 3" xfId="30457"/>
    <cellStyle name="Input [yellow] 3 3 4 14 4" xfId="41622"/>
    <cellStyle name="Input [yellow] 3 3 4 14 5" xfId="52815"/>
    <cellStyle name="Input [yellow] 3 3 4 15" xfId="8723"/>
    <cellStyle name="Input [yellow] 3 3 4 15 2" xfId="19920"/>
    <cellStyle name="Input [yellow] 3 3 4 15 3" xfId="31088"/>
    <cellStyle name="Input [yellow] 3 3 4 15 4" xfId="42253"/>
    <cellStyle name="Input [yellow] 3 3 4 15 5" xfId="53446"/>
    <cellStyle name="Input [yellow] 3 3 4 16" xfId="8922"/>
    <cellStyle name="Input [yellow] 3 3 4 16 2" xfId="20119"/>
    <cellStyle name="Input [yellow] 3 3 4 16 3" xfId="31287"/>
    <cellStyle name="Input [yellow] 3 3 4 16 4" xfId="42452"/>
    <cellStyle name="Input [yellow] 3 3 4 16 5" xfId="53645"/>
    <cellStyle name="Input [yellow] 3 3 4 17" xfId="9774"/>
    <cellStyle name="Input [yellow] 3 3 4 17 2" xfId="20971"/>
    <cellStyle name="Input [yellow] 3 3 4 17 3" xfId="32139"/>
    <cellStyle name="Input [yellow] 3 3 4 17 4" xfId="43304"/>
    <cellStyle name="Input [yellow] 3 3 4 17 5" xfId="54497"/>
    <cellStyle name="Input [yellow] 3 3 4 18" xfId="10287"/>
    <cellStyle name="Input [yellow] 3 3 4 18 2" xfId="21484"/>
    <cellStyle name="Input [yellow] 3 3 4 18 3" xfId="32652"/>
    <cellStyle name="Input [yellow] 3 3 4 18 4" xfId="43817"/>
    <cellStyle name="Input [yellow] 3 3 4 18 5" xfId="55010"/>
    <cellStyle name="Input [yellow] 3 3 4 19" xfId="10808"/>
    <cellStyle name="Input [yellow] 3 3 4 19 2" xfId="22005"/>
    <cellStyle name="Input [yellow] 3 3 4 19 3" xfId="33173"/>
    <cellStyle name="Input [yellow] 3 3 4 19 4" xfId="44338"/>
    <cellStyle name="Input [yellow] 3 3 4 19 5" xfId="55531"/>
    <cellStyle name="Input [yellow] 3 3 4 2" xfId="904"/>
    <cellStyle name="Input [yellow] 3 3 4 2 2" xfId="12101"/>
    <cellStyle name="Input [yellow] 3 3 4 2 3" xfId="23269"/>
    <cellStyle name="Input [yellow] 3 3 4 2 4" xfId="34434"/>
    <cellStyle name="Input [yellow] 3 3 4 2 5" xfId="45627"/>
    <cellStyle name="Input [yellow] 3 3 4 20" xfId="11455"/>
    <cellStyle name="Input [yellow] 3 3 4 21" xfId="22625"/>
    <cellStyle name="Input [yellow] 3 3 4 22" xfId="33792"/>
    <cellStyle name="Input [yellow] 3 3 4 23" xfId="44978"/>
    <cellStyle name="Input [yellow] 3 3 4 3" xfId="1554"/>
    <cellStyle name="Input [yellow] 3 3 4 3 2" xfId="12751"/>
    <cellStyle name="Input [yellow] 3 3 4 3 3" xfId="23919"/>
    <cellStyle name="Input [yellow] 3 3 4 3 4" xfId="35084"/>
    <cellStyle name="Input [yellow] 3 3 4 3 5" xfId="46277"/>
    <cellStyle name="Input [yellow] 3 3 4 4" xfId="2181"/>
    <cellStyle name="Input [yellow] 3 3 4 4 2" xfId="13378"/>
    <cellStyle name="Input [yellow] 3 3 4 4 3" xfId="24546"/>
    <cellStyle name="Input [yellow] 3 3 4 4 4" xfId="35711"/>
    <cellStyle name="Input [yellow] 3 3 4 4 5" xfId="46904"/>
    <cellStyle name="Input [yellow] 3 3 4 5" xfId="2215"/>
    <cellStyle name="Input [yellow] 3 3 4 5 2" xfId="13412"/>
    <cellStyle name="Input [yellow] 3 3 4 5 3" xfId="24580"/>
    <cellStyle name="Input [yellow] 3 3 4 5 4" xfId="35745"/>
    <cellStyle name="Input [yellow] 3 3 4 5 5" xfId="46938"/>
    <cellStyle name="Input [yellow] 3 3 4 6" xfId="3239"/>
    <cellStyle name="Input [yellow] 3 3 4 6 2" xfId="14436"/>
    <cellStyle name="Input [yellow] 3 3 4 6 3" xfId="25604"/>
    <cellStyle name="Input [yellow] 3 3 4 6 4" xfId="36769"/>
    <cellStyle name="Input [yellow] 3 3 4 6 5" xfId="47962"/>
    <cellStyle name="Input [yellow] 3 3 4 7" xfId="3873"/>
    <cellStyle name="Input [yellow] 3 3 4 7 2" xfId="15070"/>
    <cellStyle name="Input [yellow] 3 3 4 7 3" xfId="26238"/>
    <cellStyle name="Input [yellow] 3 3 4 7 4" xfId="37403"/>
    <cellStyle name="Input [yellow] 3 3 4 7 5" xfId="48596"/>
    <cellStyle name="Input [yellow] 3 3 4 8" xfId="4506"/>
    <cellStyle name="Input [yellow] 3 3 4 8 2" xfId="15703"/>
    <cellStyle name="Input [yellow] 3 3 4 8 3" xfId="26871"/>
    <cellStyle name="Input [yellow] 3 3 4 8 4" xfId="38036"/>
    <cellStyle name="Input [yellow] 3 3 4 8 5" xfId="49229"/>
    <cellStyle name="Input [yellow] 3 3 4 9" xfId="5137"/>
    <cellStyle name="Input [yellow] 3 3 4 9 2" xfId="16334"/>
    <cellStyle name="Input [yellow] 3 3 4 9 3" xfId="27502"/>
    <cellStyle name="Input [yellow] 3 3 4 9 4" xfId="38667"/>
    <cellStyle name="Input [yellow] 3 3 4 9 5" xfId="49860"/>
    <cellStyle name="Input [yellow] 3 3 5" xfId="350"/>
    <cellStyle name="Input [yellow] 3 3 5 10" xfId="5592"/>
    <cellStyle name="Input [yellow] 3 3 5 10 2" xfId="16789"/>
    <cellStyle name="Input [yellow] 3 3 5 10 3" xfId="27957"/>
    <cellStyle name="Input [yellow] 3 3 5 10 4" xfId="39122"/>
    <cellStyle name="Input [yellow] 3 3 5 10 5" xfId="50315"/>
    <cellStyle name="Input [yellow] 3 3 5 11" xfId="6286"/>
    <cellStyle name="Input [yellow] 3 3 5 11 2" xfId="17483"/>
    <cellStyle name="Input [yellow] 3 3 5 11 3" xfId="28651"/>
    <cellStyle name="Input [yellow] 3 3 5 11 4" xfId="39816"/>
    <cellStyle name="Input [yellow] 3 3 5 11 5" xfId="51009"/>
    <cellStyle name="Input [yellow] 3 3 5 12" xfId="6919"/>
    <cellStyle name="Input [yellow] 3 3 5 12 2" xfId="18116"/>
    <cellStyle name="Input [yellow] 3 3 5 12 3" xfId="29284"/>
    <cellStyle name="Input [yellow] 3 3 5 12 4" xfId="40449"/>
    <cellStyle name="Input [yellow] 3 3 5 12 5" xfId="51642"/>
    <cellStyle name="Input [yellow] 3 3 5 13" xfId="7553"/>
    <cellStyle name="Input [yellow] 3 3 5 13 2" xfId="18750"/>
    <cellStyle name="Input [yellow] 3 3 5 13 3" xfId="29918"/>
    <cellStyle name="Input [yellow] 3 3 5 13 4" xfId="41083"/>
    <cellStyle name="Input [yellow] 3 3 5 13 5" xfId="52276"/>
    <cellStyle name="Input [yellow] 3 3 5 14" xfId="8187"/>
    <cellStyle name="Input [yellow] 3 3 5 14 2" xfId="19384"/>
    <cellStyle name="Input [yellow] 3 3 5 14 3" xfId="30552"/>
    <cellStyle name="Input [yellow] 3 3 5 14 4" xfId="41717"/>
    <cellStyle name="Input [yellow] 3 3 5 14 5" xfId="52910"/>
    <cellStyle name="Input [yellow] 3 3 5 15" xfId="8816"/>
    <cellStyle name="Input [yellow] 3 3 5 15 2" xfId="20013"/>
    <cellStyle name="Input [yellow] 3 3 5 15 3" xfId="31181"/>
    <cellStyle name="Input [yellow] 3 3 5 15 4" xfId="42346"/>
    <cellStyle name="Input [yellow] 3 3 5 15 5" xfId="53539"/>
    <cellStyle name="Input [yellow] 3 3 5 16" xfId="9238"/>
    <cellStyle name="Input [yellow] 3 3 5 16 2" xfId="20435"/>
    <cellStyle name="Input [yellow] 3 3 5 16 3" xfId="31603"/>
    <cellStyle name="Input [yellow] 3 3 5 16 4" xfId="42768"/>
    <cellStyle name="Input [yellow] 3 3 5 16 5" xfId="53961"/>
    <cellStyle name="Input [yellow] 3 3 5 17" xfId="9865"/>
    <cellStyle name="Input [yellow] 3 3 5 17 2" xfId="21062"/>
    <cellStyle name="Input [yellow] 3 3 5 17 3" xfId="32230"/>
    <cellStyle name="Input [yellow] 3 3 5 17 4" xfId="43395"/>
    <cellStyle name="Input [yellow] 3 3 5 17 5" xfId="54588"/>
    <cellStyle name="Input [yellow] 3 3 5 18" xfId="9669"/>
    <cellStyle name="Input [yellow] 3 3 5 18 2" xfId="20866"/>
    <cellStyle name="Input [yellow] 3 3 5 18 3" xfId="32034"/>
    <cellStyle name="Input [yellow] 3 3 5 18 4" xfId="43199"/>
    <cellStyle name="Input [yellow] 3 3 5 18 5" xfId="54392"/>
    <cellStyle name="Input [yellow] 3 3 5 19" xfId="10903"/>
    <cellStyle name="Input [yellow] 3 3 5 19 2" xfId="22100"/>
    <cellStyle name="Input [yellow] 3 3 5 19 3" xfId="33268"/>
    <cellStyle name="Input [yellow] 3 3 5 19 4" xfId="44433"/>
    <cellStyle name="Input [yellow] 3 3 5 19 5" xfId="55626"/>
    <cellStyle name="Input [yellow] 3 3 5 2" xfId="999"/>
    <cellStyle name="Input [yellow] 3 3 5 2 2" xfId="12196"/>
    <cellStyle name="Input [yellow] 3 3 5 2 3" xfId="23364"/>
    <cellStyle name="Input [yellow] 3 3 5 2 4" xfId="34529"/>
    <cellStyle name="Input [yellow] 3 3 5 2 5" xfId="45722"/>
    <cellStyle name="Input [yellow] 3 3 5 20" xfId="11550"/>
    <cellStyle name="Input [yellow] 3 3 5 21" xfId="22720"/>
    <cellStyle name="Input [yellow] 3 3 5 22" xfId="33887"/>
    <cellStyle name="Input [yellow] 3 3 5 23" xfId="45073"/>
    <cellStyle name="Input [yellow] 3 3 5 3" xfId="1751"/>
    <cellStyle name="Input [yellow] 3 3 5 3 2" xfId="12948"/>
    <cellStyle name="Input [yellow] 3 3 5 3 3" xfId="24116"/>
    <cellStyle name="Input [yellow] 3 3 5 3 4" xfId="35281"/>
    <cellStyle name="Input [yellow] 3 3 5 3 5" xfId="46474"/>
    <cellStyle name="Input [yellow] 3 3 5 4" xfId="2275"/>
    <cellStyle name="Input [yellow] 3 3 5 4 2" xfId="13472"/>
    <cellStyle name="Input [yellow] 3 3 5 4 3" xfId="24640"/>
    <cellStyle name="Input [yellow] 3 3 5 4 4" xfId="35805"/>
    <cellStyle name="Input [yellow] 3 3 5 4 5" xfId="46998"/>
    <cellStyle name="Input [yellow] 3 3 5 5" xfId="2700"/>
    <cellStyle name="Input [yellow] 3 3 5 5 2" xfId="13897"/>
    <cellStyle name="Input [yellow] 3 3 5 5 3" xfId="25065"/>
    <cellStyle name="Input [yellow] 3 3 5 5 4" xfId="36230"/>
    <cellStyle name="Input [yellow] 3 3 5 5 5" xfId="47423"/>
    <cellStyle name="Input [yellow] 3 3 5 6" xfId="3334"/>
    <cellStyle name="Input [yellow] 3 3 5 6 2" xfId="14531"/>
    <cellStyle name="Input [yellow] 3 3 5 6 3" xfId="25699"/>
    <cellStyle name="Input [yellow] 3 3 5 6 4" xfId="36864"/>
    <cellStyle name="Input [yellow] 3 3 5 6 5" xfId="48057"/>
    <cellStyle name="Input [yellow] 3 3 5 7" xfId="3968"/>
    <cellStyle name="Input [yellow] 3 3 5 7 2" xfId="15165"/>
    <cellStyle name="Input [yellow] 3 3 5 7 3" xfId="26333"/>
    <cellStyle name="Input [yellow] 3 3 5 7 4" xfId="37498"/>
    <cellStyle name="Input [yellow] 3 3 5 7 5" xfId="48691"/>
    <cellStyle name="Input [yellow] 3 3 5 8" xfId="4601"/>
    <cellStyle name="Input [yellow] 3 3 5 8 2" xfId="15798"/>
    <cellStyle name="Input [yellow] 3 3 5 8 3" xfId="26966"/>
    <cellStyle name="Input [yellow] 3 3 5 8 4" xfId="38131"/>
    <cellStyle name="Input [yellow] 3 3 5 8 5" xfId="49324"/>
    <cellStyle name="Input [yellow] 3 3 5 9" xfId="5232"/>
    <cellStyle name="Input [yellow] 3 3 5 9 2" xfId="16429"/>
    <cellStyle name="Input [yellow] 3 3 5 9 3" xfId="27597"/>
    <cellStyle name="Input [yellow] 3 3 5 9 4" xfId="38762"/>
    <cellStyle name="Input [yellow] 3 3 5 9 5" xfId="49955"/>
    <cellStyle name="Input [yellow] 3 3 6" xfId="391"/>
    <cellStyle name="Input [yellow] 3 3 6 10" xfId="6039"/>
    <cellStyle name="Input [yellow] 3 3 6 10 2" xfId="17236"/>
    <cellStyle name="Input [yellow] 3 3 6 10 3" xfId="28404"/>
    <cellStyle name="Input [yellow] 3 3 6 10 4" xfId="39569"/>
    <cellStyle name="Input [yellow] 3 3 6 10 5" xfId="50762"/>
    <cellStyle name="Input [yellow] 3 3 6 11" xfId="6327"/>
    <cellStyle name="Input [yellow] 3 3 6 11 2" xfId="17524"/>
    <cellStyle name="Input [yellow] 3 3 6 11 3" xfId="28692"/>
    <cellStyle name="Input [yellow] 3 3 6 11 4" xfId="39857"/>
    <cellStyle name="Input [yellow] 3 3 6 11 5" xfId="51050"/>
    <cellStyle name="Input [yellow] 3 3 6 12" xfId="6960"/>
    <cellStyle name="Input [yellow] 3 3 6 12 2" xfId="18157"/>
    <cellStyle name="Input [yellow] 3 3 6 12 3" xfId="29325"/>
    <cellStyle name="Input [yellow] 3 3 6 12 4" xfId="40490"/>
    <cellStyle name="Input [yellow] 3 3 6 12 5" xfId="51683"/>
    <cellStyle name="Input [yellow] 3 3 6 13" xfId="7594"/>
    <cellStyle name="Input [yellow] 3 3 6 13 2" xfId="18791"/>
    <cellStyle name="Input [yellow] 3 3 6 13 3" xfId="29959"/>
    <cellStyle name="Input [yellow] 3 3 6 13 4" xfId="41124"/>
    <cellStyle name="Input [yellow] 3 3 6 13 5" xfId="52317"/>
    <cellStyle name="Input [yellow] 3 3 6 14" xfId="8228"/>
    <cellStyle name="Input [yellow] 3 3 6 14 2" xfId="19425"/>
    <cellStyle name="Input [yellow] 3 3 6 14 3" xfId="30593"/>
    <cellStyle name="Input [yellow] 3 3 6 14 4" xfId="41758"/>
    <cellStyle name="Input [yellow] 3 3 6 14 5" xfId="52951"/>
    <cellStyle name="Input [yellow] 3 3 6 15" xfId="8856"/>
    <cellStyle name="Input [yellow] 3 3 6 15 2" xfId="20053"/>
    <cellStyle name="Input [yellow] 3 3 6 15 3" xfId="31221"/>
    <cellStyle name="Input [yellow] 3 3 6 15 4" xfId="42386"/>
    <cellStyle name="Input [yellow] 3 3 6 15 5" xfId="53579"/>
    <cellStyle name="Input [yellow] 3 3 6 16" xfId="9279"/>
    <cellStyle name="Input [yellow] 3 3 6 16 2" xfId="20476"/>
    <cellStyle name="Input [yellow] 3 3 6 16 3" xfId="31644"/>
    <cellStyle name="Input [yellow] 3 3 6 16 4" xfId="42809"/>
    <cellStyle name="Input [yellow] 3 3 6 16 5" xfId="54002"/>
    <cellStyle name="Input [yellow] 3 3 6 17" xfId="9905"/>
    <cellStyle name="Input [yellow] 3 3 6 17 2" xfId="21102"/>
    <cellStyle name="Input [yellow] 3 3 6 17 3" xfId="32270"/>
    <cellStyle name="Input [yellow] 3 3 6 17 4" xfId="43435"/>
    <cellStyle name="Input [yellow] 3 3 6 17 5" xfId="54628"/>
    <cellStyle name="Input [yellow] 3 3 6 18" xfId="9709"/>
    <cellStyle name="Input [yellow] 3 3 6 18 2" xfId="20906"/>
    <cellStyle name="Input [yellow] 3 3 6 18 3" xfId="32074"/>
    <cellStyle name="Input [yellow] 3 3 6 18 4" xfId="43239"/>
    <cellStyle name="Input [yellow] 3 3 6 18 5" xfId="54432"/>
    <cellStyle name="Input [yellow] 3 3 6 19" xfId="10944"/>
    <cellStyle name="Input [yellow] 3 3 6 19 2" xfId="22141"/>
    <cellStyle name="Input [yellow] 3 3 6 19 3" xfId="33309"/>
    <cellStyle name="Input [yellow] 3 3 6 19 4" xfId="44474"/>
    <cellStyle name="Input [yellow] 3 3 6 19 5" xfId="55667"/>
    <cellStyle name="Input [yellow] 3 3 6 2" xfId="1040"/>
    <cellStyle name="Input [yellow] 3 3 6 2 2" xfId="12237"/>
    <cellStyle name="Input [yellow] 3 3 6 2 3" xfId="23405"/>
    <cellStyle name="Input [yellow] 3 3 6 2 4" xfId="34570"/>
    <cellStyle name="Input [yellow] 3 3 6 2 5" xfId="45763"/>
    <cellStyle name="Input [yellow] 3 3 6 20" xfId="11591"/>
    <cellStyle name="Input [yellow] 3 3 6 21" xfId="22761"/>
    <cellStyle name="Input [yellow] 3 3 6 22" xfId="33928"/>
    <cellStyle name="Input [yellow] 3 3 6 23" xfId="45114"/>
    <cellStyle name="Input [yellow] 3 3 6 3" xfId="1955"/>
    <cellStyle name="Input [yellow] 3 3 6 3 2" xfId="13152"/>
    <cellStyle name="Input [yellow] 3 3 6 3 3" xfId="24320"/>
    <cellStyle name="Input [yellow] 3 3 6 3 4" xfId="35485"/>
    <cellStyle name="Input [yellow] 3 3 6 3 5" xfId="46678"/>
    <cellStyle name="Input [yellow] 3 3 6 4" xfId="2316"/>
    <cellStyle name="Input [yellow] 3 3 6 4 2" xfId="13513"/>
    <cellStyle name="Input [yellow] 3 3 6 4 3" xfId="24681"/>
    <cellStyle name="Input [yellow] 3 3 6 4 4" xfId="35846"/>
    <cellStyle name="Input [yellow] 3 3 6 4 5" xfId="47039"/>
    <cellStyle name="Input [yellow] 3 3 6 5" xfId="2741"/>
    <cellStyle name="Input [yellow] 3 3 6 5 2" xfId="13938"/>
    <cellStyle name="Input [yellow] 3 3 6 5 3" xfId="25106"/>
    <cellStyle name="Input [yellow] 3 3 6 5 4" xfId="36271"/>
    <cellStyle name="Input [yellow] 3 3 6 5 5" xfId="47464"/>
    <cellStyle name="Input [yellow] 3 3 6 6" xfId="3375"/>
    <cellStyle name="Input [yellow] 3 3 6 6 2" xfId="14572"/>
    <cellStyle name="Input [yellow] 3 3 6 6 3" xfId="25740"/>
    <cellStyle name="Input [yellow] 3 3 6 6 4" xfId="36905"/>
    <cellStyle name="Input [yellow] 3 3 6 6 5" xfId="48098"/>
    <cellStyle name="Input [yellow] 3 3 6 7" xfId="4009"/>
    <cellStyle name="Input [yellow] 3 3 6 7 2" xfId="15206"/>
    <cellStyle name="Input [yellow] 3 3 6 7 3" xfId="26374"/>
    <cellStyle name="Input [yellow] 3 3 6 7 4" xfId="37539"/>
    <cellStyle name="Input [yellow] 3 3 6 7 5" xfId="48732"/>
    <cellStyle name="Input [yellow] 3 3 6 8" xfId="4642"/>
    <cellStyle name="Input [yellow] 3 3 6 8 2" xfId="15839"/>
    <cellStyle name="Input [yellow] 3 3 6 8 3" xfId="27007"/>
    <cellStyle name="Input [yellow] 3 3 6 8 4" xfId="38172"/>
    <cellStyle name="Input [yellow] 3 3 6 8 5" xfId="49365"/>
    <cellStyle name="Input [yellow] 3 3 6 9" xfId="5273"/>
    <cellStyle name="Input [yellow] 3 3 6 9 2" xfId="16470"/>
    <cellStyle name="Input [yellow] 3 3 6 9 3" xfId="27638"/>
    <cellStyle name="Input [yellow] 3 3 6 9 4" xfId="38803"/>
    <cellStyle name="Input [yellow] 3 3 6 9 5" xfId="49996"/>
    <cellStyle name="Input [yellow] 3 3 7" xfId="474"/>
    <cellStyle name="Input [yellow] 3 3 7 10" xfId="4343"/>
    <cellStyle name="Input [yellow] 3 3 7 10 2" xfId="15540"/>
    <cellStyle name="Input [yellow] 3 3 7 10 3" xfId="26708"/>
    <cellStyle name="Input [yellow] 3 3 7 10 4" xfId="37873"/>
    <cellStyle name="Input [yellow] 3 3 7 10 5" xfId="49066"/>
    <cellStyle name="Input [yellow] 3 3 7 11" xfId="6410"/>
    <cellStyle name="Input [yellow] 3 3 7 11 2" xfId="17607"/>
    <cellStyle name="Input [yellow] 3 3 7 11 3" xfId="28775"/>
    <cellStyle name="Input [yellow] 3 3 7 11 4" xfId="39940"/>
    <cellStyle name="Input [yellow] 3 3 7 11 5" xfId="51133"/>
    <cellStyle name="Input [yellow] 3 3 7 12" xfId="7043"/>
    <cellStyle name="Input [yellow] 3 3 7 12 2" xfId="18240"/>
    <cellStyle name="Input [yellow] 3 3 7 12 3" xfId="29408"/>
    <cellStyle name="Input [yellow] 3 3 7 12 4" xfId="40573"/>
    <cellStyle name="Input [yellow] 3 3 7 12 5" xfId="51766"/>
    <cellStyle name="Input [yellow] 3 3 7 13" xfId="7677"/>
    <cellStyle name="Input [yellow] 3 3 7 13 2" xfId="18874"/>
    <cellStyle name="Input [yellow] 3 3 7 13 3" xfId="30042"/>
    <cellStyle name="Input [yellow] 3 3 7 13 4" xfId="41207"/>
    <cellStyle name="Input [yellow] 3 3 7 13 5" xfId="52400"/>
    <cellStyle name="Input [yellow] 3 3 7 14" xfId="8311"/>
    <cellStyle name="Input [yellow] 3 3 7 14 2" xfId="19508"/>
    <cellStyle name="Input [yellow] 3 3 7 14 3" xfId="30676"/>
    <cellStyle name="Input [yellow] 3 3 7 14 4" xfId="41841"/>
    <cellStyle name="Input [yellow] 3 3 7 14 5" xfId="53034"/>
    <cellStyle name="Input [yellow] 3 3 7 15" xfId="8939"/>
    <cellStyle name="Input [yellow] 3 3 7 15 2" xfId="20136"/>
    <cellStyle name="Input [yellow] 3 3 7 15 3" xfId="31304"/>
    <cellStyle name="Input [yellow] 3 3 7 15 4" xfId="42469"/>
    <cellStyle name="Input [yellow] 3 3 7 15 5" xfId="53662"/>
    <cellStyle name="Input [yellow] 3 3 7 16" xfId="9362"/>
    <cellStyle name="Input [yellow] 3 3 7 16 2" xfId="20559"/>
    <cellStyle name="Input [yellow] 3 3 7 16 3" xfId="31727"/>
    <cellStyle name="Input [yellow] 3 3 7 16 4" xfId="42892"/>
    <cellStyle name="Input [yellow] 3 3 7 16 5" xfId="54085"/>
    <cellStyle name="Input [yellow] 3 3 7 17" xfId="9988"/>
    <cellStyle name="Input [yellow] 3 3 7 17 2" xfId="21185"/>
    <cellStyle name="Input [yellow] 3 3 7 17 3" xfId="32353"/>
    <cellStyle name="Input [yellow] 3 3 7 17 4" xfId="43518"/>
    <cellStyle name="Input [yellow] 3 3 7 17 5" xfId="54711"/>
    <cellStyle name="Input [yellow] 3 3 7 18" xfId="8534"/>
    <cellStyle name="Input [yellow] 3 3 7 18 2" xfId="19731"/>
    <cellStyle name="Input [yellow] 3 3 7 18 3" xfId="30899"/>
    <cellStyle name="Input [yellow] 3 3 7 18 4" xfId="42064"/>
    <cellStyle name="Input [yellow] 3 3 7 18 5" xfId="53257"/>
    <cellStyle name="Input [yellow] 3 3 7 19" xfId="11027"/>
    <cellStyle name="Input [yellow] 3 3 7 19 2" xfId="22224"/>
    <cellStyle name="Input [yellow] 3 3 7 19 3" xfId="33392"/>
    <cellStyle name="Input [yellow] 3 3 7 19 4" xfId="44557"/>
    <cellStyle name="Input [yellow] 3 3 7 19 5" xfId="55750"/>
    <cellStyle name="Input [yellow] 3 3 7 2" xfId="1123"/>
    <cellStyle name="Input [yellow] 3 3 7 2 2" xfId="12320"/>
    <cellStyle name="Input [yellow] 3 3 7 2 3" xfId="23488"/>
    <cellStyle name="Input [yellow] 3 3 7 2 4" xfId="34653"/>
    <cellStyle name="Input [yellow] 3 3 7 2 5" xfId="45846"/>
    <cellStyle name="Input [yellow] 3 3 7 20" xfId="11674"/>
    <cellStyle name="Input [yellow] 3 3 7 21" xfId="22844"/>
    <cellStyle name="Input [yellow] 3 3 7 22" xfId="34011"/>
    <cellStyle name="Input [yellow] 3 3 7 23" xfId="45197"/>
    <cellStyle name="Input [yellow] 3 3 7 3" xfId="696"/>
    <cellStyle name="Input [yellow] 3 3 7 3 2" xfId="11896"/>
    <cellStyle name="Input [yellow] 3 3 7 3 3" xfId="23066"/>
    <cellStyle name="Input [yellow] 3 3 7 3 4" xfId="34233"/>
    <cellStyle name="Input [yellow] 3 3 7 3 5" xfId="45419"/>
    <cellStyle name="Input [yellow] 3 3 7 4" xfId="2399"/>
    <cellStyle name="Input [yellow] 3 3 7 4 2" xfId="13596"/>
    <cellStyle name="Input [yellow] 3 3 7 4 3" xfId="24764"/>
    <cellStyle name="Input [yellow] 3 3 7 4 4" xfId="35929"/>
    <cellStyle name="Input [yellow] 3 3 7 4 5" xfId="47122"/>
    <cellStyle name="Input [yellow] 3 3 7 5" xfId="2824"/>
    <cellStyle name="Input [yellow] 3 3 7 5 2" xfId="14021"/>
    <cellStyle name="Input [yellow] 3 3 7 5 3" xfId="25189"/>
    <cellStyle name="Input [yellow] 3 3 7 5 4" xfId="36354"/>
    <cellStyle name="Input [yellow] 3 3 7 5 5" xfId="47547"/>
    <cellStyle name="Input [yellow] 3 3 7 6" xfId="3458"/>
    <cellStyle name="Input [yellow] 3 3 7 6 2" xfId="14655"/>
    <cellStyle name="Input [yellow] 3 3 7 6 3" xfId="25823"/>
    <cellStyle name="Input [yellow] 3 3 7 6 4" xfId="36988"/>
    <cellStyle name="Input [yellow] 3 3 7 6 5" xfId="48181"/>
    <cellStyle name="Input [yellow] 3 3 7 7" xfId="4092"/>
    <cellStyle name="Input [yellow] 3 3 7 7 2" xfId="15289"/>
    <cellStyle name="Input [yellow] 3 3 7 7 3" xfId="26457"/>
    <cellStyle name="Input [yellow] 3 3 7 7 4" xfId="37622"/>
    <cellStyle name="Input [yellow] 3 3 7 7 5" xfId="48815"/>
    <cellStyle name="Input [yellow] 3 3 7 8" xfId="4725"/>
    <cellStyle name="Input [yellow] 3 3 7 8 2" xfId="15922"/>
    <cellStyle name="Input [yellow] 3 3 7 8 3" xfId="27090"/>
    <cellStyle name="Input [yellow] 3 3 7 8 4" xfId="38255"/>
    <cellStyle name="Input [yellow] 3 3 7 8 5" xfId="49448"/>
    <cellStyle name="Input [yellow] 3 3 7 9" xfId="5356"/>
    <cellStyle name="Input [yellow] 3 3 7 9 2" xfId="16553"/>
    <cellStyle name="Input [yellow] 3 3 7 9 3" xfId="27721"/>
    <cellStyle name="Input [yellow] 3 3 7 9 4" xfId="38886"/>
    <cellStyle name="Input [yellow] 3 3 7 9 5" xfId="50079"/>
    <cellStyle name="Input [yellow] 3 3 8" xfId="484"/>
    <cellStyle name="Input [yellow] 3 3 8 10" xfId="5904"/>
    <cellStyle name="Input [yellow] 3 3 8 10 2" xfId="17101"/>
    <cellStyle name="Input [yellow] 3 3 8 10 3" xfId="28269"/>
    <cellStyle name="Input [yellow] 3 3 8 10 4" xfId="39434"/>
    <cellStyle name="Input [yellow] 3 3 8 10 5" xfId="50627"/>
    <cellStyle name="Input [yellow] 3 3 8 11" xfId="6420"/>
    <cellStyle name="Input [yellow] 3 3 8 11 2" xfId="17617"/>
    <cellStyle name="Input [yellow] 3 3 8 11 3" xfId="28785"/>
    <cellStyle name="Input [yellow] 3 3 8 11 4" xfId="39950"/>
    <cellStyle name="Input [yellow] 3 3 8 11 5" xfId="51143"/>
    <cellStyle name="Input [yellow] 3 3 8 12" xfId="7053"/>
    <cellStyle name="Input [yellow] 3 3 8 12 2" xfId="18250"/>
    <cellStyle name="Input [yellow] 3 3 8 12 3" xfId="29418"/>
    <cellStyle name="Input [yellow] 3 3 8 12 4" xfId="40583"/>
    <cellStyle name="Input [yellow] 3 3 8 12 5" xfId="51776"/>
    <cellStyle name="Input [yellow] 3 3 8 13" xfId="7687"/>
    <cellStyle name="Input [yellow] 3 3 8 13 2" xfId="18884"/>
    <cellStyle name="Input [yellow] 3 3 8 13 3" xfId="30052"/>
    <cellStyle name="Input [yellow] 3 3 8 13 4" xfId="41217"/>
    <cellStyle name="Input [yellow] 3 3 8 13 5" xfId="52410"/>
    <cellStyle name="Input [yellow] 3 3 8 14" xfId="8321"/>
    <cellStyle name="Input [yellow] 3 3 8 14 2" xfId="19518"/>
    <cellStyle name="Input [yellow] 3 3 8 14 3" xfId="30686"/>
    <cellStyle name="Input [yellow] 3 3 8 14 4" xfId="41851"/>
    <cellStyle name="Input [yellow] 3 3 8 14 5" xfId="53044"/>
    <cellStyle name="Input [yellow] 3 3 8 15" xfId="8949"/>
    <cellStyle name="Input [yellow] 3 3 8 15 2" xfId="20146"/>
    <cellStyle name="Input [yellow] 3 3 8 15 3" xfId="31314"/>
    <cellStyle name="Input [yellow] 3 3 8 15 4" xfId="42479"/>
    <cellStyle name="Input [yellow] 3 3 8 15 5" xfId="53672"/>
    <cellStyle name="Input [yellow] 3 3 8 16" xfId="9372"/>
    <cellStyle name="Input [yellow] 3 3 8 16 2" xfId="20569"/>
    <cellStyle name="Input [yellow] 3 3 8 16 3" xfId="31737"/>
    <cellStyle name="Input [yellow] 3 3 8 16 4" xfId="42902"/>
    <cellStyle name="Input [yellow] 3 3 8 16 5" xfId="54095"/>
    <cellStyle name="Input [yellow] 3 3 8 17" xfId="9998"/>
    <cellStyle name="Input [yellow] 3 3 8 17 2" xfId="21195"/>
    <cellStyle name="Input [yellow] 3 3 8 17 3" xfId="32363"/>
    <cellStyle name="Input [yellow] 3 3 8 17 4" xfId="43528"/>
    <cellStyle name="Input [yellow] 3 3 8 17 5" xfId="54721"/>
    <cellStyle name="Input [yellow] 3 3 8 18" xfId="7903"/>
    <cellStyle name="Input [yellow] 3 3 8 18 2" xfId="19100"/>
    <cellStyle name="Input [yellow] 3 3 8 18 3" xfId="30268"/>
    <cellStyle name="Input [yellow] 3 3 8 18 4" xfId="41433"/>
    <cellStyle name="Input [yellow] 3 3 8 18 5" xfId="52626"/>
    <cellStyle name="Input [yellow] 3 3 8 19" xfId="11037"/>
    <cellStyle name="Input [yellow] 3 3 8 19 2" xfId="22234"/>
    <cellStyle name="Input [yellow] 3 3 8 19 3" xfId="33402"/>
    <cellStyle name="Input [yellow] 3 3 8 19 4" xfId="44567"/>
    <cellStyle name="Input [yellow] 3 3 8 19 5" xfId="55760"/>
    <cellStyle name="Input [yellow] 3 3 8 2" xfId="1133"/>
    <cellStyle name="Input [yellow] 3 3 8 2 2" xfId="12330"/>
    <cellStyle name="Input [yellow] 3 3 8 2 3" xfId="23498"/>
    <cellStyle name="Input [yellow] 3 3 8 2 4" xfId="34663"/>
    <cellStyle name="Input [yellow] 3 3 8 2 5" xfId="45856"/>
    <cellStyle name="Input [yellow] 3 3 8 20" xfId="11684"/>
    <cellStyle name="Input [yellow] 3 3 8 21" xfId="22854"/>
    <cellStyle name="Input [yellow] 3 3 8 22" xfId="34021"/>
    <cellStyle name="Input [yellow] 3 3 8 23" xfId="45207"/>
    <cellStyle name="Input [yellow] 3 3 8 3" xfId="1939"/>
    <cellStyle name="Input [yellow] 3 3 8 3 2" xfId="13136"/>
    <cellStyle name="Input [yellow] 3 3 8 3 3" xfId="24304"/>
    <cellStyle name="Input [yellow] 3 3 8 3 4" xfId="35469"/>
    <cellStyle name="Input [yellow] 3 3 8 3 5" xfId="46662"/>
    <cellStyle name="Input [yellow] 3 3 8 4" xfId="2409"/>
    <cellStyle name="Input [yellow] 3 3 8 4 2" xfId="13606"/>
    <cellStyle name="Input [yellow] 3 3 8 4 3" xfId="24774"/>
    <cellStyle name="Input [yellow] 3 3 8 4 4" xfId="35939"/>
    <cellStyle name="Input [yellow] 3 3 8 4 5" xfId="47132"/>
    <cellStyle name="Input [yellow] 3 3 8 5" xfId="2834"/>
    <cellStyle name="Input [yellow] 3 3 8 5 2" xfId="14031"/>
    <cellStyle name="Input [yellow] 3 3 8 5 3" xfId="25199"/>
    <cellStyle name="Input [yellow] 3 3 8 5 4" xfId="36364"/>
    <cellStyle name="Input [yellow] 3 3 8 5 5" xfId="47557"/>
    <cellStyle name="Input [yellow] 3 3 8 6" xfId="3468"/>
    <cellStyle name="Input [yellow] 3 3 8 6 2" xfId="14665"/>
    <cellStyle name="Input [yellow] 3 3 8 6 3" xfId="25833"/>
    <cellStyle name="Input [yellow] 3 3 8 6 4" xfId="36998"/>
    <cellStyle name="Input [yellow] 3 3 8 6 5" xfId="48191"/>
    <cellStyle name="Input [yellow] 3 3 8 7" xfId="4102"/>
    <cellStyle name="Input [yellow] 3 3 8 7 2" xfId="15299"/>
    <cellStyle name="Input [yellow] 3 3 8 7 3" xfId="26467"/>
    <cellStyle name="Input [yellow] 3 3 8 7 4" xfId="37632"/>
    <cellStyle name="Input [yellow] 3 3 8 7 5" xfId="48825"/>
    <cellStyle name="Input [yellow] 3 3 8 8" xfId="4735"/>
    <cellStyle name="Input [yellow] 3 3 8 8 2" xfId="15932"/>
    <cellStyle name="Input [yellow] 3 3 8 8 3" xfId="27100"/>
    <cellStyle name="Input [yellow] 3 3 8 8 4" xfId="38265"/>
    <cellStyle name="Input [yellow] 3 3 8 8 5" xfId="49458"/>
    <cellStyle name="Input [yellow] 3 3 8 9" xfId="5366"/>
    <cellStyle name="Input [yellow] 3 3 8 9 2" xfId="16563"/>
    <cellStyle name="Input [yellow] 3 3 8 9 3" xfId="27731"/>
    <cellStyle name="Input [yellow] 3 3 8 9 4" xfId="38896"/>
    <cellStyle name="Input [yellow] 3 3 8 9 5" xfId="50089"/>
    <cellStyle name="Input [yellow] 3 3 9" xfId="542"/>
    <cellStyle name="Input [yellow] 3 3 9 10" xfId="5956"/>
    <cellStyle name="Input [yellow] 3 3 9 10 2" xfId="17153"/>
    <cellStyle name="Input [yellow] 3 3 9 10 3" xfId="28321"/>
    <cellStyle name="Input [yellow] 3 3 9 10 4" xfId="39486"/>
    <cellStyle name="Input [yellow] 3 3 9 10 5" xfId="50679"/>
    <cellStyle name="Input [yellow] 3 3 9 11" xfId="6478"/>
    <cellStyle name="Input [yellow] 3 3 9 11 2" xfId="17675"/>
    <cellStyle name="Input [yellow] 3 3 9 11 3" xfId="28843"/>
    <cellStyle name="Input [yellow] 3 3 9 11 4" xfId="40008"/>
    <cellStyle name="Input [yellow] 3 3 9 11 5" xfId="51201"/>
    <cellStyle name="Input [yellow] 3 3 9 12" xfId="7111"/>
    <cellStyle name="Input [yellow] 3 3 9 12 2" xfId="18308"/>
    <cellStyle name="Input [yellow] 3 3 9 12 3" xfId="29476"/>
    <cellStyle name="Input [yellow] 3 3 9 12 4" xfId="40641"/>
    <cellStyle name="Input [yellow] 3 3 9 12 5" xfId="51834"/>
    <cellStyle name="Input [yellow] 3 3 9 13" xfId="7745"/>
    <cellStyle name="Input [yellow] 3 3 9 13 2" xfId="18942"/>
    <cellStyle name="Input [yellow] 3 3 9 13 3" xfId="30110"/>
    <cellStyle name="Input [yellow] 3 3 9 13 4" xfId="41275"/>
    <cellStyle name="Input [yellow] 3 3 9 13 5" xfId="52468"/>
    <cellStyle name="Input [yellow] 3 3 9 14" xfId="8379"/>
    <cellStyle name="Input [yellow] 3 3 9 14 2" xfId="19576"/>
    <cellStyle name="Input [yellow] 3 3 9 14 3" xfId="30744"/>
    <cellStyle name="Input [yellow] 3 3 9 14 4" xfId="41909"/>
    <cellStyle name="Input [yellow] 3 3 9 14 5" xfId="53102"/>
    <cellStyle name="Input [yellow] 3 3 9 15" xfId="9007"/>
    <cellStyle name="Input [yellow] 3 3 9 15 2" xfId="20204"/>
    <cellStyle name="Input [yellow] 3 3 9 15 3" xfId="31372"/>
    <cellStyle name="Input [yellow] 3 3 9 15 4" xfId="42537"/>
    <cellStyle name="Input [yellow] 3 3 9 15 5" xfId="53730"/>
    <cellStyle name="Input [yellow] 3 3 9 16" xfId="9430"/>
    <cellStyle name="Input [yellow] 3 3 9 16 2" xfId="20627"/>
    <cellStyle name="Input [yellow] 3 3 9 16 3" xfId="31795"/>
    <cellStyle name="Input [yellow] 3 3 9 16 4" xfId="42960"/>
    <cellStyle name="Input [yellow] 3 3 9 16 5" xfId="54153"/>
    <cellStyle name="Input [yellow] 3 3 9 17" xfId="10055"/>
    <cellStyle name="Input [yellow] 3 3 9 17 2" xfId="21252"/>
    <cellStyle name="Input [yellow] 3 3 9 17 3" xfId="32420"/>
    <cellStyle name="Input [yellow] 3 3 9 17 4" xfId="43585"/>
    <cellStyle name="Input [yellow] 3 3 9 17 5" xfId="54778"/>
    <cellStyle name="Input [yellow] 3 3 9 18" xfId="9619"/>
    <cellStyle name="Input [yellow] 3 3 9 18 2" xfId="20816"/>
    <cellStyle name="Input [yellow] 3 3 9 18 3" xfId="31984"/>
    <cellStyle name="Input [yellow] 3 3 9 18 4" xfId="43149"/>
    <cellStyle name="Input [yellow] 3 3 9 18 5" xfId="54342"/>
    <cellStyle name="Input [yellow] 3 3 9 19" xfId="11095"/>
    <cellStyle name="Input [yellow] 3 3 9 19 2" xfId="22292"/>
    <cellStyle name="Input [yellow] 3 3 9 19 3" xfId="33460"/>
    <cellStyle name="Input [yellow] 3 3 9 19 4" xfId="44625"/>
    <cellStyle name="Input [yellow] 3 3 9 19 5" xfId="55818"/>
    <cellStyle name="Input [yellow] 3 3 9 2" xfId="1191"/>
    <cellStyle name="Input [yellow] 3 3 9 2 2" xfId="12388"/>
    <cellStyle name="Input [yellow] 3 3 9 2 3" xfId="23556"/>
    <cellStyle name="Input [yellow] 3 3 9 2 4" xfId="34721"/>
    <cellStyle name="Input [yellow] 3 3 9 2 5" xfId="45914"/>
    <cellStyle name="Input [yellow] 3 3 9 20" xfId="11742"/>
    <cellStyle name="Input [yellow] 3 3 9 21" xfId="22912"/>
    <cellStyle name="Input [yellow] 3 3 9 22" xfId="34079"/>
    <cellStyle name="Input [yellow] 3 3 9 23" xfId="45265"/>
    <cellStyle name="Input [yellow] 3 3 9 3" xfId="1834"/>
    <cellStyle name="Input [yellow] 3 3 9 3 2" xfId="13031"/>
    <cellStyle name="Input [yellow] 3 3 9 3 3" xfId="24199"/>
    <cellStyle name="Input [yellow] 3 3 9 3 4" xfId="35364"/>
    <cellStyle name="Input [yellow] 3 3 9 3 5" xfId="46557"/>
    <cellStyle name="Input [yellow] 3 3 9 4" xfId="2467"/>
    <cellStyle name="Input [yellow] 3 3 9 4 2" xfId="13664"/>
    <cellStyle name="Input [yellow] 3 3 9 4 3" xfId="24832"/>
    <cellStyle name="Input [yellow] 3 3 9 4 4" xfId="35997"/>
    <cellStyle name="Input [yellow] 3 3 9 4 5" xfId="47190"/>
    <cellStyle name="Input [yellow] 3 3 9 5" xfId="2892"/>
    <cellStyle name="Input [yellow] 3 3 9 5 2" xfId="14089"/>
    <cellStyle name="Input [yellow] 3 3 9 5 3" xfId="25257"/>
    <cellStyle name="Input [yellow] 3 3 9 5 4" xfId="36422"/>
    <cellStyle name="Input [yellow] 3 3 9 5 5" xfId="47615"/>
    <cellStyle name="Input [yellow] 3 3 9 6" xfId="3526"/>
    <cellStyle name="Input [yellow] 3 3 9 6 2" xfId="14723"/>
    <cellStyle name="Input [yellow] 3 3 9 6 3" xfId="25891"/>
    <cellStyle name="Input [yellow] 3 3 9 6 4" xfId="37056"/>
    <cellStyle name="Input [yellow] 3 3 9 6 5" xfId="48249"/>
    <cellStyle name="Input [yellow] 3 3 9 7" xfId="4160"/>
    <cellStyle name="Input [yellow] 3 3 9 7 2" xfId="15357"/>
    <cellStyle name="Input [yellow] 3 3 9 7 3" xfId="26525"/>
    <cellStyle name="Input [yellow] 3 3 9 7 4" xfId="37690"/>
    <cellStyle name="Input [yellow] 3 3 9 7 5" xfId="48883"/>
    <cellStyle name="Input [yellow] 3 3 9 8" xfId="4793"/>
    <cellStyle name="Input [yellow] 3 3 9 8 2" xfId="15990"/>
    <cellStyle name="Input [yellow] 3 3 9 8 3" xfId="27158"/>
    <cellStyle name="Input [yellow] 3 3 9 8 4" xfId="38323"/>
    <cellStyle name="Input [yellow] 3 3 9 8 5" xfId="49516"/>
    <cellStyle name="Input [yellow] 3 3 9 9" xfId="5424"/>
    <cellStyle name="Input [yellow] 3 3 9 9 2" xfId="16621"/>
    <cellStyle name="Input [yellow] 3 3 9 9 3" xfId="27789"/>
    <cellStyle name="Input [yellow] 3 3 9 9 4" xfId="38954"/>
    <cellStyle name="Input [yellow] 3 3 9 9 5" xfId="50147"/>
    <cellStyle name="Input [yellow] 3 30" xfId="1919"/>
    <cellStyle name="Input [yellow] 3 30 2" xfId="13116"/>
    <cellStyle name="Input [yellow] 3 30 3" xfId="24284"/>
    <cellStyle name="Input [yellow] 3 30 4" xfId="35449"/>
    <cellStyle name="Input [yellow] 3 30 5" xfId="46642"/>
    <cellStyle name="Input [yellow] 3 31" xfId="1990"/>
    <cellStyle name="Input [yellow] 3 31 2" xfId="13187"/>
    <cellStyle name="Input [yellow] 3 31 3" xfId="24355"/>
    <cellStyle name="Input [yellow] 3 31 4" xfId="35520"/>
    <cellStyle name="Input [yellow] 3 31 5" xfId="46713"/>
    <cellStyle name="Input [yellow] 3 32" xfId="2036"/>
    <cellStyle name="Input [yellow] 3 32 2" xfId="13233"/>
    <cellStyle name="Input [yellow] 3 32 3" xfId="24401"/>
    <cellStyle name="Input [yellow] 3 32 4" xfId="35566"/>
    <cellStyle name="Input [yellow] 3 32 5" xfId="46759"/>
    <cellStyle name="Input [yellow] 3 33" xfId="3046"/>
    <cellStyle name="Input [yellow] 3 33 2" xfId="14243"/>
    <cellStyle name="Input [yellow] 3 33 3" xfId="25411"/>
    <cellStyle name="Input [yellow] 3 33 4" xfId="36576"/>
    <cellStyle name="Input [yellow] 3 33 5" xfId="47769"/>
    <cellStyle name="Input [yellow] 3 34" xfId="3680"/>
    <cellStyle name="Input [yellow] 3 34 2" xfId="14877"/>
    <cellStyle name="Input [yellow] 3 34 3" xfId="26045"/>
    <cellStyle name="Input [yellow] 3 34 4" xfId="37210"/>
    <cellStyle name="Input [yellow] 3 34 5" xfId="48403"/>
    <cellStyle name="Input [yellow] 3 35" xfId="4312"/>
    <cellStyle name="Input [yellow] 3 35 2" xfId="15509"/>
    <cellStyle name="Input [yellow] 3 35 3" xfId="26677"/>
    <cellStyle name="Input [yellow] 3 35 4" xfId="37842"/>
    <cellStyle name="Input [yellow] 3 35 5" xfId="49035"/>
    <cellStyle name="Input [yellow] 3 36" xfId="4945"/>
    <cellStyle name="Input [yellow] 3 36 2" xfId="16142"/>
    <cellStyle name="Input [yellow] 3 36 3" xfId="27310"/>
    <cellStyle name="Input [yellow] 3 36 4" xfId="38475"/>
    <cellStyle name="Input [yellow] 3 36 5" xfId="49668"/>
    <cellStyle name="Input [yellow] 3 37" xfId="5973"/>
    <cellStyle name="Input [yellow] 3 37 2" xfId="17170"/>
    <cellStyle name="Input [yellow] 3 37 3" xfId="28338"/>
    <cellStyle name="Input [yellow] 3 37 4" xfId="39503"/>
    <cellStyle name="Input [yellow] 3 37 5" xfId="50696"/>
    <cellStyle name="Input [yellow] 3 38" xfId="5938"/>
    <cellStyle name="Input [yellow] 3 38 2" xfId="17135"/>
    <cellStyle name="Input [yellow] 3 38 3" xfId="28303"/>
    <cellStyle name="Input [yellow] 3 38 4" xfId="39468"/>
    <cellStyle name="Input [yellow] 3 38 5" xfId="50661"/>
    <cellStyle name="Input [yellow] 3 39" xfId="6632"/>
    <cellStyle name="Input [yellow] 3 39 2" xfId="17829"/>
    <cellStyle name="Input [yellow] 3 39 3" xfId="28997"/>
    <cellStyle name="Input [yellow] 3 39 4" xfId="40162"/>
    <cellStyle name="Input [yellow] 3 39 5" xfId="51355"/>
    <cellStyle name="Input [yellow] 3 4" xfId="79"/>
    <cellStyle name="Input [yellow] 3 4 10" xfId="639"/>
    <cellStyle name="Input [yellow] 3 4 10 10" xfId="6193"/>
    <cellStyle name="Input [yellow] 3 4 10 10 2" xfId="17390"/>
    <cellStyle name="Input [yellow] 3 4 10 10 3" xfId="28558"/>
    <cellStyle name="Input [yellow] 3 4 10 10 4" xfId="39723"/>
    <cellStyle name="Input [yellow] 3 4 10 10 5" xfId="50916"/>
    <cellStyle name="Input [yellow] 3 4 10 11" xfId="6575"/>
    <cellStyle name="Input [yellow] 3 4 10 11 2" xfId="17772"/>
    <cellStyle name="Input [yellow] 3 4 10 11 3" xfId="28940"/>
    <cellStyle name="Input [yellow] 3 4 10 11 4" xfId="40105"/>
    <cellStyle name="Input [yellow] 3 4 10 11 5" xfId="51298"/>
    <cellStyle name="Input [yellow] 3 4 10 12" xfId="7208"/>
    <cellStyle name="Input [yellow] 3 4 10 12 2" xfId="18405"/>
    <cellStyle name="Input [yellow] 3 4 10 12 3" xfId="29573"/>
    <cellStyle name="Input [yellow] 3 4 10 12 4" xfId="40738"/>
    <cellStyle name="Input [yellow] 3 4 10 12 5" xfId="51931"/>
    <cellStyle name="Input [yellow] 3 4 10 13" xfId="7842"/>
    <cellStyle name="Input [yellow] 3 4 10 13 2" xfId="19039"/>
    <cellStyle name="Input [yellow] 3 4 10 13 3" xfId="30207"/>
    <cellStyle name="Input [yellow] 3 4 10 13 4" xfId="41372"/>
    <cellStyle name="Input [yellow] 3 4 10 13 5" xfId="52565"/>
    <cellStyle name="Input [yellow] 3 4 10 14" xfId="8476"/>
    <cellStyle name="Input [yellow] 3 4 10 14 2" xfId="19673"/>
    <cellStyle name="Input [yellow] 3 4 10 14 3" xfId="30841"/>
    <cellStyle name="Input [yellow] 3 4 10 14 4" xfId="42006"/>
    <cellStyle name="Input [yellow] 3 4 10 14 5" xfId="53199"/>
    <cellStyle name="Input [yellow] 3 4 10 15" xfId="9104"/>
    <cellStyle name="Input [yellow] 3 4 10 15 2" xfId="20301"/>
    <cellStyle name="Input [yellow] 3 4 10 15 3" xfId="31469"/>
    <cellStyle name="Input [yellow] 3 4 10 15 4" xfId="42634"/>
    <cellStyle name="Input [yellow] 3 4 10 15 5" xfId="53827"/>
    <cellStyle name="Input [yellow] 3 4 10 16" xfId="9527"/>
    <cellStyle name="Input [yellow] 3 4 10 16 2" xfId="20724"/>
    <cellStyle name="Input [yellow] 3 4 10 16 3" xfId="31892"/>
    <cellStyle name="Input [yellow] 3 4 10 16 4" xfId="43057"/>
    <cellStyle name="Input [yellow] 3 4 10 16 5" xfId="54250"/>
    <cellStyle name="Input [yellow] 3 4 10 17" xfId="10152"/>
    <cellStyle name="Input [yellow] 3 4 10 17 2" xfId="21349"/>
    <cellStyle name="Input [yellow] 3 4 10 17 3" xfId="32517"/>
    <cellStyle name="Input [yellow] 3 4 10 17 4" xfId="43682"/>
    <cellStyle name="Input [yellow] 3 4 10 17 5" xfId="54875"/>
    <cellStyle name="Input [yellow] 3 4 10 18" xfId="9937"/>
    <cellStyle name="Input [yellow] 3 4 10 18 2" xfId="21134"/>
    <cellStyle name="Input [yellow] 3 4 10 18 3" xfId="32302"/>
    <cellStyle name="Input [yellow] 3 4 10 18 4" xfId="43467"/>
    <cellStyle name="Input [yellow] 3 4 10 18 5" xfId="54660"/>
    <cellStyle name="Input [yellow] 3 4 10 19" xfId="11192"/>
    <cellStyle name="Input [yellow] 3 4 10 19 2" xfId="22389"/>
    <cellStyle name="Input [yellow] 3 4 10 19 3" xfId="33557"/>
    <cellStyle name="Input [yellow] 3 4 10 19 4" xfId="44722"/>
    <cellStyle name="Input [yellow] 3 4 10 19 5" xfId="55915"/>
    <cellStyle name="Input [yellow] 3 4 10 2" xfId="1288"/>
    <cellStyle name="Input [yellow] 3 4 10 2 2" xfId="12485"/>
    <cellStyle name="Input [yellow] 3 4 10 2 3" xfId="23653"/>
    <cellStyle name="Input [yellow] 3 4 10 2 4" xfId="34818"/>
    <cellStyle name="Input [yellow] 3 4 10 2 5" xfId="46011"/>
    <cellStyle name="Input [yellow] 3 4 10 20" xfId="11839"/>
    <cellStyle name="Input [yellow] 3 4 10 21" xfId="23009"/>
    <cellStyle name="Input [yellow] 3 4 10 22" xfId="34176"/>
    <cellStyle name="Input [yellow] 3 4 10 23" xfId="45362"/>
    <cellStyle name="Input [yellow] 3 4 10 3" xfId="1968"/>
    <cellStyle name="Input [yellow] 3 4 10 3 2" xfId="13165"/>
    <cellStyle name="Input [yellow] 3 4 10 3 3" xfId="24333"/>
    <cellStyle name="Input [yellow] 3 4 10 3 4" xfId="35498"/>
    <cellStyle name="Input [yellow] 3 4 10 3 5" xfId="46691"/>
    <cellStyle name="Input [yellow] 3 4 10 4" xfId="2564"/>
    <cellStyle name="Input [yellow] 3 4 10 4 2" xfId="13761"/>
    <cellStyle name="Input [yellow] 3 4 10 4 3" xfId="24929"/>
    <cellStyle name="Input [yellow] 3 4 10 4 4" xfId="36094"/>
    <cellStyle name="Input [yellow] 3 4 10 4 5" xfId="47287"/>
    <cellStyle name="Input [yellow] 3 4 10 5" xfId="2989"/>
    <cellStyle name="Input [yellow] 3 4 10 5 2" xfId="14186"/>
    <cellStyle name="Input [yellow] 3 4 10 5 3" xfId="25354"/>
    <cellStyle name="Input [yellow] 3 4 10 5 4" xfId="36519"/>
    <cellStyle name="Input [yellow] 3 4 10 5 5" xfId="47712"/>
    <cellStyle name="Input [yellow] 3 4 10 6" xfId="3623"/>
    <cellStyle name="Input [yellow] 3 4 10 6 2" xfId="14820"/>
    <cellStyle name="Input [yellow] 3 4 10 6 3" xfId="25988"/>
    <cellStyle name="Input [yellow] 3 4 10 6 4" xfId="37153"/>
    <cellStyle name="Input [yellow] 3 4 10 6 5" xfId="48346"/>
    <cellStyle name="Input [yellow] 3 4 10 7" xfId="4257"/>
    <cellStyle name="Input [yellow] 3 4 10 7 2" xfId="15454"/>
    <cellStyle name="Input [yellow] 3 4 10 7 3" xfId="26622"/>
    <cellStyle name="Input [yellow] 3 4 10 7 4" xfId="37787"/>
    <cellStyle name="Input [yellow] 3 4 10 7 5" xfId="48980"/>
    <cellStyle name="Input [yellow] 3 4 10 8" xfId="4890"/>
    <cellStyle name="Input [yellow] 3 4 10 8 2" xfId="16087"/>
    <cellStyle name="Input [yellow] 3 4 10 8 3" xfId="27255"/>
    <cellStyle name="Input [yellow] 3 4 10 8 4" xfId="38420"/>
    <cellStyle name="Input [yellow] 3 4 10 8 5" xfId="49613"/>
    <cellStyle name="Input [yellow] 3 4 10 9" xfId="5521"/>
    <cellStyle name="Input [yellow] 3 4 10 9 2" xfId="16718"/>
    <cellStyle name="Input [yellow] 3 4 10 9 3" xfId="27886"/>
    <cellStyle name="Input [yellow] 3 4 10 9 4" xfId="39051"/>
    <cellStyle name="Input [yellow] 3 4 10 9 5" xfId="50244"/>
    <cellStyle name="Input [yellow] 3 4 11" xfId="671"/>
    <cellStyle name="Input [yellow] 3 4 11 10" xfId="6179"/>
    <cellStyle name="Input [yellow] 3 4 11 10 2" xfId="17376"/>
    <cellStyle name="Input [yellow] 3 4 11 10 3" xfId="28544"/>
    <cellStyle name="Input [yellow] 3 4 11 10 4" xfId="39709"/>
    <cellStyle name="Input [yellow] 3 4 11 10 5" xfId="50902"/>
    <cellStyle name="Input [yellow] 3 4 11 11" xfId="6607"/>
    <cellStyle name="Input [yellow] 3 4 11 11 2" xfId="17804"/>
    <cellStyle name="Input [yellow] 3 4 11 11 3" xfId="28972"/>
    <cellStyle name="Input [yellow] 3 4 11 11 4" xfId="40137"/>
    <cellStyle name="Input [yellow] 3 4 11 11 5" xfId="51330"/>
    <cellStyle name="Input [yellow] 3 4 11 12" xfId="7240"/>
    <cellStyle name="Input [yellow] 3 4 11 12 2" xfId="18437"/>
    <cellStyle name="Input [yellow] 3 4 11 12 3" xfId="29605"/>
    <cellStyle name="Input [yellow] 3 4 11 12 4" xfId="40770"/>
    <cellStyle name="Input [yellow] 3 4 11 12 5" xfId="51963"/>
    <cellStyle name="Input [yellow] 3 4 11 13" xfId="7874"/>
    <cellStyle name="Input [yellow] 3 4 11 13 2" xfId="19071"/>
    <cellStyle name="Input [yellow] 3 4 11 13 3" xfId="30239"/>
    <cellStyle name="Input [yellow] 3 4 11 13 4" xfId="41404"/>
    <cellStyle name="Input [yellow] 3 4 11 13 5" xfId="52597"/>
    <cellStyle name="Input [yellow] 3 4 11 14" xfId="8508"/>
    <cellStyle name="Input [yellow] 3 4 11 14 2" xfId="19705"/>
    <cellStyle name="Input [yellow] 3 4 11 14 3" xfId="30873"/>
    <cellStyle name="Input [yellow] 3 4 11 14 4" xfId="42038"/>
    <cellStyle name="Input [yellow] 3 4 11 14 5" xfId="53231"/>
    <cellStyle name="Input [yellow] 3 4 11 15" xfId="9136"/>
    <cellStyle name="Input [yellow] 3 4 11 15 2" xfId="20333"/>
    <cellStyle name="Input [yellow] 3 4 11 15 3" xfId="31501"/>
    <cellStyle name="Input [yellow] 3 4 11 15 4" xfId="42666"/>
    <cellStyle name="Input [yellow] 3 4 11 15 5" xfId="53859"/>
    <cellStyle name="Input [yellow] 3 4 11 16" xfId="9559"/>
    <cellStyle name="Input [yellow] 3 4 11 16 2" xfId="20756"/>
    <cellStyle name="Input [yellow] 3 4 11 16 3" xfId="31924"/>
    <cellStyle name="Input [yellow] 3 4 11 16 4" xfId="43089"/>
    <cellStyle name="Input [yellow] 3 4 11 16 5" xfId="54282"/>
    <cellStyle name="Input [yellow] 3 4 11 17" xfId="10184"/>
    <cellStyle name="Input [yellow] 3 4 11 17 2" xfId="21381"/>
    <cellStyle name="Input [yellow] 3 4 11 17 3" xfId="32549"/>
    <cellStyle name="Input [yellow] 3 4 11 17 4" xfId="43714"/>
    <cellStyle name="Input [yellow] 3 4 11 17 5" xfId="54907"/>
    <cellStyle name="Input [yellow] 3 4 11 18" xfId="9832"/>
    <cellStyle name="Input [yellow] 3 4 11 18 2" xfId="21029"/>
    <cellStyle name="Input [yellow] 3 4 11 18 3" xfId="32197"/>
    <cellStyle name="Input [yellow] 3 4 11 18 4" xfId="43362"/>
    <cellStyle name="Input [yellow] 3 4 11 18 5" xfId="54555"/>
    <cellStyle name="Input [yellow] 3 4 11 19" xfId="11224"/>
    <cellStyle name="Input [yellow] 3 4 11 19 2" xfId="22421"/>
    <cellStyle name="Input [yellow] 3 4 11 19 3" xfId="33589"/>
    <cellStyle name="Input [yellow] 3 4 11 19 4" xfId="44754"/>
    <cellStyle name="Input [yellow] 3 4 11 19 5" xfId="55947"/>
    <cellStyle name="Input [yellow] 3 4 11 2" xfId="1320"/>
    <cellStyle name="Input [yellow] 3 4 11 2 2" xfId="12517"/>
    <cellStyle name="Input [yellow] 3 4 11 2 3" xfId="23685"/>
    <cellStyle name="Input [yellow] 3 4 11 2 4" xfId="34850"/>
    <cellStyle name="Input [yellow] 3 4 11 2 5" xfId="46043"/>
    <cellStyle name="Input [yellow] 3 4 11 20" xfId="11871"/>
    <cellStyle name="Input [yellow] 3 4 11 21" xfId="23041"/>
    <cellStyle name="Input [yellow] 3 4 11 22" xfId="34208"/>
    <cellStyle name="Input [yellow] 3 4 11 23" xfId="45394"/>
    <cellStyle name="Input [yellow] 3 4 11 3" xfId="1455"/>
    <cellStyle name="Input [yellow] 3 4 11 3 2" xfId="12652"/>
    <cellStyle name="Input [yellow] 3 4 11 3 3" xfId="23820"/>
    <cellStyle name="Input [yellow] 3 4 11 3 4" xfId="34985"/>
    <cellStyle name="Input [yellow] 3 4 11 3 5" xfId="46178"/>
    <cellStyle name="Input [yellow] 3 4 11 4" xfId="2596"/>
    <cellStyle name="Input [yellow] 3 4 11 4 2" xfId="13793"/>
    <cellStyle name="Input [yellow] 3 4 11 4 3" xfId="24961"/>
    <cellStyle name="Input [yellow] 3 4 11 4 4" xfId="36126"/>
    <cellStyle name="Input [yellow] 3 4 11 4 5" xfId="47319"/>
    <cellStyle name="Input [yellow] 3 4 11 5" xfId="3021"/>
    <cellStyle name="Input [yellow] 3 4 11 5 2" xfId="14218"/>
    <cellStyle name="Input [yellow] 3 4 11 5 3" xfId="25386"/>
    <cellStyle name="Input [yellow] 3 4 11 5 4" xfId="36551"/>
    <cellStyle name="Input [yellow] 3 4 11 5 5" xfId="47744"/>
    <cellStyle name="Input [yellow] 3 4 11 6" xfId="3655"/>
    <cellStyle name="Input [yellow] 3 4 11 6 2" xfId="14852"/>
    <cellStyle name="Input [yellow] 3 4 11 6 3" xfId="26020"/>
    <cellStyle name="Input [yellow] 3 4 11 6 4" xfId="37185"/>
    <cellStyle name="Input [yellow] 3 4 11 6 5" xfId="48378"/>
    <cellStyle name="Input [yellow] 3 4 11 7" xfId="4289"/>
    <cellStyle name="Input [yellow] 3 4 11 7 2" xfId="15486"/>
    <cellStyle name="Input [yellow] 3 4 11 7 3" xfId="26654"/>
    <cellStyle name="Input [yellow] 3 4 11 7 4" xfId="37819"/>
    <cellStyle name="Input [yellow] 3 4 11 7 5" xfId="49012"/>
    <cellStyle name="Input [yellow] 3 4 11 8" xfId="4922"/>
    <cellStyle name="Input [yellow] 3 4 11 8 2" xfId="16119"/>
    <cellStyle name="Input [yellow] 3 4 11 8 3" xfId="27287"/>
    <cellStyle name="Input [yellow] 3 4 11 8 4" xfId="38452"/>
    <cellStyle name="Input [yellow] 3 4 11 8 5" xfId="49645"/>
    <cellStyle name="Input [yellow] 3 4 11 9" xfId="5553"/>
    <cellStyle name="Input [yellow] 3 4 11 9 2" xfId="16750"/>
    <cellStyle name="Input [yellow] 3 4 11 9 3" xfId="27918"/>
    <cellStyle name="Input [yellow] 3 4 11 9 4" xfId="39083"/>
    <cellStyle name="Input [yellow] 3 4 11 9 5" xfId="50276"/>
    <cellStyle name="Input [yellow] 3 4 12" xfId="728"/>
    <cellStyle name="Input [yellow] 3 4 12 2" xfId="11926"/>
    <cellStyle name="Input [yellow] 3 4 12 3" xfId="23095"/>
    <cellStyle name="Input [yellow] 3 4 12 4" xfId="34260"/>
    <cellStyle name="Input [yellow] 3 4 12 5" xfId="45451"/>
    <cellStyle name="Input [yellow] 3 4 13" xfId="1549"/>
    <cellStyle name="Input [yellow] 3 4 13 2" xfId="12746"/>
    <cellStyle name="Input [yellow] 3 4 13 3" xfId="23914"/>
    <cellStyle name="Input [yellow] 3 4 13 4" xfId="35079"/>
    <cellStyle name="Input [yellow] 3 4 13 5" xfId="46272"/>
    <cellStyle name="Input [yellow] 3 4 14" xfId="2005"/>
    <cellStyle name="Input [yellow] 3 4 14 2" xfId="13202"/>
    <cellStyle name="Input [yellow] 3 4 14 3" xfId="24370"/>
    <cellStyle name="Input [yellow] 3 4 14 4" xfId="35535"/>
    <cellStyle name="Input [yellow] 3 4 14 5" xfId="46728"/>
    <cellStyle name="Input [yellow] 3 4 15" xfId="2143"/>
    <cellStyle name="Input [yellow] 3 4 15 2" xfId="13340"/>
    <cellStyle name="Input [yellow] 3 4 15 3" xfId="24508"/>
    <cellStyle name="Input [yellow] 3 4 15 4" xfId="35673"/>
    <cellStyle name="Input [yellow] 3 4 15 5" xfId="46866"/>
    <cellStyle name="Input [yellow] 3 4 16" xfId="3063"/>
    <cellStyle name="Input [yellow] 3 4 16 2" xfId="14260"/>
    <cellStyle name="Input [yellow] 3 4 16 3" xfId="25428"/>
    <cellStyle name="Input [yellow] 3 4 16 4" xfId="36593"/>
    <cellStyle name="Input [yellow] 3 4 16 5" xfId="47786"/>
    <cellStyle name="Input [yellow] 3 4 17" xfId="3698"/>
    <cellStyle name="Input [yellow] 3 4 17 2" xfId="14895"/>
    <cellStyle name="Input [yellow] 3 4 17 3" xfId="26063"/>
    <cellStyle name="Input [yellow] 3 4 17 4" xfId="37228"/>
    <cellStyle name="Input [yellow] 3 4 17 5" xfId="48421"/>
    <cellStyle name="Input [yellow] 3 4 18" xfId="4330"/>
    <cellStyle name="Input [yellow] 3 4 18 2" xfId="15527"/>
    <cellStyle name="Input [yellow] 3 4 18 3" xfId="26695"/>
    <cellStyle name="Input [yellow] 3 4 18 4" xfId="37860"/>
    <cellStyle name="Input [yellow] 3 4 18 5" xfId="49053"/>
    <cellStyle name="Input [yellow] 3 4 19" xfId="4963"/>
    <cellStyle name="Input [yellow] 3 4 19 2" xfId="16160"/>
    <cellStyle name="Input [yellow] 3 4 19 3" xfId="27328"/>
    <cellStyle name="Input [yellow] 3 4 19 4" xfId="38493"/>
    <cellStyle name="Input [yellow] 3 4 19 5" xfId="49686"/>
    <cellStyle name="Input [yellow] 3 4 2" xfId="144"/>
    <cellStyle name="Input [yellow] 3 4 2 10" xfId="5971"/>
    <cellStyle name="Input [yellow] 3 4 2 10 2" xfId="17168"/>
    <cellStyle name="Input [yellow] 3 4 2 10 3" xfId="28336"/>
    <cellStyle name="Input [yellow] 3 4 2 10 4" xfId="39501"/>
    <cellStyle name="Input [yellow] 3 4 2 10 5" xfId="50694"/>
    <cellStyle name="Input [yellow] 3 4 2 11" xfId="6130"/>
    <cellStyle name="Input [yellow] 3 4 2 11 2" xfId="17327"/>
    <cellStyle name="Input [yellow] 3 4 2 11 3" xfId="28495"/>
    <cellStyle name="Input [yellow] 3 4 2 11 4" xfId="39660"/>
    <cellStyle name="Input [yellow] 3 4 2 11 5" xfId="50853"/>
    <cellStyle name="Input [yellow] 3 4 2 12" xfId="6713"/>
    <cellStyle name="Input [yellow] 3 4 2 12 2" xfId="17910"/>
    <cellStyle name="Input [yellow] 3 4 2 12 3" xfId="29078"/>
    <cellStyle name="Input [yellow] 3 4 2 12 4" xfId="40243"/>
    <cellStyle name="Input [yellow] 3 4 2 12 5" xfId="51436"/>
    <cellStyle name="Input [yellow] 3 4 2 13" xfId="7347"/>
    <cellStyle name="Input [yellow] 3 4 2 13 2" xfId="18544"/>
    <cellStyle name="Input [yellow] 3 4 2 13 3" xfId="29712"/>
    <cellStyle name="Input [yellow] 3 4 2 13 4" xfId="40877"/>
    <cellStyle name="Input [yellow] 3 4 2 13 5" xfId="52070"/>
    <cellStyle name="Input [yellow] 3 4 2 14" xfId="7981"/>
    <cellStyle name="Input [yellow] 3 4 2 14 2" xfId="19178"/>
    <cellStyle name="Input [yellow] 3 4 2 14 3" xfId="30346"/>
    <cellStyle name="Input [yellow] 3 4 2 14 4" xfId="41511"/>
    <cellStyle name="Input [yellow] 3 4 2 14 5" xfId="52704"/>
    <cellStyle name="Input [yellow] 3 4 2 15" xfId="8612"/>
    <cellStyle name="Input [yellow] 3 4 2 15 2" xfId="19809"/>
    <cellStyle name="Input [yellow] 3 4 2 15 3" xfId="30977"/>
    <cellStyle name="Input [yellow] 3 4 2 15 4" xfId="42142"/>
    <cellStyle name="Input [yellow] 3 4 2 15 5" xfId="53335"/>
    <cellStyle name="Input [yellow] 3 4 2 16" xfId="8897"/>
    <cellStyle name="Input [yellow] 3 4 2 16 2" xfId="20094"/>
    <cellStyle name="Input [yellow] 3 4 2 16 3" xfId="31262"/>
    <cellStyle name="Input [yellow] 3 4 2 16 4" xfId="42427"/>
    <cellStyle name="Input [yellow] 3 4 2 16 5" xfId="53620"/>
    <cellStyle name="Input [yellow] 3 4 2 17" xfId="9665"/>
    <cellStyle name="Input [yellow] 3 4 2 17 2" xfId="20862"/>
    <cellStyle name="Input [yellow] 3 4 2 17 3" xfId="32030"/>
    <cellStyle name="Input [yellow] 3 4 2 17 4" xfId="43195"/>
    <cellStyle name="Input [yellow] 3 4 2 17 5" xfId="54388"/>
    <cellStyle name="Input [yellow] 3 4 2 18" xfId="9845"/>
    <cellStyle name="Input [yellow] 3 4 2 18 2" xfId="21042"/>
    <cellStyle name="Input [yellow] 3 4 2 18 3" xfId="32210"/>
    <cellStyle name="Input [yellow] 3 4 2 18 4" xfId="43375"/>
    <cellStyle name="Input [yellow] 3 4 2 18 5" xfId="54568"/>
    <cellStyle name="Input [yellow] 3 4 2 19" xfId="10697"/>
    <cellStyle name="Input [yellow] 3 4 2 19 2" xfId="21894"/>
    <cellStyle name="Input [yellow] 3 4 2 19 3" xfId="33062"/>
    <cellStyle name="Input [yellow] 3 4 2 19 4" xfId="44227"/>
    <cellStyle name="Input [yellow] 3 4 2 19 5" xfId="55420"/>
    <cellStyle name="Input [yellow] 3 4 2 2" xfId="793"/>
    <cellStyle name="Input [yellow] 3 4 2 2 2" xfId="11990"/>
    <cellStyle name="Input [yellow] 3 4 2 2 3" xfId="23158"/>
    <cellStyle name="Input [yellow] 3 4 2 2 4" xfId="34323"/>
    <cellStyle name="Input [yellow] 3 4 2 2 5" xfId="45516"/>
    <cellStyle name="Input [yellow] 3 4 2 20" xfId="11344"/>
    <cellStyle name="Input [yellow] 3 4 2 21" xfId="22514"/>
    <cellStyle name="Input [yellow] 3 4 2 22" xfId="33681"/>
    <cellStyle name="Input [yellow] 3 4 2 23" xfId="44867"/>
    <cellStyle name="Input [yellow] 3 4 2 3" xfId="1480"/>
    <cellStyle name="Input [yellow] 3 4 2 3 2" xfId="12677"/>
    <cellStyle name="Input [yellow] 3 4 2 3 3" xfId="23845"/>
    <cellStyle name="Input [yellow] 3 4 2 3 4" xfId="35010"/>
    <cellStyle name="Input [yellow] 3 4 2 3 5" xfId="46203"/>
    <cellStyle name="Input [yellow] 3 4 2 4" xfId="2070"/>
    <cellStyle name="Input [yellow] 3 4 2 4 2" xfId="13267"/>
    <cellStyle name="Input [yellow] 3 4 2 4 3" xfId="24435"/>
    <cellStyle name="Input [yellow] 3 4 2 4 4" xfId="35600"/>
    <cellStyle name="Input [yellow] 3 4 2 4 5" xfId="46793"/>
    <cellStyle name="Input [yellow] 3 4 2 5" xfId="2190"/>
    <cellStyle name="Input [yellow] 3 4 2 5 2" xfId="13387"/>
    <cellStyle name="Input [yellow] 3 4 2 5 3" xfId="24555"/>
    <cellStyle name="Input [yellow] 3 4 2 5 4" xfId="35720"/>
    <cellStyle name="Input [yellow] 3 4 2 5 5" xfId="46913"/>
    <cellStyle name="Input [yellow] 3 4 2 6" xfId="3128"/>
    <cellStyle name="Input [yellow] 3 4 2 6 2" xfId="14325"/>
    <cellStyle name="Input [yellow] 3 4 2 6 3" xfId="25493"/>
    <cellStyle name="Input [yellow] 3 4 2 6 4" xfId="36658"/>
    <cellStyle name="Input [yellow] 3 4 2 6 5" xfId="47851"/>
    <cellStyle name="Input [yellow] 3 4 2 7" xfId="3762"/>
    <cellStyle name="Input [yellow] 3 4 2 7 2" xfId="14959"/>
    <cellStyle name="Input [yellow] 3 4 2 7 3" xfId="26127"/>
    <cellStyle name="Input [yellow] 3 4 2 7 4" xfId="37292"/>
    <cellStyle name="Input [yellow] 3 4 2 7 5" xfId="48485"/>
    <cellStyle name="Input [yellow] 3 4 2 8" xfId="4395"/>
    <cellStyle name="Input [yellow] 3 4 2 8 2" xfId="15592"/>
    <cellStyle name="Input [yellow] 3 4 2 8 3" xfId="26760"/>
    <cellStyle name="Input [yellow] 3 4 2 8 4" xfId="37925"/>
    <cellStyle name="Input [yellow] 3 4 2 8 5" xfId="49118"/>
    <cellStyle name="Input [yellow] 3 4 2 9" xfId="5026"/>
    <cellStyle name="Input [yellow] 3 4 2 9 2" xfId="16223"/>
    <cellStyle name="Input [yellow] 3 4 2 9 3" xfId="27391"/>
    <cellStyle name="Input [yellow] 3 4 2 9 4" xfId="38556"/>
    <cellStyle name="Input [yellow] 3 4 2 9 5" xfId="49749"/>
    <cellStyle name="Input [yellow] 3 4 20" xfId="5983"/>
    <cellStyle name="Input [yellow] 3 4 20 2" xfId="17180"/>
    <cellStyle name="Input [yellow] 3 4 20 3" xfId="28348"/>
    <cellStyle name="Input [yellow] 3 4 20 4" xfId="39513"/>
    <cellStyle name="Input [yellow] 3 4 20 5" xfId="50706"/>
    <cellStyle name="Input [yellow] 3 4 21" xfId="6045"/>
    <cellStyle name="Input [yellow] 3 4 21 2" xfId="17242"/>
    <cellStyle name="Input [yellow] 3 4 21 3" xfId="28410"/>
    <cellStyle name="Input [yellow] 3 4 21 4" xfId="39575"/>
    <cellStyle name="Input [yellow] 3 4 21 5" xfId="50768"/>
    <cellStyle name="Input [yellow] 3 4 22" xfId="6650"/>
    <cellStyle name="Input [yellow] 3 4 22 2" xfId="17847"/>
    <cellStyle name="Input [yellow] 3 4 22 3" xfId="29015"/>
    <cellStyle name="Input [yellow] 3 4 22 4" xfId="40180"/>
    <cellStyle name="Input [yellow] 3 4 22 5" xfId="51373"/>
    <cellStyle name="Input [yellow] 3 4 23" xfId="7282"/>
    <cellStyle name="Input [yellow] 3 4 23 2" xfId="18479"/>
    <cellStyle name="Input [yellow] 3 4 23 3" xfId="29647"/>
    <cellStyle name="Input [yellow] 3 4 23 4" xfId="40812"/>
    <cellStyle name="Input [yellow] 3 4 23 5" xfId="52005"/>
    <cellStyle name="Input [yellow] 3 4 24" xfId="7916"/>
    <cellStyle name="Input [yellow] 3 4 24 2" xfId="19113"/>
    <cellStyle name="Input [yellow] 3 4 24 3" xfId="30281"/>
    <cellStyle name="Input [yellow] 3 4 24 4" xfId="41446"/>
    <cellStyle name="Input [yellow] 3 4 24 5" xfId="52639"/>
    <cellStyle name="Input [yellow] 3 4 25" xfId="8549"/>
    <cellStyle name="Input [yellow] 3 4 25 2" xfId="19746"/>
    <cellStyle name="Input [yellow] 3 4 25 3" xfId="30914"/>
    <cellStyle name="Input [yellow] 3 4 25 4" xfId="42079"/>
    <cellStyle name="Input [yellow] 3 4 25 5" xfId="53272"/>
    <cellStyle name="Input [yellow] 3 4 26" xfId="8843"/>
    <cellStyle name="Input [yellow] 3 4 26 2" xfId="20040"/>
    <cellStyle name="Input [yellow] 3 4 26 3" xfId="31208"/>
    <cellStyle name="Input [yellow] 3 4 26 4" xfId="42373"/>
    <cellStyle name="Input [yellow] 3 4 26 5" xfId="53566"/>
    <cellStyle name="Input [yellow] 3 4 27" xfId="9601"/>
    <cellStyle name="Input [yellow] 3 4 27 2" xfId="20798"/>
    <cellStyle name="Input [yellow] 3 4 27 3" xfId="31966"/>
    <cellStyle name="Input [yellow] 3 4 27 4" xfId="43131"/>
    <cellStyle name="Input [yellow] 3 4 27 5" xfId="54324"/>
    <cellStyle name="Input [yellow] 3 4 28" xfId="10283"/>
    <cellStyle name="Input [yellow] 3 4 28 2" xfId="21480"/>
    <cellStyle name="Input [yellow] 3 4 28 3" xfId="32648"/>
    <cellStyle name="Input [yellow] 3 4 28 4" xfId="43813"/>
    <cellStyle name="Input [yellow] 3 4 28 5" xfId="55006"/>
    <cellStyle name="Input [yellow] 3 4 29" xfId="10634"/>
    <cellStyle name="Input [yellow] 3 4 29 2" xfId="21831"/>
    <cellStyle name="Input [yellow] 3 4 29 3" xfId="32999"/>
    <cellStyle name="Input [yellow] 3 4 29 4" xfId="44164"/>
    <cellStyle name="Input [yellow] 3 4 29 5" xfId="55357"/>
    <cellStyle name="Input [yellow] 3 4 3" xfId="200"/>
    <cellStyle name="Input [yellow] 3 4 3 10" xfId="5598"/>
    <cellStyle name="Input [yellow] 3 4 3 10 2" xfId="16795"/>
    <cellStyle name="Input [yellow] 3 4 3 10 3" xfId="27963"/>
    <cellStyle name="Input [yellow] 3 4 3 10 4" xfId="39128"/>
    <cellStyle name="Input [yellow] 3 4 3 10 5" xfId="50321"/>
    <cellStyle name="Input [yellow] 3 4 3 11" xfId="6158"/>
    <cellStyle name="Input [yellow] 3 4 3 11 2" xfId="17355"/>
    <cellStyle name="Input [yellow] 3 4 3 11 3" xfId="28523"/>
    <cellStyle name="Input [yellow] 3 4 3 11 4" xfId="39688"/>
    <cellStyle name="Input [yellow] 3 4 3 11 5" xfId="50881"/>
    <cellStyle name="Input [yellow] 3 4 3 12" xfId="6769"/>
    <cellStyle name="Input [yellow] 3 4 3 12 2" xfId="17966"/>
    <cellStyle name="Input [yellow] 3 4 3 12 3" xfId="29134"/>
    <cellStyle name="Input [yellow] 3 4 3 12 4" xfId="40299"/>
    <cellStyle name="Input [yellow] 3 4 3 12 5" xfId="51492"/>
    <cellStyle name="Input [yellow] 3 4 3 13" xfId="7403"/>
    <cellStyle name="Input [yellow] 3 4 3 13 2" xfId="18600"/>
    <cellStyle name="Input [yellow] 3 4 3 13 3" xfId="29768"/>
    <cellStyle name="Input [yellow] 3 4 3 13 4" xfId="40933"/>
    <cellStyle name="Input [yellow] 3 4 3 13 5" xfId="52126"/>
    <cellStyle name="Input [yellow] 3 4 3 14" xfId="8037"/>
    <cellStyle name="Input [yellow] 3 4 3 14 2" xfId="19234"/>
    <cellStyle name="Input [yellow] 3 4 3 14 3" xfId="30402"/>
    <cellStyle name="Input [yellow] 3 4 3 14 4" xfId="41567"/>
    <cellStyle name="Input [yellow] 3 4 3 14 5" xfId="52760"/>
    <cellStyle name="Input [yellow] 3 4 3 15" xfId="8668"/>
    <cellStyle name="Input [yellow] 3 4 3 15 2" xfId="19865"/>
    <cellStyle name="Input [yellow] 3 4 3 15 3" xfId="31033"/>
    <cellStyle name="Input [yellow] 3 4 3 15 4" xfId="42198"/>
    <cellStyle name="Input [yellow] 3 4 3 15 5" xfId="53391"/>
    <cellStyle name="Input [yellow] 3 4 3 16" xfId="8912"/>
    <cellStyle name="Input [yellow] 3 4 3 16 2" xfId="20109"/>
    <cellStyle name="Input [yellow] 3 4 3 16 3" xfId="31277"/>
    <cellStyle name="Input [yellow] 3 4 3 16 4" xfId="42442"/>
    <cellStyle name="Input [yellow] 3 4 3 16 5" xfId="53635"/>
    <cellStyle name="Input [yellow] 3 4 3 17" xfId="9720"/>
    <cellStyle name="Input [yellow] 3 4 3 17 2" xfId="20917"/>
    <cellStyle name="Input [yellow] 3 4 3 17 3" xfId="32085"/>
    <cellStyle name="Input [yellow] 3 4 3 17 4" xfId="43250"/>
    <cellStyle name="Input [yellow] 3 4 3 17 5" xfId="54443"/>
    <cellStyle name="Input [yellow] 3 4 3 18" xfId="10237"/>
    <cellStyle name="Input [yellow] 3 4 3 18 2" xfId="21434"/>
    <cellStyle name="Input [yellow] 3 4 3 18 3" xfId="32602"/>
    <cellStyle name="Input [yellow] 3 4 3 18 4" xfId="43767"/>
    <cellStyle name="Input [yellow] 3 4 3 18 5" xfId="54960"/>
    <cellStyle name="Input [yellow] 3 4 3 19" xfId="10753"/>
    <cellStyle name="Input [yellow] 3 4 3 19 2" xfId="21950"/>
    <cellStyle name="Input [yellow] 3 4 3 19 3" xfId="33118"/>
    <cellStyle name="Input [yellow] 3 4 3 19 4" xfId="44283"/>
    <cellStyle name="Input [yellow] 3 4 3 19 5" xfId="55476"/>
    <cellStyle name="Input [yellow] 3 4 3 2" xfId="849"/>
    <cellStyle name="Input [yellow] 3 4 3 2 2" xfId="12046"/>
    <cellStyle name="Input [yellow] 3 4 3 2 3" xfId="23214"/>
    <cellStyle name="Input [yellow] 3 4 3 2 4" xfId="34379"/>
    <cellStyle name="Input [yellow] 3 4 3 2 5" xfId="45572"/>
    <cellStyle name="Input [yellow] 3 4 3 20" xfId="11400"/>
    <cellStyle name="Input [yellow] 3 4 3 21" xfId="22570"/>
    <cellStyle name="Input [yellow] 3 4 3 22" xfId="33737"/>
    <cellStyle name="Input [yellow] 3 4 3 23" xfId="44923"/>
    <cellStyle name="Input [yellow] 3 4 3 3" xfId="1519"/>
    <cellStyle name="Input [yellow] 3 4 3 3 2" xfId="12716"/>
    <cellStyle name="Input [yellow] 3 4 3 3 3" xfId="23884"/>
    <cellStyle name="Input [yellow] 3 4 3 3 4" xfId="35049"/>
    <cellStyle name="Input [yellow] 3 4 3 3 5" xfId="46242"/>
    <cellStyle name="Input [yellow] 3 4 3 4" xfId="2126"/>
    <cellStyle name="Input [yellow] 3 4 3 4 2" xfId="13323"/>
    <cellStyle name="Input [yellow] 3 4 3 4 3" xfId="24491"/>
    <cellStyle name="Input [yellow] 3 4 3 4 4" xfId="35656"/>
    <cellStyle name="Input [yellow] 3 4 3 4 5" xfId="46849"/>
    <cellStyle name="Input [yellow] 3 4 3 5" xfId="1979"/>
    <cellStyle name="Input [yellow] 3 4 3 5 2" xfId="13176"/>
    <cellStyle name="Input [yellow] 3 4 3 5 3" xfId="24344"/>
    <cellStyle name="Input [yellow] 3 4 3 5 4" xfId="35509"/>
    <cellStyle name="Input [yellow] 3 4 3 5 5" xfId="46702"/>
    <cellStyle name="Input [yellow] 3 4 3 6" xfId="3184"/>
    <cellStyle name="Input [yellow] 3 4 3 6 2" xfId="14381"/>
    <cellStyle name="Input [yellow] 3 4 3 6 3" xfId="25549"/>
    <cellStyle name="Input [yellow] 3 4 3 6 4" xfId="36714"/>
    <cellStyle name="Input [yellow] 3 4 3 6 5" xfId="47907"/>
    <cellStyle name="Input [yellow] 3 4 3 7" xfId="3818"/>
    <cellStyle name="Input [yellow] 3 4 3 7 2" xfId="15015"/>
    <cellStyle name="Input [yellow] 3 4 3 7 3" xfId="26183"/>
    <cellStyle name="Input [yellow] 3 4 3 7 4" xfId="37348"/>
    <cellStyle name="Input [yellow] 3 4 3 7 5" xfId="48541"/>
    <cellStyle name="Input [yellow] 3 4 3 8" xfId="4451"/>
    <cellStyle name="Input [yellow] 3 4 3 8 2" xfId="15648"/>
    <cellStyle name="Input [yellow] 3 4 3 8 3" xfId="26816"/>
    <cellStyle name="Input [yellow] 3 4 3 8 4" xfId="37981"/>
    <cellStyle name="Input [yellow] 3 4 3 8 5" xfId="49174"/>
    <cellStyle name="Input [yellow] 3 4 3 9" xfId="5082"/>
    <cellStyle name="Input [yellow] 3 4 3 9 2" xfId="16279"/>
    <cellStyle name="Input [yellow] 3 4 3 9 3" xfId="27447"/>
    <cellStyle name="Input [yellow] 3 4 3 9 4" xfId="38612"/>
    <cellStyle name="Input [yellow] 3 4 3 9 5" xfId="49805"/>
    <cellStyle name="Input [yellow] 3 4 30" xfId="11280"/>
    <cellStyle name="Input [yellow] 3 4 31" xfId="22451"/>
    <cellStyle name="Input [yellow] 3 4 32" xfId="33618"/>
    <cellStyle name="Input [yellow] 3 4 33" xfId="44802"/>
    <cellStyle name="Input [yellow] 3 4 4" xfId="274"/>
    <cellStyle name="Input [yellow] 3 4 4 10" xfId="5607"/>
    <cellStyle name="Input [yellow] 3 4 4 10 2" xfId="16804"/>
    <cellStyle name="Input [yellow] 3 4 4 10 3" xfId="27972"/>
    <cellStyle name="Input [yellow] 3 4 4 10 4" xfId="39137"/>
    <cellStyle name="Input [yellow] 3 4 4 10 5" xfId="50330"/>
    <cellStyle name="Input [yellow] 3 4 4 11" xfId="6210"/>
    <cellStyle name="Input [yellow] 3 4 4 11 2" xfId="17407"/>
    <cellStyle name="Input [yellow] 3 4 4 11 3" xfId="28575"/>
    <cellStyle name="Input [yellow] 3 4 4 11 4" xfId="39740"/>
    <cellStyle name="Input [yellow] 3 4 4 11 5" xfId="50933"/>
    <cellStyle name="Input [yellow] 3 4 4 12" xfId="6843"/>
    <cellStyle name="Input [yellow] 3 4 4 12 2" xfId="18040"/>
    <cellStyle name="Input [yellow] 3 4 4 12 3" xfId="29208"/>
    <cellStyle name="Input [yellow] 3 4 4 12 4" xfId="40373"/>
    <cellStyle name="Input [yellow] 3 4 4 12 5" xfId="51566"/>
    <cellStyle name="Input [yellow] 3 4 4 13" xfId="7477"/>
    <cellStyle name="Input [yellow] 3 4 4 13 2" xfId="18674"/>
    <cellStyle name="Input [yellow] 3 4 4 13 3" xfId="29842"/>
    <cellStyle name="Input [yellow] 3 4 4 13 4" xfId="41007"/>
    <cellStyle name="Input [yellow] 3 4 4 13 5" xfId="52200"/>
    <cellStyle name="Input [yellow] 3 4 4 14" xfId="8111"/>
    <cellStyle name="Input [yellow] 3 4 4 14 2" xfId="19308"/>
    <cellStyle name="Input [yellow] 3 4 4 14 3" xfId="30476"/>
    <cellStyle name="Input [yellow] 3 4 4 14 4" xfId="41641"/>
    <cellStyle name="Input [yellow] 3 4 4 14 5" xfId="52834"/>
    <cellStyle name="Input [yellow] 3 4 4 15" xfId="8740"/>
    <cellStyle name="Input [yellow] 3 4 4 15 2" xfId="19937"/>
    <cellStyle name="Input [yellow] 3 4 4 15 3" xfId="31105"/>
    <cellStyle name="Input [yellow] 3 4 4 15 4" xfId="42270"/>
    <cellStyle name="Input [yellow] 3 4 4 15 5" xfId="53463"/>
    <cellStyle name="Input [yellow] 3 4 4 16" xfId="9162"/>
    <cellStyle name="Input [yellow] 3 4 4 16 2" xfId="20359"/>
    <cellStyle name="Input [yellow] 3 4 4 16 3" xfId="31527"/>
    <cellStyle name="Input [yellow] 3 4 4 16 4" xfId="42692"/>
    <cellStyle name="Input [yellow] 3 4 4 16 5" xfId="53885"/>
    <cellStyle name="Input [yellow] 3 4 4 17" xfId="9790"/>
    <cellStyle name="Input [yellow] 3 4 4 17 2" xfId="20987"/>
    <cellStyle name="Input [yellow] 3 4 4 17 3" xfId="32155"/>
    <cellStyle name="Input [yellow] 3 4 4 17 4" xfId="43320"/>
    <cellStyle name="Input [yellow] 3 4 4 17 5" xfId="54513"/>
    <cellStyle name="Input [yellow] 3 4 4 18" xfId="10426"/>
    <cellStyle name="Input [yellow] 3 4 4 18 2" xfId="21623"/>
    <cellStyle name="Input [yellow] 3 4 4 18 3" xfId="32791"/>
    <cellStyle name="Input [yellow] 3 4 4 18 4" xfId="43956"/>
    <cellStyle name="Input [yellow] 3 4 4 18 5" xfId="55149"/>
    <cellStyle name="Input [yellow] 3 4 4 19" xfId="10827"/>
    <cellStyle name="Input [yellow] 3 4 4 19 2" xfId="22024"/>
    <cellStyle name="Input [yellow] 3 4 4 19 3" xfId="33192"/>
    <cellStyle name="Input [yellow] 3 4 4 19 4" xfId="44357"/>
    <cellStyle name="Input [yellow] 3 4 4 19 5" xfId="55550"/>
    <cellStyle name="Input [yellow] 3 4 4 2" xfId="923"/>
    <cellStyle name="Input [yellow] 3 4 4 2 2" xfId="12120"/>
    <cellStyle name="Input [yellow] 3 4 4 2 3" xfId="23288"/>
    <cellStyle name="Input [yellow] 3 4 4 2 4" xfId="34453"/>
    <cellStyle name="Input [yellow] 3 4 4 2 5" xfId="45646"/>
    <cellStyle name="Input [yellow] 3 4 4 20" xfId="11474"/>
    <cellStyle name="Input [yellow] 3 4 4 21" xfId="22644"/>
    <cellStyle name="Input [yellow] 3 4 4 22" xfId="33811"/>
    <cellStyle name="Input [yellow] 3 4 4 23" xfId="44997"/>
    <cellStyle name="Input [yellow] 3 4 4 3" xfId="1745"/>
    <cellStyle name="Input [yellow] 3 4 4 3 2" xfId="12942"/>
    <cellStyle name="Input [yellow] 3 4 4 3 3" xfId="24110"/>
    <cellStyle name="Input [yellow] 3 4 4 3 4" xfId="35275"/>
    <cellStyle name="Input [yellow] 3 4 4 3 5" xfId="46468"/>
    <cellStyle name="Input [yellow] 3 4 4 4" xfId="2200"/>
    <cellStyle name="Input [yellow] 3 4 4 4 2" xfId="13397"/>
    <cellStyle name="Input [yellow] 3 4 4 4 3" xfId="24565"/>
    <cellStyle name="Input [yellow] 3 4 4 4 4" xfId="35730"/>
    <cellStyle name="Input [yellow] 3 4 4 4 5" xfId="46923"/>
    <cellStyle name="Input [yellow] 3 4 4 5" xfId="2624"/>
    <cellStyle name="Input [yellow] 3 4 4 5 2" xfId="13821"/>
    <cellStyle name="Input [yellow] 3 4 4 5 3" xfId="24989"/>
    <cellStyle name="Input [yellow] 3 4 4 5 4" xfId="36154"/>
    <cellStyle name="Input [yellow] 3 4 4 5 5" xfId="47347"/>
    <cellStyle name="Input [yellow] 3 4 4 6" xfId="3258"/>
    <cellStyle name="Input [yellow] 3 4 4 6 2" xfId="14455"/>
    <cellStyle name="Input [yellow] 3 4 4 6 3" xfId="25623"/>
    <cellStyle name="Input [yellow] 3 4 4 6 4" xfId="36788"/>
    <cellStyle name="Input [yellow] 3 4 4 6 5" xfId="47981"/>
    <cellStyle name="Input [yellow] 3 4 4 7" xfId="3892"/>
    <cellStyle name="Input [yellow] 3 4 4 7 2" xfId="15089"/>
    <cellStyle name="Input [yellow] 3 4 4 7 3" xfId="26257"/>
    <cellStyle name="Input [yellow] 3 4 4 7 4" xfId="37422"/>
    <cellStyle name="Input [yellow] 3 4 4 7 5" xfId="48615"/>
    <cellStyle name="Input [yellow] 3 4 4 8" xfId="4525"/>
    <cellStyle name="Input [yellow] 3 4 4 8 2" xfId="15722"/>
    <cellStyle name="Input [yellow] 3 4 4 8 3" xfId="26890"/>
    <cellStyle name="Input [yellow] 3 4 4 8 4" xfId="38055"/>
    <cellStyle name="Input [yellow] 3 4 4 8 5" xfId="49248"/>
    <cellStyle name="Input [yellow] 3 4 4 9" xfId="5156"/>
    <cellStyle name="Input [yellow] 3 4 4 9 2" xfId="16353"/>
    <cellStyle name="Input [yellow] 3 4 4 9 3" xfId="27521"/>
    <cellStyle name="Input [yellow] 3 4 4 9 4" xfId="38686"/>
    <cellStyle name="Input [yellow] 3 4 4 9 5" xfId="49879"/>
    <cellStyle name="Input [yellow] 3 4 5" xfId="328"/>
    <cellStyle name="Input [yellow] 3 4 5 10" xfId="4958"/>
    <cellStyle name="Input [yellow] 3 4 5 10 2" xfId="16155"/>
    <cellStyle name="Input [yellow] 3 4 5 10 3" xfId="27323"/>
    <cellStyle name="Input [yellow] 3 4 5 10 4" xfId="38488"/>
    <cellStyle name="Input [yellow] 3 4 5 10 5" xfId="49681"/>
    <cellStyle name="Input [yellow] 3 4 5 11" xfId="6264"/>
    <cellStyle name="Input [yellow] 3 4 5 11 2" xfId="17461"/>
    <cellStyle name="Input [yellow] 3 4 5 11 3" xfId="28629"/>
    <cellStyle name="Input [yellow] 3 4 5 11 4" xfId="39794"/>
    <cellStyle name="Input [yellow] 3 4 5 11 5" xfId="50987"/>
    <cellStyle name="Input [yellow] 3 4 5 12" xfId="6897"/>
    <cellStyle name="Input [yellow] 3 4 5 12 2" xfId="18094"/>
    <cellStyle name="Input [yellow] 3 4 5 12 3" xfId="29262"/>
    <cellStyle name="Input [yellow] 3 4 5 12 4" xfId="40427"/>
    <cellStyle name="Input [yellow] 3 4 5 12 5" xfId="51620"/>
    <cellStyle name="Input [yellow] 3 4 5 13" xfId="7531"/>
    <cellStyle name="Input [yellow] 3 4 5 13 2" xfId="18728"/>
    <cellStyle name="Input [yellow] 3 4 5 13 3" xfId="29896"/>
    <cellStyle name="Input [yellow] 3 4 5 13 4" xfId="41061"/>
    <cellStyle name="Input [yellow] 3 4 5 13 5" xfId="52254"/>
    <cellStyle name="Input [yellow] 3 4 5 14" xfId="8165"/>
    <cellStyle name="Input [yellow] 3 4 5 14 2" xfId="19362"/>
    <cellStyle name="Input [yellow] 3 4 5 14 3" xfId="30530"/>
    <cellStyle name="Input [yellow] 3 4 5 14 4" xfId="41695"/>
    <cellStyle name="Input [yellow] 3 4 5 14 5" xfId="52888"/>
    <cellStyle name="Input [yellow] 3 4 5 15" xfId="8794"/>
    <cellStyle name="Input [yellow] 3 4 5 15 2" xfId="19991"/>
    <cellStyle name="Input [yellow] 3 4 5 15 3" xfId="31159"/>
    <cellStyle name="Input [yellow] 3 4 5 15 4" xfId="42324"/>
    <cellStyle name="Input [yellow] 3 4 5 15 5" xfId="53517"/>
    <cellStyle name="Input [yellow] 3 4 5 16" xfId="9216"/>
    <cellStyle name="Input [yellow] 3 4 5 16 2" xfId="20413"/>
    <cellStyle name="Input [yellow] 3 4 5 16 3" xfId="31581"/>
    <cellStyle name="Input [yellow] 3 4 5 16 4" xfId="42746"/>
    <cellStyle name="Input [yellow] 3 4 5 16 5" xfId="53939"/>
    <cellStyle name="Input [yellow] 3 4 5 17" xfId="9843"/>
    <cellStyle name="Input [yellow] 3 4 5 17 2" xfId="21040"/>
    <cellStyle name="Input [yellow] 3 4 5 17 3" xfId="32208"/>
    <cellStyle name="Input [yellow] 3 4 5 17 4" xfId="43373"/>
    <cellStyle name="Input [yellow] 3 4 5 17 5" xfId="54566"/>
    <cellStyle name="Input [yellow] 3 4 5 18" xfId="10616"/>
    <cellStyle name="Input [yellow] 3 4 5 18 2" xfId="21813"/>
    <cellStyle name="Input [yellow] 3 4 5 18 3" xfId="32981"/>
    <cellStyle name="Input [yellow] 3 4 5 18 4" xfId="44146"/>
    <cellStyle name="Input [yellow] 3 4 5 18 5" xfId="55339"/>
    <cellStyle name="Input [yellow] 3 4 5 19" xfId="10881"/>
    <cellStyle name="Input [yellow] 3 4 5 19 2" xfId="22078"/>
    <cellStyle name="Input [yellow] 3 4 5 19 3" xfId="33246"/>
    <cellStyle name="Input [yellow] 3 4 5 19 4" xfId="44411"/>
    <cellStyle name="Input [yellow] 3 4 5 19 5" xfId="55604"/>
    <cellStyle name="Input [yellow] 3 4 5 2" xfId="977"/>
    <cellStyle name="Input [yellow] 3 4 5 2 2" xfId="12174"/>
    <cellStyle name="Input [yellow] 3 4 5 2 3" xfId="23342"/>
    <cellStyle name="Input [yellow] 3 4 5 2 4" xfId="34507"/>
    <cellStyle name="Input [yellow] 3 4 5 2 5" xfId="45700"/>
    <cellStyle name="Input [yellow] 3 4 5 20" xfId="11528"/>
    <cellStyle name="Input [yellow] 3 4 5 21" xfId="22698"/>
    <cellStyle name="Input [yellow] 3 4 5 22" xfId="33865"/>
    <cellStyle name="Input [yellow] 3 4 5 23" xfId="45051"/>
    <cellStyle name="Input [yellow] 3 4 5 3" xfId="1842"/>
    <cellStyle name="Input [yellow] 3 4 5 3 2" xfId="13039"/>
    <cellStyle name="Input [yellow] 3 4 5 3 3" xfId="24207"/>
    <cellStyle name="Input [yellow] 3 4 5 3 4" xfId="35372"/>
    <cellStyle name="Input [yellow] 3 4 5 3 5" xfId="46565"/>
    <cellStyle name="Input [yellow] 3 4 5 4" xfId="2253"/>
    <cellStyle name="Input [yellow] 3 4 5 4 2" xfId="13450"/>
    <cellStyle name="Input [yellow] 3 4 5 4 3" xfId="24618"/>
    <cellStyle name="Input [yellow] 3 4 5 4 4" xfId="35783"/>
    <cellStyle name="Input [yellow] 3 4 5 4 5" xfId="46976"/>
    <cellStyle name="Input [yellow] 3 4 5 5" xfId="2678"/>
    <cellStyle name="Input [yellow] 3 4 5 5 2" xfId="13875"/>
    <cellStyle name="Input [yellow] 3 4 5 5 3" xfId="25043"/>
    <cellStyle name="Input [yellow] 3 4 5 5 4" xfId="36208"/>
    <cellStyle name="Input [yellow] 3 4 5 5 5" xfId="47401"/>
    <cellStyle name="Input [yellow] 3 4 5 6" xfId="3312"/>
    <cellStyle name="Input [yellow] 3 4 5 6 2" xfId="14509"/>
    <cellStyle name="Input [yellow] 3 4 5 6 3" xfId="25677"/>
    <cellStyle name="Input [yellow] 3 4 5 6 4" xfId="36842"/>
    <cellStyle name="Input [yellow] 3 4 5 6 5" xfId="48035"/>
    <cellStyle name="Input [yellow] 3 4 5 7" xfId="3946"/>
    <cellStyle name="Input [yellow] 3 4 5 7 2" xfId="15143"/>
    <cellStyle name="Input [yellow] 3 4 5 7 3" xfId="26311"/>
    <cellStyle name="Input [yellow] 3 4 5 7 4" xfId="37476"/>
    <cellStyle name="Input [yellow] 3 4 5 7 5" xfId="48669"/>
    <cellStyle name="Input [yellow] 3 4 5 8" xfId="4579"/>
    <cellStyle name="Input [yellow] 3 4 5 8 2" xfId="15776"/>
    <cellStyle name="Input [yellow] 3 4 5 8 3" xfId="26944"/>
    <cellStyle name="Input [yellow] 3 4 5 8 4" xfId="38109"/>
    <cellStyle name="Input [yellow] 3 4 5 8 5" xfId="49302"/>
    <cellStyle name="Input [yellow] 3 4 5 9" xfId="5210"/>
    <cellStyle name="Input [yellow] 3 4 5 9 2" xfId="16407"/>
    <cellStyle name="Input [yellow] 3 4 5 9 3" xfId="27575"/>
    <cellStyle name="Input [yellow] 3 4 5 9 4" xfId="38740"/>
    <cellStyle name="Input [yellow] 3 4 5 9 5" xfId="49933"/>
    <cellStyle name="Input [yellow] 3 4 6" xfId="376"/>
    <cellStyle name="Input [yellow] 3 4 6 10" xfId="5988"/>
    <cellStyle name="Input [yellow] 3 4 6 10 2" xfId="17185"/>
    <cellStyle name="Input [yellow] 3 4 6 10 3" xfId="28353"/>
    <cellStyle name="Input [yellow] 3 4 6 10 4" xfId="39518"/>
    <cellStyle name="Input [yellow] 3 4 6 10 5" xfId="50711"/>
    <cellStyle name="Input [yellow] 3 4 6 11" xfId="6312"/>
    <cellStyle name="Input [yellow] 3 4 6 11 2" xfId="17509"/>
    <cellStyle name="Input [yellow] 3 4 6 11 3" xfId="28677"/>
    <cellStyle name="Input [yellow] 3 4 6 11 4" xfId="39842"/>
    <cellStyle name="Input [yellow] 3 4 6 11 5" xfId="51035"/>
    <cellStyle name="Input [yellow] 3 4 6 12" xfId="6945"/>
    <cellStyle name="Input [yellow] 3 4 6 12 2" xfId="18142"/>
    <cellStyle name="Input [yellow] 3 4 6 12 3" xfId="29310"/>
    <cellStyle name="Input [yellow] 3 4 6 12 4" xfId="40475"/>
    <cellStyle name="Input [yellow] 3 4 6 12 5" xfId="51668"/>
    <cellStyle name="Input [yellow] 3 4 6 13" xfId="7579"/>
    <cellStyle name="Input [yellow] 3 4 6 13 2" xfId="18776"/>
    <cellStyle name="Input [yellow] 3 4 6 13 3" xfId="29944"/>
    <cellStyle name="Input [yellow] 3 4 6 13 4" xfId="41109"/>
    <cellStyle name="Input [yellow] 3 4 6 13 5" xfId="52302"/>
    <cellStyle name="Input [yellow] 3 4 6 14" xfId="8213"/>
    <cellStyle name="Input [yellow] 3 4 6 14 2" xfId="19410"/>
    <cellStyle name="Input [yellow] 3 4 6 14 3" xfId="30578"/>
    <cellStyle name="Input [yellow] 3 4 6 14 4" xfId="41743"/>
    <cellStyle name="Input [yellow] 3 4 6 14 5" xfId="52936"/>
    <cellStyle name="Input [yellow] 3 4 6 15" xfId="8842"/>
    <cellStyle name="Input [yellow] 3 4 6 15 2" xfId="20039"/>
    <cellStyle name="Input [yellow] 3 4 6 15 3" xfId="31207"/>
    <cellStyle name="Input [yellow] 3 4 6 15 4" xfId="42372"/>
    <cellStyle name="Input [yellow] 3 4 6 15 5" xfId="53565"/>
    <cellStyle name="Input [yellow] 3 4 6 16" xfId="9264"/>
    <cellStyle name="Input [yellow] 3 4 6 16 2" xfId="20461"/>
    <cellStyle name="Input [yellow] 3 4 6 16 3" xfId="31629"/>
    <cellStyle name="Input [yellow] 3 4 6 16 4" xfId="42794"/>
    <cellStyle name="Input [yellow] 3 4 6 16 5" xfId="53987"/>
    <cellStyle name="Input [yellow] 3 4 6 17" xfId="9891"/>
    <cellStyle name="Input [yellow] 3 4 6 17 2" xfId="21088"/>
    <cellStyle name="Input [yellow] 3 4 6 17 3" xfId="32256"/>
    <cellStyle name="Input [yellow] 3 4 6 17 4" xfId="43421"/>
    <cellStyle name="Input [yellow] 3 4 6 17 5" xfId="54614"/>
    <cellStyle name="Input [yellow] 3 4 6 18" xfId="10285"/>
    <cellStyle name="Input [yellow] 3 4 6 18 2" xfId="21482"/>
    <cellStyle name="Input [yellow] 3 4 6 18 3" xfId="32650"/>
    <cellStyle name="Input [yellow] 3 4 6 18 4" xfId="43815"/>
    <cellStyle name="Input [yellow] 3 4 6 18 5" xfId="55008"/>
    <cellStyle name="Input [yellow] 3 4 6 19" xfId="10929"/>
    <cellStyle name="Input [yellow] 3 4 6 19 2" xfId="22126"/>
    <cellStyle name="Input [yellow] 3 4 6 19 3" xfId="33294"/>
    <cellStyle name="Input [yellow] 3 4 6 19 4" xfId="44459"/>
    <cellStyle name="Input [yellow] 3 4 6 19 5" xfId="55652"/>
    <cellStyle name="Input [yellow] 3 4 6 2" xfId="1025"/>
    <cellStyle name="Input [yellow] 3 4 6 2 2" xfId="12222"/>
    <cellStyle name="Input [yellow] 3 4 6 2 3" xfId="23390"/>
    <cellStyle name="Input [yellow] 3 4 6 2 4" xfId="34555"/>
    <cellStyle name="Input [yellow] 3 4 6 2 5" xfId="45748"/>
    <cellStyle name="Input [yellow] 3 4 6 20" xfId="11576"/>
    <cellStyle name="Input [yellow] 3 4 6 21" xfId="22746"/>
    <cellStyle name="Input [yellow] 3 4 6 22" xfId="33913"/>
    <cellStyle name="Input [yellow] 3 4 6 23" xfId="45099"/>
    <cellStyle name="Input [yellow] 3 4 6 3" xfId="1542"/>
    <cellStyle name="Input [yellow] 3 4 6 3 2" xfId="12739"/>
    <cellStyle name="Input [yellow] 3 4 6 3 3" xfId="23907"/>
    <cellStyle name="Input [yellow] 3 4 6 3 4" xfId="35072"/>
    <cellStyle name="Input [yellow] 3 4 6 3 5" xfId="46265"/>
    <cellStyle name="Input [yellow] 3 4 6 4" xfId="2301"/>
    <cellStyle name="Input [yellow] 3 4 6 4 2" xfId="13498"/>
    <cellStyle name="Input [yellow] 3 4 6 4 3" xfId="24666"/>
    <cellStyle name="Input [yellow] 3 4 6 4 4" xfId="35831"/>
    <cellStyle name="Input [yellow] 3 4 6 4 5" xfId="47024"/>
    <cellStyle name="Input [yellow] 3 4 6 5" xfId="2726"/>
    <cellStyle name="Input [yellow] 3 4 6 5 2" xfId="13923"/>
    <cellStyle name="Input [yellow] 3 4 6 5 3" xfId="25091"/>
    <cellStyle name="Input [yellow] 3 4 6 5 4" xfId="36256"/>
    <cellStyle name="Input [yellow] 3 4 6 5 5" xfId="47449"/>
    <cellStyle name="Input [yellow] 3 4 6 6" xfId="3360"/>
    <cellStyle name="Input [yellow] 3 4 6 6 2" xfId="14557"/>
    <cellStyle name="Input [yellow] 3 4 6 6 3" xfId="25725"/>
    <cellStyle name="Input [yellow] 3 4 6 6 4" xfId="36890"/>
    <cellStyle name="Input [yellow] 3 4 6 6 5" xfId="48083"/>
    <cellStyle name="Input [yellow] 3 4 6 7" xfId="3994"/>
    <cellStyle name="Input [yellow] 3 4 6 7 2" xfId="15191"/>
    <cellStyle name="Input [yellow] 3 4 6 7 3" xfId="26359"/>
    <cellStyle name="Input [yellow] 3 4 6 7 4" xfId="37524"/>
    <cellStyle name="Input [yellow] 3 4 6 7 5" xfId="48717"/>
    <cellStyle name="Input [yellow] 3 4 6 8" xfId="4627"/>
    <cellStyle name="Input [yellow] 3 4 6 8 2" xfId="15824"/>
    <cellStyle name="Input [yellow] 3 4 6 8 3" xfId="26992"/>
    <cellStyle name="Input [yellow] 3 4 6 8 4" xfId="38157"/>
    <cellStyle name="Input [yellow] 3 4 6 8 5" xfId="49350"/>
    <cellStyle name="Input [yellow] 3 4 6 9" xfId="5258"/>
    <cellStyle name="Input [yellow] 3 4 6 9 2" xfId="16455"/>
    <cellStyle name="Input [yellow] 3 4 6 9 3" xfId="27623"/>
    <cellStyle name="Input [yellow] 3 4 6 9 4" xfId="38788"/>
    <cellStyle name="Input [yellow] 3 4 6 9 5" xfId="49981"/>
    <cellStyle name="Input [yellow] 3 4 7" xfId="397"/>
    <cellStyle name="Input [yellow] 3 4 7 10" xfId="4320"/>
    <cellStyle name="Input [yellow] 3 4 7 10 2" xfId="15517"/>
    <cellStyle name="Input [yellow] 3 4 7 10 3" xfId="26685"/>
    <cellStyle name="Input [yellow] 3 4 7 10 4" xfId="37850"/>
    <cellStyle name="Input [yellow] 3 4 7 10 5" xfId="49043"/>
    <cellStyle name="Input [yellow] 3 4 7 11" xfId="6333"/>
    <cellStyle name="Input [yellow] 3 4 7 11 2" xfId="17530"/>
    <cellStyle name="Input [yellow] 3 4 7 11 3" xfId="28698"/>
    <cellStyle name="Input [yellow] 3 4 7 11 4" xfId="39863"/>
    <cellStyle name="Input [yellow] 3 4 7 11 5" xfId="51056"/>
    <cellStyle name="Input [yellow] 3 4 7 12" xfId="6966"/>
    <cellStyle name="Input [yellow] 3 4 7 12 2" xfId="18163"/>
    <cellStyle name="Input [yellow] 3 4 7 12 3" xfId="29331"/>
    <cellStyle name="Input [yellow] 3 4 7 12 4" xfId="40496"/>
    <cellStyle name="Input [yellow] 3 4 7 12 5" xfId="51689"/>
    <cellStyle name="Input [yellow] 3 4 7 13" xfId="7600"/>
    <cellStyle name="Input [yellow] 3 4 7 13 2" xfId="18797"/>
    <cellStyle name="Input [yellow] 3 4 7 13 3" xfId="29965"/>
    <cellStyle name="Input [yellow] 3 4 7 13 4" xfId="41130"/>
    <cellStyle name="Input [yellow] 3 4 7 13 5" xfId="52323"/>
    <cellStyle name="Input [yellow] 3 4 7 14" xfId="8234"/>
    <cellStyle name="Input [yellow] 3 4 7 14 2" xfId="19431"/>
    <cellStyle name="Input [yellow] 3 4 7 14 3" xfId="30599"/>
    <cellStyle name="Input [yellow] 3 4 7 14 4" xfId="41764"/>
    <cellStyle name="Input [yellow] 3 4 7 14 5" xfId="52957"/>
    <cellStyle name="Input [yellow] 3 4 7 15" xfId="8862"/>
    <cellStyle name="Input [yellow] 3 4 7 15 2" xfId="20059"/>
    <cellStyle name="Input [yellow] 3 4 7 15 3" xfId="31227"/>
    <cellStyle name="Input [yellow] 3 4 7 15 4" xfId="42392"/>
    <cellStyle name="Input [yellow] 3 4 7 15 5" xfId="53585"/>
    <cellStyle name="Input [yellow] 3 4 7 16" xfId="9285"/>
    <cellStyle name="Input [yellow] 3 4 7 16 2" xfId="20482"/>
    <cellStyle name="Input [yellow] 3 4 7 16 3" xfId="31650"/>
    <cellStyle name="Input [yellow] 3 4 7 16 4" xfId="42815"/>
    <cellStyle name="Input [yellow] 3 4 7 16 5" xfId="54008"/>
    <cellStyle name="Input [yellow] 3 4 7 17" xfId="9911"/>
    <cellStyle name="Input [yellow] 3 4 7 17 2" xfId="21108"/>
    <cellStyle name="Input [yellow] 3 4 7 17 3" xfId="32276"/>
    <cellStyle name="Input [yellow] 3 4 7 17 4" xfId="43441"/>
    <cellStyle name="Input [yellow] 3 4 7 17 5" xfId="54634"/>
    <cellStyle name="Input [yellow] 3 4 7 18" xfId="10401"/>
    <cellStyle name="Input [yellow] 3 4 7 18 2" xfId="21598"/>
    <cellStyle name="Input [yellow] 3 4 7 18 3" xfId="32766"/>
    <cellStyle name="Input [yellow] 3 4 7 18 4" xfId="43931"/>
    <cellStyle name="Input [yellow] 3 4 7 18 5" xfId="55124"/>
    <cellStyle name="Input [yellow] 3 4 7 19" xfId="10950"/>
    <cellStyle name="Input [yellow] 3 4 7 19 2" xfId="22147"/>
    <cellStyle name="Input [yellow] 3 4 7 19 3" xfId="33315"/>
    <cellStyle name="Input [yellow] 3 4 7 19 4" xfId="44480"/>
    <cellStyle name="Input [yellow] 3 4 7 19 5" xfId="55673"/>
    <cellStyle name="Input [yellow] 3 4 7 2" xfId="1046"/>
    <cellStyle name="Input [yellow] 3 4 7 2 2" xfId="12243"/>
    <cellStyle name="Input [yellow] 3 4 7 2 3" xfId="23411"/>
    <cellStyle name="Input [yellow] 3 4 7 2 4" xfId="34576"/>
    <cellStyle name="Input [yellow] 3 4 7 2 5" xfId="45769"/>
    <cellStyle name="Input [yellow] 3 4 7 20" xfId="11597"/>
    <cellStyle name="Input [yellow] 3 4 7 21" xfId="22767"/>
    <cellStyle name="Input [yellow] 3 4 7 22" xfId="33934"/>
    <cellStyle name="Input [yellow] 3 4 7 23" xfId="45120"/>
    <cellStyle name="Input [yellow] 3 4 7 3" xfId="1667"/>
    <cellStyle name="Input [yellow] 3 4 7 3 2" xfId="12864"/>
    <cellStyle name="Input [yellow] 3 4 7 3 3" xfId="24032"/>
    <cellStyle name="Input [yellow] 3 4 7 3 4" xfId="35197"/>
    <cellStyle name="Input [yellow] 3 4 7 3 5" xfId="46390"/>
    <cellStyle name="Input [yellow] 3 4 7 4" xfId="2322"/>
    <cellStyle name="Input [yellow] 3 4 7 4 2" xfId="13519"/>
    <cellStyle name="Input [yellow] 3 4 7 4 3" xfId="24687"/>
    <cellStyle name="Input [yellow] 3 4 7 4 4" xfId="35852"/>
    <cellStyle name="Input [yellow] 3 4 7 4 5" xfId="47045"/>
    <cellStyle name="Input [yellow] 3 4 7 5" xfId="2747"/>
    <cellStyle name="Input [yellow] 3 4 7 5 2" xfId="13944"/>
    <cellStyle name="Input [yellow] 3 4 7 5 3" xfId="25112"/>
    <cellStyle name="Input [yellow] 3 4 7 5 4" xfId="36277"/>
    <cellStyle name="Input [yellow] 3 4 7 5 5" xfId="47470"/>
    <cellStyle name="Input [yellow] 3 4 7 6" xfId="3381"/>
    <cellStyle name="Input [yellow] 3 4 7 6 2" xfId="14578"/>
    <cellStyle name="Input [yellow] 3 4 7 6 3" xfId="25746"/>
    <cellStyle name="Input [yellow] 3 4 7 6 4" xfId="36911"/>
    <cellStyle name="Input [yellow] 3 4 7 6 5" xfId="48104"/>
    <cellStyle name="Input [yellow] 3 4 7 7" xfId="4015"/>
    <cellStyle name="Input [yellow] 3 4 7 7 2" xfId="15212"/>
    <cellStyle name="Input [yellow] 3 4 7 7 3" xfId="26380"/>
    <cellStyle name="Input [yellow] 3 4 7 7 4" xfId="37545"/>
    <cellStyle name="Input [yellow] 3 4 7 7 5" xfId="48738"/>
    <cellStyle name="Input [yellow] 3 4 7 8" xfId="4648"/>
    <cellStyle name="Input [yellow] 3 4 7 8 2" xfId="15845"/>
    <cellStyle name="Input [yellow] 3 4 7 8 3" xfId="27013"/>
    <cellStyle name="Input [yellow] 3 4 7 8 4" xfId="38178"/>
    <cellStyle name="Input [yellow] 3 4 7 8 5" xfId="49371"/>
    <cellStyle name="Input [yellow] 3 4 7 9" xfId="5279"/>
    <cellStyle name="Input [yellow] 3 4 7 9 2" xfId="16476"/>
    <cellStyle name="Input [yellow] 3 4 7 9 3" xfId="27644"/>
    <cellStyle name="Input [yellow] 3 4 7 9 4" xfId="38809"/>
    <cellStyle name="Input [yellow] 3 4 7 9 5" xfId="50002"/>
    <cellStyle name="Input [yellow] 3 4 8" xfId="488"/>
    <cellStyle name="Input [yellow] 3 4 8 10" xfId="5717"/>
    <cellStyle name="Input [yellow] 3 4 8 10 2" xfId="16914"/>
    <cellStyle name="Input [yellow] 3 4 8 10 3" xfId="28082"/>
    <cellStyle name="Input [yellow] 3 4 8 10 4" xfId="39247"/>
    <cellStyle name="Input [yellow] 3 4 8 10 5" xfId="50440"/>
    <cellStyle name="Input [yellow] 3 4 8 11" xfId="6424"/>
    <cellStyle name="Input [yellow] 3 4 8 11 2" xfId="17621"/>
    <cellStyle name="Input [yellow] 3 4 8 11 3" xfId="28789"/>
    <cellStyle name="Input [yellow] 3 4 8 11 4" xfId="39954"/>
    <cellStyle name="Input [yellow] 3 4 8 11 5" xfId="51147"/>
    <cellStyle name="Input [yellow] 3 4 8 12" xfId="7057"/>
    <cellStyle name="Input [yellow] 3 4 8 12 2" xfId="18254"/>
    <cellStyle name="Input [yellow] 3 4 8 12 3" xfId="29422"/>
    <cellStyle name="Input [yellow] 3 4 8 12 4" xfId="40587"/>
    <cellStyle name="Input [yellow] 3 4 8 12 5" xfId="51780"/>
    <cellStyle name="Input [yellow] 3 4 8 13" xfId="7691"/>
    <cellStyle name="Input [yellow] 3 4 8 13 2" xfId="18888"/>
    <cellStyle name="Input [yellow] 3 4 8 13 3" xfId="30056"/>
    <cellStyle name="Input [yellow] 3 4 8 13 4" xfId="41221"/>
    <cellStyle name="Input [yellow] 3 4 8 13 5" xfId="52414"/>
    <cellStyle name="Input [yellow] 3 4 8 14" xfId="8325"/>
    <cellStyle name="Input [yellow] 3 4 8 14 2" xfId="19522"/>
    <cellStyle name="Input [yellow] 3 4 8 14 3" xfId="30690"/>
    <cellStyle name="Input [yellow] 3 4 8 14 4" xfId="41855"/>
    <cellStyle name="Input [yellow] 3 4 8 14 5" xfId="53048"/>
    <cellStyle name="Input [yellow] 3 4 8 15" xfId="8953"/>
    <cellStyle name="Input [yellow] 3 4 8 15 2" xfId="20150"/>
    <cellStyle name="Input [yellow] 3 4 8 15 3" xfId="31318"/>
    <cellStyle name="Input [yellow] 3 4 8 15 4" xfId="42483"/>
    <cellStyle name="Input [yellow] 3 4 8 15 5" xfId="53676"/>
    <cellStyle name="Input [yellow] 3 4 8 16" xfId="9376"/>
    <cellStyle name="Input [yellow] 3 4 8 16 2" xfId="20573"/>
    <cellStyle name="Input [yellow] 3 4 8 16 3" xfId="31741"/>
    <cellStyle name="Input [yellow] 3 4 8 16 4" xfId="42906"/>
    <cellStyle name="Input [yellow] 3 4 8 16 5" xfId="54099"/>
    <cellStyle name="Input [yellow] 3 4 8 17" xfId="10002"/>
    <cellStyle name="Input [yellow] 3 4 8 17 2" xfId="21199"/>
    <cellStyle name="Input [yellow] 3 4 8 17 3" xfId="32367"/>
    <cellStyle name="Input [yellow] 3 4 8 17 4" xfId="43532"/>
    <cellStyle name="Input [yellow] 3 4 8 17 5" xfId="54725"/>
    <cellStyle name="Input [yellow] 3 4 8 18" xfId="10488"/>
    <cellStyle name="Input [yellow] 3 4 8 18 2" xfId="21685"/>
    <cellStyle name="Input [yellow] 3 4 8 18 3" xfId="32853"/>
    <cellStyle name="Input [yellow] 3 4 8 18 4" xfId="44018"/>
    <cellStyle name="Input [yellow] 3 4 8 18 5" xfId="55211"/>
    <cellStyle name="Input [yellow] 3 4 8 19" xfId="11041"/>
    <cellStyle name="Input [yellow] 3 4 8 19 2" xfId="22238"/>
    <cellStyle name="Input [yellow] 3 4 8 19 3" xfId="33406"/>
    <cellStyle name="Input [yellow] 3 4 8 19 4" xfId="44571"/>
    <cellStyle name="Input [yellow] 3 4 8 19 5" xfId="55764"/>
    <cellStyle name="Input [yellow] 3 4 8 2" xfId="1137"/>
    <cellStyle name="Input [yellow] 3 4 8 2 2" xfId="12334"/>
    <cellStyle name="Input [yellow] 3 4 8 2 3" xfId="23502"/>
    <cellStyle name="Input [yellow] 3 4 8 2 4" xfId="34667"/>
    <cellStyle name="Input [yellow] 3 4 8 2 5" xfId="45860"/>
    <cellStyle name="Input [yellow] 3 4 8 20" xfId="11688"/>
    <cellStyle name="Input [yellow] 3 4 8 21" xfId="22858"/>
    <cellStyle name="Input [yellow] 3 4 8 22" xfId="34025"/>
    <cellStyle name="Input [yellow] 3 4 8 23" xfId="45211"/>
    <cellStyle name="Input [yellow] 3 4 8 3" xfId="1784"/>
    <cellStyle name="Input [yellow] 3 4 8 3 2" xfId="12981"/>
    <cellStyle name="Input [yellow] 3 4 8 3 3" xfId="24149"/>
    <cellStyle name="Input [yellow] 3 4 8 3 4" xfId="35314"/>
    <cellStyle name="Input [yellow] 3 4 8 3 5" xfId="46507"/>
    <cellStyle name="Input [yellow] 3 4 8 4" xfId="2413"/>
    <cellStyle name="Input [yellow] 3 4 8 4 2" xfId="13610"/>
    <cellStyle name="Input [yellow] 3 4 8 4 3" xfId="24778"/>
    <cellStyle name="Input [yellow] 3 4 8 4 4" xfId="35943"/>
    <cellStyle name="Input [yellow] 3 4 8 4 5" xfId="47136"/>
    <cellStyle name="Input [yellow] 3 4 8 5" xfId="2838"/>
    <cellStyle name="Input [yellow] 3 4 8 5 2" xfId="14035"/>
    <cellStyle name="Input [yellow] 3 4 8 5 3" xfId="25203"/>
    <cellStyle name="Input [yellow] 3 4 8 5 4" xfId="36368"/>
    <cellStyle name="Input [yellow] 3 4 8 5 5" xfId="47561"/>
    <cellStyle name="Input [yellow] 3 4 8 6" xfId="3472"/>
    <cellStyle name="Input [yellow] 3 4 8 6 2" xfId="14669"/>
    <cellStyle name="Input [yellow] 3 4 8 6 3" xfId="25837"/>
    <cellStyle name="Input [yellow] 3 4 8 6 4" xfId="37002"/>
    <cellStyle name="Input [yellow] 3 4 8 6 5" xfId="48195"/>
    <cellStyle name="Input [yellow] 3 4 8 7" xfId="4106"/>
    <cellStyle name="Input [yellow] 3 4 8 7 2" xfId="15303"/>
    <cellStyle name="Input [yellow] 3 4 8 7 3" xfId="26471"/>
    <cellStyle name="Input [yellow] 3 4 8 7 4" xfId="37636"/>
    <cellStyle name="Input [yellow] 3 4 8 7 5" xfId="48829"/>
    <cellStyle name="Input [yellow] 3 4 8 8" xfId="4739"/>
    <cellStyle name="Input [yellow] 3 4 8 8 2" xfId="15936"/>
    <cellStyle name="Input [yellow] 3 4 8 8 3" xfId="27104"/>
    <cellStyle name="Input [yellow] 3 4 8 8 4" xfId="38269"/>
    <cellStyle name="Input [yellow] 3 4 8 8 5" xfId="49462"/>
    <cellStyle name="Input [yellow] 3 4 8 9" xfId="5370"/>
    <cellStyle name="Input [yellow] 3 4 8 9 2" xfId="16567"/>
    <cellStyle name="Input [yellow] 3 4 8 9 3" xfId="27735"/>
    <cellStyle name="Input [yellow] 3 4 8 9 4" xfId="38900"/>
    <cellStyle name="Input [yellow] 3 4 8 9 5" xfId="50093"/>
    <cellStyle name="Input [yellow] 3 4 9" xfId="546"/>
    <cellStyle name="Input [yellow] 3 4 9 10" xfId="6110"/>
    <cellStyle name="Input [yellow] 3 4 9 10 2" xfId="17307"/>
    <cellStyle name="Input [yellow] 3 4 9 10 3" xfId="28475"/>
    <cellStyle name="Input [yellow] 3 4 9 10 4" xfId="39640"/>
    <cellStyle name="Input [yellow] 3 4 9 10 5" xfId="50833"/>
    <cellStyle name="Input [yellow] 3 4 9 11" xfId="6482"/>
    <cellStyle name="Input [yellow] 3 4 9 11 2" xfId="17679"/>
    <cellStyle name="Input [yellow] 3 4 9 11 3" xfId="28847"/>
    <cellStyle name="Input [yellow] 3 4 9 11 4" xfId="40012"/>
    <cellStyle name="Input [yellow] 3 4 9 11 5" xfId="51205"/>
    <cellStyle name="Input [yellow] 3 4 9 12" xfId="7115"/>
    <cellStyle name="Input [yellow] 3 4 9 12 2" xfId="18312"/>
    <cellStyle name="Input [yellow] 3 4 9 12 3" xfId="29480"/>
    <cellStyle name="Input [yellow] 3 4 9 12 4" xfId="40645"/>
    <cellStyle name="Input [yellow] 3 4 9 12 5" xfId="51838"/>
    <cellStyle name="Input [yellow] 3 4 9 13" xfId="7749"/>
    <cellStyle name="Input [yellow] 3 4 9 13 2" xfId="18946"/>
    <cellStyle name="Input [yellow] 3 4 9 13 3" xfId="30114"/>
    <cellStyle name="Input [yellow] 3 4 9 13 4" xfId="41279"/>
    <cellStyle name="Input [yellow] 3 4 9 13 5" xfId="52472"/>
    <cellStyle name="Input [yellow] 3 4 9 14" xfId="8383"/>
    <cellStyle name="Input [yellow] 3 4 9 14 2" xfId="19580"/>
    <cellStyle name="Input [yellow] 3 4 9 14 3" xfId="30748"/>
    <cellStyle name="Input [yellow] 3 4 9 14 4" xfId="41913"/>
    <cellStyle name="Input [yellow] 3 4 9 14 5" xfId="53106"/>
    <cellStyle name="Input [yellow] 3 4 9 15" xfId="9011"/>
    <cellStyle name="Input [yellow] 3 4 9 15 2" xfId="20208"/>
    <cellStyle name="Input [yellow] 3 4 9 15 3" xfId="31376"/>
    <cellStyle name="Input [yellow] 3 4 9 15 4" xfId="42541"/>
    <cellStyle name="Input [yellow] 3 4 9 15 5" xfId="53734"/>
    <cellStyle name="Input [yellow] 3 4 9 16" xfId="9434"/>
    <cellStyle name="Input [yellow] 3 4 9 16 2" xfId="20631"/>
    <cellStyle name="Input [yellow] 3 4 9 16 3" xfId="31799"/>
    <cellStyle name="Input [yellow] 3 4 9 16 4" xfId="42964"/>
    <cellStyle name="Input [yellow] 3 4 9 16 5" xfId="54157"/>
    <cellStyle name="Input [yellow] 3 4 9 17" xfId="10059"/>
    <cellStyle name="Input [yellow] 3 4 9 17 2" xfId="21256"/>
    <cellStyle name="Input [yellow] 3 4 9 17 3" xfId="32424"/>
    <cellStyle name="Input [yellow] 3 4 9 17 4" xfId="43589"/>
    <cellStyle name="Input [yellow] 3 4 9 17 5" xfId="54782"/>
    <cellStyle name="Input [yellow] 3 4 9 18" xfId="10311"/>
    <cellStyle name="Input [yellow] 3 4 9 18 2" xfId="21508"/>
    <cellStyle name="Input [yellow] 3 4 9 18 3" xfId="32676"/>
    <cellStyle name="Input [yellow] 3 4 9 18 4" xfId="43841"/>
    <cellStyle name="Input [yellow] 3 4 9 18 5" xfId="55034"/>
    <cellStyle name="Input [yellow] 3 4 9 19" xfId="11099"/>
    <cellStyle name="Input [yellow] 3 4 9 19 2" xfId="22296"/>
    <cellStyle name="Input [yellow] 3 4 9 19 3" xfId="33464"/>
    <cellStyle name="Input [yellow] 3 4 9 19 4" xfId="44629"/>
    <cellStyle name="Input [yellow] 3 4 9 19 5" xfId="55822"/>
    <cellStyle name="Input [yellow] 3 4 9 2" xfId="1195"/>
    <cellStyle name="Input [yellow] 3 4 9 2 2" xfId="12392"/>
    <cellStyle name="Input [yellow] 3 4 9 2 3" xfId="23560"/>
    <cellStyle name="Input [yellow] 3 4 9 2 4" xfId="34725"/>
    <cellStyle name="Input [yellow] 3 4 9 2 5" xfId="45918"/>
    <cellStyle name="Input [yellow] 3 4 9 20" xfId="11746"/>
    <cellStyle name="Input [yellow] 3 4 9 21" xfId="22916"/>
    <cellStyle name="Input [yellow] 3 4 9 22" xfId="34083"/>
    <cellStyle name="Input [yellow] 3 4 9 23" xfId="45269"/>
    <cellStyle name="Input [yellow] 3 4 9 3" xfId="1642"/>
    <cellStyle name="Input [yellow] 3 4 9 3 2" xfId="12839"/>
    <cellStyle name="Input [yellow] 3 4 9 3 3" xfId="24007"/>
    <cellStyle name="Input [yellow] 3 4 9 3 4" xfId="35172"/>
    <cellStyle name="Input [yellow] 3 4 9 3 5" xfId="46365"/>
    <cellStyle name="Input [yellow] 3 4 9 4" xfId="2471"/>
    <cellStyle name="Input [yellow] 3 4 9 4 2" xfId="13668"/>
    <cellStyle name="Input [yellow] 3 4 9 4 3" xfId="24836"/>
    <cellStyle name="Input [yellow] 3 4 9 4 4" xfId="36001"/>
    <cellStyle name="Input [yellow] 3 4 9 4 5" xfId="47194"/>
    <cellStyle name="Input [yellow] 3 4 9 5" xfId="2896"/>
    <cellStyle name="Input [yellow] 3 4 9 5 2" xfId="14093"/>
    <cellStyle name="Input [yellow] 3 4 9 5 3" xfId="25261"/>
    <cellStyle name="Input [yellow] 3 4 9 5 4" xfId="36426"/>
    <cellStyle name="Input [yellow] 3 4 9 5 5" xfId="47619"/>
    <cellStyle name="Input [yellow] 3 4 9 6" xfId="3530"/>
    <cellStyle name="Input [yellow] 3 4 9 6 2" xfId="14727"/>
    <cellStyle name="Input [yellow] 3 4 9 6 3" xfId="25895"/>
    <cellStyle name="Input [yellow] 3 4 9 6 4" xfId="37060"/>
    <cellStyle name="Input [yellow] 3 4 9 6 5" xfId="48253"/>
    <cellStyle name="Input [yellow] 3 4 9 7" xfId="4164"/>
    <cellStyle name="Input [yellow] 3 4 9 7 2" xfId="15361"/>
    <cellStyle name="Input [yellow] 3 4 9 7 3" xfId="26529"/>
    <cellStyle name="Input [yellow] 3 4 9 7 4" xfId="37694"/>
    <cellStyle name="Input [yellow] 3 4 9 7 5" xfId="48887"/>
    <cellStyle name="Input [yellow] 3 4 9 8" xfId="4797"/>
    <cellStyle name="Input [yellow] 3 4 9 8 2" xfId="15994"/>
    <cellStyle name="Input [yellow] 3 4 9 8 3" xfId="27162"/>
    <cellStyle name="Input [yellow] 3 4 9 8 4" xfId="38327"/>
    <cellStyle name="Input [yellow] 3 4 9 8 5" xfId="49520"/>
    <cellStyle name="Input [yellow] 3 4 9 9" xfId="5428"/>
    <cellStyle name="Input [yellow] 3 4 9 9 2" xfId="16625"/>
    <cellStyle name="Input [yellow] 3 4 9 9 3" xfId="27793"/>
    <cellStyle name="Input [yellow] 3 4 9 9 4" xfId="38958"/>
    <cellStyle name="Input [yellow] 3 4 9 9 5" xfId="50151"/>
    <cellStyle name="Input [yellow] 3 40" xfId="7265"/>
    <cellStyle name="Input [yellow] 3 40 2" xfId="18462"/>
    <cellStyle name="Input [yellow] 3 40 3" xfId="29630"/>
    <cellStyle name="Input [yellow] 3 40 4" xfId="40795"/>
    <cellStyle name="Input [yellow] 3 40 5" xfId="51988"/>
    <cellStyle name="Input [yellow] 3 41" xfId="7898"/>
    <cellStyle name="Input [yellow] 3 41 2" xfId="19095"/>
    <cellStyle name="Input [yellow] 3 41 3" xfId="30263"/>
    <cellStyle name="Input [yellow] 3 41 4" xfId="41428"/>
    <cellStyle name="Input [yellow] 3 41 5" xfId="52621"/>
    <cellStyle name="Input [yellow] 3 42" xfId="8531"/>
    <cellStyle name="Input [yellow] 3 42 2" xfId="19728"/>
    <cellStyle name="Input [yellow] 3 42 3" xfId="30896"/>
    <cellStyle name="Input [yellow] 3 42 4" xfId="42061"/>
    <cellStyle name="Input [yellow] 3 42 5" xfId="53254"/>
    <cellStyle name="Input [yellow] 3 43" xfId="8642"/>
    <cellStyle name="Input [yellow] 3 43 2" xfId="19839"/>
    <cellStyle name="Input [yellow] 3 43 3" xfId="31007"/>
    <cellStyle name="Input [yellow] 3 43 4" xfId="42172"/>
    <cellStyle name="Input [yellow] 3 43 5" xfId="53365"/>
    <cellStyle name="Input [yellow] 3 44" xfId="9584"/>
    <cellStyle name="Input [yellow] 3 44 2" xfId="20781"/>
    <cellStyle name="Input [yellow] 3 44 3" xfId="31949"/>
    <cellStyle name="Input [yellow] 3 44 4" xfId="43114"/>
    <cellStyle name="Input [yellow] 3 44 5" xfId="54307"/>
    <cellStyle name="Input [yellow] 3 45" xfId="10605"/>
    <cellStyle name="Input [yellow] 3 45 2" xfId="21802"/>
    <cellStyle name="Input [yellow] 3 45 3" xfId="32970"/>
    <cellStyle name="Input [yellow] 3 45 4" xfId="44135"/>
    <cellStyle name="Input [yellow] 3 45 5" xfId="55328"/>
    <cellStyle name="Input [yellow] 3 46" xfId="10624"/>
    <cellStyle name="Input [yellow] 3 46 2" xfId="21821"/>
    <cellStyle name="Input [yellow] 3 46 3" xfId="32989"/>
    <cellStyle name="Input [yellow] 3 46 4" xfId="44154"/>
    <cellStyle name="Input [yellow] 3 46 5" xfId="55347"/>
    <cellStyle name="Input [yellow] 3 47" xfId="11263"/>
    <cellStyle name="Input [yellow] 3 48" xfId="40"/>
    <cellStyle name="Input [yellow] 3 49" xfId="11279"/>
    <cellStyle name="Input [yellow] 3 5" xfId="82"/>
    <cellStyle name="Input [yellow] 3 5 10" xfId="441"/>
    <cellStyle name="Input [yellow] 3 5 10 10" xfId="6086"/>
    <cellStyle name="Input [yellow] 3 5 10 10 2" xfId="17283"/>
    <cellStyle name="Input [yellow] 3 5 10 10 3" xfId="28451"/>
    <cellStyle name="Input [yellow] 3 5 10 10 4" xfId="39616"/>
    <cellStyle name="Input [yellow] 3 5 10 10 5" xfId="50809"/>
    <cellStyle name="Input [yellow] 3 5 10 11" xfId="6377"/>
    <cellStyle name="Input [yellow] 3 5 10 11 2" xfId="17574"/>
    <cellStyle name="Input [yellow] 3 5 10 11 3" xfId="28742"/>
    <cellStyle name="Input [yellow] 3 5 10 11 4" xfId="39907"/>
    <cellStyle name="Input [yellow] 3 5 10 11 5" xfId="51100"/>
    <cellStyle name="Input [yellow] 3 5 10 12" xfId="7010"/>
    <cellStyle name="Input [yellow] 3 5 10 12 2" xfId="18207"/>
    <cellStyle name="Input [yellow] 3 5 10 12 3" xfId="29375"/>
    <cellStyle name="Input [yellow] 3 5 10 12 4" xfId="40540"/>
    <cellStyle name="Input [yellow] 3 5 10 12 5" xfId="51733"/>
    <cellStyle name="Input [yellow] 3 5 10 13" xfId="7644"/>
    <cellStyle name="Input [yellow] 3 5 10 13 2" xfId="18841"/>
    <cellStyle name="Input [yellow] 3 5 10 13 3" xfId="30009"/>
    <cellStyle name="Input [yellow] 3 5 10 13 4" xfId="41174"/>
    <cellStyle name="Input [yellow] 3 5 10 13 5" xfId="52367"/>
    <cellStyle name="Input [yellow] 3 5 10 14" xfId="8278"/>
    <cellStyle name="Input [yellow] 3 5 10 14 2" xfId="19475"/>
    <cellStyle name="Input [yellow] 3 5 10 14 3" xfId="30643"/>
    <cellStyle name="Input [yellow] 3 5 10 14 4" xfId="41808"/>
    <cellStyle name="Input [yellow] 3 5 10 14 5" xfId="53001"/>
    <cellStyle name="Input [yellow] 3 5 10 15" xfId="8906"/>
    <cellStyle name="Input [yellow] 3 5 10 15 2" xfId="20103"/>
    <cellStyle name="Input [yellow] 3 5 10 15 3" xfId="31271"/>
    <cellStyle name="Input [yellow] 3 5 10 15 4" xfId="42436"/>
    <cellStyle name="Input [yellow] 3 5 10 15 5" xfId="53629"/>
    <cellStyle name="Input [yellow] 3 5 10 16" xfId="9329"/>
    <cellStyle name="Input [yellow] 3 5 10 16 2" xfId="20526"/>
    <cellStyle name="Input [yellow] 3 5 10 16 3" xfId="31694"/>
    <cellStyle name="Input [yellow] 3 5 10 16 4" xfId="42859"/>
    <cellStyle name="Input [yellow] 3 5 10 16 5" xfId="54052"/>
    <cellStyle name="Input [yellow] 3 5 10 17" xfId="9955"/>
    <cellStyle name="Input [yellow] 3 5 10 17 2" xfId="21152"/>
    <cellStyle name="Input [yellow] 3 5 10 17 3" xfId="32320"/>
    <cellStyle name="Input [yellow] 3 5 10 17 4" xfId="43485"/>
    <cellStyle name="Input [yellow] 3 5 10 17 5" xfId="54678"/>
    <cellStyle name="Input [yellow] 3 5 10 18" xfId="10368"/>
    <cellStyle name="Input [yellow] 3 5 10 18 2" xfId="21565"/>
    <cellStyle name="Input [yellow] 3 5 10 18 3" xfId="32733"/>
    <cellStyle name="Input [yellow] 3 5 10 18 4" xfId="43898"/>
    <cellStyle name="Input [yellow] 3 5 10 18 5" xfId="55091"/>
    <cellStyle name="Input [yellow] 3 5 10 19" xfId="10994"/>
    <cellStyle name="Input [yellow] 3 5 10 19 2" xfId="22191"/>
    <cellStyle name="Input [yellow] 3 5 10 19 3" xfId="33359"/>
    <cellStyle name="Input [yellow] 3 5 10 19 4" xfId="44524"/>
    <cellStyle name="Input [yellow] 3 5 10 19 5" xfId="55717"/>
    <cellStyle name="Input [yellow] 3 5 10 2" xfId="1090"/>
    <cellStyle name="Input [yellow] 3 5 10 2 2" xfId="12287"/>
    <cellStyle name="Input [yellow] 3 5 10 2 3" xfId="23455"/>
    <cellStyle name="Input [yellow] 3 5 10 2 4" xfId="34620"/>
    <cellStyle name="Input [yellow] 3 5 10 2 5" xfId="45813"/>
    <cellStyle name="Input [yellow] 3 5 10 20" xfId="11641"/>
    <cellStyle name="Input [yellow] 3 5 10 21" xfId="22811"/>
    <cellStyle name="Input [yellow] 3 5 10 22" xfId="33978"/>
    <cellStyle name="Input [yellow] 3 5 10 23" xfId="45164"/>
    <cellStyle name="Input [yellow] 3 5 10 3" xfId="1629"/>
    <cellStyle name="Input [yellow] 3 5 10 3 2" xfId="12826"/>
    <cellStyle name="Input [yellow] 3 5 10 3 3" xfId="23994"/>
    <cellStyle name="Input [yellow] 3 5 10 3 4" xfId="35159"/>
    <cellStyle name="Input [yellow] 3 5 10 3 5" xfId="46352"/>
    <cellStyle name="Input [yellow] 3 5 10 4" xfId="2366"/>
    <cellStyle name="Input [yellow] 3 5 10 4 2" xfId="13563"/>
    <cellStyle name="Input [yellow] 3 5 10 4 3" xfId="24731"/>
    <cellStyle name="Input [yellow] 3 5 10 4 4" xfId="35896"/>
    <cellStyle name="Input [yellow] 3 5 10 4 5" xfId="47089"/>
    <cellStyle name="Input [yellow] 3 5 10 5" xfId="2791"/>
    <cellStyle name="Input [yellow] 3 5 10 5 2" xfId="13988"/>
    <cellStyle name="Input [yellow] 3 5 10 5 3" xfId="25156"/>
    <cellStyle name="Input [yellow] 3 5 10 5 4" xfId="36321"/>
    <cellStyle name="Input [yellow] 3 5 10 5 5" xfId="47514"/>
    <cellStyle name="Input [yellow] 3 5 10 6" xfId="3425"/>
    <cellStyle name="Input [yellow] 3 5 10 6 2" xfId="14622"/>
    <cellStyle name="Input [yellow] 3 5 10 6 3" xfId="25790"/>
    <cellStyle name="Input [yellow] 3 5 10 6 4" xfId="36955"/>
    <cellStyle name="Input [yellow] 3 5 10 6 5" xfId="48148"/>
    <cellStyle name="Input [yellow] 3 5 10 7" xfId="4059"/>
    <cellStyle name="Input [yellow] 3 5 10 7 2" xfId="15256"/>
    <cellStyle name="Input [yellow] 3 5 10 7 3" xfId="26424"/>
    <cellStyle name="Input [yellow] 3 5 10 7 4" xfId="37589"/>
    <cellStyle name="Input [yellow] 3 5 10 7 5" xfId="48782"/>
    <cellStyle name="Input [yellow] 3 5 10 8" xfId="4692"/>
    <cellStyle name="Input [yellow] 3 5 10 8 2" xfId="15889"/>
    <cellStyle name="Input [yellow] 3 5 10 8 3" xfId="27057"/>
    <cellStyle name="Input [yellow] 3 5 10 8 4" xfId="38222"/>
    <cellStyle name="Input [yellow] 3 5 10 8 5" xfId="49415"/>
    <cellStyle name="Input [yellow] 3 5 10 9" xfId="5323"/>
    <cellStyle name="Input [yellow] 3 5 10 9 2" xfId="16520"/>
    <cellStyle name="Input [yellow] 3 5 10 9 3" xfId="27688"/>
    <cellStyle name="Input [yellow] 3 5 10 9 4" xfId="38853"/>
    <cellStyle name="Input [yellow] 3 5 10 9 5" xfId="50046"/>
    <cellStyle name="Input [yellow] 3 5 11" xfId="665"/>
    <cellStyle name="Input [yellow] 3 5 11 10" xfId="5657"/>
    <cellStyle name="Input [yellow] 3 5 11 10 2" xfId="16854"/>
    <cellStyle name="Input [yellow] 3 5 11 10 3" xfId="28022"/>
    <cellStyle name="Input [yellow] 3 5 11 10 4" xfId="39187"/>
    <cellStyle name="Input [yellow] 3 5 11 10 5" xfId="50380"/>
    <cellStyle name="Input [yellow] 3 5 11 11" xfId="6601"/>
    <cellStyle name="Input [yellow] 3 5 11 11 2" xfId="17798"/>
    <cellStyle name="Input [yellow] 3 5 11 11 3" xfId="28966"/>
    <cellStyle name="Input [yellow] 3 5 11 11 4" xfId="40131"/>
    <cellStyle name="Input [yellow] 3 5 11 11 5" xfId="51324"/>
    <cellStyle name="Input [yellow] 3 5 11 12" xfId="7234"/>
    <cellStyle name="Input [yellow] 3 5 11 12 2" xfId="18431"/>
    <cellStyle name="Input [yellow] 3 5 11 12 3" xfId="29599"/>
    <cellStyle name="Input [yellow] 3 5 11 12 4" xfId="40764"/>
    <cellStyle name="Input [yellow] 3 5 11 12 5" xfId="51957"/>
    <cellStyle name="Input [yellow] 3 5 11 13" xfId="7868"/>
    <cellStyle name="Input [yellow] 3 5 11 13 2" xfId="19065"/>
    <cellStyle name="Input [yellow] 3 5 11 13 3" xfId="30233"/>
    <cellStyle name="Input [yellow] 3 5 11 13 4" xfId="41398"/>
    <cellStyle name="Input [yellow] 3 5 11 13 5" xfId="52591"/>
    <cellStyle name="Input [yellow] 3 5 11 14" xfId="8502"/>
    <cellStyle name="Input [yellow] 3 5 11 14 2" xfId="19699"/>
    <cellStyle name="Input [yellow] 3 5 11 14 3" xfId="30867"/>
    <cellStyle name="Input [yellow] 3 5 11 14 4" xfId="42032"/>
    <cellStyle name="Input [yellow] 3 5 11 14 5" xfId="53225"/>
    <cellStyle name="Input [yellow] 3 5 11 15" xfId="9130"/>
    <cellStyle name="Input [yellow] 3 5 11 15 2" xfId="20327"/>
    <cellStyle name="Input [yellow] 3 5 11 15 3" xfId="31495"/>
    <cellStyle name="Input [yellow] 3 5 11 15 4" xfId="42660"/>
    <cellStyle name="Input [yellow] 3 5 11 15 5" xfId="53853"/>
    <cellStyle name="Input [yellow] 3 5 11 16" xfId="9553"/>
    <cellStyle name="Input [yellow] 3 5 11 16 2" xfId="20750"/>
    <cellStyle name="Input [yellow] 3 5 11 16 3" xfId="31918"/>
    <cellStyle name="Input [yellow] 3 5 11 16 4" xfId="43083"/>
    <cellStyle name="Input [yellow] 3 5 11 16 5" xfId="54276"/>
    <cellStyle name="Input [yellow] 3 5 11 17" xfId="10178"/>
    <cellStyle name="Input [yellow] 3 5 11 17 2" xfId="21375"/>
    <cellStyle name="Input [yellow] 3 5 11 17 3" xfId="32543"/>
    <cellStyle name="Input [yellow] 3 5 11 17 4" xfId="43708"/>
    <cellStyle name="Input [yellow] 3 5 11 17 5" xfId="54901"/>
    <cellStyle name="Input [yellow] 3 5 11 18" xfId="10499"/>
    <cellStyle name="Input [yellow] 3 5 11 18 2" xfId="21696"/>
    <cellStyle name="Input [yellow] 3 5 11 18 3" xfId="32864"/>
    <cellStyle name="Input [yellow] 3 5 11 18 4" xfId="44029"/>
    <cellStyle name="Input [yellow] 3 5 11 18 5" xfId="55222"/>
    <cellStyle name="Input [yellow] 3 5 11 19" xfId="11218"/>
    <cellStyle name="Input [yellow] 3 5 11 19 2" xfId="22415"/>
    <cellStyle name="Input [yellow] 3 5 11 19 3" xfId="33583"/>
    <cellStyle name="Input [yellow] 3 5 11 19 4" xfId="44748"/>
    <cellStyle name="Input [yellow] 3 5 11 19 5" xfId="55941"/>
    <cellStyle name="Input [yellow] 3 5 11 2" xfId="1314"/>
    <cellStyle name="Input [yellow] 3 5 11 2 2" xfId="12511"/>
    <cellStyle name="Input [yellow] 3 5 11 2 3" xfId="23679"/>
    <cellStyle name="Input [yellow] 3 5 11 2 4" xfId="34844"/>
    <cellStyle name="Input [yellow] 3 5 11 2 5" xfId="46037"/>
    <cellStyle name="Input [yellow] 3 5 11 20" xfId="11865"/>
    <cellStyle name="Input [yellow] 3 5 11 21" xfId="23035"/>
    <cellStyle name="Input [yellow] 3 5 11 22" xfId="34202"/>
    <cellStyle name="Input [yellow] 3 5 11 23" xfId="45388"/>
    <cellStyle name="Input [yellow] 3 5 11 3" xfId="1796"/>
    <cellStyle name="Input [yellow] 3 5 11 3 2" xfId="12993"/>
    <cellStyle name="Input [yellow] 3 5 11 3 3" xfId="24161"/>
    <cellStyle name="Input [yellow] 3 5 11 3 4" xfId="35326"/>
    <cellStyle name="Input [yellow] 3 5 11 3 5" xfId="46519"/>
    <cellStyle name="Input [yellow] 3 5 11 4" xfId="2590"/>
    <cellStyle name="Input [yellow] 3 5 11 4 2" xfId="13787"/>
    <cellStyle name="Input [yellow] 3 5 11 4 3" xfId="24955"/>
    <cellStyle name="Input [yellow] 3 5 11 4 4" xfId="36120"/>
    <cellStyle name="Input [yellow] 3 5 11 4 5" xfId="47313"/>
    <cellStyle name="Input [yellow] 3 5 11 5" xfId="3015"/>
    <cellStyle name="Input [yellow] 3 5 11 5 2" xfId="14212"/>
    <cellStyle name="Input [yellow] 3 5 11 5 3" xfId="25380"/>
    <cellStyle name="Input [yellow] 3 5 11 5 4" xfId="36545"/>
    <cellStyle name="Input [yellow] 3 5 11 5 5" xfId="47738"/>
    <cellStyle name="Input [yellow] 3 5 11 6" xfId="3649"/>
    <cellStyle name="Input [yellow] 3 5 11 6 2" xfId="14846"/>
    <cellStyle name="Input [yellow] 3 5 11 6 3" xfId="26014"/>
    <cellStyle name="Input [yellow] 3 5 11 6 4" xfId="37179"/>
    <cellStyle name="Input [yellow] 3 5 11 6 5" xfId="48372"/>
    <cellStyle name="Input [yellow] 3 5 11 7" xfId="4283"/>
    <cellStyle name="Input [yellow] 3 5 11 7 2" xfId="15480"/>
    <cellStyle name="Input [yellow] 3 5 11 7 3" xfId="26648"/>
    <cellStyle name="Input [yellow] 3 5 11 7 4" xfId="37813"/>
    <cellStyle name="Input [yellow] 3 5 11 7 5" xfId="49006"/>
    <cellStyle name="Input [yellow] 3 5 11 8" xfId="4916"/>
    <cellStyle name="Input [yellow] 3 5 11 8 2" xfId="16113"/>
    <cellStyle name="Input [yellow] 3 5 11 8 3" xfId="27281"/>
    <cellStyle name="Input [yellow] 3 5 11 8 4" xfId="38446"/>
    <cellStyle name="Input [yellow] 3 5 11 8 5" xfId="49639"/>
    <cellStyle name="Input [yellow] 3 5 11 9" xfId="5547"/>
    <cellStyle name="Input [yellow] 3 5 11 9 2" xfId="16744"/>
    <cellStyle name="Input [yellow] 3 5 11 9 3" xfId="27912"/>
    <cellStyle name="Input [yellow] 3 5 11 9 4" xfId="39077"/>
    <cellStyle name="Input [yellow] 3 5 11 9 5" xfId="50270"/>
    <cellStyle name="Input [yellow] 3 5 12" xfId="731"/>
    <cellStyle name="Input [yellow] 3 5 12 2" xfId="11929"/>
    <cellStyle name="Input [yellow] 3 5 12 3" xfId="23098"/>
    <cellStyle name="Input [yellow] 3 5 12 4" xfId="34263"/>
    <cellStyle name="Input [yellow] 3 5 12 5" xfId="45454"/>
    <cellStyle name="Input [yellow] 3 5 13" xfId="1935"/>
    <cellStyle name="Input [yellow] 3 5 13 2" xfId="13132"/>
    <cellStyle name="Input [yellow] 3 5 13 3" xfId="24300"/>
    <cellStyle name="Input [yellow] 3 5 13 4" xfId="35465"/>
    <cellStyle name="Input [yellow] 3 5 13 5" xfId="46658"/>
    <cellStyle name="Input [yellow] 3 5 14" xfId="2008"/>
    <cellStyle name="Input [yellow] 3 5 14 2" xfId="13205"/>
    <cellStyle name="Input [yellow] 3 5 14 3" xfId="24373"/>
    <cellStyle name="Input [yellow] 3 5 14 4" xfId="35538"/>
    <cellStyle name="Input [yellow] 3 5 14 5" xfId="46731"/>
    <cellStyle name="Input [yellow] 3 5 15" xfId="2554"/>
    <cellStyle name="Input [yellow] 3 5 15 2" xfId="13751"/>
    <cellStyle name="Input [yellow] 3 5 15 3" xfId="24919"/>
    <cellStyle name="Input [yellow] 3 5 15 4" xfId="36084"/>
    <cellStyle name="Input [yellow] 3 5 15 5" xfId="47277"/>
    <cellStyle name="Input [yellow] 3 5 16" xfId="3066"/>
    <cellStyle name="Input [yellow] 3 5 16 2" xfId="14263"/>
    <cellStyle name="Input [yellow] 3 5 16 3" xfId="25431"/>
    <cellStyle name="Input [yellow] 3 5 16 4" xfId="36596"/>
    <cellStyle name="Input [yellow] 3 5 16 5" xfId="47789"/>
    <cellStyle name="Input [yellow] 3 5 17" xfId="3701"/>
    <cellStyle name="Input [yellow] 3 5 17 2" xfId="14898"/>
    <cellStyle name="Input [yellow] 3 5 17 3" xfId="26066"/>
    <cellStyle name="Input [yellow] 3 5 17 4" xfId="37231"/>
    <cellStyle name="Input [yellow] 3 5 17 5" xfId="48424"/>
    <cellStyle name="Input [yellow] 3 5 18" xfId="4333"/>
    <cellStyle name="Input [yellow] 3 5 18 2" xfId="15530"/>
    <cellStyle name="Input [yellow] 3 5 18 3" xfId="26698"/>
    <cellStyle name="Input [yellow] 3 5 18 4" xfId="37863"/>
    <cellStyle name="Input [yellow] 3 5 18 5" xfId="49056"/>
    <cellStyle name="Input [yellow] 3 5 19" xfId="4966"/>
    <cellStyle name="Input [yellow] 3 5 19 2" xfId="16163"/>
    <cellStyle name="Input [yellow] 3 5 19 3" xfId="27331"/>
    <cellStyle name="Input [yellow] 3 5 19 4" xfId="38496"/>
    <cellStyle name="Input [yellow] 3 5 19 5" xfId="49689"/>
    <cellStyle name="Input [yellow] 3 5 2" xfId="147"/>
    <cellStyle name="Input [yellow] 3 5 2 10" xfId="6155"/>
    <cellStyle name="Input [yellow] 3 5 2 10 2" xfId="17352"/>
    <cellStyle name="Input [yellow] 3 5 2 10 3" xfId="28520"/>
    <cellStyle name="Input [yellow] 3 5 2 10 4" xfId="39685"/>
    <cellStyle name="Input [yellow] 3 5 2 10 5" xfId="50878"/>
    <cellStyle name="Input [yellow] 3 5 2 11" xfId="5654"/>
    <cellStyle name="Input [yellow] 3 5 2 11 2" xfId="16851"/>
    <cellStyle name="Input [yellow] 3 5 2 11 3" xfId="28019"/>
    <cellStyle name="Input [yellow] 3 5 2 11 4" xfId="39184"/>
    <cellStyle name="Input [yellow] 3 5 2 11 5" xfId="50377"/>
    <cellStyle name="Input [yellow] 3 5 2 12" xfId="6716"/>
    <cellStyle name="Input [yellow] 3 5 2 12 2" xfId="17913"/>
    <cellStyle name="Input [yellow] 3 5 2 12 3" xfId="29081"/>
    <cellStyle name="Input [yellow] 3 5 2 12 4" xfId="40246"/>
    <cellStyle name="Input [yellow] 3 5 2 12 5" xfId="51439"/>
    <cellStyle name="Input [yellow] 3 5 2 13" xfId="7350"/>
    <cellStyle name="Input [yellow] 3 5 2 13 2" xfId="18547"/>
    <cellStyle name="Input [yellow] 3 5 2 13 3" xfId="29715"/>
    <cellStyle name="Input [yellow] 3 5 2 13 4" xfId="40880"/>
    <cellStyle name="Input [yellow] 3 5 2 13 5" xfId="52073"/>
    <cellStyle name="Input [yellow] 3 5 2 14" xfId="7984"/>
    <cellStyle name="Input [yellow] 3 5 2 14 2" xfId="19181"/>
    <cellStyle name="Input [yellow] 3 5 2 14 3" xfId="30349"/>
    <cellStyle name="Input [yellow] 3 5 2 14 4" xfId="41514"/>
    <cellStyle name="Input [yellow] 3 5 2 14 5" xfId="52707"/>
    <cellStyle name="Input [yellow] 3 5 2 15" xfId="8615"/>
    <cellStyle name="Input [yellow] 3 5 2 15 2" xfId="19812"/>
    <cellStyle name="Input [yellow] 3 5 2 15 3" xfId="30980"/>
    <cellStyle name="Input [yellow] 3 5 2 15 4" xfId="42145"/>
    <cellStyle name="Input [yellow] 3 5 2 15 5" xfId="53338"/>
    <cellStyle name="Input [yellow] 3 5 2 16" xfId="8731"/>
    <cellStyle name="Input [yellow] 3 5 2 16 2" xfId="19928"/>
    <cellStyle name="Input [yellow] 3 5 2 16 3" xfId="31096"/>
    <cellStyle name="Input [yellow] 3 5 2 16 4" xfId="42261"/>
    <cellStyle name="Input [yellow] 3 5 2 16 5" xfId="53454"/>
    <cellStyle name="Input [yellow] 3 5 2 17" xfId="9668"/>
    <cellStyle name="Input [yellow] 3 5 2 17 2" xfId="20865"/>
    <cellStyle name="Input [yellow] 3 5 2 17 3" xfId="32033"/>
    <cellStyle name="Input [yellow] 3 5 2 17 4" xfId="43198"/>
    <cellStyle name="Input [yellow] 3 5 2 17 5" xfId="54391"/>
    <cellStyle name="Input [yellow] 3 5 2 18" xfId="10579"/>
    <cellStyle name="Input [yellow] 3 5 2 18 2" xfId="21776"/>
    <cellStyle name="Input [yellow] 3 5 2 18 3" xfId="32944"/>
    <cellStyle name="Input [yellow] 3 5 2 18 4" xfId="44109"/>
    <cellStyle name="Input [yellow] 3 5 2 18 5" xfId="55302"/>
    <cellStyle name="Input [yellow] 3 5 2 19" xfId="10700"/>
    <cellStyle name="Input [yellow] 3 5 2 19 2" xfId="21897"/>
    <cellStyle name="Input [yellow] 3 5 2 19 3" xfId="33065"/>
    <cellStyle name="Input [yellow] 3 5 2 19 4" xfId="44230"/>
    <cellStyle name="Input [yellow] 3 5 2 19 5" xfId="55423"/>
    <cellStyle name="Input [yellow] 3 5 2 2" xfId="796"/>
    <cellStyle name="Input [yellow] 3 5 2 2 2" xfId="11993"/>
    <cellStyle name="Input [yellow] 3 5 2 2 3" xfId="23161"/>
    <cellStyle name="Input [yellow] 3 5 2 2 4" xfId="34326"/>
    <cellStyle name="Input [yellow] 3 5 2 2 5" xfId="45519"/>
    <cellStyle name="Input [yellow] 3 5 2 20" xfId="11347"/>
    <cellStyle name="Input [yellow] 3 5 2 21" xfId="22517"/>
    <cellStyle name="Input [yellow] 3 5 2 22" xfId="33684"/>
    <cellStyle name="Input [yellow] 3 5 2 23" xfId="44870"/>
    <cellStyle name="Input [yellow] 3 5 2 3" xfId="1882"/>
    <cellStyle name="Input [yellow] 3 5 2 3 2" xfId="13079"/>
    <cellStyle name="Input [yellow] 3 5 2 3 3" xfId="24247"/>
    <cellStyle name="Input [yellow] 3 5 2 3 4" xfId="35412"/>
    <cellStyle name="Input [yellow] 3 5 2 3 5" xfId="46605"/>
    <cellStyle name="Input [yellow] 3 5 2 4" xfId="2073"/>
    <cellStyle name="Input [yellow] 3 5 2 4 2" xfId="13270"/>
    <cellStyle name="Input [yellow] 3 5 2 4 3" xfId="24438"/>
    <cellStyle name="Input [yellow] 3 5 2 4 4" xfId="35603"/>
    <cellStyle name="Input [yellow] 3 5 2 4 5" xfId="46796"/>
    <cellStyle name="Input [yellow] 3 5 2 5" xfId="2604"/>
    <cellStyle name="Input [yellow] 3 5 2 5 2" xfId="13801"/>
    <cellStyle name="Input [yellow] 3 5 2 5 3" xfId="24969"/>
    <cellStyle name="Input [yellow] 3 5 2 5 4" xfId="36134"/>
    <cellStyle name="Input [yellow] 3 5 2 5 5" xfId="47327"/>
    <cellStyle name="Input [yellow] 3 5 2 6" xfId="3131"/>
    <cellStyle name="Input [yellow] 3 5 2 6 2" xfId="14328"/>
    <cellStyle name="Input [yellow] 3 5 2 6 3" xfId="25496"/>
    <cellStyle name="Input [yellow] 3 5 2 6 4" xfId="36661"/>
    <cellStyle name="Input [yellow] 3 5 2 6 5" xfId="47854"/>
    <cellStyle name="Input [yellow] 3 5 2 7" xfId="3765"/>
    <cellStyle name="Input [yellow] 3 5 2 7 2" xfId="14962"/>
    <cellStyle name="Input [yellow] 3 5 2 7 3" xfId="26130"/>
    <cellStyle name="Input [yellow] 3 5 2 7 4" xfId="37295"/>
    <cellStyle name="Input [yellow] 3 5 2 7 5" xfId="48488"/>
    <cellStyle name="Input [yellow] 3 5 2 8" xfId="4398"/>
    <cellStyle name="Input [yellow] 3 5 2 8 2" xfId="15595"/>
    <cellStyle name="Input [yellow] 3 5 2 8 3" xfId="26763"/>
    <cellStyle name="Input [yellow] 3 5 2 8 4" xfId="37928"/>
    <cellStyle name="Input [yellow] 3 5 2 8 5" xfId="49121"/>
    <cellStyle name="Input [yellow] 3 5 2 9" xfId="5029"/>
    <cellStyle name="Input [yellow] 3 5 2 9 2" xfId="16226"/>
    <cellStyle name="Input [yellow] 3 5 2 9 3" xfId="27394"/>
    <cellStyle name="Input [yellow] 3 5 2 9 4" xfId="38559"/>
    <cellStyle name="Input [yellow] 3 5 2 9 5" xfId="49752"/>
    <cellStyle name="Input [yellow] 3 5 20" xfId="5828"/>
    <cellStyle name="Input [yellow] 3 5 20 2" xfId="17025"/>
    <cellStyle name="Input [yellow] 3 5 20 3" xfId="28193"/>
    <cellStyle name="Input [yellow] 3 5 20 4" xfId="39358"/>
    <cellStyle name="Input [yellow] 3 5 20 5" xfId="50551"/>
    <cellStyle name="Input [yellow] 3 5 21" xfId="5943"/>
    <cellStyle name="Input [yellow] 3 5 21 2" xfId="17140"/>
    <cellStyle name="Input [yellow] 3 5 21 3" xfId="28308"/>
    <cellStyle name="Input [yellow] 3 5 21 4" xfId="39473"/>
    <cellStyle name="Input [yellow] 3 5 21 5" xfId="50666"/>
    <cellStyle name="Input [yellow] 3 5 22" xfId="6653"/>
    <cellStyle name="Input [yellow] 3 5 22 2" xfId="17850"/>
    <cellStyle name="Input [yellow] 3 5 22 3" xfId="29018"/>
    <cellStyle name="Input [yellow] 3 5 22 4" xfId="40183"/>
    <cellStyle name="Input [yellow] 3 5 22 5" xfId="51376"/>
    <cellStyle name="Input [yellow] 3 5 23" xfId="7285"/>
    <cellStyle name="Input [yellow] 3 5 23 2" xfId="18482"/>
    <cellStyle name="Input [yellow] 3 5 23 3" xfId="29650"/>
    <cellStyle name="Input [yellow] 3 5 23 4" xfId="40815"/>
    <cellStyle name="Input [yellow] 3 5 23 5" xfId="52008"/>
    <cellStyle name="Input [yellow] 3 5 24" xfId="7919"/>
    <cellStyle name="Input [yellow] 3 5 24 2" xfId="19116"/>
    <cellStyle name="Input [yellow] 3 5 24 3" xfId="30284"/>
    <cellStyle name="Input [yellow] 3 5 24 4" xfId="41449"/>
    <cellStyle name="Input [yellow] 3 5 24 5" xfId="52642"/>
    <cellStyle name="Input [yellow] 3 5 25" xfId="8552"/>
    <cellStyle name="Input [yellow] 3 5 25 2" xfId="19749"/>
    <cellStyle name="Input [yellow] 3 5 25 3" xfId="30917"/>
    <cellStyle name="Input [yellow] 3 5 25 4" xfId="42082"/>
    <cellStyle name="Input [yellow] 3 5 25 5" xfId="53275"/>
    <cellStyle name="Input [yellow] 3 5 26" xfId="8685"/>
    <cellStyle name="Input [yellow] 3 5 26 2" xfId="19882"/>
    <cellStyle name="Input [yellow] 3 5 26 3" xfId="31050"/>
    <cellStyle name="Input [yellow] 3 5 26 4" xfId="42215"/>
    <cellStyle name="Input [yellow] 3 5 26 5" xfId="53408"/>
    <cellStyle name="Input [yellow] 3 5 27" xfId="9604"/>
    <cellStyle name="Input [yellow] 3 5 27 2" xfId="20801"/>
    <cellStyle name="Input [yellow] 3 5 27 3" xfId="31969"/>
    <cellStyle name="Input [yellow] 3 5 27 4" xfId="43134"/>
    <cellStyle name="Input [yellow] 3 5 27 5" xfId="54327"/>
    <cellStyle name="Input [yellow] 3 5 28" xfId="10129"/>
    <cellStyle name="Input [yellow] 3 5 28 2" xfId="21326"/>
    <cellStyle name="Input [yellow] 3 5 28 3" xfId="32494"/>
    <cellStyle name="Input [yellow] 3 5 28 4" xfId="43659"/>
    <cellStyle name="Input [yellow] 3 5 28 5" xfId="54852"/>
    <cellStyle name="Input [yellow] 3 5 29" xfId="10637"/>
    <cellStyle name="Input [yellow] 3 5 29 2" xfId="21834"/>
    <cellStyle name="Input [yellow] 3 5 29 3" xfId="33002"/>
    <cellStyle name="Input [yellow] 3 5 29 4" xfId="44167"/>
    <cellStyle name="Input [yellow] 3 5 29 5" xfId="55360"/>
    <cellStyle name="Input [yellow] 3 5 3" xfId="203"/>
    <cellStyle name="Input [yellow] 3 5 3 10" xfId="6031"/>
    <cellStyle name="Input [yellow] 3 5 3 10 2" xfId="17228"/>
    <cellStyle name="Input [yellow] 3 5 3 10 3" xfId="28396"/>
    <cellStyle name="Input [yellow] 3 5 3 10 4" xfId="39561"/>
    <cellStyle name="Input [yellow] 3 5 3 10 5" xfId="50754"/>
    <cellStyle name="Input [yellow] 3 5 3 11" xfId="6194"/>
    <cellStyle name="Input [yellow] 3 5 3 11 2" xfId="17391"/>
    <cellStyle name="Input [yellow] 3 5 3 11 3" xfId="28559"/>
    <cellStyle name="Input [yellow] 3 5 3 11 4" xfId="39724"/>
    <cellStyle name="Input [yellow] 3 5 3 11 5" xfId="50917"/>
    <cellStyle name="Input [yellow] 3 5 3 12" xfId="6772"/>
    <cellStyle name="Input [yellow] 3 5 3 12 2" xfId="17969"/>
    <cellStyle name="Input [yellow] 3 5 3 12 3" xfId="29137"/>
    <cellStyle name="Input [yellow] 3 5 3 12 4" xfId="40302"/>
    <cellStyle name="Input [yellow] 3 5 3 12 5" xfId="51495"/>
    <cellStyle name="Input [yellow] 3 5 3 13" xfId="7406"/>
    <cellStyle name="Input [yellow] 3 5 3 13 2" xfId="18603"/>
    <cellStyle name="Input [yellow] 3 5 3 13 3" xfId="29771"/>
    <cellStyle name="Input [yellow] 3 5 3 13 4" xfId="40936"/>
    <cellStyle name="Input [yellow] 3 5 3 13 5" xfId="52129"/>
    <cellStyle name="Input [yellow] 3 5 3 14" xfId="8040"/>
    <cellStyle name="Input [yellow] 3 5 3 14 2" xfId="19237"/>
    <cellStyle name="Input [yellow] 3 5 3 14 3" xfId="30405"/>
    <cellStyle name="Input [yellow] 3 5 3 14 4" xfId="41570"/>
    <cellStyle name="Input [yellow] 3 5 3 14 5" xfId="52763"/>
    <cellStyle name="Input [yellow] 3 5 3 15" xfId="8671"/>
    <cellStyle name="Input [yellow] 3 5 3 15 2" xfId="19868"/>
    <cellStyle name="Input [yellow] 3 5 3 15 3" xfId="31036"/>
    <cellStyle name="Input [yellow] 3 5 3 15 4" xfId="42201"/>
    <cellStyle name="Input [yellow] 3 5 3 15 5" xfId="53394"/>
    <cellStyle name="Input [yellow] 3 5 3 16" xfId="6635"/>
    <cellStyle name="Input [yellow] 3 5 3 16 2" xfId="17832"/>
    <cellStyle name="Input [yellow] 3 5 3 16 3" xfId="29000"/>
    <cellStyle name="Input [yellow] 3 5 3 16 4" xfId="40165"/>
    <cellStyle name="Input [yellow] 3 5 3 16 5" xfId="51358"/>
    <cellStyle name="Input [yellow] 3 5 3 17" xfId="9723"/>
    <cellStyle name="Input [yellow] 3 5 3 17 2" xfId="20920"/>
    <cellStyle name="Input [yellow] 3 5 3 17 3" xfId="32088"/>
    <cellStyle name="Input [yellow] 3 5 3 17 4" xfId="43253"/>
    <cellStyle name="Input [yellow] 3 5 3 17 5" xfId="54446"/>
    <cellStyle name="Input [yellow] 3 5 3 18" xfId="10582"/>
    <cellStyle name="Input [yellow] 3 5 3 18 2" xfId="21779"/>
    <cellStyle name="Input [yellow] 3 5 3 18 3" xfId="32947"/>
    <cellStyle name="Input [yellow] 3 5 3 18 4" xfId="44112"/>
    <cellStyle name="Input [yellow] 3 5 3 18 5" xfId="55305"/>
    <cellStyle name="Input [yellow] 3 5 3 19" xfId="10756"/>
    <cellStyle name="Input [yellow] 3 5 3 19 2" xfId="21953"/>
    <cellStyle name="Input [yellow] 3 5 3 19 3" xfId="33121"/>
    <cellStyle name="Input [yellow] 3 5 3 19 4" xfId="44286"/>
    <cellStyle name="Input [yellow] 3 5 3 19 5" xfId="55479"/>
    <cellStyle name="Input [yellow] 3 5 3 2" xfId="852"/>
    <cellStyle name="Input [yellow] 3 5 3 2 2" xfId="12049"/>
    <cellStyle name="Input [yellow] 3 5 3 2 3" xfId="23217"/>
    <cellStyle name="Input [yellow] 3 5 3 2 4" xfId="34382"/>
    <cellStyle name="Input [yellow] 3 5 3 2 5" xfId="45575"/>
    <cellStyle name="Input [yellow] 3 5 3 20" xfId="11403"/>
    <cellStyle name="Input [yellow] 3 5 3 21" xfId="22573"/>
    <cellStyle name="Input [yellow] 3 5 3 22" xfId="33740"/>
    <cellStyle name="Input [yellow] 3 5 3 23" xfId="44926"/>
    <cellStyle name="Input [yellow] 3 5 3 3" xfId="1907"/>
    <cellStyle name="Input [yellow] 3 5 3 3 2" xfId="13104"/>
    <cellStyle name="Input [yellow] 3 5 3 3 3" xfId="24272"/>
    <cellStyle name="Input [yellow] 3 5 3 3 4" xfId="35437"/>
    <cellStyle name="Input [yellow] 3 5 3 3 5" xfId="46630"/>
    <cellStyle name="Input [yellow] 3 5 3 4" xfId="2129"/>
    <cellStyle name="Input [yellow] 3 5 3 4 2" xfId="13326"/>
    <cellStyle name="Input [yellow] 3 5 3 4 3" xfId="24494"/>
    <cellStyle name="Input [yellow] 3 5 3 4 4" xfId="35659"/>
    <cellStyle name="Input [yellow] 3 5 3 4 5" xfId="46852"/>
    <cellStyle name="Input [yellow] 3 5 3 5" xfId="2600"/>
    <cellStyle name="Input [yellow] 3 5 3 5 2" xfId="13797"/>
    <cellStyle name="Input [yellow] 3 5 3 5 3" xfId="24965"/>
    <cellStyle name="Input [yellow] 3 5 3 5 4" xfId="36130"/>
    <cellStyle name="Input [yellow] 3 5 3 5 5" xfId="47323"/>
    <cellStyle name="Input [yellow] 3 5 3 6" xfId="3187"/>
    <cellStyle name="Input [yellow] 3 5 3 6 2" xfId="14384"/>
    <cellStyle name="Input [yellow] 3 5 3 6 3" xfId="25552"/>
    <cellStyle name="Input [yellow] 3 5 3 6 4" xfId="36717"/>
    <cellStyle name="Input [yellow] 3 5 3 6 5" xfId="47910"/>
    <cellStyle name="Input [yellow] 3 5 3 7" xfId="3821"/>
    <cellStyle name="Input [yellow] 3 5 3 7 2" xfId="15018"/>
    <cellStyle name="Input [yellow] 3 5 3 7 3" xfId="26186"/>
    <cellStyle name="Input [yellow] 3 5 3 7 4" xfId="37351"/>
    <cellStyle name="Input [yellow] 3 5 3 7 5" xfId="48544"/>
    <cellStyle name="Input [yellow] 3 5 3 8" xfId="4454"/>
    <cellStyle name="Input [yellow] 3 5 3 8 2" xfId="15651"/>
    <cellStyle name="Input [yellow] 3 5 3 8 3" xfId="26819"/>
    <cellStyle name="Input [yellow] 3 5 3 8 4" xfId="37984"/>
    <cellStyle name="Input [yellow] 3 5 3 8 5" xfId="49177"/>
    <cellStyle name="Input [yellow] 3 5 3 9" xfId="5085"/>
    <cellStyle name="Input [yellow] 3 5 3 9 2" xfId="16282"/>
    <cellStyle name="Input [yellow] 3 5 3 9 3" xfId="27450"/>
    <cellStyle name="Input [yellow] 3 5 3 9 4" xfId="38615"/>
    <cellStyle name="Input [yellow] 3 5 3 9 5" xfId="49808"/>
    <cellStyle name="Input [yellow] 3 5 30" xfId="11283"/>
    <cellStyle name="Input [yellow] 3 5 31" xfId="22454"/>
    <cellStyle name="Input [yellow] 3 5 32" xfId="33621"/>
    <cellStyle name="Input [yellow] 3 5 33" xfId="44805"/>
    <cellStyle name="Input [yellow] 3 5 4" xfId="143"/>
    <cellStyle name="Input [yellow] 3 5 4 10" xfId="4319"/>
    <cellStyle name="Input [yellow] 3 5 4 10 2" xfId="15516"/>
    <cellStyle name="Input [yellow] 3 5 4 10 3" xfId="26684"/>
    <cellStyle name="Input [yellow] 3 5 4 10 4" xfId="37849"/>
    <cellStyle name="Input [yellow] 3 5 4 10 5" xfId="49042"/>
    <cellStyle name="Input [yellow] 3 5 4 11" xfId="6015"/>
    <cellStyle name="Input [yellow] 3 5 4 11 2" xfId="17212"/>
    <cellStyle name="Input [yellow] 3 5 4 11 3" xfId="28380"/>
    <cellStyle name="Input [yellow] 3 5 4 11 4" xfId="39545"/>
    <cellStyle name="Input [yellow] 3 5 4 11 5" xfId="50738"/>
    <cellStyle name="Input [yellow] 3 5 4 12" xfId="6712"/>
    <cellStyle name="Input [yellow] 3 5 4 12 2" xfId="17909"/>
    <cellStyle name="Input [yellow] 3 5 4 12 3" xfId="29077"/>
    <cellStyle name="Input [yellow] 3 5 4 12 4" xfId="40242"/>
    <cellStyle name="Input [yellow] 3 5 4 12 5" xfId="51435"/>
    <cellStyle name="Input [yellow] 3 5 4 13" xfId="7346"/>
    <cellStyle name="Input [yellow] 3 5 4 13 2" xfId="18543"/>
    <cellStyle name="Input [yellow] 3 5 4 13 3" xfId="29711"/>
    <cellStyle name="Input [yellow] 3 5 4 13 4" xfId="40876"/>
    <cellStyle name="Input [yellow] 3 5 4 13 5" xfId="52069"/>
    <cellStyle name="Input [yellow] 3 5 4 14" xfId="7980"/>
    <cellStyle name="Input [yellow] 3 5 4 14 2" xfId="19177"/>
    <cellStyle name="Input [yellow] 3 5 4 14 3" xfId="30345"/>
    <cellStyle name="Input [yellow] 3 5 4 14 4" xfId="41510"/>
    <cellStyle name="Input [yellow] 3 5 4 14 5" xfId="52703"/>
    <cellStyle name="Input [yellow] 3 5 4 15" xfId="8611"/>
    <cellStyle name="Input [yellow] 3 5 4 15 2" xfId="19808"/>
    <cellStyle name="Input [yellow] 3 5 4 15 3" xfId="30976"/>
    <cellStyle name="Input [yellow] 3 5 4 15 4" xfId="42141"/>
    <cellStyle name="Input [yellow] 3 5 4 15 5" xfId="53334"/>
    <cellStyle name="Input [yellow] 3 5 4 16" xfId="8950"/>
    <cellStyle name="Input [yellow] 3 5 4 16 2" xfId="20147"/>
    <cellStyle name="Input [yellow] 3 5 4 16 3" xfId="31315"/>
    <cellStyle name="Input [yellow] 3 5 4 16 4" xfId="42480"/>
    <cellStyle name="Input [yellow] 3 5 4 16 5" xfId="53673"/>
    <cellStyle name="Input [yellow] 3 5 4 17" xfId="9664"/>
    <cellStyle name="Input [yellow] 3 5 4 17 2" xfId="20861"/>
    <cellStyle name="Input [yellow] 3 5 4 17 3" xfId="32029"/>
    <cellStyle name="Input [yellow] 3 5 4 17 4" xfId="43194"/>
    <cellStyle name="Input [yellow] 3 5 4 17 5" xfId="54387"/>
    <cellStyle name="Input [yellow] 3 5 4 18" xfId="10289"/>
    <cellStyle name="Input [yellow] 3 5 4 18 2" xfId="21486"/>
    <cellStyle name="Input [yellow] 3 5 4 18 3" xfId="32654"/>
    <cellStyle name="Input [yellow] 3 5 4 18 4" xfId="43819"/>
    <cellStyle name="Input [yellow] 3 5 4 18 5" xfId="55012"/>
    <cellStyle name="Input [yellow] 3 5 4 19" xfId="10696"/>
    <cellStyle name="Input [yellow] 3 5 4 19 2" xfId="21893"/>
    <cellStyle name="Input [yellow] 3 5 4 19 3" xfId="33061"/>
    <cellStyle name="Input [yellow] 3 5 4 19 4" xfId="44226"/>
    <cellStyle name="Input [yellow] 3 5 4 19 5" xfId="55419"/>
    <cellStyle name="Input [yellow] 3 5 4 2" xfId="792"/>
    <cellStyle name="Input [yellow] 3 5 4 2 2" xfId="11989"/>
    <cellStyle name="Input [yellow] 3 5 4 2 3" xfId="23157"/>
    <cellStyle name="Input [yellow] 3 5 4 2 4" xfId="34322"/>
    <cellStyle name="Input [yellow] 3 5 4 2 5" xfId="45515"/>
    <cellStyle name="Input [yellow] 3 5 4 20" xfId="11343"/>
    <cellStyle name="Input [yellow] 3 5 4 21" xfId="22513"/>
    <cellStyle name="Input [yellow] 3 5 4 22" xfId="33680"/>
    <cellStyle name="Input [yellow] 3 5 4 23" xfId="44866"/>
    <cellStyle name="Input [yellow] 3 5 4 3" xfId="1479"/>
    <cellStyle name="Input [yellow] 3 5 4 3 2" xfId="12676"/>
    <cellStyle name="Input [yellow] 3 5 4 3 3" xfId="23844"/>
    <cellStyle name="Input [yellow] 3 5 4 3 4" xfId="35009"/>
    <cellStyle name="Input [yellow] 3 5 4 3 5" xfId="46202"/>
    <cellStyle name="Input [yellow] 3 5 4 4" xfId="2069"/>
    <cellStyle name="Input [yellow] 3 5 4 4 2" xfId="13266"/>
    <cellStyle name="Input [yellow] 3 5 4 4 3" xfId="24434"/>
    <cellStyle name="Input [yellow] 3 5 4 4 4" xfId="35599"/>
    <cellStyle name="Input [yellow] 3 5 4 4 5" xfId="46792"/>
    <cellStyle name="Input [yellow] 3 5 4 5" xfId="2283"/>
    <cellStyle name="Input [yellow] 3 5 4 5 2" xfId="13480"/>
    <cellStyle name="Input [yellow] 3 5 4 5 3" xfId="24648"/>
    <cellStyle name="Input [yellow] 3 5 4 5 4" xfId="35813"/>
    <cellStyle name="Input [yellow] 3 5 4 5 5" xfId="47006"/>
    <cellStyle name="Input [yellow] 3 5 4 6" xfId="3127"/>
    <cellStyle name="Input [yellow] 3 5 4 6 2" xfId="14324"/>
    <cellStyle name="Input [yellow] 3 5 4 6 3" xfId="25492"/>
    <cellStyle name="Input [yellow] 3 5 4 6 4" xfId="36657"/>
    <cellStyle name="Input [yellow] 3 5 4 6 5" xfId="47850"/>
    <cellStyle name="Input [yellow] 3 5 4 7" xfId="3761"/>
    <cellStyle name="Input [yellow] 3 5 4 7 2" xfId="14958"/>
    <cellStyle name="Input [yellow] 3 5 4 7 3" xfId="26126"/>
    <cellStyle name="Input [yellow] 3 5 4 7 4" xfId="37291"/>
    <cellStyle name="Input [yellow] 3 5 4 7 5" xfId="48484"/>
    <cellStyle name="Input [yellow] 3 5 4 8" xfId="4394"/>
    <cellStyle name="Input [yellow] 3 5 4 8 2" xfId="15591"/>
    <cellStyle name="Input [yellow] 3 5 4 8 3" xfId="26759"/>
    <cellStyle name="Input [yellow] 3 5 4 8 4" xfId="37924"/>
    <cellStyle name="Input [yellow] 3 5 4 8 5" xfId="49117"/>
    <cellStyle name="Input [yellow] 3 5 4 9" xfId="5025"/>
    <cellStyle name="Input [yellow] 3 5 4 9 2" xfId="16222"/>
    <cellStyle name="Input [yellow] 3 5 4 9 3" xfId="27390"/>
    <cellStyle name="Input [yellow] 3 5 4 9 4" xfId="38555"/>
    <cellStyle name="Input [yellow] 3 5 4 9 5" xfId="49748"/>
    <cellStyle name="Input [yellow] 3 5 5" xfId="341"/>
    <cellStyle name="Input [yellow] 3 5 5 10" xfId="5723"/>
    <cellStyle name="Input [yellow] 3 5 5 10 2" xfId="16920"/>
    <cellStyle name="Input [yellow] 3 5 5 10 3" xfId="28088"/>
    <cellStyle name="Input [yellow] 3 5 5 10 4" xfId="39253"/>
    <cellStyle name="Input [yellow] 3 5 5 10 5" xfId="50446"/>
    <cellStyle name="Input [yellow] 3 5 5 11" xfId="6277"/>
    <cellStyle name="Input [yellow] 3 5 5 11 2" xfId="17474"/>
    <cellStyle name="Input [yellow] 3 5 5 11 3" xfId="28642"/>
    <cellStyle name="Input [yellow] 3 5 5 11 4" xfId="39807"/>
    <cellStyle name="Input [yellow] 3 5 5 11 5" xfId="51000"/>
    <cellStyle name="Input [yellow] 3 5 5 12" xfId="6910"/>
    <cellStyle name="Input [yellow] 3 5 5 12 2" xfId="18107"/>
    <cellStyle name="Input [yellow] 3 5 5 12 3" xfId="29275"/>
    <cellStyle name="Input [yellow] 3 5 5 12 4" xfId="40440"/>
    <cellStyle name="Input [yellow] 3 5 5 12 5" xfId="51633"/>
    <cellStyle name="Input [yellow] 3 5 5 13" xfId="7544"/>
    <cellStyle name="Input [yellow] 3 5 5 13 2" xfId="18741"/>
    <cellStyle name="Input [yellow] 3 5 5 13 3" xfId="29909"/>
    <cellStyle name="Input [yellow] 3 5 5 13 4" xfId="41074"/>
    <cellStyle name="Input [yellow] 3 5 5 13 5" xfId="52267"/>
    <cellStyle name="Input [yellow] 3 5 5 14" xfId="8178"/>
    <cellStyle name="Input [yellow] 3 5 5 14 2" xfId="19375"/>
    <cellStyle name="Input [yellow] 3 5 5 14 3" xfId="30543"/>
    <cellStyle name="Input [yellow] 3 5 5 14 4" xfId="41708"/>
    <cellStyle name="Input [yellow] 3 5 5 14 5" xfId="52901"/>
    <cellStyle name="Input [yellow] 3 5 5 15" xfId="8807"/>
    <cellStyle name="Input [yellow] 3 5 5 15 2" xfId="20004"/>
    <cellStyle name="Input [yellow] 3 5 5 15 3" xfId="31172"/>
    <cellStyle name="Input [yellow] 3 5 5 15 4" xfId="42337"/>
    <cellStyle name="Input [yellow] 3 5 5 15 5" xfId="53530"/>
    <cellStyle name="Input [yellow] 3 5 5 16" xfId="9229"/>
    <cellStyle name="Input [yellow] 3 5 5 16 2" xfId="20426"/>
    <cellStyle name="Input [yellow] 3 5 5 16 3" xfId="31594"/>
    <cellStyle name="Input [yellow] 3 5 5 16 4" xfId="42759"/>
    <cellStyle name="Input [yellow] 3 5 5 16 5" xfId="53952"/>
    <cellStyle name="Input [yellow] 3 5 5 17" xfId="9856"/>
    <cellStyle name="Input [yellow] 3 5 5 17 2" xfId="21053"/>
    <cellStyle name="Input [yellow] 3 5 5 17 3" xfId="32221"/>
    <cellStyle name="Input [yellow] 3 5 5 17 4" xfId="43386"/>
    <cellStyle name="Input [yellow] 3 5 5 17 5" xfId="54579"/>
    <cellStyle name="Input [yellow] 3 5 5 18" xfId="10466"/>
    <cellStyle name="Input [yellow] 3 5 5 18 2" xfId="21663"/>
    <cellStyle name="Input [yellow] 3 5 5 18 3" xfId="32831"/>
    <cellStyle name="Input [yellow] 3 5 5 18 4" xfId="43996"/>
    <cellStyle name="Input [yellow] 3 5 5 18 5" xfId="55189"/>
    <cellStyle name="Input [yellow] 3 5 5 19" xfId="10894"/>
    <cellStyle name="Input [yellow] 3 5 5 19 2" xfId="22091"/>
    <cellStyle name="Input [yellow] 3 5 5 19 3" xfId="33259"/>
    <cellStyle name="Input [yellow] 3 5 5 19 4" xfId="44424"/>
    <cellStyle name="Input [yellow] 3 5 5 19 5" xfId="55617"/>
    <cellStyle name="Input [yellow] 3 5 5 2" xfId="990"/>
    <cellStyle name="Input [yellow] 3 5 5 2 2" xfId="12187"/>
    <cellStyle name="Input [yellow] 3 5 5 2 3" xfId="23355"/>
    <cellStyle name="Input [yellow] 3 5 5 2 4" xfId="34520"/>
    <cellStyle name="Input [yellow] 3 5 5 2 5" xfId="45713"/>
    <cellStyle name="Input [yellow] 3 5 5 20" xfId="11541"/>
    <cellStyle name="Input [yellow] 3 5 5 21" xfId="22711"/>
    <cellStyle name="Input [yellow] 3 5 5 22" xfId="33878"/>
    <cellStyle name="Input [yellow] 3 5 5 23" xfId="45064"/>
    <cellStyle name="Input [yellow] 3 5 5 3" xfId="1684"/>
    <cellStyle name="Input [yellow] 3 5 5 3 2" xfId="12881"/>
    <cellStyle name="Input [yellow] 3 5 5 3 3" xfId="24049"/>
    <cellStyle name="Input [yellow] 3 5 5 3 4" xfId="35214"/>
    <cellStyle name="Input [yellow] 3 5 5 3 5" xfId="46407"/>
    <cellStyle name="Input [yellow] 3 5 5 4" xfId="2266"/>
    <cellStyle name="Input [yellow] 3 5 5 4 2" xfId="13463"/>
    <cellStyle name="Input [yellow] 3 5 5 4 3" xfId="24631"/>
    <cellStyle name="Input [yellow] 3 5 5 4 4" xfId="35796"/>
    <cellStyle name="Input [yellow] 3 5 5 4 5" xfId="46989"/>
    <cellStyle name="Input [yellow] 3 5 5 5" xfId="2691"/>
    <cellStyle name="Input [yellow] 3 5 5 5 2" xfId="13888"/>
    <cellStyle name="Input [yellow] 3 5 5 5 3" xfId="25056"/>
    <cellStyle name="Input [yellow] 3 5 5 5 4" xfId="36221"/>
    <cellStyle name="Input [yellow] 3 5 5 5 5" xfId="47414"/>
    <cellStyle name="Input [yellow] 3 5 5 6" xfId="3325"/>
    <cellStyle name="Input [yellow] 3 5 5 6 2" xfId="14522"/>
    <cellStyle name="Input [yellow] 3 5 5 6 3" xfId="25690"/>
    <cellStyle name="Input [yellow] 3 5 5 6 4" xfId="36855"/>
    <cellStyle name="Input [yellow] 3 5 5 6 5" xfId="48048"/>
    <cellStyle name="Input [yellow] 3 5 5 7" xfId="3959"/>
    <cellStyle name="Input [yellow] 3 5 5 7 2" xfId="15156"/>
    <cellStyle name="Input [yellow] 3 5 5 7 3" xfId="26324"/>
    <cellStyle name="Input [yellow] 3 5 5 7 4" xfId="37489"/>
    <cellStyle name="Input [yellow] 3 5 5 7 5" xfId="48682"/>
    <cellStyle name="Input [yellow] 3 5 5 8" xfId="4592"/>
    <cellStyle name="Input [yellow] 3 5 5 8 2" xfId="15789"/>
    <cellStyle name="Input [yellow] 3 5 5 8 3" xfId="26957"/>
    <cellStyle name="Input [yellow] 3 5 5 8 4" xfId="38122"/>
    <cellStyle name="Input [yellow] 3 5 5 8 5" xfId="49315"/>
    <cellStyle name="Input [yellow] 3 5 5 9" xfId="5223"/>
    <cellStyle name="Input [yellow] 3 5 5 9 2" xfId="16420"/>
    <cellStyle name="Input [yellow] 3 5 5 9 3" xfId="27588"/>
    <cellStyle name="Input [yellow] 3 5 5 9 4" xfId="38753"/>
    <cellStyle name="Input [yellow] 3 5 5 9 5" xfId="49946"/>
    <cellStyle name="Input [yellow] 3 5 6" xfId="383"/>
    <cellStyle name="Input [yellow] 3 5 6 10" xfId="5712"/>
    <cellStyle name="Input [yellow] 3 5 6 10 2" xfId="16909"/>
    <cellStyle name="Input [yellow] 3 5 6 10 3" xfId="28077"/>
    <cellStyle name="Input [yellow] 3 5 6 10 4" xfId="39242"/>
    <cellStyle name="Input [yellow] 3 5 6 10 5" xfId="50435"/>
    <cellStyle name="Input [yellow] 3 5 6 11" xfId="6319"/>
    <cellStyle name="Input [yellow] 3 5 6 11 2" xfId="17516"/>
    <cellStyle name="Input [yellow] 3 5 6 11 3" xfId="28684"/>
    <cellStyle name="Input [yellow] 3 5 6 11 4" xfId="39849"/>
    <cellStyle name="Input [yellow] 3 5 6 11 5" xfId="51042"/>
    <cellStyle name="Input [yellow] 3 5 6 12" xfId="6952"/>
    <cellStyle name="Input [yellow] 3 5 6 12 2" xfId="18149"/>
    <cellStyle name="Input [yellow] 3 5 6 12 3" xfId="29317"/>
    <cellStyle name="Input [yellow] 3 5 6 12 4" xfId="40482"/>
    <cellStyle name="Input [yellow] 3 5 6 12 5" xfId="51675"/>
    <cellStyle name="Input [yellow] 3 5 6 13" xfId="7586"/>
    <cellStyle name="Input [yellow] 3 5 6 13 2" xfId="18783"/>
    <cellStyle name="Input [yellow] 3 5 6 13 3" xfId="29951"/>
    <cellStyle name="Input [yellow] 3 5 6 13 4" xfId="41116"/>
    <cellStyle name="Input [yellow] 3 5 6 13 5" xfId="52309"/>
    <cellStyle name="Input [yellow] 3 5 6 14" xfId="8220"/>
    <cellStyle name="Input [yellow] 3 5 6 14 2" xfId="19417"/>
    <cellStyle name="Input [yellow] 3 5 6 14 3" xfId="30585"/>
    <cellStyle name="Input [yellow] 3 5 6 14 4" xfId="41750"/>
    <cellStyle name="Input [yellow] 3 5 6 14 5" xfId="52943"/>
    <cellStyle name="Input [yellow] 3 5 6 15" xfId="8849"/>
    <cellStyle name="Input [yellow] 3 5 6 15 2" xfId="20046"/>
    <cellStyle name="Input [yellow] 3 5 6 15 3" xfId="31214"/>
    <cellStyle name="Input [yellow] 3 5 6 15 4" xfId="42379"/>
    <cellStyle name="Input [yellow] 3 5 6 15 5" xfId="53572"/>
    <cellStyle name="Input [yellow] 3 5 6 16" xfId="9271"/>
    <cellStyle name="Input [yellow] 3 5 6 16 2" xfId="20468"/>
    <cellStyle name="Input [yellow] 3 5 6 16 3" xfId="31636"/>
    <cellStyle name="Input [yellow] 3 5 6 16 4" xfId="42801"/>
    <cellStyle name="Input [yellow] 3 5 6 16 5" xfId="53994"/>
    <cellStyle name="Input [yellow] 3 5 6 17" xfId="9898"/>
    <cellStyle name="Input [yellow] 3 5 6 17 2" xfId="21095"/>
    <cellStyle name="Input [yellow] 3 5 6 17 3" xfId="32263"/>
    <cellStyle name="Input [yellow] 3 5 6 17 4" xfId="43428"/>
    <cellStyle name="Input [yellow] 3 5 6 17 5" xfId="54621"/>
    <cellStyle name="Input [yellow] 3 5 6 18" xfId="9894"/>
    <cellStyle name="Input [yellow] 3 5 6 18 2" xfId="21091"/>
    <cellStyle name="Input [yellow] 3 5 6 18 3" xfId="32259"/>
    <cellStyle name="Input [yellow] 3 5 6 18 4" xfId="43424"/>
    <cellStyle name="Input [yellow] 3 5 6 18 5" xfId="54617"/>
    <cellStyle name="Input [yellow] 3 5 6 19" xfId="10936"/>
    <cellStyle name="Input [yellow] 3 5 6 19 2" xfId="22133"/>
    <cellStyle name="Input [yellow] 3 5 6 19 3" xfId="33301"/>
    <cellStyle name="Input [yellow] 3 5 6 19 4" xfId="44466"/>
    <cellStyle name="Input [yellow] 3 5 6 19 5" xfId="55659"/>
    <cellStyle name="Input [yellow] 3 5 6 2" xfId="1032"/>
    <cellStyle name="Input [yellow] 3 5 6 2 2" xfId="12229"/>
    <cellStyle name="Input [yellow] 3 5 6 2 3" xfId="23397"/>
    <cellStyle name="Input [yellow] 3 5 6 2 4" xfId="34562"/>
    <cellStyle name="Input [yellow] 3 5 6 2 5" xfId="45755"/>
    <cellStyle name="Input [yellow] 3 5 6 20" xfId="11583"/>
    <cellStyle name="Input [yellow] 3 5 6 21" xfId="22753"/>
    <cellStyle name="Input [yellow] 3 5 6 22" xfId="33920"/>
    <cellStyle name="Input [yellow] 3 5 6 23" xfId="45106"/>
    <cellStyle name="Input [yellow] 3 5 6 3" xfId="1870"/>
    <cellStyle name="Input [yellow] 3 5 6 3 2" xfId="13067"/>
    <cellStyle name="Input [yellow] 3 5 6 3 3" xfId="24235"/>
    <cellStyle name="Input [yellow] 3 5 6 3 4" xfId="35400"/>
    <cellStyle name="Input [yellow] 3 5 6 3 5" xfId="46593"/>
    <cellStyle name="Input [yellow] 3 5 6 4" xfId="2308"/>
    <cellStyle name="Input [yellow] 3 5 6 4 2" xfId="13505"/>
    <cellStyle name="Input [yellow] 3 5 6 4 3" xfId="24673"/>
    <cellStyle name="Input [yellow] 3 5 6 4 4" xfId="35838"/>
    <cellStyle name="Input [yellow] 3 5 6 4 5" xfId="47031"/>
    <cellStyle name="Input [yellow] 3 5 6 5" xfId="2733"/>
    <cellStyle name="Input [yellow] 3 5 6 5 2" xfId="13930"/>
    <cellStyle name="Input [yellow] 3 5 6 5 3" xfId="25098"/>
    <cellStyle name="Input [yellow] 3 5 6 5 4" xfId="36263"/>
    <cellStyle name="Input [yellow] 3 5 6 5 5" xfId="47456"/>
    <cellStyle name="Input [yellow] 3 5 6 6" xfId="3367"/>
    <cellStyle name="Input [yellow] 3 5 6 6 2" xfId="14564"/>
    <cellStyle name="Input [yellow] 3 5 6 6 3" xfId="25732"/>
    <cellStyle name="Input [yellow] 3 5 6 6 4" xfId="36897"/>
    <cellStyle name="Input [yellow] 3 5 6 6 5" xfId="48090"/>
    <cellStyle name="Input [yellow] 3 5 6 7" xfId="4001"/>
    <cellStyle name="Input [yellow] 3 5 6 7 2" xfId="15198"/>
    <cellStyle name="Input [yellow] 3 5 6 7 3" xfId="26366"/>
    <cellStyle name="Input [yellow] 3 5 6 7 4" xfId="37531"/>
    <cellStyle name="Input [yellow] 3 5 6 7 5" xfId="48724"/>
    <cellStyle name="Input [yellow] 3 5 6 8" xfId="4634"/>
    <cellStyle name="Input [yellow] 3 5 6 8 2" xfId="15831"/>
    <cellStyle name="Input [yellow] 3 5 6 8 3" xfId="26999"/>
    <cellStyle name="Input [yellow] 3 5 6 8 4" xfId="38164"/>
    <cellStyle name="Input [yellow] 3 5 6 8 5" xfId="49357"/>
    <cellStyle name="Input [yellow] 3 5 6 9" xfId="5265"/>
    <cellStyle name="Input [yellow] 3 5 6 9 2" xfId="16462"/>
    <cellStyle name="Input [yellow] 3 5 6 9 3" xfId="27630"/>
    <cellStyle name="Input [yellow] 3 5 6 9 4" xfId="38795"/>
    <cellStyle name="Input [yellow] 3 5 6 9 5" xfId="49988"/>
    <cellStyle name="Input [yellow] 3 5 7" xfId="466"/>
    <cellStyle name="Input [yellow] 3 5 7 10" xfId="5575"/>
    <cellStyle name="Input [yellow] 3 5 7 10 2" xfId="16772"/>
    <cellStyle name="Input [yellow] 3 5 7 10 3" xfId="27940"/>
    <cellStyle name="Input [yellow] 3 5 7 10 4" xfId="39105"/>
    <cellStyle name="Input [yellow] 3 5 7 10 5" xfId="50298"/>
    <cellStyle name="Input [yellow] 3 5 7 11" xfId="6402"/>
    <cellStyle name="Input [yellow] 3 5 7 11 2" xfId="17599"/>
    <cellStyle name="Input [yellow] 3 5 7 11 3" xfId="28767"/>
    <cellStyle name="Input [yellow] 3 5 7 11 4" xfId="39932"/>
    <cellStyle name="Input [yellow] 3 5 7 11 5" xfId="51125"/>
    <cellStyle name="Input [yellow] 3 5 7 12" xfId="7035"/>
    <cellStyle name="Input [yellow] 3 5 7 12 2" xfId="18232"/>
    <cellStyle name="Input [yellow] 3 5 7 12 3" xfId="29400"/>
    <cellStyle name="Input [yellow] 3 5 7 12 4" xfId="40565"/>
    <cellStyle name="Input [yellow] 3 5 7 12 5" xfId="51758"/>
    <cellStyle name="Input [yellow] 3 5 7 13" xfId="7669"/>
    <cellStyle name="Input [yellow] 3 5 7 13 2" xfId="18866"/>
    <cellStyle name="Input [yellow] 3 5 7 13 3" xfId="30034"/>
    <cellStyle name="Input [yellow] 3 5 7 13 4" xfId="41199"/>
    <cellStyle name="Input [yellow] 3 5 7 13 5" xfId="52392"/>
    <cellStyle name="Input [yellow] 3 5 7 14" xfId="8303"/>
    <cellStyle name="Input [yellow] 3 5 7 14 2" xfId="19500"/>
    <cellStyle name="Input [yellow] 3 5 7 14 3" xfId="30668"/>
    <cellStyle name="Input [yellow] 3 5 7 14 4" xfId="41833"/>
    <cellStyle name="Input [yellow] 3 5 7 14 5" xfId="53026"/>
    <cellStyle name="Input [yellow] 3 5 7 15" xfId="8931"/>
    <cellStyle name="Input [yellow] 3 5 7 15 2" xfId="20128"/>
    <cellStyle name="Input [yellow] 3 5 7 15 3" xfId="31296"/>
    <cellStyle name="Input [yellow] 3 5 7 15 4" xfId="42461"/>
    <cellStyle name="Input [yellow] 3 5 7 15 5" xfId="53654"/>
    <cellStyle name="Input [yellow] 3 5 7 16" xfId="9354"/>
    <cellStyle name="Input [yellow] 3 5 7 16 2" xfId="20551"/>
    <cellStyle name="Input [yellow] 3 5 7 16 3" xfId="31719"/>
    <cellStyle name="Input [yellow] 3 5 7 16 4" xfId="42884"/>
    <cellStyle name="Input [yellow] 3 5 7 16 5" xfId="54077"/>
    <cellStyle name="Input [yellow] 3 5 7 17" xfId="9980"/>
    <cellStyle name="Input [yellow] 3 5 7 17 2" xfId="21177"/>
    <cellStyle name="Input [yellow] 3 5 7 17 3" xfId="32345"/>
    <cellStyle name="Input [yellow] 3 5 7 17 4" xfId="43510"/>
    <cellStyle name="Input [yellow] 3 5 7 17 5" xfId="54703"/>
    <cellStyle name="Input [yellow] 3 5 7 18" xfId="9797"/>
    <cellStyle name="Input [yellow] 3 5 7 18 2" xfId="20994"/>
    <cellStyle name="Input [yellow] 3 5 7 18 3" xfId="32162"/>
    <cellStyle name="Input [yellow] 3 5 7 18 4" xfId="43327"/>
    <cellStyle name="Input [yellow] 3 5 7 18 5" xfId="54520"/>
    <cellStyle name="Input [yellow] 3 5 7 19" xfId="11019"/>
    <cellStyle name="Input [yellow] 3 5 7 19 2" xfId="22216"/>
    <cellStyle name="Input [yellow] 3 5 7 19 3" xfId="33384"/>
    <cellStyle name="Input [yellow] 3 5 7 19 4" xfId="44549"/>
    <cellStyle name="Input [yellow] 3 5 7 19 5" xfId="55742"/>
    <cellStyle name="Input [yellow] 3 5 7 2" xfId="1115"/>
    <cellStyle name="Input [yellow] 3 5 7 2 2" xfId="12312"/>
    <cellStyle name="Input [yellow] 3 5 7 2 3" xfId="23480"/>
    <cellStyle name="Input [yellow] 3 5 7 2 4" xfId="34645"/>
    <cellStyle name="Input [yellow] 3 5 7 2 5" xfId="45838"/>
    <cellStyle name="Input [yellow] 3 5 7 20" xfId="11666"/>
    <cellStyle name="Input [yellow] 3 5 7 21" xfId="22836"/>
    <cellStyle name="Input [yellow] 3 5 7 22" xfId="34003"/>
    <cellStyle name="Input [yellow] 3 5 7 23" xfId="45189"/>
    <cellStyle name="Input [yellow] 3 5 7 3" xfId="1506"/>
    <cellStyle name="Input [yellow] 3 5 7 3 2" xfId="12703"/>
    <cellStyle name="Input [yellow] 3 5 7 3 3" xfId="23871"/>
    <cellStyle name="Input [yellow] 3 5 7 3 4" xfId="35036"/>
    <cellStyle name="Input [yellow] 3 5 7 3 5" xfId="46229"/>
    <cellStyle name="Input [yellow] 3 5 7 4" xfId="2391"/>
    <cellStyle name="Input [yellow] 3 5 7 4 2" xfId="13588"/>
    <cellStyle name="Input [yellow] 3 5 7 4 3" xfId="24756"/>
    <cellStyle name="Input [yellow] 3 5 7 4 4" xfId="35921"/>
    <cellStyle name="Input [yellow] 3 5 7 4 5" xfId="47114"/>
    <cellStyle name="Input [yellow] 3 5 7 5" xfId="2816"/>
    <cellStyle name="Input [yellow] 3 5 7 5 2" xfId="14013"/>
    <cellStyle name="Input [yellow] 3 5 7 5 3" xfId="25181"/>
    <cellStyle name="Input [yellow] 3 5 7 5 4" xfId="36346"/>
    <cellStyle name="Input [yellow] 3 5 7 5 5" xfId="47539"/>
    <cellStyle name="Input [yellow] 3 5 7 6" xfId="3450"/>
    <cellStyle name="Input [yellow] 3 5 7 6 2" xfId="14647"/>
    <cellStyle name="Input [yellow] 3 5 7 6 3" xfId="25815"/>
    <cellStyle name="Input [yellow] 3 5 7 6 4" xfId="36980"/>
    <cellStyle name="Input [yellow] 3 5 7 6 5" xfId="48173"/>
    <cellStyle name="Input [yellow] 3 5 7 7" xfId="4084"/>
    <cellStyle name="Input [yellow] 3 5 7 7 2" xfId="15281"/>
    <cellStyle name="Input [yellow] 3 5 7 7 3" xfId="26449"/>
    <cellStyle name="Input [yellow] 3 5 7 7 4" xfId="37614"/>
    <cellStyle name="Input [yellow] 3 5 7 7 5" xfId="48807"/>
    <cellStyle name="Input [yellow] 3 5 7 8" xfId="4717"/>
    <cellStyle name="Input [yellow] 3 5 7 8 2" xfId="15914"/>
    <cellStyle name="Input [yellow] 3 5 7 8 3" xfId="27082"/>
    <cellStyle name="Input [yellow] 3 5 7 8 4" xfId="38247"/>
    <cellStyle name="Input [yellow] 3 5 7 8 5" xfId="49440"/>
    <cellStyle name="Input [yellow] 3 5 7 9" xfId="5348"/>
    <cellStyle name="Input [yellow] 3 5 7 9 2" xfId="16545"/>
    <cellStyle name="Input [yellow] 3 5 7 9 3" xfId="27713"/>
    <cellStyle name="Input [yellow] 3 5 7 9 4" xfId="38878"/>
    <cellStyle name="Input [yellow] 3 5 7 9 5" xfId="50071"/>
    <cellStyle name="Input [yellow] 3 5 8" xfId="491"/>
    <cellStyle name="Input [yellow] 3 5 8 10" xfId="5640"/>
    <cellStyle name="Input [yellow] 3 5 8 10 2" xfId="16837"/>
    <cellStyle name="Input [yellow] 3 5 8 10 3" xfId="28005"/>
    <cellStyle name="Input [yellow] 3 5 8 10 4" xfId="39170"/>
    <cellStyle name="Input [yellow] 3 5 8 10 5" xfId="50363"/>
    <cellStyle name="Input [yellow] 3 5 8 11" xfId="6427"/>
    <cellStyle name="Input [yellow] 3 5 8 11 2" xfId="17624"/>
    <cellStyle name="Input [yellow] 3 5 8 11 3" xfId="28792"/>
    <cellStyle name="Input [yellow] 3 5 8 11 4" xfId="39957"/>
    <cellStyle name="Input [yellow] 3 5 8 11 5" xfId="51150"/>
    <cellStyle name="Input [yellow] 3 5 8 12" xfId="7060"/>
    <cellStyle name="Input [yellow] 3 5 8 12 2" xfId="18257"/>
    <cellStyle name="Input [yellow] 3 5 8 12 3" xfId="29425"/>
    <cellStyle name="Input [yellow] 3 5 8 12 4" xfId="40590"/>
    <cellStyle name="Input [yellow] 3 5 8 12 5" xfId="51783"/>
    <cellStyle name="Input [yellow] 3 5 8 13" xfId="7694"/>
    <cellStyle name="Input [yellow] 3 5 8 13 2" xfId="18891"/>
    <cellStyle name="Input [yellow] 3 5 8 13 3" xfId="30059"/>
    <cellStyle name="Input [yellow] 3 5 8 13 4" xfId="41224"/>
    <cellStyle name="Input [yellow] 3 5 8 13 5" xfId="52417"/>
    <cellStyle name="Input [yellow] 3 5 8 14" xfId="8328"/>
    <cellStyle name="Input [yellow] 3 5 8 14 2" xfId="19525"/>
    <cellStyle name="Input [yellow] 3 5 8 14 3" xfId="30693"/>
    <cellStyle name="Input [yellow] 3 5 8 14 4" xfId="41858"/>
    <cellStyle name="Input [yellow] 3 5 8 14 5" xfId="53051"/>
    <cellStyle name="Input [yellow] 3 5 8 15" xfId="8956"/>
    <cellStyle name="Input [yellow] 3 5 8 15 2" xfId="20153"/>
    <cellStyle name="Input [yellow] 3 5 8 15 3" xfId="31321"/>
    <cellStyle name="Input [yellow] 3 5 8 15 4" xfId="42486"/>
    <cellStyle name="Input [yellow] 3 5 8 15 5" xfId="53679"/>
    <cellStyle name="Input [yellow] 3 5 8 16" xfId="9379"/>
    <cellStyle name="Input [yellow] 3 5 8 16 2" xfId="20576"/>
    <cellStyle name="Input [yellow] 3 5 8 16 3" xfId="31744"/>
    <cellStyle name="Input [yellow] 3 5 8 16 4" xfId="42909"/>
    <cellStyle name="Input [yellow] 3 5 8 16 5" xfId="54102"/>
    <cellStyle name="Input [yellow] 3 5 8 17" xfId="10005"/>
    <cellStyle name="Input [yellow] 3 5 8 17 2" xfId="21202"/>
    <cellStyle name="Input [yellow] 3 5 8 17 3" xfId="32370"/>
    <cellStyle name="Input [yellow] 3 5 8 17 4" xfId="43535"/>
    <cellStyle name="Input [yellow] 3 5 8 17 5" xfId="54728"/>
    <cellStyle name="Input [yellow] 3 5 8 18" xfId="10303"/>
    <cellStyle name="Input [yellow] 3 5 8 18 2" xfId="21500"/>
    <cellStyle name="Input [yellow] 3 5 8 18 3" xfId="32668"/>
    <cellStyle name="Input [yellow] 3 5 8 18 4" xfId="43833"/>
    <cellStyle name="Input [yellow] 3 5 8 18 5" xfId="55026"/>
    <cellStyle name="Input [yellow] 3 5 8 19" xfId="11044"/>
    <cellStyle name="Input [yellow] 3 5 8 19 2" xfId="22241"/>
    <cellStyle name="Input [yellow] 3 5 8 19 3" xfId="33409"/>
    <cellStyle name="Input [yellow] 3 5 8 19 4" xfId="44574"/>
    <cellStyle name="Input [yellow] 3 5 8 19 5" xfId="55767"/>
    <cellStyle name="Input [yellow] 3 5 8 2" xfId="1140"/>
    <cellStyle name="Input [yellow] 3 5 8 2 2" xfId="12337"/>
    <cellStyle name="Input [yellow] 3 5 8 2 3" xfId="23505"/>
    <cellStyle name="Input [yellow] 3 5 8 2 4" xfId="34670"/>
    <cellStyle name="Input [yellow] 3 5 8 2 5" xfId="45863"/>
    <cellStyle name="Input [yellow] 3 5 8 20" xfId="11691"/>
    <cellStyle name="Input [yellow] 3 5 8 21" xfId="22861"/>
    <cellStyle name="Input [yellow] 3 5 8 22" xfId="34028"/>
    <cellStyle name="Input [yellow] 3 5 8 23" xfId="45214"/>
    <cellStyle name="Input [yellow] 3 5 8 3" xfId="1560"/>
    <cellStyle name="Input [yellow] 3 5 8 3 2" xfId="12757"/>
    <cellStyle name="Input [yellow] 3 5 8 3 3" xfId="23925"/>
    <cellStyle name="Input [yellow] 3 5 8 3 4" xfId="35090"/>
    <cellStyle name="Input [yellow] 3 5 8 3 5" xfId="46283"/>
    <cellStyle name="Input [yellow] 3 5 8 4" xfId="2416"/>
    <cellStyle name="Input [yellow] 3 5 8 4 2" xfId="13613"/>
    <cellStyle name="Input [yellow] 3 5 8 4 3" xfId="24781"/>
    <cellStyle name="Input [yellow] 3 5 8 4 4" xfId="35946"/>
    <cellStyle name="Input [yellow] 3 5 8 4 5" xfId="47139"/>
    <cellStyle name="Input [yellow] 3 5 8 5" xfId="2841"/>
    <cellStyle name="Input [yellow] 3 5 8 5 2" xfId="14038"/>
    <cellStyle name="Input [yellow] 3 5 8 5 3" xfId="25206"/>
    <cellStyle name="Input [yellow] 3 5 8 5 4" xfId="36371"/>
    <cellStyle name="Input [yellow] 3 5 8 5 5" xfId="47564"/>
    <cellStyle name="Input [yellow] 3 5 8 6" xfId="3475"/>
    <cellStyle name="Input [yellow] 3 5 8 6 2" xfId="14672"/>
    <cellStyle name="Input [yellow] 3 5 8 6 3" xfId="25840"/>
    <cellStyle name="Input [yellow] 3 5 8 6 4" xfId="37005"/>
    <cellStyle name="Input [yellow] 3 5 8 6 5" xfId="48198"/>
    <cellStyle name="Input [yellow] 3 5 8 7" xfId="4109"/>
    <cellStyle name="Input [yellow] 3 5 8 7 2" xfId="15306"/>
    <cellStyle name="Input [yellow] 3 5 8 7 3" xfId="26474"/>
    <cellStyle name="Input [yellow] 3 5 8 7 4" xfId="37639"/>
    <cellStyle name="Input [yellow] 3 5 8 7 5" xfId="48832"/>
    <cellStyle name="Input [yellow] 3 5 8 8" xfId="4742"/>
    <cellStyle name="Input [yellow] 3 5 8 8 2" xfId="15939"/>
    <cellStyle name="Input [yellow] 3 5 8 8 3" xfId="27107"/>
    <cellStyle name="Input [yellow] 3 5 8 8 4" xfId="38272"/>
    <cellStyle name="Input [yellow] 3 5 8 8 5" xfId="49465"/>
    <cellStyle name="Input [yellow] 3 5 8 9" xfId="5373"/>
    <cellStyle name="Input [yellow] 3 5 8 9 2" xfId="16570"/>
    <cellStyle name="Input [yellow] 3 5 8 9 3" xfId="27738"/>
    <cellStyle name="Input [yellow] 3 5 8 9 4" xfId="38903"/>
    <cellStyle name="Input [yellow] 3 5 8 9 5" xfId="50096"/>
    <cellStyle name="Input [yellow] 3 5 9" xfId="549"/>
    <cellStyle name="Input [yellow] 3 5 9 10" xfId="6091"/>
    <cellStyle name="Input [yellow] 3 5 9 10 2" xfId="17288"/>
    <cellStyle name="Input [yellow] 3 5 9 10 3" xfId="28456"/>
    <cellStyle name="Input [yellow] 3 5 9 10 4" xfId="39621"/>
    <cellStyle name="Input [yellow] 3 5 9 10 5" xfId="50814"/>
    <cellStyle name="Input [yellow] 3 5 9 11" xfId="6485"/>
    <cellStyle name="Input [yellow] 3 5 9 11 2" xfId="17682"/>
    <cellStyle name="Input [yellow] 3 5 9 11 3" xfId="28850"/>
    <cellStyle name="Input [yellow] 3 5 9 11 4" xfId="40015"/>
    <cellStyle name="Input [yellow] 3 5 9 11 5" xfId="51208"/>
    <cellStyle name="Input [yellow] 3 5 9 12" xfId="7118"/>
    <cellStyle name="Input [yellow] 3 5 9 12 2" xfId="18315"/>
    <cellStyle name="Input [yellow] 3 5 9 12 3" xfId="29483"/>
    <cellStyle name="Input [yellow] 3 5 9 12 4" xfId="40648"/>
    <cellStyle name="Input [yellow] 3 5 9 12 5" xfId="51841"/>
    <cellStyle name="Input [yellow] 3 5 9 13" xfId="7752"/>
    <cellStyle name="Input [yellow] 3 5 9 13 2" xfId="18949"/>
    <cellStyle name="Input [yellow] 3 5 9 13 3" xfId="30117"/>
    <cellStyle name="Input [yellow] 3 5 9 13 4" xfId="41282"/>
    <cellStyle name="Input [yellow] 3 5 9 13 5" xfId="52475"/>
    <cellStyle name="Input [yellow] 3 5 9 14" xfId="8386"/>
    <cellStyle name="Input [yellow] 3 5 9 14 2" xfId="19583"/>
    <cellStyle name="Input [yellow] 3 5 9 14 3" xfId="30751"/>
    <cellStyle name="Input [yellow] 3 5 9 14 4" xfId="41916"/>
    <cellStyle name="Input [yellow] 3 5 9 14 5" xfId="53109"/>
    <cellStyle name="Input [yellow] 3 5 9 15" xfId="9014"/>
    <cellStyle name="Input [yellow] 3 5 9 15 2" xfId="20211"/>
    <cellStyle name="Input [yellow] 3 5 9 15 3" xfId="31379"/>
    <cellStyle name="Input [yellow] 3 5 9 15 4" xfId="42544"/>
    <cellStyle name="Input [yellow] 3 5 9 15 5" xfId="53737"/>
    <cellStyle name="Input [yellow] 3 5 9 16" xfId="9437"/>
    <cellStyle name="Input [yellow] 3 5 9 16 2" xfId="20634"/>
    <cellStyle name="Input [yellow] 3 5 9 16 3" xfId="31802"/>
    <cellStyle name="Input [yellow] 3 5 9 16 4" xfId="42967"/>
    <cellStyle name="Input [yellow] 3 5 9 16 5" xfId="54160"/>
    <cellStyle name="Input [yellow] 3 5 9 17" xfId="10062"/>
    <cellStyle name="Input [yellow] 3 5 9 17 2" xfId="21259"/>
    <cellStyle name="Input [yellow] 3 5 9 17 3" xfId="32427"/>
    <cellStyle name="Input [yellow] 3 5 9 17 4" xfId="43592"/>
    <cellStyle name="Input [yellow] 3 5 9 17 5" xfId="54785"/>
    <cellStyle name="Input [yellow] 3 5 9 18" xfId="9757"/>
    <cellStyle name="Input [yellow] 3 5 9 18 2" xfId="20954"/>
    <cellStyle name="Input [yellow] 3 5 9 18 3" xfId="32122"/>
    <cellStyle name="Input [yellow] 3 5 9 18 4" xfId="43287"/>
    <cellStyle name="Input [yellow] 3 5 9 18 5" xfId="54480"/>
    <cellStyle name="Input [yellow] 3 5 9 19" xfId="11102"/>
    <cellStyle name="Input [yellow] 3 5 9 19 2" xfId="22299"/>
    <cellStyle name="Input [yellow] 3 5 9 19 3" xfId="33467"/>
    <cellStyle name="Input [yellow] 3 5 9 19 4" xfId="44632"/>
    <cellStyle name="Input [yellow] 3 5 9 19 5" xfId="55825"/>
    <cellStyle name="Input [yellow] 3 5 9 2" xfId="1198"/>
    <cellStyle name="Input [yellow] 3 5 9 2 2" xfId="12395"/>
    <cellStyle name="Input [yellow] 3 5 9 2 3" xfId="23563"/>
    <cellStyle name="Input [yellow] 3 5 9 2 4" xfId="34728"/>
    <cellStyle name="Input [yellow] 3 5 9 2 5" xfId="45921"/>
    <cellStyle name="Input [yellow] 3 5 9 20" xfId="11749"/>
    <cellStyle name="Input [yellow] 3 5 9 21" xfId="22919"/>
    <cellStyle name="Input [yellow] 3 5 9 22" xfId="34086"/>
    <cellStyle name="Input [yellow] 3 5 9 23" xfId="45272"/>
    <cellStyle name="Input [yellow] 3 5 9 3" xfId="1438"/>
    <cellStyle name="Input [yellow] 3 5 9 3 2" xfId="12635"/>
    <cellStyle name="Input [yellow] 3 5 9 3 3" xfId="23803"/>
    <cellStyle name="Input [yellow] 3 5 9 3 4" xfId="34968"/>
    <cellStyle name="Input [yellow] 3 5 9 3 5" xfId="46161"/>
    <cellStyle name="Input [yellow] 3 5 9 4" xfId="2474"/>
    <cellStyle name="Input [yellow] 3 5 9 4 2" xfId="13671"/>
    <cellStyle name="Input [yellow] 3 5 9 4 3" xfId="24839"/>
    <cellStyle name="Input [yellow] 3 5 9 4 4" xfId="36004"/>
    <cellStyle name="Input [yellow] 3 5 9 4 5" xfId="47197"/>
    <cellStyle name="Input [yellow] 3 5 9 5" xfId="2899"/>
    <cellStyle name="Input [yellow] 3 5 9 5 2" xfId="14096"/>
    <cellStyle name="Input [yellow] 3 5 9 5 3" xfId="25264"/>
    <cellStyle name="Input [yellow] 3 5 9 5 4" xfId="36429"/>
    <cellStyle name="Input [yellow] 3 5 9 5 5" xfId="47622"/>
    <cellStyle name="Input [yellow] 3 5 9 6" xfId="3533"/>
    <cellStyle name="Input [yellow] 3 5 9 6 2" xfId="14730"/>
    <cellStyle name="Input [yellow] 3 5 9 6 3" xfId="25898"/>
    <cellStyle name="Input [yellow] 3 5 9 6 4" xfId="37063"/>
    <cellStyle name="Input [yellow] 3 5 9 6 5" xfId="48256"/>
    <cellStyle name="Input [yellow] 3 5 9 7" xfId="4167"/>
    <cellStyle name="Input [yellow] 3 5 9 7 2" xfId="15364"/>
    <cellStyle name="Input [yellow] 3 5 9 7 3" xfId="26532"/>
    <cellStyle name="Input [yellow] 3 5 9 7 4" xfId="37697"/>
    <cellStyle name="Input [yellow] 3 5 9 7 5" xfId="48890"/>
    <cellStyle name="Input [yellow] 3 5 9 8" xfId="4800"/>
    <cellStyle name="Input [yellow] 3 5 9 8 2" xfId="15997"/>
    <cellStyle name="Input [yellow] 3 5 9 8 3" xfId="27165"/>
    <cellStyle name="Input [yellow] 3 5 9 8 4" xfId="38330"/>
    <cellStyle name="Input [yellow] 3 5 9 8 5" xfId="49523"/>
    <cellStyle name="Input [yellow] 3 5 9 9" xfId="5431"/>
    <cellStyle name="Input [yellow] 3 5 9 9 2" xfId="16628"/>
    <cellStyle name="Input [yellow] 3 5 9 9 3" xfId="27796"/>
    <cellStyle name="Input [yellow] 3 5 9 9 4" xfId="38961"/>
    <cellStyle name="Input [yellow] 3 5 9 9 5" xfId="50154"/>
    <cellStyle name="Input [yellow] 3 50" xfId="44790"/>
    <cellStyle name="Input [yellow] 3 6" xfId="85"/>
    <cellStyle name="Input [yellow] 3 6 10" xfId="445"/>
    <cellStyle name="Input [yellow] 3 6 10 10" xfId="6117"/>
    <cellStyle name="Input [yellow] 3 6 10 10 2" xfId="17314"/>
    <cellStyle name="Input [yellow] 3 6 10 10 3" xfId="28482"/>
    <cellStyle name="Input [yellow] 3 6 10 10 4" xfId="39647"/>
    <cellStyle name="Input [yellow] 3 6 10 10 5" xfId="50840"/>
    <cellStyle name="Input [yellow] 3 6 10 11" xfId="6381"/>
    <cellStyle name="Input [yellow] 3 6 10 11 2" xfId="17578"/>
    <cellStyle name="Input [yellow] 3 6 10 11 3" xfId="28746"/>
    <cellStyle name="Input [yellow] 3 6 10 11 4" xfId="39911"/>
    <cellStyle name="Input [yellow] 3 6 10 11 5" xfId="51104"/>
    <cellStyle name="Input [yellow] 3 6 10 12" xfId="7014"/>
    <cellStyle name="Input [yellow] 3 6 10 12 2" xfId="18211"/>
    <cellStyle name="Input [yellow] 3 6 10 12 3" xfId="29379"/>
    <cellStyle name="Input [yellow] 3 6 10 12 4" xfId="40544"/>
    <cellStyle name="Input [yellow] 3 6 10 12 5" xfId="51737"/>
    <cellStyle name="Input [yellow] 3 6 10 13" xfId="7648"/>
    <cellStyle name="Input [yellow] 3 6 10 13 2" xfId="18845"/>
    <cellStyle name="Input [yellow] 3 6 10 13 3" xfId="30013"/>
    <cellStyle name="Input [yellow] 3 6 10 13 4" xfId="41178"/>
    <cellStyle name="Input [yellow] 3 6 10 13 5" xfId="52371"/>
    <cellStyle name="Input [yellow] 3 6 10 14" xfId="8282"/>
    <cellStyle name="Input [yellow] 3 6 10 14 2" xfId="19479"/>
    <cellStyle name="Input [yellow] 3 6 10 14 3" xfId="30647"/>
    <cellStyle name="Input [yellow] 3 6 10 14 4" xfId="41812"/>
    <cellStyle name="Input [yellow] 3 6 10 14 5" xfId="53005"/>
    <cellStyle name="Input [yellow] 3 6 10 15" xfId="8910"/>
    <cellStyle name="Input [yellow] 3 6 10 15 2" xfId="20107"/>
    <cellStyle name="Input [yellow] 3 6 10 15 3" xfId="31275"/>
    <cellStyle name="Input [yellow] 3 6 10 15 4" xfId="42440"/>
    <cellStyle name="Input [yellow] 3 6 10 15 5" xfId="53633"/>
    <cellStyle name="Input [yellow] 3 6 10 16" xfId="9333"/>
    <cellStyle name="Input [yellow] 3 6 10 16 2" xfId="20530"/>
    <cellStyle name="Input [yellow] 3 6 10 16 3" xfId="31698"/>
    <cellStyle name="Input [yellow] 3 6 10 16 4" xfId="42863"/>
    <cellStyle name="Input [yellow] 3 6 10 16 5" xfId="54056"/>
    <cellStyle name="Input [yellow] 3 6 10 17" xfId="9959"/>
    <cellStyle name="Input [yellow] 3 6 10 17 2" xfId="21156"/>
    <cellStyle name="Input [yellow] 3 6 10 17 3" xfId="32324"/>
    <cellStyle name="Input [yellow] 3 6 10 17 4" xfId="43489"/>
    <cellStyle name="Input [yellow] 3 6 10 17 5" xfId="54682"/>
    <cellStyle name="Input [yellow] 3 6 10 18" xfId="9867"/>
    <cellStyle name="Input [yellow] 3 6 10 18 2" xfId="21064"/>
    <cellStyle name="Input [yellow] 3 6 10 18 3" xfId="32232"/>
    <cellStyle name="Input [yellow] 3 6 10 18 4" xfId="43397"/>
    <cellStyle name="Input [yellow] 3 6 10 18 5" xfId="54590"/>
    <cellStyle name="Input [yellow] 3 6 10 19" xfId="10998"/>
    <cellStyle name="Input [yellow] 3 6 10 19 2" xfId="22195"/>
    <cellStyle name="Input [yellow] 3 6 10 19 3" xfId="33363"/>
    <cellStyle name="Input [yellow] 3 6 10 19 4" xfId="44528"/>
    <cellStyle name="Input [yellow] 3 6 10 19 5" xfId="55721"/>
    <cellStyle name="Input [yellow] 3 6 10 2" xfId="1094"/>
    <cellStyle name="Input [yellow] 3 6 10 2 2" xfId="12291"/>
    <cellStyle name="Input [yellow] 3 6 10 2 3" xfId="23459"/>
    <cellStyle name="Input [yellow] 3 6 10 2 4" xfId="34624"/>
    <cellStyle name="Input [yellow] 3 6 10 2 5" xfId="45817"/>
    <cellStyle name="Input [yellow] 3 6 10 20" xfId="11645"/>
    <cellStyle name="Input [yellow] 3 6 10 21" xfId="22815"/>
    <cellStyle name="Input [yellow] 3 6 10 22" xfId="33982"/>
    <cellStyle name="Input [yellow] 3 6 10 23" xfId="45168"/>
    <cellStyle name="Input [yellow] 3 6 10 3" xfId="1456"/>
    <cellStyle name="Input [yellow] 3 6 10 3 2" xfId="12653"/>
    <cellStyle name="Input [yellow] 3 6 10 3 3" xfId="23821"/>
    <cellStyle name="Input [yellow] 3 6 10 3 4" xfId="34986"/>
    <cellStyle name="Input [yellow] 3 6 10 3 5" xfId="46179"/>
    <cellStyle name="Input [yellow] 3 6 10 4" xfId="2370"/>
    <cellStyle name="Input [yellow] 3 6 10 4 2" xfId="13567"/>
    <cellStyle name="Input [yellow] 3 6 10 4 3" xfId="24735"/>
    <cellStyle name="Input [yellow] 3 6 10 4 4" xfId="35900"/>
    <cellStyle name="Input [yellow] 3 6 10 4 5" xfId="47093"/>
    <cellStyle name="Input [yellow] 3 6 10 5" xfId="2795"/>
    <cellStyle name="Input [yellow] 3 6 10 5 2" xfId="13992"/>
    <cellStyle name="Input [yellow] 3 6 10 5 3" xfId="25160"/>
    <cellStyle name="Input [yellow] 3 6 10 5 4" xfId="36325"/>
    <cellStyle name="Input [yellow] 3 6 10 5 5" xfId="47518"/>
    <cellStyle name="Input [yellow] 3 6 10 6" xfId="3429"/>
    <cellStyle name="Input [yellow] 3 6 10 6 2" xfId="14626"/>
    <cellStyle name="Input [yellow] 3 6 10 6 3" xfId="25794"/>
    <cellStyle name="Input [yellow] 3 6 10 6 4" xfId="36959"/>
    <cellStyle name="Input [yellow] 3 6 10 6 5" xfId="48152"/>
    <cellStyle name="Input [yellow] 3 6 10 7" xfId="4063"/>
    <cellStyle name="Input [yellow] 3 6 10 7 2" xfId="15260"/>
    <cellStyle name="Input [yellow] 3 6 10 7 3" xfId="26428"/>
    <cellStyle name="Input [yellow] 3 6 10 7 4" xfId="37593"/>
    <cellStyle name="Input [yellow] 3 6 10 7 5" xfId="48786"/>
    <cellStyle name="Input [yellow] 3 6 10 8" xfId="4696"/>
    <cellStyle name="Input [yellow] 3 6 10 8 2" xfId="15893"/>
    <cellStyle name="Input [yellow] 3 6 10 8 3" xfId="27061"/>
    <cellStyle name="Input [yellow] 3 6 10 8 4" xfId="38226"/>
    <cellStyle name="Input [yellow] 3 6 10 8 5" xfId="49419"/>
    <cellStyle name="Input [yellow] 3 6 10 9" xfId="5327"/>
    <cellStyle name="Input [yellow] 3 6 10 9 2" xfId="16524"/>
    <cellStyle name="Input [yellow] 3 6 10 9 3" xfId="27692"/>
    <cellStyle name="Input [yellow] 3 6 10 9 4" xfId="38857"/>
    <cellStyle name="Input [yellow] 3 6 10 9 5" xfId="50050"/>
    <cellStyle name="Input [yellow] 3 6 11" xfId="657"/>
    <cellStyle name="Input [yellow] 3 6 11 10" xfId="5932"/>
    <cellStyle name="Input [yellow] 3 6 11 10 2" xfId="17129"/>
    <cellStyle name="Input [yellow] 3 6 11 10 3" xfId="28297"/>
    <cellStyle name="Input [yellow] 3 6 11 10 4" xfId="39462"/>
    <cellStyle name="Input [yellow] 3 6 11 10 5" xfId="50655"/>
    <cellStyle name="Input [yellow] 3 6 11 11" xfId="6593"/>
    <cellStyle name="Input [yellow] 3 6 11 11 2" xfId="17790"/>
    <cellStyle name="Input [yellow] 3 6 11 11 3" xfId="28958"/>
    <cellStyle name="Input [yellow] 3 6 11 11 4" xfId="40123"/>
    <cellStyle name="Input [yellow] 3 6 11 11 5" xfId="51316"/>
    <cellStyle name="Input [yellow] 3 6 11 12" xfId="7226"/>
    <cellStyle name="Input [yellow] 3 6 11 12 2" xfId="18423"/>
    <cellStyle name="Input [yellow] 3 6 11 12 3" xfId="29591"/>
    <cellStyle name="Input [yellow] 3 6 11 12 4" xfId="40756"/>
    <cellStyle name="Input [yellow] 3 6 11 12 5" xfId="51949"/>
    <cellStyle name="Input [yellow] 3 6 11 13" xfId="7860"/>
    <cellStyle name="Input [yellow] 3 6 11 13 2" xfId="19057"/>
    <cellStyle name="Input [yellow] 3 6 11 13 3" xfId="30225"/>
    <cellStyle name="Input [yellow] 3 6 11 13 4" xfId="41390"/>
    <cellStyle name="Input [yellow] 3 6 11 13 5" xfId="52583"/>
    <cellStyle name="Input [yellow] 3 6 11 14" xfId="8494"/>
    <cellStyle name="Input [yellow] 3 6 11 14 2" xfId="19691"/>
    <cellStyle name="Input [yellow] 3 6 11 14 3" xfId="30859"/>
    <cellStyle name="Input [yellow] 3 6 11 14 4" xfId="42024"/>
    <cellStyle name="Input [yellow] 3 6 11 14 5" xfId="53217"/>
    <cellStyle name="Input [yellow] 3 6 11 15" xfId="9122"/>
    <cellStyle name="Input [yellow] 3 6 11 15 2" xfId="20319"/>
    <cellStyle name="Input [yellow] 3 6 11 15 3" xfId="31487"/>
    <cellStyle name="Input [yellow] 3 6 11 15 4" xfId="42652"/>
    <cellStyle name="Input [yellow] 3 6 11 15 5" xfId="53845"/>
    <cellStyle name="Input [yellow] 3 6 11 16" xfId="9545"/>
    <cellStyle name="Input [yellow] 3 6 11 16 2" xfId="20742"/>
    <cellStyle name="Input [yellow] 3 6 11 16 3" xfId="31910"/>
    <cellStyle name="Input [yellow] 3 6 11 16 4" xfId="43075"/>
    <cellStyle name="Input [yellow] 3 6 11 16 5" xfId="54268"/>
    <cellStyle name="Input [yellow] 3 6 11 17" xfId="10170"/>
    <cellStyle name="Input [yellow] 3 6 11 17 2" xfId="21367"/>
    <cellStyle name="Input [yellow] 3 6 11 17 3" xfId="32535"/>
    <cellStyle name="Input [yellow] 3 6 11 17 4" xfId="43700"/>
    <cellStyle name="Input [yellow] 3 6 11 17 5" xfId="54893"/>
    <cellStyle name="Input [yellow] 3 6 11 18" xfId="10337"/>
    <cellStyle name="Input [yellow] 3 6 11 18 2" xfId="21534"/>
    <cellStyle name="Input [yellow] 3 6 11 18 3" xfId="32702"/>
    <cellStyle name="Input [yellow] 3 6 11 18 4" xfId="43867"/>
    <cellStyle name="Input [yellow] 3 6 11 18 5" xfId="55060"/>
    <cellStyle name="Input [yellow] 3 6 11 19" xfId="11210"/>
    <cellStyle name="Input [yellow] 3 6 11 19 2" xfId="22407"/>
    <cellStyle name="Input [yellow] 3 6 11 19 3" xfId="33575"/>
    <cellStyle name="Input [yellow] 3 6 11 19 4" xfId="44740"/>
    <cellStyle name="Input [yellow] 3 6 11 19 5" xfId="55933"/>
    <cellStyle name="Input [yellow] 3 6 11 2" xfId="1306"/>
    <cellStyle name="Input [yellow] 3 6 11 2 2" xfId="12503"/>
    <cellStyle name="Input [yellow] 3 6 11 2 3" xfId="23671"/>
    <cellStyle name="Input [yellow] 3 6 11 2 4" xfId="34836"/>
    <cellStyle name="Input [yellow] 3 6 11 2 5" xfId="46029"/>
    <cellStyle name="Input [yellow] 3 6 11 20" xfId="11857"/>
    <cellStyle name="Input [yellow] 3 6 11 21" xfId="23027"/>
    <cellStyle name="Input [yellow] 3 6 11 22" xfId="34194"/>
    <cellStyle name="Input [yellow] 3 6 11 23" xfId="45380"/>
    <cellStyle name="Input [yellow] 3 6 11 3" xfId="1628"/>
    <cellStyle name="Input [yellow] 3 6 11 3 2" xfId="12825"/>
    <cellStyle name="Input [yellow] 3 6 11 3 3" xfId="23993"/>
    <cellStyle name="Input [yellow] 3 6 11 3 4" xfId="35158"/>
    <cellStyle name="Input [yellow] 3 6 11 3 5" xfId="46351"/>
    <cellStyle name="Input [yellow] 3 6 11 4" xfId="2582"/>
    <cellStyle name="Input [yellow] 3 6 11 4 2" xfId="13779"/>
    <cellStyle name="Input [yellow] 3 6 11 4 3" xfId="24947"/>
    <cellStyle name="Input [yellow] 3 6 11 4 4" xfId="36112"/>
    <cellStyle name="Input [yellow] 3 6 11 4 5" xfId="47305"/>
    <cellStyle name="Input [yellow] 3 6 11 5" xfId="3007"/>
    <cellStyle name="Input [yellow] 3 6 11 5 2" xfId="14204"/>
    <cellStyle name="Input [yellow] 3 6 11 5 3" xfId="25372"/>
    <cellStyle name="Input [yellow] 3 6 11 5 4" xfId="36537"/>
    <cellStyle name="Input [yellow] 3 6 11 5 5" xfId="47730"/>
    <cellStyle name="Input [yellow] 3 6 11 6" xfId="3641"/>
    <cellStyle name="Input [yellow] 3 6 11 6 2" xfId="14838"/>
    <cellStyle name="Input [yellow] 3 6 11 6 3" xfId="26006"/>
    <cellStyle name="Input [yellow] 3 6 11 6 4" xfId="37171"/>
    <cellStyle name="Input [yellow] 3 6 11 6 5" xfId="48364"/>
    <cellStyle name="Input [yellow] 3 6 11 7" xfId="4275"/>
    <cellStyle name="Input [yellow] 3 6 11 7 2" xfId="15472"/>
    <cellStyle name="Input [yellow] 3 6 11 7 3" xfId="26640"/>
    <cellStyle name="Input [yellow] 3 6 11 7 4" xfId="37805"/>
    <cellStyle name="Input [yellow] 3 6 11 7 5" xfId="48998"/>
    <cellStyle name="Input [yellow] 3 6 11 8" xfId="4908"/>
    <cellStyle name="Input [yellow] 3 6 11 8 2" xfId="16105"/>
    <cellStyle name="Input [yellow] 3 6 11 8 3" xfId="27273"/>
    <cellStyle name="Input [yellow] 3 6 11 8 4" xfId="38438"/>
    <cellStyle name="Input [yellow] 3 6 11 8 5" xfId="49631"/>
    <cellStyle name="Input [yellow] 3 6 11 9" xfId="5539"/>
    <cellStyle name="Input [yellow] 3 6 11 9 2" xfId="16736"/>
    <cellStyle name="Input [yellow] 3 6 11 9 3" xfId="27904"/>
    <cellStyle name="Input [yellow] 3 6 11 9 4" xfId="39069"/>
    <cellStyle name="Input [yellow] 3 6 11 9 5" xfId="50262"/>
    <cellStyle name="Input [yellow] 3 6 12" xfId="734"/>
    <cellStyle name="Input [yellow] 3 6 12 2" xfId="11932"/>
    <cellStyle name="Input [yellow] 3 6 12 3" xfId="23101"/>
    <cellStyle name="Input [yellow] 3 6 12 4" xfId="34266"/>
    <cellStyle name="Input [yellow] 3 6 12 5" xfId="45457"/>
    <cellStyle name="Input [yellow] 3 6 13" xfId="1836"/>
    <cellStyle name="Input [yellow] 3 6 13 2" xfId="13033"/>
    <cellStyle name="Input [yellow] 3 6 13 3" xfId="24201"/>
    <cellStyle name="Input [yellow] 3 6 13 4" xfId="35366"/>
    <cellStyle name="Input [yellow] 3 6 13 5" xfId="46559"/>
    <cellStyle name="Input [yellow] 3 6 14" xfId="2011"/>
    <cellStyle name="Input [yellow] 3 6 14 2" xfId="13208"/>
    <cellStyle name="Input [yellow] 3 6 14 3" xfId="24376"/>
    <cellStyle name="Input [yellow] 3 6 14 4" xfId="35541"/>
    <cellStyle name="Input [yellow] 3 6 14 5" xfId="46734"/>
    <cellStyle name="Input [yellow] 3 6 15" xfId="2428"/>
    <cellStyle name="Input [yellow] 3 6 15 2" xfId="13625"/>
    <cellStyle name="Input [yellow] 3 6 15 3" xfId="24793"/>
    <cellStyle name="Input [yellow] 3 6 15 4" xfId="35958"/>
    <cellStyle name="Input [yellow] 3 6 15 5" xfId="47151"/>
    <cellStyle name="Input [yellow] 3 6 16" xfId="3069"/>
    <cellStyle name="Input [yellow] 3 6 16 2" xfId="14266"/>
    <cellStyle name="Input [yellow] 3 6 16 3" xfId="25434"/>
    <cellStyle name="Input [yellow] 3 6 16 4" xfId="36599"/>
    <cellStyle name="Input [yellow] 3 6 16 5" xfId="47792"/>
    <cellStyle name="Input [yellow] 3 6 17" xfId="3704"/>
    <cellStyle name="Input [yellow] 3 6 17 2" xfId="14901"/>
    <cellStyle name="Input [yellow] 3 6 17 3" xfId="26069"/>
    <cellStyle name="Input [yellow] 3 6 17 4" xfId="37234"/>
    <cellStyle name="Input [yellow] 3 6 17 5" xfId="48427"/>
    <cellStyle name="Input [yellow] 3 6 18" xfId="4336"/>
    <cellStyle name="Input [yellow] 3 6 18 2" xfId="15533"/>
    <cellStyle name="Input [yellow] 3 6 18 3" xfId="26701"/>
    <cellStyle name="Input [yellow] 3 6 18 4" xfId="37866"/>
    <cellStyle name="Input [yellow] 3 6 18 5" xfId="49059"/>
    <cellStyle name="Input [yellow] 3 6 19" xfId="4969"/>
    <cellStyle name="Input [yellow] 3 6 19 2" xfId="16166"/>
    <cellStyle name="Input [yellow] 3 6 19 3" xfId="27334"/>
    <cellStyle name="Input [yellow] 3 6 19 4" xfId="38499"/>
    <cellStyle name="Input [yellow] 3 6 19 5" xfId="49692"/>
    <cellStyle name="Input [yellow] 3 6 2" xfId="150"/>
    <cellStyle name="Input [yellow] 3 6 2 10" xfId="6121"/>
    <cellStyle name="Input [yellow] 3 6 2 10 2" xfId="17318"/>
    <cellStyle name="Input [yellow] 3 6 2 10 3" xfId="28486"/>
    <cellStyle name="Input [yellow] 3 6 2 10 4" xfId="39651"/>
    <cellStyle name="Input [yellow] 3 6 2 10 5" xfId="50844"/>
    <cellStyle name="Input [yellow] 3 6 2 11" xfId="5652"/>
    <cellStyle name="Input [yellow] 3 6 2 11 2" xfId="16849"/>
    <cellStyle name="Input [yellow] 3 6 2 11 3" xfId="28017"/>
    <cellStyle name="Input [yellow] 3 6 2 11 4" xfId="39182"/>
    <cellStyle name="Input [yellow] 3 6 2 11 5" xfId="50375"/>
    <cellStyle name="Input [yellow] 3 6 2 12" xfId="6719"/>
    <cellStyle name="Input [yellow] 3 6 2 12 2" xfId="17916"/>
    <cellStyle name="Input [yellow] 3 6 2 12 3" xfId="29084"/>
    <cellStyle name="Input [yellow] 3 6 2 12 4" xfId="40249"/>
    <cellStyle name="Input [yellow] 3 6 2 12 5" xfId="51442"/>
    <cellStyle name="Input [yellow] 3 6 2 13" xfId="7353"/>
    <cellStyle name="Input [yellow] 3 6 2 13 2" xfId="18550"/>
    <cellStyle name="Input [yellow] 3 6 2 13 3" xfId="29718"/>
    <cellStyle name="Input [yellow] 3 6 2 13 4" xfId="40883"/>
    <cellStyle name="Input [yellow] 3 6 2 13 5" xfId="52076"/>
    <cellStyle name="Input [yellow] 3 6 2 14" xfId="7987"/>
    <cellStyle name="Input [yellow] 3 6 2 14 2" xfId="19184"/>
    <cellStyle name="Input [yellow] 3 6 2 14 3" xfId="30352"/>
    <cellStyle name="Input [yellow] 3 6 2 14 4" xfId="41517"/>
    <cellStyle name="Input [yellow] 3 6 2 14 5" xfId="52710"/>
    <cellStyle name="Input [yellow] 3 6 2 15" xfId="8618"/>
    <cellStyle name="Input [yellow] 3 6 2 15 2" xfId="19815"/>
    <cellStyle name="Input [yellow] 3 6 2 15 3" xfId="30983"/>
    <cellStyle name="Input [yellow] 3 6 2 15 4" xfId="42148"/>
    <cellStyle name="Input [yellow] 3 6 2 15 5" xfId="53341"/>
    <cellStyle name="Input [yellow] 3 6 2 16" xfId="9144"/>
    <cellStyle name="Input [yellow] 3 6 2 16 2" xfId="20341"/>
    <cellStyle name="Input [yellow] 3 6 2 16 3" xfId="31509"/>
    <cellStyle name="Input [yellow] 3 6 2 16 4" xfId="42674"/>
    <cellStyle name="Input [yellow] 3 6 2 16 5" xfId="53867"/>
    <cellStyle name="Input [yellow] 3 6 2 17" xfId="9671"/>
    <cellStyle name="Input [yellow] 3 6 2 17 2" xfId="20868"/>
    <cellStyle name="Input [yellow] 3 6 2 17 3" xfId="32036"/>
    <cellStyle name="Input [yellow] 3 6 2 17 4" xfId="43201"/>
    <cellStyle name="Input [yellow] 3 6 2 17 5" xfId="54394"/>
    <cellStyle name="Input [yellow] 3 6 2 18" xfId="10128"/>
    <cellStyle name="Input [yellow] 3 6 2 18 2" xfId="21325"/>
    <cellStyle name="Input [yellow] 3 6 2 18 3" xfId="32493"/>
    <cellStyle name="Input [yellow] 3 6 2 18 4" xfId="43658"/>
    <cellStyle name="Input [yellow] 3 6 2 18 5" xfId="54851"/>
    <cellStyle name="Input [yellow] 3 6 2 19" xfId="10703"/>
    <cellStyle name="Input [yellow] 3 6 2 19 2" xfId="21900"/>
    <cellStyle name="Input [yellow] 3 6 2 19 3" xfId="33068"/>
    <cellStyle name="Input [yellow] 3 6 2 19 4" xfId="44233"/>
    <cellStyle name="Input [yellow] 3 6 2 19 5" xfId="55426"/>
    <cellStyle name="Input [yellow] 3 6 2 2" xfId="799"/>
    <cellStyle name="Input [yellow] 3 6 2 2 2" xfId="11996"/>
    <cellStyle name="Input [yellow] 3 6 2 2 3" xfId="23164"/>
    <cellStyle name="Input [yellow] 3 6 2 2 4" xfId="34329"/>
    <cellStyle name="Input [yellow] 3 6 2 2 5" xfId="45522"/>
    <cellStyle name="Input [yellow] 3 6 2 20" xfId="11350"/>
    <cellStyle name="Input [yellow] 3 6 2 21" xfId="22520"/>
    <cellStyle name="Input [yellow] 3 6 2 22" xfId="33687"/>
    <cellStyle name="Input [yellow] 3 6 2 23" xfId="44873"/>
    <cellStyle name="Input [yellow] 3 6 2 3" xfId="1875"/>
    <cellStyle name="Input [yellow] 3 6 2 3 2" xfId="13072"/>
    <cellStyle name="Input [yellow] 3 6 2 3 3" xfId="24240"/>
    <cellStyle name="Input [yellow] 3 6 2 3 4" xfId="35405"/>
    <cellStyle name="Input [yellow] 3 6 2 3 5" xfId="46598"/>
    <cellStyle name="Input [yellow] 3 6 2 4" xfId="2076"/>
    <cellStyle name="Input [yellow] 3 6 2 4 2" xfId="13273"/>
    <cellStyle name="Input [yellow] 3 6 2 4 3" xfId="24441"/>
    <cellStyle name="Input [yellow] 3 6 2 4 4" xfId="35606"/>
    <cellStyle name="Input [yellow] 3 6 2 4 5" xfId="46799"/>
    <cellStyle name="Input [yellow] 3 6 2 5" xfId="2541"/>
    <cellStyle name="Input [yellow] 3 6 2 5 2" xfId="13738"/>
    <cellStyle name="Input [yellow] 3 6 2 5 3" xfId="24906"/>
    <cellStyle name="Input [yellow] 3 6 2 5 4" xfId="36071"/>
    <cellStyle name="Input [yellow] 3 6 2 5 5" xfId="47264"/>
    <cellStyle name="Input [yellow] 3 6 2 6" xfId="3134"/>
    <cellStyle name="Input [yellow] 3 6 2 6 2" xfId="14331"/>
    <cellStyle name="Input [yellow] 3 6 2 6 3" xfId="25499"/>
    <cellStyle name="Input [yellow] 3 6 2 6 4" xfId="36664"/>
    <cellStyle name="Input [yellow] 3 6 2 6 5" xfId="47857"/>
    <cellStyle name="Input [yellow] 3 6 2 7" xfId="3768"/>
    <cellStyle name="Input [yellow] 3 6 2 7 2" xfId="14965"/>
    <cellStyle name="Input [yellow] 3 6 2 7 3" xfId="26133"/>
    <cellStyle name="Input [yellow] 3 6 2 7 4" xfId="37298"/>
    <cellStyle name="Input [yellow] 3 6 2 7 5" xfId="48491"/>
    <cellStyle name="Input [yellow] 3 6 2 8" xfId="4401"/>
    <cellStyle name="Input [yellow] 3 6 2 8 2" xfId="15598"/>
    <cellStyle name="Input [yellow] 3 6 2 8 3" xfId="26766"/>
    <cellStyle name="Input [yellow] 3 6 2 8 4" xfId="37931"/>
    <cellStyle name="Input [yellow] 3 6 2 8 5" xfId="49124"/>
    <cellStyle name="Input [yellow] 3 6 2 9" xfId="5032"/>
    <cellStyle name="Input [yellow] 3 6 2 9 2" xfId="16229"/>
    <cellStyle name="Input [yellow] 3 6 2 9 3" xfId="27397"/>
    <cellStyle name="Input [yellow] 3 6 2 9 4" xfId="38562"/>
    <cellStyle name="Input [yellow] 3 6 2 9 5" xfId="49755"/>
    <cellStyle name="Input [yellow] 3 6 20" xfId="5831"/>
    <cellStyle name="Input [yellow] 3 6 20 2" xfId="17028"/>
    <cellStyle name="Input [yellow] 3 6 20 3" xfId="28196"/>
    <cellStyle name="Input [yellow] 3 6 20 4" xfId="39361"/>
    <cellStyle name="Input [yellow] 3 6 20 5" xfId="50554"/>
    <cellStyle name="Input [yellow] 3 6 21" xfId="6195"/>
    <cellStyle name="Input [yellow] 3 6 21 2" xfId="17392"/>
    <cellStyle name="Input [yellow] 3 6 21 3" xfId="28560"/>
    <cellStyle name="Input [yellow] 3 6 21 4" xfId="39725"/>
    <cellStyle name="Input [yellow] 3 6 21 5" xfId="50918"/>
    <cellStyle name="Input [yellow] 3 6 22" xfId="6656"/>
    <cellStyle name="Input [yellow] 3 6 22 2" xfId="17853"/>
    <cellStyle name="Input [yellow] 3 6 22 3" xfId="29021"/>
    <cellStyle name="Input [yellow] 3 6 22 4" xfId="40186"/>
    <cellStyle name="Input [yellow] 3 6 22 5" xfId="51379"/>
    <cellStyle name="Input [yellow] 3 6 23" xfId="7288"/>
    <cellStyle name="Input [yellow] 3 6 23 2" xfId="18485"/>
    <cellStyle name="Input [yellow] 3 6 23 3" xfId="29653"/>
    <cellStyle name="Input [yellow] 3 6 23 4" xfId="40818"/>
    <cellStyle name="Input [yellow] 3 6 23 5" xfId="52011"/>
    <cellStyle name="Input [yellow] 3 6 24" xfId="7922"/>
    <cellStyle name="Input [yellow] 3 6 24 2" xfId="19119"/>
    <cellStyle name="Input [yellow] 3 6 24 3" xfId="30287"/>
    <cellStyle name="Input [yellow] 3 6 24 4" xfId="41452"/>
    <cellStyle name="Input [yellow] 3 6 24 5" xfId="52645"/>
    <cellStyle name="Input [yellow] 3 6 25" xfId="8555"/>
    <cellStyle name="Input [yellow] 3 6 25 2" xfId="19752"/>
    <cellStyle name="Input [yellow] 3 6 25 3" xfId="30920"/>
    <cellStyle name="Input [yellow] 3 6 25 4" xfId="42085"/>
    <cellStyle name="Input [yellow] 3 6 25 5" xfId="53278"/>
    <cellStyle name="Input [yellow] 3 6 26" xfId="9094"/>
    <cellStyle name="Input [yellow] 3 6 26 2" xfId="20291"/>
    <cellStyle name="Input [yellow] 3 6 26 3" xfId="31459"/>
    <cellStyle name="Input [yellow] 3 6 26 4" xfId="42624"/>
    <cellStyle name="Input [yellow] 3 6 26 5" xfId="53817"/>
    <cellStyle name="Input [yellow] 3 6 27" xfId="9607"/>
    <cellStyle name="Input [yellow] 3 6 27 2" xfId="20804"/>
    <cellStyle name="Input [yellow] 3 6 27 3" xfId="31972"/>
    <cellStyle name="Input [yellow] 3 6 27 4" xfId="43137"/>
    <cellStyle name="Input [yellow] 3 6 27 5" xfId="54330"/>
    <cellStyle name="Input [yellow] 3 6 28" xfId="10016"/>
    <cellStyle name="Input [yellow] 3 6 28 2" xfId="21213"/>
    <cellStyle name="Input [yellow] 3 6 28 3" xfId="32381"/>
    <cellStyle name="Input [yellow] 3 6 28 4" xfId="43546"/>
    <cellStyle name="Input [yellow] 3 6 28 5" xfId="54739"/>
    <cellStyle name="Input [yellow] 3 6 29" xfId="10640"/>
    <cellStyle name="Input [yellow] 3 6 29 2" xfId="21837"/>
    <cellStyle name="Input [yellow] 3 6 29 3" xfId="33005"/>
    <cellStyle name="Input [yellow] 3 6 29 4" xfId="44170"/>
    <cellStyle name="Input [yellow] 3 6 29 5" xfId="55363"/>
    <cellStyle name="Input [yellow] 3 6 3" xfId="206"/>
    <cellStyle name="Input [yellow] 3 6 3 10" xfId="6126"/>
    <cellStyle name="Input [yellow] 3 6 3 10 2" xfId="17323"/>
    <cellStyle name="Input [yellow] 3 6 3 10 3" xfId="28491"/>
    <cellStyle name="Input [yellow] 3 6 3 10 4" xfId="39656"/>
    <cellStyle name="Input [yellow] 3 6 3 10 5" xfId="50849"/>
    <cellStyle name="Input [yellow] 3 6 3 11" xfId="5663"/>
    <cellStyle name="Input [yellow] 3 6 3 11 2" xfId="16860"/>
    <cellStyle name="Input [yellow] 3 6 3 11 3" xfId="28028"/>
    <cellStyle name="Input [yellow] 3 6 3 11 4" xfId="39193"/>
    <cellStyle name="Input [yellow] 3 6 3 11 5" xfId="50386"/>
    <cellStyle name="Input [yellow] 3 6 3 12" xfId="6775"/>
    <cellStyle name="Input [yellow] 3 6 3 12 2" xfId="17972"/>
    <cellStyle name="Input [yellow] 3 6 3 12 3" xfId="29140"/>
    <cellStyle name="Input [yellow] 3 6 3 12 4" xfId="40305"/>
    <cellStyle name="Input [yellow] 3 6 3 12 5" xfId="51498"/>
    <cellStyle name="Input [yellow] 3 6 3 13" xfId="7409"/>
    <cellStyle name="Input [yellow] 3 6 3 13 2" xfId="18606"/>
    <cellStyle name="Input [yellow] 3 6 3 13 3" xfId="29774"/>
    <cellStyle name="Input [yellow] 3 6 3 13 4" xfId="40939"/>
    <cellStyle name="Input [yellow] 3 6 3 13 5" xfId="52132"/>
    <cellStyle name="Input [yellow] 3 6 3 14" xfId="8043"/>
    <cellStyle name="Input [yellow] 3 6 3 14 2" xfId="19240"/>
    <cellStyle name="Input [yellow] 3 6 3 14 3" xfId="30408"/>
    <cellStyle name="Input [yellow] 3 6 3 14 4" xfId="41573"/>
    <cellStyle name="Input [yellow] 3 6 3 14 5" xfId="52766"/>
    <cellStyle name="Input [yellow] 3 6 3 15" xfId="8674"/>
    <cellStyle name="Input [yellow] 3 6 3 15 2" xfId="19871"/>
    <cellStyle name="Input [yellow] 3 6 3 15 3" xfId="31039"/>
    <cellStyle name="Input [yellow] 3 6 3 15 4" xfId="42204"/>
    <cellStyle name="Input [yellow] 3 6 3 15 5" xfId="53397"/>
    <cellStyle name="Input [yellow] 3 6 3 16" xfId="9140"/>
    <cellStyle name="Input [yellow] 3 6 3 16 2" xfId="20337"/>
    <cellStyle name="Input [yellow] 3 6 3 16 3" xfId="31505"/>
    <cellStyle name="Input [yellow] 3 6 3 16 4" xfId="42670"/>
    <cellStyle name="Input [yellow] 3 6 3 16 5" xfId="53863"/>
    <cellStyle name="Input [yellow] 3 6 3 17" xfId="9726"/>
    <cellStyle name="Input [yellow] 3 6 3 17 2" xfId="20923"/>
    <cellStyle name="Input [yellow] 3 6 3 17 3" xfId="32091"/>
    <cellStyle name="Input [yellow] 3 6 3 17 4" xfId="43256"/>
    <cellStyle name="Input [yellow] 3 6 3 17 5" xfId="54449"/>
    <cellStyle name="Input [yellow] 3 6 3 18" xfId="10505"/>
    <cellStyle name="Input [yellow] 3 6 3 18 2" xfId="21702"/>
    <cellStyle name="Input [yellow] 3 6 3 18 3" xfId="32870"/>
    <cellStyle name="Input [yellow] 3 6 3 18 4" xfId="44035"/>
    <cellStyle name="Input [yellow] 3 6 3 18 5" xfId="55228"/>
    <cellStyle name="Input [yellow] 3 6 3 19" xfId="10759"/>
    <cellStyle name="Input [yellow] 3 6 3 19 2" xfId="21956"/>
    <cellStyle name="Input [yellow] 3 6 3 19 3" xfId="33124"/>
    <cellStyle name="Input [yellow] 3 6 3 19 4" xfId="44289"/>
    <cellStyle name="Input [yellow] 3 6 3 19 5" xfId="55482"/>
    <cellStyle name="Input [yellow] 3 6 3 2" xfId="855"/>
    <cellStyle name="Input [yellow] 3 6 3 2 2" xfId="12052"/>
    <cellStyle name="Input [yellow] 3 6 3 2 3" xfId="23220"/>
    <cellStyle name="Input [yellow] 3 6 3 2 4" xfId="34385"/>
    <cellStyle name="Input [yellow] 3 6 3 2 5" xfId="45578"/>
    <cellStyle name="Input [yellow] 3 6 3 20" xfId="11406"/>
    <cellStyle name="Input [yellow] 3 6 3 21" xfId="22576"/>
    <cellStyle name="Input [yellow] 3 6 3 22" xfId="33743"/>
    <cellStyle name="Input [yellow] 3 6 3 23" xfId="44929"/>
    <cellStyle name="Input [yellow] 3 6 3 3" xfId="1802"/>
    <cellStyle name="Input [yellow] 3 6 3 3 2" xfId="12999"/>
    <cellStyle name="Input [yellow] 3 6 3 3 3" xfId="24167"/>
    <cellStyle name="Input [yellow] 3 6 3 3 4" xfId="35332"/>
    <cellStyle name="Input [yellow] 3 6 3 3 5" xfId="46525"/>
    <cellStyle name="Input [yellow] 3 6 3 4" xfId="2132"/>
    <cellStyle name="Input [yellow] 3 6 3 4 2" xfId="13329"/>
    <cellStyle name="Input [yellow] 3 6 3 4 3" xfId="24497"/>
    <cellStyle name="Input [yellow] 3 6 3 4 4" xfId="35662"/>
    <cellStyle name="Input [yellow] 3 6 3 4 5" xfId="46855"/>
    <cellStyle name="Input [yellow] 3 6 3 5" xfId="2508"/>
    <cellStyle name="Input [yellow] 3 6 3 5 2" xfId="13705"/>
    <cellStyle name="Input [yellow] 3 6 3 5 3" xfId="24873"/>
    <cellStyle name="Input [yellow] 3 6 3 5 4" xfId="36038"/>
    <cellStyle name="Input [yellow] 3 6 3 5 5" xfId="47231"/>
    <cellStyle name="Input [yellow] 3 6 3 6" xfId="3190"/>
    <cellStyle name="Input [yellow] 3 6 3 6 2" xfId="14387"/>
    <cellStyle name="Input [yellow] 3 6 3 6 3" xfId="25555"/>
    <cellStyle name="Input [yellow] 3 6 3 6 4" xfId="36720"/>
    <cellStyle name="Input [yellow] 3 6 3 6 5" xfId="47913"/>
    <cellStyle name="Input [yellow] 3 6 3 7" xfId="3824"/>
    <cellStyle name="Input [yellow] 3 6 3 7 2" xfId="15021"/>
    <cellStyle name="Input [yellow] 3 6 3 7 3" xfId="26189"/>
    <cellStyle name="Input [yellow] 3 6 3 7 4" xfId="37354"/>
    <cellStyle name="Input [yellow] 3 6 3 7 5" xfId="48547"/>
    <cellStyle name="Input [yellow] 3 6 3 8" xfId="4457"/>
    <cellStyle name="Input [yellow] 3 6 3 8 2" xfId="15654"/>
    <cellStyle name="Input [yellow] 3 6 3 8 3" xfId="26822"/>
    <cellStyle name="Input [yellow] 3 6 3 8 4" xfId="37987"/>
    <cellStyle name="Input [yellow] 3 6 3 8 5" xfId="49180"/>
    <cellStyle name="Input [yellow] 3 6 3 9" xfId="5088"/>
    <cellStyle name="Input [yellow] 3 6 3 9 2" xfId="16285"/>
    <cellStyle name="Input [yellow] 3 6 3 9 3" xfId="27453"/>
    <cellStyle name="Input [yellow] 3 6 3 9 4" xfId="38618"/>
    <cellStyle name="Input [yellow] 3 6 3 9 5" xfId="49811"/>
    <cellStyle name="Input [yellow] 3 6 30" xfId="11286"/>
    <cellStyle name="Input [yellow] 3 6 31" xfId="22457"/>
    <cellStyle name="Input [yellow] 3 6 32" xfId="33624"/>
    <cellStyle name="Input [yellow] 3 6 33" xfId="44808"/>
    <cellStyle name="Input [yellow] 3 6 4" xfId="277"/>
    <cellStyle name="Input [yellow] 3 6 4 10" xfId="4329"/>
    <cellStyle name="Input [yellow] 3 6 4 10 2" xfId="15526"/>
    <cellStyle name="Input [yellow] 3 6 4 10 3" xfId="26694"/>
    <cellStyle name="Input [yellow] 3 6 4 10 4" xfId="37859"/>
    <cellStyle name="Input [yellow] 3 6 4 10 5" xfId="49052"/>
    <cellStyle name="Input [yellow] 3 6 4 11" xfId="6213"/>
    <cellStyle name="Input [yellow] 3 6 4 11 2" xfId="17410"/>
    <cellStyle name="Input [yellow] 3 6 4 11 3" xfId="28578"/>
    <cellStyle name="Input [yellow] 3 6 4 11 4" xfId="39743"/>
    <cellStyle name="Input [yellow] 3 6 4 11 5" xfId="50936"/>
    <cellStyle name="Input [yellow] 3 6 4 12" xfId="6846"/>
    <cellStyle name="Input [yellow] 3 6 4 12 2" xfId="18043"/>
    <cellStyle name="Input [yellow] 3 6 4 12 3" xfId="29211"/>
    <cellStyle name="Input [yellow] 3 6 4 12 4" xfId="40376"/>
    <cellStyle name="Input [yellow] 3 6 4 12 5" xfId="51569"/>
    <cellStyle name="Input [yellow] 3 6 4 13" xfId="7480"/>
    <cellStyle name="Input [yellow] 3 6 4 13 2" xfId="18677"/>
    <cellStyle name="Input [yellow] 3 6 4 13 3" xfId="29845"/>
    <cellStyle name="Input [yellow] 3 6 4 13 4" xfId="41010"/>
    <cellStyle name="Input [yellow] 3 6 4 13 5" xfId="52203"/>
    <cellStyle name="Input [yellow] 3 6 4 14" xfId="8114"/>
    <cellStyle name="Input [yellow] 3 6 4 14 2" xfId="19311"/>
    <cellStyle name="Input [yellow] 3 6 4 14 3" xfId="30479"/>
    <cellStyle name="Input [yellow] 3 6 4 14 4" xfId="41644"/>
    <cellStyle name="Input [yellow] 3 6 4 14 5" xfId="52837"/>
    <cellStyle name="Input [yellow] 3 6 4 15" xfId="8743"/>
    <cellStyle name="Input [yellow] 3 6 4 15 2" xfId="19940"/>
    <cellStyle name="Input [yellow] 3 6 4 15 3" xfId="31108"/>
    <cellStyle name="Input [yellow] 3 6 4 15 4" xfId="42273"/>
    <cellStyle name="Input [yellow] 3 6 4 15 5" xfId="53466"/>
    <cellStyle name="Input [yellow] 3 6 4 16" xfId="9165"/>
    <cellStyle name="Input [yellow] 3 6 4 16 2" xfId="20362"/>
    <cellStyle name="Input [yellow] 3 6 4 16 3" xfId="31530"/>
    <cellStyle name="Input [yellow] 3 6 4 16 4" xfId="42695"/>
    <cellStyle name="Input [yellow] 3 6 4 16 5" xfId="53888"/>
    <cellStyle name="Input [yellow] 3 6 4 17" xfId="9793"/>
    <cellStyle name="Input [yellow] 3 6 4 17 2" xfId="20990"/>
    <cellStyle name="Input [yellow] 3 6 4 17 3" xfId="32158"/>
    <cellStyle name="Input [yellow] 3 6 4 17 4" xfId="43323"/>
    <cellStyle name="Input [yellow] 3 6 4 17 5" xfId="54516"/>
    <cellStyle name="Input [yellow] 3 6 4 18" xfId="10270"/>
    <cellStyle name="Input [yellow] 3 6 4 18 2" xfId="21467"/>
    <cellStyle name="Input [yellow] 3 6 4 18 3" xfId="32635"/>
    <cellStyle name="Input [yellow] 3 6 4 18 4" xfId="43800"/>
    <cellStyle name="Input [yellow] 3 6 4 18 5" xfId="54993"/>
    <cellStyle name="Input [yellow] 3 6 4 19" xfId="10830"/>
    <cellStyle name="Input [yellow] 3 6 4 19 2" xfId="22027"/>
    <cellStyle name="Input [yellow] 3 6 4 19 3" xfId="33195"/>
    <cellStyle name="Input [yellow] 3 6 4 19 4" xfId="44360"/>
    <cellStyle name="Input [yellow] 3 6 4 19 5" xfId="55553"/>
    <cellStyle name="Input [yellow] 3 6 4 2" xfId="926"/>
    <cellStyle name="Input [yellow] 3 6 4 2 2" xfId="12123"/>
    <cellStyle name="Input [yellow] 3 6 4 2 3" xfId="23291"/>
    <cellStyle name="Input [yellow] 3 6 4 2 4" xfId="34456"/>
    <cellStyle name="Input [yellow] 3 6 4 2 5" xfId="45649"/>
    <cellStyle name="Input [yellow] 3 6 4 20" xfId="11477"/>
    <cellStyle name="Input [yellow] 3 6 4 21" xfId="22647"/>
    <cellStyle name="Input [yellow] 3 6 4 22" xfId="33814"/>
    <cellStyle name="Input [yellow] 3 6 4 23" xfId="45000"/>
    <cellStyle name="Input [yellow] 3 6 4 3" xfId="1590"/>
    <cellStyle name="Input [yellow] 3 6 4 3 2" xfId="12787"/>
    <cellStyle name="Input [yellow] 3 6 4 3 3" xfId="23955"/>
    <cellStyle name="Input [yellow] 3 6 4 3 4" xfId="35120"/>
    <cellStyle name="Input [yellow] 3 6 4 3 5" xfId="46313"/>
    <cellStyle name="Input [yellow] 3 6 4 4" xfId="2203"/>
    <cellStyle name="Input [yellow] 3 6 4 4 2" xfId="13400"/>
    <cellStyle name="Input [yellow] 3 6 4 4 3" xfId="24568"/>
    <cellStyle name="Input [yellow] 3 6 4 4 4" xfId="35733"/>
    <cellStyle name="Input [yellow] 3 6 4 4 5" xfId="46926"/>
    <cellStyle name="Input [yellow] 3 6 4 5" xfId="2627"/>
    <cellStyle name="Input [yellow] 3 6 4 5 2" xfId="13824"/>
    <cellStyle name="Input [yellow] 3 6 4 5 3" xfId="24992"/>
    <cellStyle name="Input [yellow] 3 6 4 5 4" xfId="36157"/>
    <cellStyle name="Input [yellow] 3 6 4 5 5" xfId="47350"/>
    <cellStyle name="Input [yellow] 3 6 4 6" xfId="3261"/>
    <cellStyle name="Input [yellow] 3 6 4 6 2" xfId="14458"/>
    <cellStyle name="Input [yellow] 3 6 4 6 3" xfId="25626"/>
    <cellStyle name="Input [yellow] 3 6 4 6 4" xfId="36791"/>
    <cellStyle name="Input [yellow] 3 6 4 6 5" xfId="47984"/>
    <cellStyle name="Input [yellow] 3 6 4 7" xfId="3895"/>
    <cellStyle name="Input [yellow] 3 6 4 7 2" xfId="15092"/>
    <cellStyle name="Input [yellow] 3 6 4 7 3" xfId="26260"/>
    <cellStyle name="Input [yellow] 3 6 4 7 4" xfId="37425"/>
    <cellStyle name="Input [yellow] 3 6 4 7 5" xfId="48618"/>
    <cellStyle name="Input [yellow] 3 6 4 8" xfId="4528"/>
    <cellStyle name="Input [yellow] 3 6 4 8 2" xfId="15725"/>
    <cellStyle name="Input [yellow] 3 6 4 8 3" xfId="26893"/>
    <cellStyle name="Input [yellow] 3 6 4 8 4" xfId="38058"/>
    <cellStyle name="Input [yellow] 3 6 4 8 5" xfId="49251"/>
    <cellStyle name="Input [yellow] 3 6 4 9" xfId="5159"/>
    <cellStyle name="Input [yellow] 3 6 4 9 2" xfId="16356"/>
    <cellStyle name="Input [yellow] 3 6 4 9 3" xfId="27524"/>
    <cellStyle name="Input [yellow] 3 6 4 9 4" xfId="38689"/>
    <cellStyle name="Input [yellow] 3 6 4 9 5" xfId="49882"/>
    <cellStyle name="Input [yellow] 3 6 5" xfId="315"/>
    <cellStyle name="Input [yellow] 3 6 5 10" xfId="5896"/>
    <cellStyle name="Input [yellow] 3 6 5 10 2" xfId="17093"/>
    <cellStyle name="Input [yellow] 3 6 5 10 3" xfId="28261"/>
    <cellStyle name="Input [yellow] 3 6 5 10 4" xfId="39426"/>
    <cellStyle name="Input [yellow] 3 6 5 10 5" xfId="50619"/>
    <cellStyle name="Input [yellow] 3 6 5 11" xfId="6251"/>
    <cellStyle name="Input [yellow] 3 6 5 11 2" xfId="17448"/>
    <cellStyle name="Input [yellow] 3 6 5 11 3" xfId="28616"/>
    <cellStyle name="Input [yellow] 3 6 5 11 4" xfId="39781"/>
    <cellStyle name="Input [yellow] 3 6 5 11 5" xfId="50974"/>
    <cellStyle name="Input [yellow] 3 6 5 12" xfId="6884"/>
    <cellStyle name="Input [yellow] 3 6 5 12 2" xfId="18081"/>
    <cellStyle name="Input [yellow] 3 6 5 12 3" xfId="29249"/>
    <cellStyle name="Input [yellow] 3 6 5 12 4" xfId="40414"/>
    <cellStyle name="Input [yellow] 3 6 5 12 5" xfId="51607"/>
    <cellStyle name="Input [yellow] 3 6 5 13" xfId="7518"/>
    <cellStyle name="Input [yellow] 3 6 5 13 2" xfId="18715"/>
    <cellStyle name="Input [yellow] 3 6 5 13 3" xfId="29883"/>
    <cellStyle name="Input [yellow] 3 6 5 13 4" xfId="41048"/>
    <cellStyle name="Input [yellow] 3 6 5 13 5" xfId="52241"/>
    <cellStyle name="Input [yellow] 3 6 5 14" xfId="8152"/>
    <cellStyle name="Input [yellow] 3 6 5 14 2" xfId="19349"/>
    <cellStyle name="Input [yellow] 3 6 5 14 3" xfId="30517"/>
    <cellStyle name="Input [yellow] 3 6 5 14 4" xfId="41682"/>
    <cellStyle name="Input [yellow] 3 6 5 14 5" xfId="52875"/>
    <cellStyle name="Input [yellow] 3 6 5 15" xfId="8781"/>
    <cellStyle name="Input [yellow] 3 6 5 15 2" xfId="19978"/>
    <cellStyle name="Input [yellow] 3 6 5 15 3" xfId="31146"/>
    <cellStyle name="Input [yellow] 3 6 5 15 4" xfId="42311"/>
    <cellStyle name="Input [yellow] 3 6 5 15 5" xfId="53504"/>
    <cellStyle name="Input [yellow] 3 6 5 16" xfId="9203"/>
    <cellStyle name="Input [yellow] 3 6 5 16 2" xfId="20400"/>
    <cellStyle name="Input [yellow] 3 6 5 16 3" xfId="31568"/>
    <cellStyle name="Input [yellow] 3 6 5 16 4" xfId="42733"/>
    <cellStyle name="Input [yellow] 3 6 5 16 5" xfId="53926"/>
    <cellStyle name="Input [yellow] 3 6 5 17" xfId="9830"/>
    <cellStyle name="Input [yellow] 3 6 5 17 2" xfId="21027"/>
    <cellStyle name="Input [yellow] 3 6 5 17 3" xfId="32195"/>
    <cellStyle name="Input [yellow] 3 6 5 17 4" xfId="43360"/>
    <cellStyle name="Input [yellow] 3 6 5 17 5" xfId="54553"/>
    <cellStyle name="Input [yellow] 3 6 5 18" xfId="10360"/>
    <cellStyle name="Input [yellow] 3 6 5 18 2" xfId="21557"/>
    <cellStyle name="Input [yellow] 3 6 5 18 3" xfId="32725"/>
    <cellStyle name="Input [yellow] 3 6 5 18 4" xfId="43890"/>
    <cellStyle name="Input [yellow] 3 6 5 18 5" xfId="55083"/>
    <cellStyle name="Input [yellow] 3 6 5 19" xfId="10868"/>
    <cellStyle name="Input [yellow] 3 6 5 19 2" xfId="22065"/>
    <cellStyle name="Input [yellow] 3 6 5 19 3" xfId="33233"/>
    <cellStyle name="Input [yellow] 3 6 5 19 4" xfId="44398"/>
    <cellStyle name="Input [yellow] 3 6 5 19 5" xfId="55591"/>
    <cellStyle name="Input [yellow] 3 6 5 2" xfId="964"/>
    <cellStyle name="Input [yellow] 3 6 5 2 2" xfId="12161"/>
    <cellStyle name="Input [yellow] 3 6 5 2 3" xfId="23329"/>
    <cellStyle name="Input [yellow] 3 6 5 2 4" xfId="34494"/>
    <cellStyle name="Input [yellow] 3 6 5 2 5" xfId="45687"/>
    <cellStyle name="Input [yellow] 3 6 5 20" xfId="11515"/>
    <cellStyle name="Input [yellow] 3 6 5 21" xfId="22685"/>
    <cellStyle name="Input [yellow] 3 6 5 22" xfId="33852"/>
    <cellStyle name="Input [yellow] 3 6 5 23" xfId="45038"/>
    <cellStyle name="Input [yellow] 3 6 5 3" xfId="1369"/>
    <cellStyle name="Input [yellow] 3 6 5 3 2" xfId="12566"/>
    <cellStyle name="Input [yellow] 3 6 5 3 3" xfId="23734"/>
    <cellStyle name="Input [yellow] 3 6 5 3 4" xfId="34899"/>
    <cellStyle name="Input [yellow] 3 6 5 3 5" xfId="46092"/>
    <cellStyle name="Input [yellow] 3 6 5 4" xfId="2240"/>
    <cellStyle name="Input [yellow] 3 6 5 4 2" xfId="13437"/>
    <cellStyle name="Input [yellow] 3 6 5 4 3" xfId="24605"/>
    <cellStyle name="Input [yellow] 3 6 5 4 4" xfId="35770"/>
    <cellStyle name="Input [yellow] 3 6 5 4 5" xfId="46963"/>
    <cellStyle name="Input [yellow] 3 6 5 5" xfId="2665"/>
    <cellStyle name="Input [yellow] 3 6 5 5 2" xfId="13862"/>
    <cellStyle name="Input [yellow] 3 6 5 5 3" xfId="25030"/>
    <cellStyle name="Input [yellow] 3 6 5 5 4" xfId="36195"/>
    <cellStyle name="Input [yellow] 3 6 5 5 5" xfId="47388"/>
    <cellStyle name="Input [yellow] 3 6 5 6" xfId="3299"/>
    <cellStyle name="Input [yellow] 3 6 5 6 2" xfId="14496"/>
    <cellStyle name="Input [yellow] 3 6 5 6 3" xfId="25664"/>
    <cellStyle name="Input [yellow] 3 6 5 6 4" xfId="36829"/>
    <cellStyle name="Input [yellow] 3 6 5 6 5" xfId="48022"/>
    <cellStyle name="Input [yellow] 3 6 5 7" xfId="3933"/>
    <cellStyle name="Input [yellow] 3 6 5 7 2" xfId="15130"/>
    <cellStyle name="Input [yellow] 3 6 5 7 3" xfId="26298"/>
    <cellStyle name="Input [yellow] 3 6 5 7 4" xfId="37463"/>
    <cellStyle name="Input [yellow] 3 6 5 7 5" xfId="48656"/>
    <cellStyle name="Input [yellow] 3 6 5 8" xfId="4566"/>
    <cellStyle name="Input [yellow] 3 6 5 8 2" xfId="15763"/>
    <cellStyle name="Input [yellow] 3 6 5 8 3" xfId="26931"/>
    <cellStyle name="Input [yellow] 3 6 5 8 4" xfId="38096"/>
    <cellStyle name="Input [yellow] 3 6 5 8 5" xfId="49289"/>
    <cellStyle name="Input [yellow] 3 6 5 9" xfId="5197"/>
    <cellStyle name="Input [yellow] 3 6 5 9 2" xfId="16394"/>
    <cellStyle name="Input [yellow] 3 6 5 9 3" xfId="27562"/>
    <cellStyle name="Input [yellow] 3 6 5 9 4" xfId="38727"/>
    <cellStyle name="Input [yellow] 3 6 5 9 5" xfId="49920"/>
    <cellStyle name="Input [yellow] 3 6 6" xfId="409"/>
    <cellStyle name="Input [yellow] 3 6 6 10" xfId="5658"/>
    <cellStyle name="Input [yellow] 3 6 6 10 2" xfId="16855"/>
    <cellStyle name="Input [yellow] 3 6 6 10 3" xfId="28023"/>
    <cellStyle name="Input [yellow] 3 6 6 10 4" xfId="39188"/>
    <cellStyle name="Input [yellow] 3 6 6 10 5" xfId="50381"/>
    <cellStyle name="Input [yellow] 3 6 6 11" xfId="6345"/>
    <cellStyle name="Input [yellow] 3 6 6 11 2" xfId="17542"/>
    <cellStyle name="Input [yellow] 3 6 6 11 3" xfId="28710"/>
    <cellStyle name="Input [yellow] 3 6 6 11 4" xfId="39875"/>
    <cellStyle name="Input [yellow] 3 6 6 11 5" xfId="51068"/>
    <cellStyle name="Input [yellow] 3 6 6 12" xfId="6978"/>
    <cellStyle name="Input [yellow] 3 6 6 12 2" xfId="18175"/>
    <cellStyle name="Input [yellow] 3 6 6 12 3" xfId="29343"/>
    <cellStyle name="Input [yellow] 3 6 6 12 4" xfId="40508"/>
    <cellStyle name="Input [yellow] 3 6 6 12 5" xfId="51701"/>
    <cellStyle name="Input [yellow] 3 6 6 13" xfId="7612"/>
    <cellStyle name="Input [yellow] 3 6 6 13 2" xfId="18809"/>
    <cellStyle name="Input [yellow] 3 6 6 13 3" xfId="29977"/>
    <cellStyle name="Input [yellow] 3 6 6 13 4" xfId="41142"/>
    <cellStyle name="Input [yellow] 3 6 6 13 5" xfId="52335"/>
    <cellStyle name="Input [yellow] 3 6 6 14" xfId="8246"/>
    <cellStyle name="Input [yellow] 3 6 6 14 2" xfId="19443"/>
    <cellStyle name="Input [yellow] 3 6 6 14 3" xfId="30611"/>
    <cellStyle name="Input [yellow] 3 6 6 14 4" xfId="41776"/>
    <cellStyle name="Input [yellow] 3 6 6 14 5" xfId="52969"/>
    <cellStyle name="Input [yellow] 3 6 6 15" xfId="8874"/>
    <cellStyle name="Input [yellow] 3 6 6 15 2" xfId="20071"/>
    <cellStyle name="Input [yellow] 3 6 6 15 3" xfId="31239"/>
    <cellStyle name="Input [yellow] 3 6 6 15 4" xfId="42404"/>
    <cellStyle name="Input [yellow] 3 6 6 15 5" xfId="53597"/>
    <cellStyle name="Input [yellow] 3 6 6 16" xfId="9297"/>
    <cellStyle name="Input [yellow] 3 6 6 16 2" xfId="20494"/>
    <cellStyle name="Input [yellow] 3 6 6 16 3" xfId="31662"/>
    <cellStyle name="Input [yellow] 3 6 6 16 4" xfId="42827"/>
    <cellStyle name="Input [yellow] 3 6 6 16 5" xfId="54020"/>
    <cellStyle name="Input [yellow] 3 6 6 17" xfId="9923"/>
    <cellStyle name="Input [yellow] 3 6 6 17 2" xfId="21120"/>
    <cellStyle name="Input [yellow] 3 6 6 17 3" xfId="32288"/>
    <cellStyle name="Input [yellow] 3 6 6 17 4" xfId="43453"/>
    <cellStyle name="Input [yellow] 3 6 6 17 5" xfId="54646"/>
    <cellStyle name="Input [yellow] 3 6 6 18" xfId="10245"/>
    <cellStyle name="Input [yellow] 3 6 6 18 2" xfId="21442"/>
    <cellStyle name="Input [yellow] 3 6 6 18 3" xfId="32610"/>
    <cellStyle name="Input [yellow] 3 6 6 18 4" xfId="43775"/>
    <cellStyle name="Input [yellow] 3 6 6 18 5" xfId="54968"/>
    <cellStyle name="Input [yellow] 3 6 6 19" xfId="10962"/>
    <cellStyle name="Input [yellow] 3 6 6 19 2" xfId="22159"/>
    <cellStyle name="Input [yellow] 3 6 6 19 3" xfId="33327"/>
    <cellStyle name="Input [yellow] 3 6 6 19 4" xfId="44492"/>
    <cellStyle name="Input [yellow] 3 6 6 19 5" xfId="55685"/>
    <cellStyle name="Input [yellow] 3 6 6 2" xfId="1058"/>
    <cellStyle name="Input [yellow] 3 6 6 2 2" xfId="12255"/>
    <cellStyle name="Input [yellow] 3 6 6 2 3" xfId="23423"/>
    <cellStyle name="Input [yellow] 3 6 6 2 4" xfId="34588"/>
    <cellStyle name="Input [yellow] 3 6 6 2 5" xfId="45781"/>
    <cellStyle name="Input [yellow] 3 6 6 20" xfId="11609"/>
    <cellStyle name="Input [yellow] 3 6 6 21" xfId="22779"/>
    <cellStyle name="Input [yellow] 3 6 6 22" xfId="33946"/>
    <cellStyle name="Input [yellow] 3 6 6 23" xfId="45132"/>
    <cellStyle name="Input [yellow] 3 6 6 3" xfId="1650"/>
    <cellStyle name="Input [yellow] 3 6 6 3 2" xfId="12847"/>
    <cellStyle name="Input [yellow] 3 6 6 3 3" xfId="24015"/>
    <cellStyle name="Input [yellow] 3 6 6 3 4" xfId="35180"/>
    <cellStyle name="Input [yellow] 3 6 6 3 5" xfId="46373"/>
    <cellStyle name="Input [yellow] 3 6 6 4" xfId="2334"/>
    <cellStyle name="Input [yellow] 3 6 6 4 2" xfId="13531"/>
    <cellStyle name="Input [yellow] 3 6 6 4 3" xfId="24699"/>
    <cellStyle name="Input [yellow] 3 6 6 4 4" xfId="35864"/>
    <cellStyle name="Input [yellow] 3 6 6 4 5" xfId="47057"/>
    <cellStyle name="Input [yellow] 3 6 6 5" xfId="2759"/>
    <cellStyle name="Input [yellow] 3 6 6 5 2" xfId="13956"/>
    <cellStyle name="Input [yellow] 3 6 6 5 3" xfId="25124"/>
    <cellStyle name="Input [yellow] 3 6 6 5 4" xfId="36289"/>
    <cellStyle name="Input [yellow] 3 6 6 5 5" xfId="47482"/>
    <cellStyle name="Input [yellow] 3 6 6 6" xfId="3393"/>
    <cellStyle name="Input [yellow] 3 6 6 6 2" xfId="14590"/>
    <cellStyle name="Input [yellow] 3 6 6 6 3" xfId="25758"/>
    <cellStyle name="Input [yellow] 3 6 6 6 4" xfId="36923"/>
    <cellStyle name="Input [yellow] 3 6 6 6 5" xfId="48116"/>
    <cellStyle name="Input [yellow] 3 6 6 7" xfId="4027"/>
    <cellStyle name="Input [yellow] 3 6 6 7 2" xfId="15224"/>
    <cellStyle name="Input [yellow] 3 6 6 7 3" xfId="26392"/>
    <cellStyle name="Input [yellow] 3 6 6 7 4" xfId="37557"/>
    <cellStyle name="Input [yellow] 3 6 6 7 5" xfId="48750"/>
    <cellStyle name="Input [yellow] 3 6 6 8" xfId="4660"/>
    <cellStyle name="Input [yellow] 3 6 6 8 2" xfId="15857"/>
    <cellStyle name="Input [yellow] 3 6 6 8 3" xfId="27025"/>
    <cellStyle name="Input [yellow] 3 6 6 8 4" xfId="38190"/>
    <cellStyle name="Input [yellow] 3 6 6 8 5" xfId="49383"/>
    <cellStyle name="Input [yellow] 3 6 6 9" xfId="5291"/>
    <cellStyle name="Input [yellow] 3 6 6 9 2" xfId="16488"/>
    <cellStyle name="Input [yellow] 3 6 6 9 3" xfId="27656"/>
    <cellStyle name="Input [yellow] 3 6 6 9 4" xfId="38821"/>
    <cellStyle name="Input [yellow] 3 6 6 9 5" xfId="50014"/>
    <cellStyle name="Input [yellow] 3 6 7" xfId="440"/>
    <cellStyle name="Input [yellow] 3 6 7 10" xfId="5775"/>
    <cellStyle name="Input [yellow] 3 6 7 10 2" xfId="16972"/>
    <cellStyle name="Input [yellow] 3 6 7 10 3" xfId="28140"/>
    <cellStyle name="Input [yellow] 3 6 7 10 4" xfId="39305"/>
    <cellStyle name="Input [yellow] 3 6 7 10 5" xfId="50498"/>
    <cellStyle name="Input [yellow] 3 6 7 11" xfId="6376"/>
    <cellStyle name="Input [yellow] 3 6 7 11 2" xfId="17573"/>
    <cellStyle name="Input [yellow] 3 6 7 11 3" xfId="28741"/>
    <cellStyle name="Input [yellow] 3 6 7 11 4" xfId="39906"/>
    <cellStyle name="Input [yellow] 3 6 7 11 5" xfId="51099"/>
    <cellStyle name="Input [yellow] 3 6 7 12" xfId="7009"/>
    <cellStyle name="Input [yellow] 3 6 7 12 2" xfId="18206"/>
    <cellStyle name="Input [yellow] 3 6 7 12 3" xfId="29374"/>
    <cellStyle name="Input [yellow] 3 6 7 12 4" xfId="40539"/>
    <cellStyle name="Input [yellow] 3 6 7 12 5" xfId="51732"/>
    <cellStyle name="Input [yellow] 3 6 7 13" xfId="7643"/>
    <cellStyle name="Input [yellow] 3 6 7 13 2" xfId="18840"/>
    <cellStyle name="Input [yellow] 3 6 7 13 3" xfId="30008"/>
    <cellStyle name="Input [yellow] 3 6 7 13 4" xfId="41173"/>
    <cellStyle name="Input [yellow] 3 6 7 13 5" xfId="52366"/>
    <cellStyle name="Input [yellow] 3 6 7 14" xfId="8277"/>
    <cellStyle name="Input [yellow] 3 6 7 14 2" xfId="19474"/>
    <cellStyle name="Input [yellow] 3 6 7 14 3" xfId="30642"/>
    <cellStyle name="Input [yellow] 3 6 7 14 4" xfId="41807"/>
    <cellStyle name="Input [yellow] 3 6 7 14 5" xfId="53000"/>
    <cellStyle name="Input [yellow] 3 6 7 15" xfId="8905"/>
    <cellStyle name="Input [yellow] 3 6 7 15 2" xfId="20102"/>
    <cellStyle name="Input [yellow] 3 6 7 15 3" xfId="31270"/>
    <cellStyle name="Input [yellow] 3 6 7 15 4" xfId="42435"/>
    <cellStyle name="Input [yellow] 3 6 7 15 5" xfId="53628"/>
    <cellStyle name="Input [yellow] 3 6 7 16" xfId="9328"/>
    <cellStyle name="Input [yellow] 3 6 7 16 2" xfId="20525"/>
    <cellStyle name="Input [yellow] 3 6 7 16 3" xfId="31693"/>
    <cellStyle name="Input [yellow] 3 6 7 16 4" xfId="42858"/>
    <cellStyle name="Input [yellow] 3 6 7 16 5" xfId="54051"/>
    <cellStyle name="Input [yellow] 3 6 7 17" xfId="9954"/>
    <cellStyle name="Input [yellow] 3 6 7 17 2" xfId="21151"/>
    <cellStyle name="Input [yellow] 3 6 7 17 3" xfId="32319"/>
    <cellStyle name="Input [yellow] 3 6 7 17 4" xfId="43484"/>
    <cellStyle name="Input [yellow] 3 6 7 17 5" xfId="54677"/>
    <cellStyle name="Input [yellow] 3 6 7 18" xfId="10443"/>
    <cellStyle name="Input [yellow] 3 6 7 18 2" xfId="21640"/>
    <cellStyle name="Input [yellow] 3 6 7 18 3" xfId="32808"/>
    <cellStyle name="Input [yellow] 3 6 7 18 4" xfId="43973"/>
    <cellStyle name="Input [yellow] 3 6 7 18 5" xfId="55166"/>
    <cellStyle name="Input [yellow] 3 6 7 19" xfId="10993"/>
    <cellStyle name="Input [yellow] 3 6 7 19 2" xfId="22190"/>
    <cellStyle name="Input [yellow] 3 6 7 19 3" xfId="33358"/>
    <cellStyle name="Input [yellow] 3 6 7 19 4" xfId="44523"/>
    <cellStyle name="Input [yellow] 3 6 7 19 5" xfId="55716"/>
    <cellStyle name="Input [yellow] 3 6 7 2" xfId="1089"/>
    <cellStyle name="Input [yellow] 3 6 7 2 2" xfId="12286"/>
    <cellStyle name="Input [yellow] 3 6 7 2 3" xfId="23454"/>
    <cellStyle name="Input [yellow] 3 6 7 2 4" xfId="34619"/>
    <cellStyle name="Input [yellow] 3 6 7 2 5" xfId="45812"/>
    <cellStyle name="Input [yellow] 3 6 7 20" xfId="11640"/>
    <cellStyle name="Input [yellow] 3 6 7 21" xfId="22810"/>
    <cellStyle name="Input [yellow] 3 6 7 22" xfId="33977"/>
    <cellStyle name="Input [yellow] 3 6 7 23" xfId="45163"/>
    <cellStyle name="Input [yellow] 3 6 7 3" xfId="1721"/>
    <cellStyle name="Input [yellow] 3 6 7 3 2" xfId="12918"/>
    <cellStyle name="Input [yellow] 3 6 7 3 3" xfId="24086"/>
    <cellStyle name="Input [yellow] 3 6 7 3 4" xfId="35251"/>
    <cellStyle name="Input [yellow] 3 6 7 3 5" xfId="46444"/>
    <cellStyle name="Input [yellow] 3 6 7 4" xfId="2365"/>
    <cellStyle name="Input [yellow] 3 6 7 4 2" xfId="13562"/>
    <cellStyle name="Input [yellow] 3 6 7 4 3" xfId="24730"/>
    <cellStyle name="Input [yellow] 3 6 7 4 4" xfId="35895"/>
    <cellStyle name="Input [yellow] 3 6 7 4 5" xfId="47088"/>
    <cellStyle name="Input [yellow] 3 6 7 5" xfId="2790"/>
    <cellStyle name="Input [yellow] 3 6 7 5 2" xfId="13987"/>
    <cellStyle name="Input [yellow] 3 6 7 5 3" xfId="25155"/>
    <cellStyle name="Input [yellow] 3 6 7 5 4" xfId="36320"/>
    <cellStyle name="Input [yellow] 3 6 7 5 5" xfId="47513"/>
    <cellStyle name="Input [yellow] 3 6 7 6" xfId="3424"/>
    <cellStyle name="Input [yellow] 3 6 7 6 2" xfId="14621"/>
    <cellStyle name="Input [yellow] 3 6 7 6 3" xfId="25789"/>
    <cellStyle name="Input [yellow] 3 6 7 6 4" xfId="36954"/>
    <cellStyle name="Input [yellow] 3 6 7 6 5" xfId="48147"/>
    <cellStyle name="Input [yellow] 3 6 7 7" xfId="4058"/>
    <cellStyle name="Input [yellow] 3 6 7 7 2" xfId="15255"/>
    <cellStyle name="Input [yellow] 3 6 7 7 3" xfId="26423"/>
    <cellStyle name="Input [yellow] 3 6 7 7 4" xfId="37588"/>
    <cellStyle name="Input [yellow] 3 6 7 7 5" xfId="48781"/>
    <cellStyle name="Input [yellow] 3 6 7 8" xfId="4691"/>
    <cellStyle name="Input [yellow] 3 6 7 8 2" xfId="15888"/>
    <cellStyle name="Input [yellow] 3 6 7 8 3" xfId="27056"/>
    <cellStyle name="Input [yellow] 3 6 7 8 4" xfId="38221"/>
    <cellStyle name="Input [yellow] 3 6 7 8 5" xfId="49414"/>
    <cellStyle name="Input [yellow] 3 6 7 9" xfId="5322"/>
    <cellStyle name="Input [yellow] 3 6 7 9 2" xfId="16519"/>
    <cellStyle name="Input [yellow] 3 6 7 9 3" xfId="27687"/>
    <cellStyle name="Input [yellow] 3 6 7 9 4" xfId="38852"/>
    <cellStyle name="Input [yellow] 3 6 7 9 5" xfId="50045"/>
    <cellStyle name="Input [yellow] 3 6 8" xfId="494"/>
    <cellStyle name="Input [yellow] 3 6 8 10" xfId="6171"/>
    <cellStyle name="Input [yellow] 3 6 8 10 2" xfId="17368"/>
    <cellStyle name="Input [yellow] 3 6 8 10 3" xfId="28536"/>
    <cellStyle name="Input [yellow] 3 6 8 10 4" xfId="39701"/>
    <cellStyle name="Input [yellow] 3 6 8 10 5" xfId="50894"/>
    <cellStyle name="Input [yellow] 3 6 8 11" xfId="6430"/>
    <cellStyle name="Input [yellow] 3 6 8 11 2" xfId="17627"/>
    <cellStyle name="Input [yellow] 3 6 8 11 3" xfId="28795"/>
    <cellStyle name="Input [yellow] 3 6 8 11 4" xfId="39960"/>
    <cellStyle name="Input [yellow] 3 6 8 11 5" xfId="51153"/>
    <cellStyle name="Input [yellow] 3 6 8 12" xfId="7063"/>
    <cellStyle name="Input [yellow] 3 6 8 12 2" xfId="18260"/>
    <cellStyle name="Input [yellow] 3 6 8 12 3" xfId="29428"/>
    <cellStyle name="Input [yellow] 3 6 8 12 4" xfId="40593"/>
    <cellStyle name="Input [yellow] 3 6 8 12 5" xfId="51786"/>
    <cellStyle name="Input [yellow] 3 6 8 13" xfId="7697"/>
    <cellStyle name="Input [yellow] 3 6 8 13 2" xfId="18894"/>
    <cellStyle name="Input [yellow] 3 6 8 13 3" xfId="30062"/>
    <cellStyle name="Input [yellow] 3 6 8 13 4" xfId="41227"/>
    <cellStyle name="Input [yellow] 3 6 8 13 5" xfId="52420"/>
    <cellStyle name="Input [yellow] 3 6 8 14" xfId="8331"/>
    <cellStyle name="Input [yellow] 3 6 8 14 2" xfId="19528"/>
    <cellStyle name="Input [yellow] 3 6 8 14 3" xfId="30696"/>
    <cellStyle name="Input [yellow] 3 6 8 14 4" xfId="41861"/>
    <cellStyle name="Input [yellow] 3 6 8 14 5" xfId="53054"/>
    <cellStyle name="Input [yellow] 3 6 8 15" xfId="8959"/>
    <cellStyle name="Input [yellow] 3 6 8 15 2" xfId="20156"/>
    <cellStyle name="Input [yellow] 3 6 8 15 3" xfId="31324"/>
    <cellStyle name="Input [yellow] 3 6 8 15 4" xfId="42489"/>
    <cellStyle name="Input [yellow] 3 6 8 15 5" xfId="53682"/>
    <cellStyle name="Input [yellow] 3 6 8 16" xfId="9382"/>
    <cellStyle name="Input [yellow] 3 6 8 16 2" xfId="20579"/>
    <cellStyle name="Input [yellow] 3 6 8 16 3" xfId="31747"/>
    <cellStyle name="Input [yellow] 3 6 8 16 4" xfId="42912"/>
    <cellStyle name="Input [yellow] 3 6 8 16 5" xfId="54105"/>
    <cellStyle name="Input [yellow] 3 6 8 17" xfId="10008"/>
    <cellStyle name="Input [yellow] 3 6 8 17 2" xfId="21205"/>
    <cellStyle name="Input [yellow] 3 6 8 17 3" xfId="32373"/>
    <cellStyle name="Input [yellow] 3 6 8 17 4" xfId="43538"/>
    <cellStyle name="Input [yellow] 3 6 8 17 5" xfId="54731"/>
    <cellStyle name="Input [yellow] 3 6 8 18" xfId="9888"/>
    <cellStyle name="Input [yellow] 3 6 8 18 2" xfId="21085"/>
    <cellStyle name="Input [yellow] 3 6 8 18 3" xfId="32253"/>
    <cellStyle name="Input [yellow] 3 6 8 18 4" xfId="43418"/>
    <cellStyle name="Input [yellow] 3 6 8 18 5" xfId="54611"/>
    <cellStyle name="Input [yellow] 3 6 8 19" xfId="11047"/>
    <cellStyle name="Input [yellow] 3 6 8 19 2" xfId="22244"/>
    <cellStyle name="Input [yellow] 3 6 8 19 3" xfId="33412"/>
    <cellStyle name="Input [yellow] 3 6 8 19 4" xfId="44577"/>
    <cellStyle name="Input [yellow] 3 6 8 19 5" xfId="55770"/>
    <cellStyle name="Input [yellow] 3 6 8 2" xfId="1143"/>
    <cellStyle name="Input [yellow] 3 6 8 2 2" xfId="12340"/>
    <cellStyle name="Input [yellow] 3 6 8 2 3" xfId="23508"/>
    <cellStyle name="Input [yellow] 3 6 8 2 4" xfId="34673"/>
    <cellStyle name="Input [yellow] 3 6 8 2 5" xfId="45866"/>
    <cellStyle name="Input [yellow] 3 6 8 20" xfId="11694"/>
    <cellStyle name="Input [yellow] 3 6 8 21" xfId="22864"/>
    <cellStyle name="Input [yellow] 3 6 8 22" xfId="34031"/>
    <cellStyle name="Input [yellow] 3 6 8 23" xfId="45217"/>
    <cellStyle name="Input [yellow] 3 6 8 3" xfId="1446"/>
    <cellStyle name="Input [yellow] 3 6 8 3 2" xfId="12643"/>
    <cellStyle name="Input [yellow] 3 6 8 3 3" xfId="23811"/>
    <cellStyle name="Input [yellow] 3 6 8 3 4" xfId="34976"/>
    <cellStyle name="Input [yellow] 3 6 8 3 5" xfId="46169"/>
    <cellStyle name="Input [yellow] 3 6 8 4" xfId="2419"/>
    <cellStyle name="Input [yellow] 3 6 8 4 2" xfId="13616"/>
    <cellStyle name="Input [yellow] 3 6 8 4 3" xfId="24784"/>
    <cellStyle name="Input [yellow] 3 6 8 4 4" xfId="35949"/>
    <cellStyle name="Input [yellow] 3 6 8 4 5" xfId="47142"/>
    <cellStyle name="Input [yellow] 3 6 8 5" xfId="2844"/>
    <cellStyle name="Input [yellow] 3 6 8 5 2" xfId="14041"/>
    <cellStyle name="Input [yellow] 3 6 8 5 3" xfId="25209"/>
    <cellStyle name="Input [yellow] 3 6 8 5 4" xfId="36374"/>
    <cellStyle name="Input [yellow] 3 6 8 5 5" xfId="47567"/>
    <cellStyle name="Input [yellow] 3 6 8 6" xfId="3478"/>
    <cellStyle name="Input [yellow] 3 6 8 6 2" xfId="14675"/>
    <cellStyle name="Input [yellow] 3 6 8 6 3" xfId="25843"/>
    <cellStyle name="Input [yellow] 3 6 8 6 4" xfId="37008"/>
    <cellStyle name="Input [yellow] 3 6 8 6 5" xfId="48201"/>
    <cellStyle name="Input [yellow] 3 6 8 7" xfId="4112"/>
    <cellStyle name="Input [yellow] 3 6 8 7 2" xfId="15309"/>
    <cellStyle name="Input [yellow] 3 6 8 7 3" xfId="26477"/>
    <cellStyle name="Input [yellow] 3 6 8 7 4" xfId="37642"/>
    <cellStyle name="Input [yellow] 3 6 8 7 5" xfId="48835"/>
    <cellStyle name="Input [yellow] 3 6 8 8" xfId="4745"/>
    <cellStyle name="Input [yellow] 3 6 8 8 2" xfId="15942"/>
    <cellStyle name="Input [yellow] 3 6 8 8 3" xfId="27110"/>
    <cellStyle name="Input [yellow] 3 6 8 8 4" xfId="38275"/>
    <cellStyle name="Input [yellow] 3 6 8 8 5" xfId="49468"/>
    <cellStyle name="Input [yellow] 3 6 8 9" xfId="5376"/>
    <cellStyle name="Input [yellow] 3 6 8 9 2" xfId="16573"/>
    <cellStyle name="Input [yellow] 3 6 8 9 3" xfId="27741"/>
    <cellStyle name="Input [yellow] 3 6 8 9 4" xfId="38906"/>
    <cellStyle name="Input [yellow] 3 6 8 9 5" xfId="50099"/>
    <cellStyle name="Input [yellow] 3 6 9" xfId="552"/>
    <cellStyle name="Input [yellow] 3 6 9 10" xfId="5701"/>
    <cellStyle name="Input [yellow] 3 6 9 10 2" xfId="16898"/>
    <cellStyle name="Input [yellow] 3 6 9 10 3" xfId="28066"/>
    <cellStyle name="Input [yellow] 3 6 9 10 4" xfId="39231"/>
    <cellStyle name="Input [yellow] 3 6 9 10 5" xfId="50424"/>
    <cellStyle name="Input [yellow] 3 6 9 11" xfId="6488"/>
    <cellStyle name="Input [yellow] 3 6 9 11 2" xfId="17685"/>
    <cellStyle name="Input [yellow] 3 6 9 11 3" xfId="28853"/>
    <cellStyle name="Input [yellow] 3 6 9 11 4" xfId="40018"/>
    <cellStyle name="Input [yellow] 3 6 9 11 5" xfId="51211"/>
    <cellStyle name="Input [yellow] 3 6 9 12" xfId="7121"/>
    <cellStyle name="Input [yellow] 3 6 9 12 2" xfId="18318"/>
    <cellStyle name="Input [yellow] 3 6 9 12 3" xfId="29486"/>
    <cellStyle name="Input [yellow] 3 6 9 12 4" xfId="40651"/>
    <cellStyle name="Input [yellow] 3 6 9 12 5" xfId="51844"/>
    <cellStyle name="Input [yellow] 3 6 9 13" xfId="7755"/>
    <cellStyle name="Input [yellow] 3 6 9 13 2" xfId="18952"/>
    <cellStyle name="Input [yellow] 3 6 9 13 3" xfId="30120"/>
    <cellStyle name="Input [yellow] 3 6 9 13 4" xfId="41285"/>
    <cellStyle name="Input [yellow] 3 6 9 13 5" xfId="52478"/>
    <cellStyle name="Input [yellow] 3 6 9 14" xfId="8389"/>
    <cellStyle name="Input [yellow] 3 6 9 14 2" xfId="19586"/>
    <cellStyle name="Input [yellow] 3 6 9 14 3" xfId="30754"/>
    <cellStyle name="Input [yellow] 3 6 9 14 4" xfId="41919"/>
    <cellStyle name="Input [yellow] 3 6 9 14 5" xfId="53112"/>
    <cellStyle name="Input [yellow] 3 6 9 15" xfId="9017"/>
    <cellStyle name="Input [yellow] 3 6 9 15 2" xfId="20214"/>
    <cellStyle name="Input [yellow] 3 6 9 15 3" xfId="31382"/>
    <cellStyle name="Input [yellow] 3 6 9 15 4" xfId="42547"/>
    <cellStyle name="Input [yellow] 3 6 9 15 5" xfId="53740"/>
    <cellStyle name="Input [yellow] 3 6 9 16" xfId="9440"/>
    <cellStyle name="Input [yellow] 3 6 9 16 2" xfId="20637"/>
    <cellStyle name="Input [yellow] 3 6 9 16 3" xfId="31805"/>
    <cellStyle name="Input [yellow] 3 6 9 16 4" xfId="42970"/>
    <cellStyle name="Input [yellow] 3 6 9 16 5" xfId="54163"/>
    <cellStyle name="Input [yellow] 3 6 9 17" xfId="10065"/>
    <cellStyle name="Input [yellow] 3 6 9 17 2" xfId="21262"/>
    <cellStyle name="Input [yellow] 3 6 9 17 3" xfId="32430"/>
    <cellStyle name="Input [yellow] 3 6 9 17 4" xfId="43595"/>
    <cellStyle name="Input [yellow] 3 6 9 17 5" xfId="54788"/>
    <cellStyle name="Input [yellow] 3 6 9 18" xfId="10544"/>
    <cellStyle name="Input [yellow] 3 6 9 18 2" xfId="21741"/>
    <cellStyle name="Input [yellow] 3 6 9 18 3" xfId="32909"/>
    <cellStyle name="Input [yellow] 3 6 9 18 4" xfId="44074"/>
    <cellStyle name="Input [yellow] 3 6 9 18 5" xfId="55267"/>
    <cellStyle name="Input [yellow] 3 6 9 19" xfId="11105"/>
    <cellStyle name="Input [yellow] 3 6 9 19 2" xfId="22302"/>
    <cellStyle name="Input [yellow] 3 6 9 19 3" xfId="33470"/>
    <cellStyle name="Input [yellow] 3 6 9 19 4" xfId="44635"/>
    <cellStyle name="Input [yellow] 3 6 9 19 5" xfId="55828"/>
    <cellStyle name="Input [yellow] 3 6 9 2" xfId="1201"/>
    <cellStyle name="Input [yellow] 3 6 9 2 2" xfId="12398"/>
    <cellStyle name="Input [yellow] 3 6 9 2 3" xfId="23566"/>
    <cellStyle name="Input [yellow] 3 6 9 2 4" xfId="34731"/>
    <cellStyle name="Input [yellow] 3 6 9 2 5" xfId="45924"/>
    <cellStyle name="Input [yellow] 3 6 9 20" xfId="11752"/>
    <cellStyle name="Input [yellow] 3 6 9 21" xfId="22922"/>
    <cellStyle name="Input [yellow] 3 6 9 22" xfId="34089"/>
    <cellStyle name="Input [yellow] 3 6 9 23" xfId="45275"/>
    <cellStyle name="Input [yellow] 3 6 9 3" xfId="1374"/>
    <cellStyle name="Input [yellow] 3 6 9 3 2" xfId="12571"/>
    <cellStyle name="Input [yellow] 3 6 9 3 3" xfId="23739"/>
    <cellStyle name="Input [yellow] 3 6 9 3 4" xfId="34904"/>
    <cellStyle name="Input [yellow] 3 6 9 3 5" xfId="46097"/>
    <cellStyle name="Input [yellow] 3 6 9 4" xfId="2477"/>
    <cellStyle name="Input [yellow] 3 6 9 4 2" xfId="13674"/>
    <cellStyle name="Input [yellow] 3 6 9 4 3" xfId="24842"/>
    <cellStyle name="Input [yellow] 3 6 9 4 4" xfId="36007"/>
    <cellStyle name="Input [yellow] 3 6 9 4 5" xfId="47200"/>
    <cellStyle name="Input [yellow] 3 6 9 5" xfId="2902"/>
    <cellStyle name="Input [yellow] 3 6 9 5 2" xfId="14099"/>
    <cellStyle name="Input [yellow] 3 6 9 5 3" xfId="25267"/>
    <cellStyle name="Input [yellow] 3 6 9 5 4" xfId="36432"/>
    <cellStyle name="Input [yellow] 3 6 9 5 5" xfId="47625"/>
    <cellStyle name="Input [yellow] 3 6 9 6" xfId="3536"/>
    <cellStyle name="Input [yellow] 3 6 9 6 2" xfId="14733"/>
    <cellStyle name="Input [yellow] 3 6 9 6 3" xfId="25901"/>
    <cellStyle name="Input [yellow] 3 6 9 6 4" xfId="37066"/>
    <cellStyle name="Input [yellow] 3 6 9 6 5" xfId="48259"/>
    <cellStyle name="Input [yellow] 3 6 9 7" xfId="4170"/>
    <cellStyle name="Input [yellow] 3 6 9 7 2" xfId="15367"/>
    <cellStyle name="Input [yellow] 3 6 9 7 3" xfId="26535"/>
    <cellStyle name="Input [yellow] 3 6 9 7 4" xfId="37700"/>
    <cellStyle name="Input [yellow] 3 6 9 7 5" xfId="48893"/>
    <cellStyle name="Input [yellow] 3 6 9 8" xfId="4803"/>
    <cellStyle name="Input [yellow] 3 6 9 8 2" xfId="16000"/>
    <cellStyle name="Input [yellow] 3 6 9 8 3" xfId="27168"/>
    <cellStyle name="Input [yellow] 3 6 9 8 4" xfId="38333"/>
    <cellStyle name="Input [yellow] 3 6 9 8 5" xfId="49526"/>
    <cellStyle name="Input [yellow] 3 6 9 9" xfId="5434"/>
    <cellStyle name="Input [yellow] 3 6 9 9 2" xfId="16631"/>
    <cellStyle name="Input [yellow] 3 6 9 9 3" xfId="27799"/>
    <cellStyle name="Input [yellow] 3 6 9 9 4" xfId="38964"/>
    <cellStyle name="Input [yellow] 3 6 9 9 5" xfId="50157"/>
    <cellStyle name="Input [yellow] 3 7" xfId="88"/>
    <cellStyle name="Input [yellow] 3 7 10" xfId="520"/>
    <cellStyle name="Input [yellow] 3 7 10 10" xfId="5602"/>
    <cellStyle name="Input [yellow] 3 7 10 10 2" xfId="16799"/>
    <cellStyle name="Input [yellow] 3 7 10 10 3" xfId="27967"/>
    <cellStyle name="Input [yellow] 3 7 10 10 4" xfId="39132"/>
    <cellStyle name="Input [yellow] 3 7 10 10 5" xfId="50325"/>
    <cellStyle name="Input [yellow] 3 7 10 11" xfId="6456"/>
    <cellStyle name="Input [yellow] 3 7 10 11 2" xfId="17653"/>
    <cellStyle name="Input [yellow] 3 7 10 11 3" xfId="28821"/>
    <cellStyle name="Input [yellow] 3 7 10 11 4" xfId="39986"/>
    <cellStyle name="Input [yellow] 3 7 10 11 5" xfId="51179"/>
    <cellStyle name="Input [yellow] 3 7 10 12" xfId="7089"/>
    <cellStyle name="Input [yellow] 3 7 10 12 2" xfId="18286"/>
    <cellStyle name="Input [yellow] 3 7 10 12 3" xfId="29454"/>
    <cellStyle name="Input [yellow] 3 7 10 12 4" xfId="40619"/>
    <cellStyle name="Input [yellow] 3 7 10 12 5" xfId="51812"/>
    <cellStyle name="Input [yellow] 3 7 10 13" xfId="7723"/>
    <cellStyle name="Input [yellow] 3 7 10 13 2" xfId="18920"/>
    <cellStyle name="Input [yellow] 3 7 10 13 3" xfId="30088"/>
    <cellStyle name="Input [yellow] 3 7 10 13 4" xfId="41253"/>
    <cellStyle name="Input [yellow] 3 7 10 13 5" xfId="52446"/>
    <cellStyle name="Input [yellow] 3 7 10 14" xfId="8357"/>
    <cellStyle name="Input [yellow] 3 7 10 14 2" xfId="19554"/>
    <cellStyle name="Input [yellow] 3 7 10 14 3" xfId="30722"/>
    <cellStyle name="Input [yellow] 3 7 10 14 4" xfId="41887"/>
    <cellStyle name="Input [yellow] 3 7 10 14 5" xfId="53080"/>
    <cellStyle name="Input [yellow] 3 7 10 15" xfId="8985"/>
    <cellStyle name="Input [yellow] 3 7 10 15 2" xfId="20182"/>
    <cellStyle name="Input [yellow] 3 7 10 15 3" xfId="31350"/>
    <cellStyle name="Input [yellow] 3 7 10 15 4" xfId="42515"/>
    <cellStyle name="Input [yellow] 3 7 10 15 5" xfId="53708"/>
    <cellStyle name="Input [yellow] 3 7 10 16" xfId="9408"/>
    <cellStyle name="Input [yellow] 3 7 10 16 2" xfId="20605"/>
    <cellStyle name="Input [yellow] 3 7 10 16 3" xfId="31773"/>
    <cellStyle name="Input [yellow] 3 7 10 16 4" xfId="42938"/>
    <cellStyle name="Input [yellow] 3 7 10 16 5" xfId="54131"/>
    <cellStyle name="Input [yellow] 3 7 10 17" xfId="10033"/>
    <cellStyle name="Input [yellow] 3 7 10 17 2" xfId="21230"/>
    <cellStyle name="Input [yellow] 3 7 10 17 3" xfId="32398"/>
    <cellStyle name="Input [yellow] 3 7 10 17 4" xfId="43563"/>
    <cellStyle name="Input [yellow] 3 7 10 17 5" xfId="54756"/>
    <cellStyle name="Input [yellow] 3 7 10 18" xfId="9679"/>
    <cellStyle name="Input [yellow] 3 7 10 18 2" xfId="20876"/>
    <cellStyle name="Input [yellow] 3 7 10 18 3" xfId="32044"/>
    <cellStyle name="Input [yellow] 3 7 10 18 4" xfId="43209"/>
    <cellStyle name="Input [yellow] 3 7 10 18 5" xfId="54402"/>
    <cellStyle name="Input [yellow] 3 7 10 19" xfId="11073"/>
    <cellStyle name="Input [yellow] 3 7 10 19 2" xfId="22270"/>
    <cellStyle name="Input [yellow] 3 7 10 19 3" xfId="33438"/>
    <cellStyle name="Input [yellow] 3 7 10 19 4" xfId="44603"/>
    <cellStyle name="Input [yellow] 3 7 10 19 5" xfId="55796"/>
    <cellStyle name="Input [yellow] 3 7 10 2" xfId="1169"/>
    <cellStyle name="Input [yellow] 3 7 10 2 2" xfId="12366"/>
    <cellStyle name="Input [yellow] 3 7 10 2 3" xfId="23534"/>
    <cellStyle name="Input [yellow] 3 7 10 2 4" xfId="34699"/>
    <cellStyle name="Input [yellow] 3 7 10 2 5" xfId="45892"/>
    <cellStyle name="Input [yellow] 3 7 10 20" xfId="11720"/>
    <cellStyle name="Input [yellow] 3 7 10 21" xfId="22890"/>
    <cellStyle name="Input [yellow] 3 7 10 22" xfId="34057"/>
    <cellStyle name="Input [yellow] 3 7 10 23" xfId="45243"/>
    <cellStyle name="Input [yellow] 3 7 10 3" xfId="1839"/>
    <cellStyle name="Input [yellow] 3 7 10 3 2" xfId="13036"/>
    <cellStyle name="Input [yellow] 3 7 10 3 3" xfId="24204"/>
    <cellStyle name="Input [yellow] 3 7 10 3 4" xfId="35369"/>
    <cellStyle name="Input [yellow] 3 7 10 3 5" xfId="46562"/>
    <cellStyle name="Input [yellow] 3 7 10 4" xfId="2445"/>
    <cellStyle name="Input [yellow] 3 7 10 4 2" xfId="13642"/>
    <cellStyle name="Input [yellow] 3 7 10 4 3" xfId="24810"/>
    <cellStyle name="Input [yellow] 3 7 10 4 4" xfId="35975"/>
    <cellStyle name="Input [yellow] 3 7 10 4 5" xfId="47168"/>
    <cellStyle name="Input [yellow] 3 7 10 5" xfId="2870"/>
    <cellStyle name="Input [yellow] 3 7 10 5 2" xfId="14067"/>
    <cellStyle name="Input [yellow] 3 7 10 5 3" xfId="25235"/>
    <cellStyle name="Input [yellow] 3 7 10 5 4" xfId="36400"/>
    <cellStyle name="Input [yellow] 3 7 10 5 5" xfId="47593"/>
    <cellStyle name="Input [yellow] 3 7 10 6" xfId="3504"/>
    <cellStyle name="Input [yellow] 3 7 10 6 2" xfId="14701"/>
    <cellStyle name="Input [yellow] 3 7 10 6 3" xfId="25869"/>
    <cellStyle name="Input [yellow] 3 7 10 6 4" xfId="37034"/>
    <cellStyle name="Input [yellow] 3 7 10 6 5" xfId="48227"/>
    <cellStyle name="Input [yellow] 3 7 10 7" xfId="4138"/>
    <cellStyle name="Input [yellow] 3 7 10 7 2" xfId="15335"/>
    <cellStyle name="Input [yellow] 3 7 10 7 3" xfId="26503"/>
    <cellStyle name="Input [yellow] 3 7 10 7 4" xfId="37668"/>
    <cellStyle name="Input [yellow] 3 7 10 7 5" xfId="48861"/>
    <cellStyle name="Input [yellow] 3 7 10 8" xfId="4771"/>
    <cellStyle name="Input [yellow] 3 7 10 8 2" xfId="15968"/>
    <cellStyle name="Input [yellow] 3 7 10 8 3" xfId="27136"/>
    <cellStyle name="Input [yellow] 3 7 10 8 4" xfId="38301"/>
    <cellStyle name="Input [yellow] 3 7 10 8 5" xfId="49494"/>
    <cellStyle name="Input [yellow] 3 7 10 9" xfId="5402"/>
    <cellStyle name="Input [yellow] 3 7 10 9 2" xfId="16599"/>
    <cellStyle name="Input [yellow] 3 7 10 9 3" xfId="27767"/>
    <cellStyle name="Input [yellow] 3 7 10 9 4" xfId="38932"/>
    <cellStyle name="Input [yellow] 3 7 10 9 5" xfId="50125"/>
    <cellStyle name="Input [yellow] 3 7 11" xfId="652"/>
    <cellStyle name="Input [yellow] 3 7 11 10" xfId="5632"/>
    <cellStyle name="Input [yellow] 3 7 11 10 2" xfId="16829"/>
    <cellStyle name="Input [yellow] 3 7 11 10 3" xfId="27997"/>
    <cellStyle name="Input [yellow] 3 7 11 10 4" xfId="39162"/>
    <cellStyle name="Input [yellow] 3 7 11 10 5" xfId="50355"/>
    <cellStyle name="Input [yellow] 3 7 11 11" xfId="6588"/>
    <cellStyle name="Input [yellow] 3 7 11 11 2" xfId="17785"/>
    <cellStyle name="Input [yellow] 3 7 11 11 3" xfId="28953"/>
    <cellStyle name="Input [yellow] 3 7 11 11 4" xfId="40118"/>
    <cellStyle name="Input [yellow] 3 7 11 11 5" xfId="51311"/>
    <cellStyle name="Input [yellow] 3 7 11 12" xfId="7221"/>
    <cellStyle name="Input [yellow] 3 7 11 12 2" xfId="18418"/>
    <cellStyle name="Input [yellow] 3 7 11 12 3" xfId="29586"/>
    <cellStyle name="Input [yellow] 3 7 11 12 4" xfId="40751"/>
    <cellStyle name="Input [yellow] 3 7 11 12 5" xfId="51944"/>
    <cellStyle name="Input [yellow] 3 7 11 13" xfId="7855"/>
    <cellStyle name="Input [yellow] 3 7 11 13 2" xfId="19052"/>
    <cellStyle name="Input [yellow] 3 7 11 13 3" xfId="30220"/>
    <cellStyle name="Input [yellow] 3 7 11 13 4" xfId="41385"/>
    <cellStyle name="Input [yellow] 3 7 11 13 5" xfId="52578"/>
    <cellStyle name="Input [yellow] 3 7 11 14" xfId="8489"/>
    <cellStyle name="Input [yellow] 3 7 11 14 2" xfId="19686"/>
    <cellStyle name="Input [yellow] 3 7 11 14 3" xfId="30854"/>
    <cellStyle name="Input [yellow] 3 7 11 14 4" xfId="42019"/>
    <cellStyle name="Input [yellow] 3 7 11 14 5" xfId="53212"/>
    <cellStyle name="Input [yellow] 3 7 11 15" xfId="9117"/>
    <cellStyle name="Input [yellow] 3 7 11 15 2" xfId="20314"/>
    <cellStyle name="Input [yellow] 3 7 11 15 3" xfId="31482"/>
    <cellStyle name="Input [yellow] 3 7 11 15 4" xfId="42647"/>
    <cellStyle name="Input [yellow] 3 7 11 15 5" xfId="53840"/>
    <cellStyle name="Input [yellow] 3 7 11 16" xfId="9540"/>
    <cellStyle name="Input [yellow] 3 7 11 16 2" xfId="20737"/>
    <cellStyle name="Input [yellow] 3 7 11 16 3" xfId="31905"/>
    <cellStyle name="Input [yellow] 3 7 11 16 4" xfId="43070"/>
    <cellStyle name="Input [yellow] 3 7 11 16 5" xfId="54263"/>
    <cellStyle name="Input [yellow] 3 7 11 17" xfId="10165"/>
    <cellStyle name="Input [yellow] 3 7 11 17 2" xfId="21362"/>
    <cellStyle name="Input [yellow] 3 7 11 17 3" xfId="32530"/>
    <cellStyle name="Input [yellow] 3 7 11 17 4" xfId="43695"/>
    <cellStyle name="Input [yellow] 3 7 11 17 5" xfId="54888"/>
    <cellStyle name="Input [yellow] 3 7 11 18" xfId="10569"/>
    <cellStyle name="Input [yellow] 3 7 11 18 2" xfId="21766"/>
    <cellStyle name="Input [yellow] 3 7 11 18 3" xfId="32934"/>
    <cellStyle name="Input [yellow] 3 7 11 18 4" xfId="44099"/>
    <cellStyle name="Input [yellow] 3 7 11 18 5" xfId="55292"/>
    <cellStyle name="Input [yellow] 3 7 11 19" xfId="11205"/>
    <cellStyle name="Input [yellow] 3 7 11 19 2" xfId="22402"/>
    <cellStyle name="Input [yellow] 3 7 11 19 3" xfId="33570"/>
    <cellStyle name="Input [yellow] 3 7 11 19 4" xfId="44735"/>
    <cellStyle name="Input [yellow] 3 7 11 19 5" xfId="55928"/>
    <cellStyle name="Input [yellow] 3 7 11 2" xfId="1301"/>
    <cellStyle name="Input [yellow] 3 7 11 2 2" xfId="12498"/>
    <cellStyle name="Input [yellow] 3 7 11 2 3" xfId="23666"/>
    <cellStyle name="Input [yellow] 3 7 11 2 4" xfId="34831"/>
    <cellStyle name="Input [yellow] 3 7 11 2 5" xfId="46024"/>
    <cellStyle name="Input [yellow] 3 7 11 20" xfId="11852"/>
    <cellStyle name="Input [yellow] 3 7 11 21" xfId="23022"/>
    <cellStyle name="Input [yellow] 3 7 11 22" xfId="34189"/>
    <cellStyle name="Input [yellow] 3 7 11 23" xfId="45375"/>
    <cellStyle name="Input [yellow] 3 7 11 3" xfId="1403"/>
    <cellStyle name="Input [yellow] 3 7 11 3 2" xfId="12600"/>
    <cellStyle name="Input [yellow] 3 7 11 3 3" xfId="23768"/>
    <cellStyle name="Input [yellow] 3 7 11 3 4" xfId="34933"/>
    <cellStyle name="Input [yellow] 3 7 11 3 5" xfId="46126"/>
    <cellStyle name="Input [yellow] 3 7 11 4" xfId="2577"/>
    <cellStyle name="Input [yellow] 3 7 11 4 2" xfId="13774"/>
    <cellStyle name="Input [yellow] 3 7 11 4 3" xfId="24942"/>
    <cellStyle name="Input [yellow] 3 7 11 4 4" xfId="36107"/>
    <cellStyle name="Input [yellow] 3 7 11 4 5" xfId="47300"/>
    <cellStyle name="Input [yellow] 3 7 11 5" xfId="3002"/>
    <cellStyle name="Input [yellow] 3 7 11 5 2" xfId="14199"/>
    <cellStyle name="Input [yellow] 3 7 11 5 3" xfId="25367"/>
    <cellStyle name="Input [yellow] 3 7 11 5 4" xfId="36532"/>
    <cellStyle name="Input [yellow] 3 7 11 5 5" xfId="47725"/>
    <cellStyle name="Input [yellow] 3 7 11 6" xfId="3636"/>
    <cellStyle name="Input [yellow] 3 7 11 6 2" xfId="14833"/>
    <cellStyle name="Input [yellow] 3 7 11 6 3" xfId="26001"/>
    <cellStyle name="Input [yellow] 3 7 11 6 4" xfId="37166"/>
    <cellStyle name="Input [yellow] 3 7 11 6 5" xfId="48359"/>
    <cellStyle name="Input [yellow] 3 7 11 7" xfId="4270"/>
    <cellStyle name="Input [yellow] 3 7 11 7 2" xfId="15467"/>
    <cellStyle name="Input [yellow] 3 7 11 7 3" xfId="26635"/>
    <cellStyle name="Input [yellow] 3 7 11 7 4" xfId="37800"/>
    <cellStyle name="Input [yellow] 3 7 11 7 5" xfId="48993"/>
    <cellStyle name="Input [yellow] 3 7 11 8" xfId="4903"/>
    <cellStyle name="Input [yellow] 3 7 11 8 2" xfId="16100"/>
    <cellStyle name="Input [yellow] 3 7 11 8 3" xfId="27268"/>
    <cellStyle name="Input [yellow] 3 7 11 8 4" xfId="38433"/>
    <cellStyle name="Input [yellow] 3 7 11 8 5" xfId="49626"/>
    <cellStyle name="Input [yellow] 3 7 11 9" xfId="5534"/>
    <cellStyle name="Input [yellow] 3 7 11 9 2" xfId="16731"/>
    <cellStyle name="Input [yellow] 3 7 11 9 3" xfId="27899"/>
    <cellStyle name="Input [yellow] 3 7 11 9 4" xfId="39064"/>
    <cellStyle name="Input [yellow] 3 7 11 9 5" xfId="50257"/>
    <cellStyle name="Input [yellow] 3 7 12" xfId="737"/>
    <cellStyle name="Input [yellow] 3 7 12 2" xfId="11935"/>
    <cellStyle name="Input [yellow] 3 7 12 3" xfId="23104"/>
    <cellStyle name="Input [yellow] 3 7 12 4" xfId="34269"/>
    <cellStyle name="Input [yellow] 3 7 12 5" xfId="45460"/>
    <cellStyle name="Input [yellow] 3 7 13" xfId="1693"/>
    <cellStyle name="Input [yellow] 3 7 13 2" xfId="12890"/>
    <cellStyle name="Input [yellow] 3 7 13 3" xfId="24058"/>
    <cellStyle name="Input [yellow] 3 7 13 4" xfId="35223"/>
    <cellStyle name="Input [yellow] 3 7 13 5" xfId="46416"/>
    <cellStyle name="Input [yellow] 3 7 14" xfId="2014"/>
    <cellStyle name="Input [yellow] 3 7 14 2" xfId="13211"/>
    <cellStyle name="Input [yellow] 3 7 14 3" xfId="24379"/>
    <cellStyle name="Input [yellow] 3 7 14 4" xfId="35544"/>
    <cellStyle name="Input [yellow] 3 7 14 5" xfId="46737"/>
    <cellStyle name="Input [yellow] 3 7 15" xfId="2265"/>
    <cellStyle name="Input [yellow] 3 7 15 2" xfId="13462"/>
    <cellStyle name="Input [yellow] 3 7 15 3" xfId="24630"/>
    <cellStyle name="Input [yellow] 3 7 15 4" xfId="35795"/>
    <cellStyle name="Input [yellow] 3 7 15 5" xfId="46988"/>
    <cellStyle name="Input [yellow] 3 7 16" xfId="3072"/>
    <cellStyle name="Input [yellow] 3 7 16 2" xfId="14269"/>
    <cellStyle name="Input [yellow] 3 7 16 3" xfId="25437"/>
    <cellStyle name="Input [yellow] 3 7 16 4" xfId="36602"/>
    <cellStyle name="Input [yellow] 3 7 16 5" xfId="47795"/>
    <cellStyle name="Input [yellow] 3 7 17" xfId="3707"/>
    <cellStyle name="Input [yellow] 3 7 17 2" xfId="14904"/>
    <cellStyle name="Input [yellow] 3 7 17 3" xfId="26072"/>
    <cellStyle name="Input [yellow] 3 7 17 4" xfId="37237"/>
    <cellStyle name="Input [yellow] 3 7 17 5" xfId="48430"/>
    <cellStyle name="Input [yellow] 3 7 18" xfId="4339"/>
    <cellStyle name="Input [yellow] 3 7 18 2" xfId="15536"/>
    <cellStyle name="Input [yellow] 3 7 18 3" xfId="26704"/>
    <cellStyle name="Input [yellow] 3 7 18 4" xfId="37869"/>
    <cellStyle name="Input [yellow] 3 7 18 5" xfId="49062"/>
    <cellStyle name="Input [yellow] 3 7 19" xfId="4972"/>
    <cellStyle name="Input [yellow] 3 7 19 2" xfId="16169"/>
    <cellStyle name="Input [yellow] 3 7 19 3" xfId="27337"/>
    <cellStyle name="Input [yellow] 3 7 19 4" xfId="38502"/>
    <cellStyle name="Input [yellow] 3 7 19 5" xfId="49695"/>
    <cellStyle name="Input [yellow] 3 7 2" xfId="153"/>
    <cellStyle name="Input [yellow] 3 7 2 10" xfId="5818"/>
    <cellStyle name="Input [yellow] 3 7 2 10 2" xfId="17015"/>
    <cellStyle name="Input [yellow] 3 7 2 10 3" xfId="28183"/>
    <cellStyle name="Input [yellow] 3 7 2 10 4" xfId="39348"/>
    <cellStyle name="Input [yellow] 3 7 2 10 5" xfId="50541"/>
    <cellStyle name="Input [yellow] 3 7 2 11" xfId="5827"/>
    <cellStyle name="Input [yellow] 3 7 2 11 2" xfId="17024"/>
    <cellStyle name="Input [yellow] 3 7 2 11 3" xfId="28192"/>
    <cellStyle name="Input [yellow] 3 7 2 11 4" xfId="39357"/>
    <cellStyle name="Input [yellow] 3 7 2 11 5" xfId="50550"/>
    <cellStyle name="Input [yellow] 3 7 2 12" xfId="6722"/>
    <cellStyle name="Input [yellow] 3 7 2 12 2" xfId="17919"/>
    <cellStyle name="Input [yellow] 3 7 2 12 3" xfId="29087"/>
    <cellStyle name="Input [yellow] 3 7 2 12 4" xfId="40252"/>
    <cellStyle name="Input [yellow] 3 7 2 12 5" xfId="51445"/>
    <cellStyle name="Input [yellow] 3 7 2 13" xfId="7356"/>
    <cellStyle name="Input [yellow] 3 7 2 13 2" xfId="18553"/>
    <cellStyle name="Input [yellow] 3 7 2 13 3" xfId="29721"/>
    <cellStyle name="Input [yellow] 3 7 2 13 4" xfId="40886"/>
    <cellStyle name="Input [yellow] 3 7 2 13 5" xfId="52079"/>
    <cellStyle name="Input [yellow] 3 7 2 14" xfId="7990"/>
    <cellStyle name="Input [yellow] 3 7 2 14 2" xfId="19187"/>
    <cellStyle name="Input [yellow] 3 7 2 14 3" xfId="30355"/>
    <cellStyle name="Input [yellow] 3 7 2 14 4" xfId="41520"/>
    <cellStyle name="Input [yellow] 3 7 2 14 5" xfId="52713"/>
    <cellStyle name="Input [yellow] 3 7 2 15" xfId="8621"/>
    <cellStyle name="Input [yellow] 3 7 2 15 2" xfId="19818"/>
    <cellStyle name="Input [yellow] 3 7 2 15 3" xfId="30986"/>
    <cellStyle name="Input [yellow] 3 7 2 15 4" xfId="42151"/>
    <cellStyle name="Input [yellow] 3 7 2 15 5" xfId="53344"/>
    <cellStyle name="Input [yellow] 3 7 2 16" xfId="9081"/>
    <cellStyle name="Input [yellow] 3 7 2 16 2" xfId="20278"/>
    <cellStyle name="Input [yellow] 3 7 2 16 3" xfId="31446"/>
    <cellStyle name="Input [yellow] 3 7 2 16 4" xfId="42611"/>
    <cellStyle name="Input [yellow] 3 7 2 16 5" xfId="53804"/>
    <cellStyle name="Input [yellow] 3 7 2 17" xfId="9674"/>
    <cellStyle name="Input [yellow] 3 7 2 17 2" xfId="20871"/>
    <cellStyle name="Input [yellow] 3 7 2 17 3" xfId="32039"/>
    <cellStyle name="Input [yellow] 3 7 2 17 4" xfId="43204"/>
    <cellStyle name="Input [yellow] 3 7 2 17 5" xfId="54397"/>
    <cellStyle name="Input [yellow] 3 7 2 18" xfId="10256"/>
    <cellStyle name="Input [yellow] 3 7 2 18 2" xfId="21453"/>
    <cellStyle name="Input [yellow] 3 7 2 18 3" xfId="32621"/>
    <cellStyle name="Input [yellow] 3 7 2 18 4" xfId="43786"/>
    <cellStyle name="Input [yellow] 3 7 2 18 5" xfId="54979"/>
    <cellStyle name="Input [yellow] 3 7 2 19" xfId="10706"/>
    <cellStyle name="Input [yellow] 3 7 2 19 2" xfId="21903"/>
    <cellStyle name="Input [yellow] 3 7 2 19 3" xfId="33071"/>
    <cellStyle name="Input [yellow] 3 7 2 19 4" xfId="44236"/>
    <cellStyle name="Input [yellow] 3 7 2 19 5" xfId="55429"/>
    <cellStyle name="Input [yellow] 3 7 2 2" xfId="802"/>
    <cellStyle name="Input [yellow] 3 7 2 2 2" xfId="11999"/>
    <cellStyle name="Input [yellow] 3 7 2 2 3" xfId="23167"/>
    <cellStyle name="Input [yellow] 3 7 2 2 4" xfId="34332"/>
    <cellStyle name="Input [yellow] 3 7 2 2 5" xfId="45525"/>
    <cellStyle name="Input [yellow] 3 7 2 20" xfId="11353"/>
    <cellStyle name="Input [yellow] 3 7 2 21" xfId="22523"/>
    <cellStyle name="Input [yellow] 3 7 2 22" xfId="33690"/>
    <cellStyle name="Input [yellow] 3 7 2 23" xfId="44876"/>
    <cellStyle name="Input [yellow] 3 7 2 3" xfId="1706"/>
    <cellStyle name="Input [yellow] 3 7 2 3 2" xfId="12903"/>
    <cellStyle name="Input [yellow] 3 7 2 3 3" xfId="24071"/>
    <cellStyle name="Input [yellow] 3 7 2 3 4" xfId="35236"/>
    <cellStyle name="Input [yellow] 3 7 2 3 5" xfId="46429"/>
    <cellStyle name="Input [yellow] 3 7 2 4" xfId="2079"/>
    <cellStyle name="Input [yellow] 3 7 2 4 2" xfId="13276"/>
    <cellStyle name="Input [yellow] 3 7 2 4 3" xfId="24444"/>
    <cellStyle name="Input [yellow] 3 7 2 4 4" xfId="35609"/>
    <cellStyle name="Input [yellow] 3 7 2 4 5" xfId="46802"/>
    <cellStyle name="Input [yellow] 3 7 2 5" xfId="2377"/>
    <cellStyle name="Input [yellow] 3 7 2 5 2" xfId="13574"/>
    <cellStyle name="Input [yellow] 3 7 2 5 3" xfId="24742"/>
    <cellStyle name="Input [yellow] 3 7 2 5 4" xfId="35907"/>
    <cellStyle name="Input [yellow] 3 7 2 5 5" xfId="47100"/>
    <cellStyle name="Input [yellow] 3 7 2 6" xfId="3137"/>
    <cellStyle name="Input [yellow] 3 7 2 6 2" xfId="14334"/>
    <cellStyle name="Input [yellow] 3 7 2 6 3" xfId="25502"/>
    <cellStyle name="Input [yellow] 3 7 2 6 4" xfId="36667"/>
    <cellStyle name="Input [yellow] 3 7 2 6 5" xfId="47860"/>
    <cellStyle name="Input [yellow] 3 7 2 7" xfId="3771"/>
    <cellStyle name="Input [yellow] 3 7 2 7 2" xfId="14968"/>
    <cellStyle name="Input [yellow] 3 7 2 7 3" xfId="26136"/>
    <cellStyle name="Input [yellow] 3 7 2 7 4" xfId="37301"/>
    <cellStyle name="Input [yellow] 3 7 2 7 5" xfId="48494"/>
    <cellStyle name="Input [yellow] 3 7 2 8" xfId="4404"/>
    <cellStyle name="Input [yellow] 3 7 2 8 2" xfId="15601"/>
    <cellStyle name="Input [yellow] 3 7 2 8 3" xfId="26769"/>
    <cellStyle name="Input [yellow] 3 7 2 8 4" xfId="37934"/>
    <cellStyle name="Input [yellow] 3 7 2 8 5" xfId="49127"/>
    <cellStyle name="Input [yellow] 3 7 2 9" xfId="5035"/>
    <cellStyle name="Input [yellow] 3 7 2 9 2" xfId="16232"/>
    <cellStyle name="Input [yellow] 3 7 2 9 3" xfId="27400"/>
    <cellStyle name="Input [yellow] 3 7 2 9 4" xfId="38565"/>
    <cellStyle name="Input [yellow] 3 7 2 9 5" xfId="49758"/>
    <cellStyle name="Input [yellow] 3 7 20" xfId="5859"/>
    <cellStyle name="Input [yellow] 3 7 20 2" xfId="17056"/>
    <cellStyle name="Input [yellow] 3 7 20 3" xfId="28224"/>
    <cellStyle name="Input [yellow] 3 7 20 4" xfId="39389"/>
    <cellStyle name="Input [yellow] 3 7 20 5" xfId="50582"/>
    <cellStyle name="Input [yellow] 3 7 21" xfId="6174"/>
    <cellStyle name="Input [yellow] 3 7 21 2" xfId="17371"/>
    <cellStyle name="Input [yellow] 3 7 21 3" xfId="28539"/>
    <cellStyle name="Input [yellow] 3 7 21 4" xfId="39704"/>
    <cellStyle name="Input [yellow] 3 7 21 5" xfId="50897"/>
    <cellStyle name="Input [yellow] 3 7 22" xfId="6659"/>
    <cellStyle name="Input [yellow] 3 7 22 2" xfId="17856"/>
    <cellStyle name="Input [yellow] 3 7 22 3" xfId="29024"/>
    <cellStyle name="Input [yellow] 3 7 22 4" xfId="40189"/>
    <cellStyle name="Input [yellow] 3 7 22 5" xfId="51382"/>
    <cellStyle name="Input [yellow] 3 7 23" xfId="7291"/>
    <cellStyle name="Input [yellow] 3 7 23 2" xfId="18488"/>
    <cellStyle name="Input [yellow] 3 7 23 3" xfId="29656"/>
    <cellStyle name="Input [yellow] 3 7 23 4" xfId="40821"/>
    <cellStyle name="Input [yellow] 3 7 23 5" xfId="52014"/>
    <cellStyle name="Input [yellow] 3 7 24" xfId="7925"/>
    <cellStyle name="Input [yellow] 3 7 24 2" xfId="19122"/>
    <cellStyle name="Input [yellow] 3 7 24 3" xfId="30290"/>
    <cellStyle name="Input [yellow] 3 7 24 4" xfId="41455"/>
    <cellStyle name="Input [yellow] 3 7 24 5" xfId="52648"/>
    <cellStyle name="Input [yellow] 3 7 25" xfId="8558"/>
    <cellStyle name="Input [yellow] 3 7 25 2" xfId="19755"/>
    <cellStyle name="Input [yellow] 3 7 25 3" xfId="30923"/>
    <cellStyle name="Input [yellow] 3 7 25 4" xfId="42088"/>
    <cellStyle name="Input [yellow] 3 7 25 5" xfId="53281"/>
    <cellStyle name="Input [yellow] 3 7 26" xfId="8968"/>
    <cellStyle name="Input [yellow] 3 7 26 2" xfId="20165"/>
    <cellStyle name="Input [yellow] 3 7 26 3" xfId="31333"/>
    <cellStyle name="Input [yellow] 3 7 26 4" xfId="42498"/>
    <cellStyle name="Input [yellow] 3 7 26 5" xfId="53691"/>
    <cellStyle name="Input [yellow] 3 7 27" xfId="9610"/>
    <cellStyle name="Input [yellow] 3 7 27 2" xfId="20807"/>
    <cellStyle name="Input [yellow] 3 7 27 3" xfId="31975"/>
    <cellStyle name="Input [yellow] 3 7 27 4" xfId="43140"/>
    <cellStyle name="Input [yellow] 3 7 27 5" xfId="54333"/>
    <cellStyle name="Input [yellow] 3 7 28" xfId="10371"/>
    <cellStyle name="Input [yellow] 3 7 28 2" xfId="21568"/>
    <cellStyle name="Input [yellow] 3 7 28 3" xfId="32736"/>
    <cellStyle name="Input [yellow] 3 7 28 4" xfId="43901"/>
    <cellStyle name="Input [yellow] 3 7 28 5" xfId="55094"/>
    <cellStyle name="Input [yellow] 3 7 29" xfId="10643"/>
    <cellStyle name="Input [yellow] 3 7 29 2" xfId="21840"/>
    <cellStyle name="Input [yellow] 3 7 29 3" xfId="33008"/>
    <cellStyle name="Input [yellow] 3 7 29 4" xfId="44173"/>
    <cellStyle name="Input [yellow] 3 7 29 5" xfId="55366"/>
    <cellStyle name="Input [yellow] 3 7 3" xfId="209"/>
    <cellStyle name="Input [yellow] 3 7 3 10" xfId="5987"/>
    <cellStyle name="Input [yellow] 3 7 3 10 2" xfId="17184"/>
    <cellStyle name="Input [yellow] 3 7 3 10 3" xfId="28352"/>
    <cellStyle name="Input [yellow] 3 7 3 10 4" xfId="39517"/>
    <cellStyle name="Input [yellow] 3 7 3 10 5" xfId="50710"/>
    <cellStyle name="Input [yellow] 3 7 3 11" xfId="5990"/>
    <cellStyle name="Input [yellow] 3 7 3 11 2" xfId="17187"/>
    <cellStyle name="Input [yellow] 3 7 3 11 3" xfId="28355"/>
    <cellStyle name="Input [yellow] 3 7 3 11 4" xfId="39520"/>
    <cellStyle name="Input [yellow] 3 7 3 11 5" xfId="50713"/>
    <cellStyle name="Input [yellow] 3 7 3 12" xfId="6778"/>
    <cellStyle name="Input [yellow] 3 7 3 12 2" xfId="17975"/>
    <cellStyle name="Input [yellow] 3 7 3 12 3" xfId="29143"/>
    <cellStyle name="Input [yellow] 3 7 3 12 4" xfId="40308"/>
    <cellStyle name="Input [yellow] 3 7 3 12 5" xfId="51501"/>
    <cellStyle name="Input [yellow] 3 7 3 13" xfId="7412"/>
    <cellStyle name="Input [yellow] 3 7 3 13 2" xfId="18609"/>
    <cellStyle name="Input [yellow] 3 7 3 13 3" xfId="29777"/>
    <cellStyle name="Input [yellow] 3 7 3 13 4" xfId="40942"/>
    <cellStyle name="Input [yellow] 3 7 3 13 5" xfId="52135"/>
    <cellStyle name="Input [yellow] 3 7 3 14" xfId="8046"/>
    <cellStyle name="Input [yellow] 3 7 3 14 2" xfId="19243"/>
    <cellStyle name="Input [yellow] 3 7 3 14 3" xfId="30411"/>
    <cellStyle name="Input [yellow] 3 7 3 14 4" xfId="41576"/>
    <cellStyle name="Input [yellow] 3 7 3 14 5" xfId="52769"/>
    <cellStyle name="Input [yellow] 3 7 3 15" xfId="8677"/>
    <cellStyle name="Input [yellow] 3 7 3 15 2" xfId="19874"/>
    <cellStyle name="Input [yellow] 3 7 3 15 3" xfId="31042"/>
    <cellStyle name="Input [yellow] 3 7 3 15 4" xfId="42207"/>
    <cellStyle name="Input [yellow] 3 7 3 15 5" xfId="53400"/>
    <cellStyle name="Input [yellow] 3 7 3 16" xfId="9048"/>
    <cellStyle name="Input [yellow] 3 7 3 16 2" xfId="20245"/>
    <cellStyle name="Input [yellow] 3 7 3 16 3" xfId="31413"/>
    <cellStyle name="Input [yellow] 3 7 3 16 4" xfId="42578"/>
    <cellStyle name="Input [yellow] 3 7 3 16 5" xfId="53771"/>
    <cellStyle name="Input [yellow] 3 7 3 17" xfId="9729"/>
    <cellStyle name="Input [yellow] 3 7 3 17 2" xfId="20926"/>
    <cellStyle name="Input [yellow] 3 7 3 17 3" xfId="32094"/>
    <cellStyle name="Input [yellow] 3 7 3 17 4" xfId="43259"/>
    <cellStyle name="Input [yellow] 3 7 3 17 5" xfId="54452"/>
    <cellStyle name="Input [yellow] 3 7 3 18" xfId="10327"/>
    <cellStyle name="Input [yellow] 3 7 3 18 2" xfId="21524"/>
    <cellStyle name="Input [yellow] 3 7 3 18 3" xfId="32692"/>
    <cellStyle name="Input [yellow] 3 7 3 18 4" xfId="43857"/>
    <cellStyle name="Input [yellow] 3 7 3 18 5" xfId="55050"/>
    <cellStyle name="Input [yellow] 3 7 3 19" xfId="10762"/>
    <cellStyle name="Input [yellow] 3 7 3 19 2" xfId="21959"/>
    <cellStyle name="Input [yellow] 3 7 3 19 3" xfId="33127"/>
    <cellStyle name="Input [yellow] 3 7 3 19 4" xfId="44292"/>
    <cellStyle name="Input [yellow] 3 7 3 19 5" xfId="55485"/>
    <cellStyle name="Input [yellow] 3 7 3 2" xfId="858"/>
    <cellStyle name="Input [yellow] 3 7 3 2 2" xfId="12055"/>
    <cellStyle name="Input [yellow] 3 7 3 2 3" xfId="23223"/>
    <cellStyle name="Input [yellow] 3 7 3 2 4" xfId="34388"/>
    <cellStyle name="Input [yellow] 3 7 3 2 5" xfId="45581"/>
    <cellStyle name="Input [yellow] 3 7 3 20" xfId="11409"/>
    <cellStyle name="Input [yellow] 3 7 3 21" xfId="22579"/>
    <cellStyle name="Input [yellow] 3 7 3 22" xfId="33746"/>
    <cellStyle name="Input [yellow] 3 7 3 23" xfId="44932"/>
    <cellStyle name="Input [yellow] 3 7 3 3" xfId="1648"/>
    <cellStyle name="Input [yellow] 3 7 3 3 2" xfId="12845"/>
    <cellStyle name="Input [yellow] 3 7 3 3 3" xfId="24013"/>
    <cellStyle name="Input [yellow] 3 7 3 3 4" xfId="35178"/>
    <cellStyle name="Input [yellow] 3 7 3 3 5" xfId="46371"/>
    <cellStyle name="Input [yellow] 3 7 3 4" xfId="2135"/>
    <cellStyle name="Input [yellow] 3 7 3 4 2" xfId="13332"/>
    <cellStyle name="Input [yellow] 3 7 3 4 3" xfId="24500"/>
    <cellStyle name="Input [yellow] 3 7 3 4 4" xfId="35665"/>
    <cellStyle name="Input [yellow] 3 7 3 4 5" xfId="46858"/>
    <cellStyle name="Input [yellow] 3 7 3 5" xfId="2298"/>
    <cellStyle name="Input [yellow] 3 7 3 5 2" xfId="13495"/>
    <cellStyle name="Input [yellow] 3 7 3 5 3" xfId="24663"/>
    <cellStyle name="Input [yellow] 3 7 3 5 4" xfId="35828"/>
    <cellStyle name="Input [yellow] 3 7 3 5 5" xfId="47021"/>
    <cellStyle name="Input [yellow] 3 7 3 6" xfId="3193"/>
    <cellStyle name="Input [yellow] 3 7 3 6 2" xfId="14390"/>
    <cellStyle name="Input [yellow] 3 7 3 6 3" xfId="25558"/>
    <cellStyle name="Input [yellow] 3 7 3 6 4" xfId="36723"/>
    <cellStyle name="Input [yellow] 3 7 3 6 5" xfId="47916"/>
    <cellStyle name="Input [yellow] 3 7 3 7" xfId="3827"/>
    <cellStyle name="Input [yellow] 3 7 3 7 2" xfId="15024"/>
    <cellStyle name="Input [yellow] 3 7 3 7 3" xfId="26192"/>
    <cellStyle name="Input [yellow] 3 7 3 7 4" xfId="37357"/>
    <cellStyle name="Input [yellow] 3 7 3 7 5" xfId="48550"/>
    <cellStyle name="Input [yellow] 3 7 3 8" xfId="4460"/>
    <cellStyle name="Input [yellow] 3 7 3 8 2" xfId="15657"/>
    <cellStyle name="Input [yellow] 3 7 3 8 3" xfId="26825"/>
    <cellStyle name="Input [yellow] 3 7 3 8 4" xfId="37990"/>
    <cellStyle name="Input [yellow] 3 7 3 8 5" xfId="49183"/>
    <cellStyle name="Input [yellow] 3 7 3 9" xfId="5091"/>
    <cellStyle name="Input [yellow] 3 7 3 9 2" xfId="16288"/>
    <cellStyle name="Input [yellow] 3 7 3 9 3" xfId="27456"/>
    <cellStyle name="Input [yellow] 3 7 3 9 4" xfId="38621"/>
    <cellStyle name="Input [yellow] 3 7 3 9 5" xfId="49814"/>
    <cellStyle name="Input [yellow] 3 7 30" xfId="11289"/>
    <cellStyle name="Input [yellow] 3 7 31" xfId="22460"/>
    <cellStyle name="Input [yellow] 3 7 32" xfId="33627"/>
    <cellStyle name="Input [yellow] 3 7 33" xfId="44811"/>
    <cellStyle name="Input [yellow] 3 7 4" xfId="261"/>
    <cellStyle name="Input [yellow] 3 7 4 10" xfId="6064"/>
    <cellStyle name="Input [yellow] 3 7 4 10 2" xfId="17261"/>
    <cellStyle name="Input [yellow] 3 7 4 10 3" xfId="28429"/>
    <cellStyle name="Input [yellow] 3 7 4 10 4" xfId="39594"/>
    <cellStyle name="Input [yellow] 3 7 4 10 5" xfId="50787"/>
    <cellStyle name="Input [yellow] 3 7 4 11" xfId="5693"/>
    <cellStyle name="Input [yellow] 3 7 4 11 2" xfId="16890"/>
    <cellStyle name="Input [yellow] 3 7 4 11 3" xfId="28058"/>
    <cellStyle name="Input [yellow] 3 7 4 11 4" xfId="39223"/>
    <cellStyle name="Input [yellow] 3 7 4 11 5" xfId="50416"/>
    <cellStyle name="Input [yellow] 3 7 4 12" xfId="6830"/>
    <cellStyle name="Input [yellow] 3 7 4 12 2" xfId="18027"/>
    <cellStyle name="Input [yellow] 3 7 4 12 3" xfId="29195"/>
    <cellStyle name="Input [yellow] 3 7 4 12 4" xfId="40360"/>
    <cellStyle name="Input [yellow] 3 7 4 12 5" xfId="51553"/>
    <cellStyle name="Input [yellow] 3 7 4 13" xfId="7464"/>
    <cellStyle name="Input [yellow] 3 7 4 13 2" xfId="18661"/>
    <cellStyle name="Input [yellow] 3 7 4 13 3" xfId="29829"/>
    <cellStyle name="Input [yellow] 3 7 4 13 4" xfId="40994"/>
    <cellStyle name="Input [yellow] 3 7 4 13 5" xfId="52187"/>
    <cellStyle name="Input [yellow] 3 7 4 14" xfId="8098"/>
    <cellStyle name="Input [yellow] 3 7 4 14 2" xfId="19295"/>
    <cellStyle name="Input [yellow] 3 7 4 14 3" xfId="30463"/>
    <cellStyle name="Input [yellow] 3 7 4 14 4" xfId="41628"/>
    <cellStyle name="Input [yellow] 3 7 4 14 5" xfId="52821"/>
    <cellStyle name="Input [yellow] 3 7 4 15" xfId="8728"/>
    <cellStyle name="Input [yellow] 3 7 4 15 2" xfId="19925"/>
    <cellStyle name="Input [yellow] 3 7 4 15 3" xfId="31093"/>
    <cellStyle name="Input [yellow] 3 7 4 15 4" xfId="42258"/>
    <cellStyle name="Input [yellow] 3 7 4 15 5" xfId="53451"/>
    <cellStyle name="Input [yellow] 3 7 4 16" xfId="9132"/>
    <cellStyle name="Input [yellow] 3 7 4 16 2" xfId="20329"/>
    <cellStyle name="Input [yellow] 3 7 4 16 3" xfId="31497"/>
    <cellStyle name="Input [yellow] 3 7 4 16 4" xfId="42662"/>
    <cellStyle name="Input [yellow] 3 7 4 16 5" xfId="53855"/>
    <cellStyle name="Input [yellow] 3 7 4 17" xfId="9778"/>
    <cellStyle name="Input [yellow] 3 7 4 17 2" xfId="20975"/>
    <cellStyle name="Input [yellow] 3 7 4 17 3" xfId="32143"/>
    <cellStyle name="Input [yellow] 3 7 4 17 4" xfId="43308"/>
    <cellStyle name="Input [yellow] 3 7 4 17 5" xfId="54501"/>
    <cellStyle name="Input [yellow] 3 7 4 18" xfId="10196"/>
    <cellStyle name="Input [yellow] 3 7 4 18 2" xfId="21393"/>
    <cellStyle name="Input [yellow] 3 7 4 18 3" xfId="32561"/>
    <cellStyle name="Input [yellow] 3 7 4 18 4" xfId="43726"/>
    <cellStyle name="Input [yellow] 3 7 4 18 5" xfId="54919"/>
    <cellStyle name="Input [yellow] 3 7 4 19" xfId="10814"/>
    <cellStyle name="Input [yellow] 3 7 4 19 2" xfId="22011"/>
    <cellStyle name="Input [yellow] 3 7 4 19 3" xfId="33179"/>
    <cellStyle name="Input [yellow] 3 7 4 19 4" xfId="44344"/>
    <cellStyle name="Input [yellow] 3 7 4 19 5" xfId="55537"/>
    <cellStyle name="Input [yellow] 3 7 4 2" xfId="910"/>
    <cellStyle name="Input [yellow] 3 7 4 2 2" xfId="12107"/>
    <cellStyle name="Input [yellow] 3 7 4 2 3" xfId="23275"/>
    <cellStyle name="Input [yellow] 3 7 4 2 4" xfId="34440"/>
    <cellStyle name="Input [yellow] 3 7 4 2 5" xfId="45633"/>
    <cellStyle name="Input [yellow] 3 7 4 20" xfId="11461"/>
    <cellStyle name="Input [yellow] 3 7 4 21" xfId="22631"/>
    <cellStyle name="Input [yellow] 3 7 4 22" xfId="33798"/>
    <cellStyle name="Input [yellow] 3 7 4 23" xfId="44984"/>
    <cellStyle name="Input [yellow] 3 7 4 3" xfId="1840"/>
    <cellStyle name="Input [yellow] 3 7 4 3 2" xfId="13037"/>
    <cellStyle name="Input [yellow] 3 7 4 3 3" xfId="24205"/>
    <cellStyle name="Input [yellow] 3 7 4 3 4" xfId="35370"/>
    <cellStyle name="Input [yellow] 3 7 4 3 5" xfId="46563"/>
    <cellStyle name="Input [yellow] 3 7 4 4" xfId="2187"/>
    <cellStyle name="Input [yellow] 3 7 4 4 2" xfId="13384"/>
    <cellStyle name="Input [yellow] 3 7 4 4 3" xfId="24552"/>
    <cellStyle name="Input [yellow] 3 7 4 4 4" xfId="35717"/>
    <cellStyle name="Input [yellow] 3 7 4 4 5" xfId="46910"/>
    <cellStyle name="Input [yellow] 3 7 4 5" xfId="1991"/>
    <cellStyle name="Input [yellow] 3 7 4 5 2" xfId="13188"/>
    <cellStyle name="Input [yellow] 3 7 4 5 3" xfId="24356"/>
    <cellStyle name="Input [yellow] 3 7 4 5 4" xfId="35521"/>
    <cellStyle name="Input [yellow] 3 7 4 5 5" xfId="46714"/>
    <cellStyle name="Input [yellow] 3 7 4 6" xfId="3245"/>
    <cellStyle name="Input [yellow] 3 7 4 6 2" xfId="14442"/>
    <cellStyle name="Input [yellow] 3 7 4 6 3" xfId="25610"/>
    <cellStyle name="Input [yellow] 3 7 4 6 4" xfId="36775"/>
    <cellStyle name="Input [yellow] 3 7 4 6 5" xfId="47968"/>
    <cellStyle name="Input [yellow] 3 7 4 7" xfId="3879"/>
    <cellStyle name="Input [yellow] 3 7 4 7 2" xfId="15076"/>
    <cellStyle name="Input [yellow] 3 7 4 7 3" xfId="26244"/>
    <cellStyle name="Input [yellow] 3 7 4 7 4" xfId="37409"/>
    <cellStyle name="Input [yellow] 3 7 4 7 5" xfId="48602"/>
    <cellStyle name="Input [yellow] 3 7 4 8" xfId="4512"/>
    <cellStyle name="Input [yellow] 3 7 4 8 2" xfId="15709"/>
    <cellStyle name="Input [yellow] 3 7 4 8 3" xfId="26877"/>
    <cellStyle name="Input [yellow] 3 7 4 8 4" xfId="38042"/>
    <cellStyle name="Input [yellow] 3 7 4 8 5" xfId="49235"/>
    <cellStyle name="Input [yellow] 3 7 4 9" xfId="5143"/>
    <cellStyle name="Input [yellow] 3 7 4 9 2" xfId="16340"/>
    <cellStyle name="Input [yellow] 3 7 4 9 3" xfId="27508"/>
    <cellStyle name="Input [yellow] 3 7 4 9 4" xfId="38673"/>
    <cellStyle name="Input [yellow] 3 7 4 9 5" xfId="49866"/>
    <cellStyle name="Input [yellow] 3 7 5" xfId="349"/>
    <cellStyle name="Input [yellow] 3 7 5 10" xfId="6165"/>
    <cellStyle name="Input [yellow] 3 7 5 10 2" xfId="17362"/>
    <cellStyle name="Input [yellow] 3 7 5 10 3" xfId="28530"/>
    <cellStyle name="Input [yellow] 3 7 5 10 4" xfId="39695"/>
    <cellStyle name="Input [yellow] 3 7 5 10 5" xfId="50888"/>
    <cellStyle name="Input [yellow] 3 7 5 11" xfId="6285"/>
    <cellStyle name="Input [yellow] 3 7 5 11 2" xfId="17482"/>
    <cellStyle name="Input [yellow] 3 7 5 11 3" xfId="28650"/>
    <cellStyle name="Input [yellow] 3 7 5 11 4" xfId="39815"/>
    <cellStyle name="Input [yellow] 3 7 5 11 5" xfId="51008"/>
    <cellStyle name="Input [yellow] 3 7 5 12" xfId="6918"/>
    <cellStyle name="Input [yellow] 3 7 5 12 2" xfId="18115"/>
    <cellStyle name="Input [yellow] 3 7 5 12 3" xfId="29283"/>
    <cellStyle name="Input [yellow] 3 7 5 12 4" xfId="40448"/>
    <cellStyle name="Input [yellow] 3 7 5 12 5" xfId="51641"/>
    <cellStyle name="Input [yellow] 3 7 5 13" xfId="7552"/>
    <cellStyle name="Input [yellow] 3 7 5 13 2" xfId="18749"/>
    <cellStyle name="Input [yellow] 3 7 5 13 3" xfId="29917"/>
    <cellStyle name="Input [yellow] 3 7 5 13 4" xfId="41082"/>
    <cellStyle name="Input [yellow] 3 7 5 13 5" xfId="52275"/>
    <cellStyle name="Input [yellow] 3 7 5 14" xfId="8186"/>
    <cellStyle name="Input [yellow] 3 7 5 14 2" xfId="19383"/>
    <cellStyle name="Input [yellow] 3 7 5 14 3" xfId="30551"/>
    <cellStyle name="Input [yellow] 3 7 5 14 4" xfId="41716"/>
    <cellStyle name="Input [yellow] 3 7 5 14 5" xfId="52909"/>
    <cellStyle name="Input [yellow] 3 7 5 15" xfId="8815"/>
    <cellStyle name="Input [yellow] 3 7 5 15 2" xfId="20012"/>
    <cellStyle name="Input [yellow] 3 7 5 15 3" xfId="31180"/>
    <cellStyle name="Input [yellow] 3 7 5 15 4" xfId="42345"/>
    <cellStyle name="Input [yellow] 3 7 5 15 5" xfId="53538"/>
    <cellStyle name="Input [yellow] 3 7 5 16" xfId="9237"/>
    <cellStyle name="Input [yellow] 3 7 5 16 2" xfId="20434"/>
    <cellStyle name="Input [yellow] 3 7 5 16 3" xfId="31602"/>
    <cellStyle name="Input [yellow] 3 7 5 16 4" xfId="42767"/>
    <cellStyle name="Input [yellow] 3 7 5 16 5" xfId="53960"/>
    <cellStyle name="Input [yellow] 3 7 5 17" xfId="9864"/>
    <cellStyle name="Input [yellow] 3 7 5 17 2" xfId="21061"/>
    <cellStyle name="Input [yellow] 3 7 5 17 3" xfId="32229"/>
    <cellStyle name="Input [yellow] 3 7 5 17 4" xfId="43394"/>
    <cellStyle name="Input [yellow] 3 7 5 17 5" xfId="54587"/>
    <cellStyle name="Input [yellow] 3 7 5 18" xfId="10578"/>
    <cellStyle name="Input [yellow] 3 7 5 18 2" xfId="21775"/>
    <cellStyle name="Input [yellow] 3 7 5 18 3" xfId="32943"/>
    <cellStyle name="Input [yellow] 3 7 5 18 4" xfId="44108"/>
    <cellStyle name="Input [yellow] 3 7 5 18 5" xfId="55301"/>
    <cellStyle name="Input [yellow] 3 7 5 19" xfId="10902"/>
    <cellStyle name="Input [yellow] 3 7 5 19 2" xfId="22099"/>
    <cellStyle name="Input [yellow] 3 7 5 19 3" xfId="33267"/>
    <cellStyle name="Input [yellow] 3 7 5 19 4" xfId="44432"/>
    <cellStyle name="Input [yellow] 3 7 5 19 5" xfId="55625"/>
    <cellStyle name="Input [yellow] 3 7 5 2" xfId="998"/>
    <cellStyle name="Input [yellow] 3 7 5 2 2" xfId="12195"/>
    <cellStyle name="Input [yellow] 3 7 5 2 3" xfId="23363"/>
    <cellStyle name="Input [yellow] 3 7 5 2 4" xfId="34528"/>
    <cellStyle name="Input [yellow] 3 7 5 2 5" xfId="45721"/>
    <cellStyle name="Input [yellow] 3 7 5 20" xfId="11549"/>
    <cellStyle name="Input [yellow] 3 7 5 21" xfId="22719"/>
    <cellStyle name="Input [yellow] 3 7 5 22" xfId="33886"/>
    <cellStyle name="Input [yellow] 3 7 5 23" xfId="45072"/>
    <cellStyle name="Input [yellow] 3 7 5 3" xfId="1417"/>
    <cellStyle name="Input [yellow] 3 7 5 3 2" xfId="12614"/>
    <cellStyle name="Input [yellow] 3 7 5 3 3" xfId="23782"/>
    <cellStyle name="Input [yellow] 3 7 5 3 4" xfId="34947"/>
    <cellStyle name="Input [yellow] 3 7 5 3 5" xfId="46140"/>
    <cellStyle name="Input [yellow] 3 7 5 4" xfId="2274"/>
    <cellStyle name="Input [yellow] 3 7 5 4 2" xfId="13471"/>
    <cellStyle name="Input [yellow] 3 7 5 4 3" xfId="24639"/>
    <cellStyle name="Input [yellow] 3 7 5 4 4" xfId="35804"/>
    <cellStyle name="Input [yellow] 3 7 5 4 5" xfId="46997"/>
    <cellStyle name="Input [yellow] 3 7 5 5" xfId="2699"/>
    <cellStyle name="Input [yellow] 3 7 5 5 2" xfId="13896"/>
    <cellStyle name="Input [yellow] 3 7 5 5 3" xfId="25064"/>
    <cellStyle name="Input [yellow] 3 7 5 5 4" xfId="36229"/>
    <cellStyle name="Input [yellow] 3 7 5 5 5" xfId="47422"/>
    <cellStyle name="Input [yellow] 3 7 5 6" xfId="3333"/>
    <cellStyle name="Input [yellow] 3 7 5 6 2" xfId="14530"/>
    <cellStyle name="Input [yellow] 3 7 5 6 3" xfId="25698"/>
    <cellStyle name="Input [yellow] 3 7 5 6 4" xfId="36863"/>
    <cellStyle name="Input [yellow] 3 7 5 6 5" xfId="48056"/>
    <cellStyle name="Input [yellow] 3 7 5 7" xfId="3967"/>
    <cellStyle name="Input [yellow] 3 7 5 7 2" xfId="15164"/>
    <cellStyle name="Input [yellow] 3 7 5 7 3" xfId="26332"/>
    <cellStyle name="Input [yellow] 3 7 5 7 4" xfId="37497"/>
    <cellStyle name="Input [yellow] 3 7 5 7 5" xfId="48690"/>
    <cellStyle name="Input [yellow] 3 7 5 8" xfId="4600"/>
    <cellStyle name="Input [yellow] 3 7 5 8 2" xfId="15797"/>
    <cellStyle name="Input [yellow] 3 7 5 8 3" xfId="26965"/>
    <cellStyle name="Input [yellow] 3 7 5 8 4" xfId="38130"/>
    <cellStyle name="Input [yellow] 3 7 5 8 5" xfId="49323"/>
    <cellStyle name="Input [yellow] 3 7 5 9" xfId="5231"/>
    <cellStyle name="Input [yellow] 3 7 5 9 2" xfId="16428"/>
    <cellStyle name="Input [yellow] 3 7 5 9 3" xfId="27596"/>
    <cellStyle name="Input [yellow] 3 7 5 9 4" xfId="38761"/>
    <cellStyle name="Input [yellow] 3 7 5 9 5" xfId="49954"/>
    <cellStyle name="Input [yellow] 3 7 6" xfId="361"/>
    <cellStyle name="Input [yellow] 3 7 6 10" xfId="5916"/>
    <cellStyle name="Input [yellow] 3 7 6 10 2" xfId="17113"/>
    <cellStyle name="Input [yellow] 3 7 6 10 3" xfId="28281"/>
    <cellStyle name="Input [yellow] 3 7 6 10 4" xfId="39446"/>
    <cellStyle name="Input [yellow] 3 7 6 10 5" xfId="50639"/>
    <cellStyle name="Input [yellow] 3 7 6 11" xfId="6297"/>
    <cellStyle name="Input [yellow] 3 7 6 11 2" xfId="17494"/>
    <cellStyle name="Input [yellow] 3 7 6 11 3" xfId="28662"/>
    <cellStyle name="Input [yellow] 3 7 6 11 4" xfId="39827"/>
    <cellStyle name="Input [yellow] 3 7 6 11 5" xfId="51020"/>
    <cellStyle name="Input [yellow] 3 7 6 12" xfId="6930"/>
    <cellStyle name="Input [yellow] 3 7 6 12 2" xfId="18127"/>
    <cellStyle name="Input [yellow] 3 7 6 12 3" xfId="29295"/>
    <cellStyle name="Input [yellow] 3 7 6 12 4" xfId="40460"/>
    <cellStyle name="Input [yellow] 3 7 6 12 5" xfId="51653"/>
    <cellStyle name="Input [yellow] 3 7 6 13" xfId="7564"/>
    <cellStyle name="Input [yellow] 3 7 6 13 2" xfId="18761"/>
    <cellStyle name="Input [yellow] 3 7 6 13 3" xfId="29929"/>
    <cellStyle name="Input [yellow] 3 7 6 13 4" xfId="41094"/>
    <cellStyle name="Input [yellow] 3 7 6 13 5" xfId="52287"/>
    <cellStyle name="Input [yellow] 3 7 6 14" xfId="8198"/>
    <cellStyle name="Input [yellow] 3 7 6 14 2" xfId="19395"/>
    <cellStyle name="Input [yellow] 3 7 6 14 3" xfId="30563"/>
    <cellStyle name="Input [yellow] 3 7 6 14 4" xfId="41728"/>
    <cellStyle name="Input [yellow] 3 7 6 14 5" xfId="52921"/>
    <cellStyle name="Input [yellow] 3 7 6 15" xfId="8827"/>
    <cellStyle name="Input [yellow] 3 7 6 15 2" xfId="20024"/>
    <cellStyle name="Input [yellow] 3 7 6 15 3" xfId="31192"/>
    <cellStyle name="Input [yellow] 3 7 6 15 4" xfId="42357"/>
    <cellStyle name="Input [yellow] 3 7 6 15 5" xfId="53550"/>
    <cellStyle name="Input [yellow] 3 7 6 16" xfId="9249"/>
    <cellStyle name="Input [yellow] 3 7 6 16 2" xfId="20446"/>
    <cellStyle name="Input [yellow] 3 7 6 16 3" xfId="31614"/>
    <cellStyle name="Input [yellow] 3 7 6 16 4" xfId="42779"/>
    <cellStyle name="Input [yellow] 3 7 6 16 5" xfId="53972"/>
    <cellStyle name="Input [yellow] 3 7 6 17" xfId="9876"/>
    <cellStyle name="Input [yellow] 3 7 6 17 2" xfId="21073"/>
    <cellStyle name="Input [yellow] 3 7 6 17 3" xfId="32241"/>
    <cellStyle name="Input [yellow] 3 7 6 17 4" xfId="43406"/>
    <cellStyle name="Input [yellow] 3 7 6 17 5" xfId="54599"/>
    <cellStyle name="Input [yellow] 3 7 6 18" xfId="10071"/>
    <cellStyle name="Input [yellow] 3 7 6 18 2" xfId="21268"/>
    <cellStyle name="Input [yellow] 3 7 6 18 3" xfId="32436"/>
    <cellStyle name="Input [yellow] 3 7 6 18 4" xfId="43601"/>
    <cellStyle name="Input [yellow] 3 7 6 18 5" xfId="54794"/>
    <cellStyle name="Input [yellow] 3 7 6 19" xfId="10914"/>
    <cellStyle name="Input [yellow] 3 7 6 19 2" xfId="22111"/>
    <cellStyle name="Input [yellow] 3 7 6 19 3" xfId="33279"/>
    <cellStyle name="Input [yellow] 3 7 6 19 4" xfId="44444"/>
    <cellStyle name="Input [yellow] 3 7 6 19 5" xfId="55637"/>
    <cellStyle name="Input [yellow] 3 7 6 2" xfId="1010"/>
    <cellStyle name="Input [yellow] 3 7 6 2 2" xfId="12207"/>
    <cellStyle name="Input [yellow] 3 7 6 2 3" xfId="23375"/>
    <cellStyle name="Input [yellow] 3 7 6 2 4" xfId="34540"/>
    <cellStyle name="Input [yellow] 3 7 6 2 5" xfId="45733"/>
    <cellStyle name="Input [yellow] 3 7 6 20" xfId="11561"/>
    <cellStyle name="Input [yellow] 3 7 6 21" xfId="22731"/>
    <cellStyle name="Input [yellow] 3 7 6 22" xfId="33898"/>
    <cellStyle name="Input [yellow] 3 7 6 23" xfId="45084"/>
    <cellStyle name="Input [yellow] 3 7 6 3" xfId="1874"/>
    <cellStyle name="Input [yellow] 3 7 6 3 2" xfId="13071"/>
    <cellStyle name="Input [yellow] 3 7 6 3 3" xfId="24239"/>
    <cellStyle name="Input [yellow] 3 7 6 3 4" xfId="35404"/>
    <cellStyle name="Input [yellow] 3 7 6 3 5" xfId="46597"/>
    <cellStyle name="Input [yellow] 3 7 6 4" xfId="2286"/>
    <cellStyle name="Input [yellow] 3 7 6 4 2" xfId="13483"/>
    <cellStyle name="Input [yellow] 3 7 6 4 3" xfId="24651"/>
    <cellStyle name="Input [yellow] 3 7 6 4 4" xfId="35816"/>
    <cellStyle name="Input [yellow] 3 7 6 4 5" xfId="47009"/>
    <cellStyle name="Input [yellow] 3 7 6 5" xfId="2711"/>
    <cellStyle name="Input [yellow] 3 7 6 5 2" xfId="13908"/>
    <cellStyle name="Input [yellow] 3 7 6 5 3" xfId="25076"/>
    <cellStyle name="Input [yellow] 3 7 6 5 4" xfId="36241"/>
    <cellStyle name="Input [yellow] 3 7 6 5 5" xfId="47434"/>
    <cellStyle name="Input [yellow] 3 7 6 6" xfId="3345"/>
    <cellStyle name="Input [yellow] 3 7 6 6 2" xfId="14542"/>
    <cellStyle name="Input [yellow] 3 7 6 6 3" xfId="25710"/>
    <cellStyle name="Input [yellow] 3 7 6 6 4" xfId="36875"/>
    <cellStyle name="Input [yellow] 3 7 6 6 5" xfId="48068"/>
    <cellStyle name="Input [yellow] 3 7 6 7" xfId="3979"/>
    <cellStyle name="Input [yellow] 3 7 6 7 2" xfId="15176"/>
    <cellStyle name="Input [yellow] 3 7 6 7 3" xfId="26344"/>
    <cellStyle name="Input [yellow] 3 7 6 7 4" xfId="37509"/>
    <cellStyle name="Input [yellow] 3 7 6 7 5" xfId="48702"/>
    <cellStyle name="Input [yellow] 3 7 6 8" xfId="4612"/>
    <cellStyle name="Input [yellow] 3 7 6 8 2" xfId="15809"/>
    <cellStyle name="Input [yellow] 3 7 6 8 3" xfId="26977"/>
    <cellStyle name="Input [yellow] 3 7 6 8 4" xfId="38142"/>
    <cellStyle name="Input [yellow] 3 7 6 8 5" xfId="49335"/>
    <cellStyle name="Input [yellow] 3 7 6 9" xfId="5243"/>
    <cellStyle name="Input [yellow] 3 7 6 9 2" xfId="16440"/>
    <cellStyle name="Input [yellow] 3 7 6 9 3" xfId="27608"/>
    <cellStyle name="Input [yellow] 3 7 6 9 4" xfId="38773"/>
    <cellStyle name="Input [yellow] 3 7 6 9 5" xfId="49966"/>
    <cellStyle name="Input [yellow] 3 7 7" xfId="473"/>
    <cellStyle name="Input [yellow] 3 7 7 10" xfId="4362"/>
    <cellStyle name="Input [yellow] 3 7 7 10 2" xfId="15559"/>
    <cellStyle name="Input [yellow] 3 7 7 10 3" xfId="26727"/>
    <cellStyle name="Input [yellow] 3 7 7 10 4" xfId="37892"/>
    <cellStyle name="Input [yellow] 3 7 7 10 5" xfId="49085"/>
    <cellStyle name="Input [yellow] 3 7 7 11" xfId="6409"/>
    <cellStyle name="Input [yellow] 3 7 7 11 2" xfId="17606"/>
    <cellStyle name="Input [yellow] 3 7 7 11 3" xfId="28774"/>
    <cellStyle name="Input [yellow] 3 7 7 11 4" xfId="39939"/>
    <cellStyle name="Input [yellow] 3 7 7 11 5" xfId="51132"/>
    <cellStyle name="Input [yellow] 3 7 7 12" xfId="7042"/>
    <cellStyle name="Input [yellow] 3 7 7 12 2" xfId="18239"/>
    <cellStyle name="Input [yellow] 3 7 7 12 3" xfId="29407"/>
    <cellStyle name="Input [yellow] 3 7 7 12 4" xfId="40572"/>
    <cellStyle name="Input [yellow] 3 7 7 12 5" xfId="51765"/>
    <cellStyle name="Input [yellow] 3 7 7 13" xfId="7676"/>
    <cellStyle name="Input [yellow] 3 7 7 13 2" xfId="18873"/>
    <cellStyle name="Input [yellow] 3 7 7 13 3" xfId="30041"/>
    <cellStyle name="Input [yellow] 3 7 7 13 4" xfId="41206"/>
    <cellStyle name="Input [yellow] 3 7 7 13 5" xfId="52399"/>
    <cellStyle name="Input [yellow] 3 7 7 14" xfId="8310"/>
    <cellStyle name="Input [yellow] 3 7 7 14 2" xfId="19507"/>
    <cellStyle name="Input [yellow] 3 7 7 14 3" xfId="30675"/>
    <cellStyle name="Input [yellow] 3 7 7 14 4" xfId="41840"/>
    <cellStyle name="Input [yellow] 3 7 7 14 5" xfId="53033"/>
    <cellStyle name="Input [yellow] 3 7 7 15" xfId="8938"/>
    <cellStyle name="Input [yellow] 3 7 7 15 2" xfId="20135"/>
    <cellStyle name="Input [yellow] 3 7 7 15 3" xfId="31303"/>
    <cellStyle name="Input [yellow] 3 7 7 15 4" xfId="42468"/>
    <cellStyle name="Input [yellow] 3 7 7 15 5" xfId="53661"/>
    <cellStyle name="Input [yellow] 3 7 7 16" xfId="9361"/>
    <cellStyle name="Input [yellow] 3 7 7 16 2" xfId="20558"/>
    <cellStyle name="Input [yellow] 3 7 7 16 3" xfId="31726"/>
    <cellStyle name="Input [yellow] 3 7 7 16 4" xfId="42891"/>
    <cellStyle name="Input [yellow] 3 7 7 16 5" xfId="54084"/>
    <cellStyle name="Input [yellow] 3 7 7 17" xfId="9987"/>
    <cellStyle name="Input [yellow] 3 7 7 17 2" xfId="21184"/>
    <cellStyle name="Input [yellow] 3 7 7 17 3" xfId="32352"/>
    <cellStyle name="Input [yellow] 3 7 7 17 4" xfId="43517"/>
    <cellStyle name="Input [yellow] 3 7 7 17 5" xfId="54710"/>
    <cellStyle name="Input [yellow] 3 7 7 18" xfId="8539"/>
    <cellStyle name="Input [yellow] 3 7 7 18 2" xfId="19736"/>
    <cellStyle name="Input [yellow] 3 7 7 18 3" xfId="30904"/>
    <cellStyle name="Input [yellow] 3 7 7 18 4" xfId="42069"/>
    <cellStyle name="Input [yellow] 3 7 7 18 5" xfId="53262"/>
    <cellStyle name="Input [yellow] 3 7 7 19" xfId="11026"/>
    <cellStyle name="Input [yellow] 3 7 7 19 2" xfId="22223"/>
    <cellStyle name="Input [yellow] 3 7 7 19 3" xfId="33391"/>
    <cellStyle name="Input [yellow] 3 7 7 19 4" xfId="44556"/>
    <cellStyle name="Input [yellow] 3 7 7 19 5" xfId="55749"/>
    <cellStyle name="Input [yellow] 3 7 7 2" xfId="1122"/>
    <cellStyle name="Input [yellow] 3 7 7 2 2" xfId="12319"/>
    <cellStyle name="Input [yellow] 3 7 7 2 3" xfId="23487"/>
    <cellStyle name="Input [yellow] 3 7 7 2 4" xfId="34652"/>
    <cellStyle name="Input [yellow] 3 7 7 2 5" xfId="45845"/>
    <cellStyle name="Input [yellow] 3 7 7 20" xfId="11673"/>
    <cellStyle name="Input [yellow] 3 7 7 21" xfId="22843"/>
    <cellStyle name="Input [yellow] 3 7 7 22" xfId="34010"/>
    <cellStyle name="Input [yellow] 3 7 7 23" xfId="45196"/>
    <cellStyle name="Input [yellow] 3 7 7 3" xfId="1346"/>
    <cellStyle name="Input [yellow] 3 7 7 3 2" xfId="12543"/>
    <cellStyle name="Input [yellow] 3 7 7 3 3" xfId="23711"/>
    <cellStyle name="Input [yellow] 3 7 7 3 4" xfId="34876"/>
    <cellStyle name="Input [yellow] 3 7 7 3 5" xfId="46069"/>
    <cellStyle name="Input [yellow] 3 7 7 4" xfId="2398"/>
    <cellStyle name="Input [yellow] 3 7 7 4 2" xfId="13595"/>
    <cellStyle name="Input [yellow] 3 7 7 4 3" xfId="24763"/>
    <cellStyle name="Input [yellow] 3 7 7 4 4" xfId="35928"/>
    <cellStyle name="Input [yellow] 3 7 7 4 5" xfId="47121"/>
    <cellStyle name="Input [yellow] 3 7 7 5" xfId="2823"/>
    <cellStyle name="Input [yellow] 3 7 7 5 2" xfId="14020"/>
    <cellStyle name="Input [yellow] 3 7 7 5 3" xfId="25188"/>
    <cellStyle name="Input [yellow] 3 7 7 5 4" xfId="36353"/>
    <cellStyle name="Input [yellow] 3 7 7 5 5" xfId="47546"/>
    <cellStyle name="Input [yellow] 3 7 7 6" xfId="3457"/>
    <cellStyle name="Input [yellow] 3 7 7 6 2" xfId="14654"/>
    <cellStyle name="Input [yellow] 3 7 7 6 3" xfId="25822"/>
    <cellStyle name="Input [yellow] 3 7 7 6 4" xfId="36987"/>
    <cellStyle name="Input [yellow] 3 7 7 6 5" xfId="48180"/>
    <cellStyle name="Input [yellow] 3 7 7 7" xfId="4091"/>
    <cellStyle name="Input [yellow] 3 7 7 7 2" xfId="15288"/>
    <cellStyle name="Input [yellow] 3 7 7 7 3" xfId="26456"/>
    <cellStyle name="Input [yellow] 3 7 7 7 4" xfId="37621"/>
    <cellStyle name="Input [yellow] 3 7 7 7 5" xfId="48814"/>
    <cellStyle name="Input [yellow] 3 7 7 8" xfId="4724"/>
    <cellStyle name="Input [yellow] 3 7 7 8 2" xfId="15921"/>
    <cellStyle name="Input [yellow] 3 7 7 8 3" xfId="27089"/>
    <cellStyle name="Input [yellow] 3 7 7 8 4" xfId="38254"/>
    <cellStyle name="Input [yellow] 3 7 7 8 5" xfId="49447"/>
    <cellStyle name="Input [yellow] 3 7 7 9" xfId="5355"/>
    <cellStyle name="Input [yellow] 3 7 7 9 2" xfId="16552"/>
    <cellStyle name="Input [yellow] 3 7 7 9 3" xfId="27720"/>
    <cellStyle name="Input [yellow] 3 7 7 9 4" xfId="38885"/>
    <cellStyle name="Input [yellow] 3 7 7 9 5" xfId="50078"/>
    <cellStyle name="Input [yellow] 3 7 8" xfId="497"/>
    <cellStyle name="Input [yellow] 3 7 8 10" xfId="5811"/>
    <cellStyle name="Input [yellow] 3 7 8 10 2" xfId="17008"/>
    <cellStyle name="Input [yellow] 3 7 8 10 3" xfId="28176"/>
    <cellStyle name="Input [yellow] 3 7 8 10 4" xfId="39341"/>
    <cellStyle name="Input [yellow] 3 7 8 10 5" xfId="50534"/>
    <cellStyle name="Input [yellow] 3 7 8 11" xfId="6433"/>
    <cellStyle name="Input [yellow] 3 7 8 11 2" xfId="17630"/>
    <cellStyle name="Input [yellow] 3 7 8 11 3" xfId="28798"/>
    <cellStyle name="Input [yellow] 3 7 8 11 4" xfId="39963"/>
    <cellStyle name="Input [yellow] 3 7 8 11 5" xfId="51156"/>
    <cellStyle name="Input [yellow] 3 7 8 12" xfId="7066"/>
    <cellStyle name="Input [yellow] 3 7 8 12 2" xfId="18263"/>
    <cellStyle name="Input [yellow] 3 7 8 12 3" xfId="29431"/>
    <cellStyle name="Input [yellow] 3 7 8 12 4" xfId="40596"/>
    <cellStyle name="Input [yellow] 3 7 8 12 5" xfId="51789"/>
    <cellStyle name="Input [yellow] 3 7 8 13" xfId="7700"/>
    <cellStyle name="Input [yellow] 3 7 8 13 2" xfId="18897"/>
    <cellStyle name="Input [yellow] 3 7 8 13 3" xfId="30065"/>
    <cellStyle name="Input [yellow] 3 7 8 13 4" xfId="41230"/>
    <cellStyle name="Input [yellow] 3 7 8 13 5" xfId="52423"/>
    <cellStyle name="Input [yellow] 3 7 8 14" xfId="8334"/>
    <cellStyle name="Input [yellow] 3 7 8 14 2" xfId="19531"/>
    <cellStyle name="Input [yellow] 3 7 8 14 3" xfId="30699"/>
    <cellStyle name="Input [yellow] 3 7 8 14 4" xfId="41864"/>
    <cellStyle name="Input [yellow] 3 7 8 14 5" xfId="53057"/>
    <cellStyle name="Input [yellow] 3 7 8 15" xfId="8962"/>
    <cellStyle name="Input [yellow] 3 7 8 15 2" xfId="20159"/>
    <cellStyle name="Input [yellow] 3 7 8 15 3" xfId="31327"/>
    <cellStyle name="Input [yellow] 3 7 8 15 4" xfId="42492"/>
    <cellStyle name="Input [yellow] 3 7 8 15 5" xfId="53685"/>
    <cellStyle name="Input [yellow] 3 7 8 16" xfId="9385"/>
    <cellStyle name="Input [yellow] 3 7 8 16 2" xfId="20582"/>
    <cellStyle name="Input [yellow] 3 7 8 16 3" xfId="31750"/>
    <cellStyle name="Input [yellow] 3 7 8 16 4" xfId="42915"/>
    <cellStyle name="Input [yellow] 3 7 8 16 5" xfId="54108"/>
    <cellStyle name="Input [yellow] 3 7 8 17" xfId="10011"/>
    <cellStyle name="Input [yellow] 3 7 8 17 2" xfId="21208"/>
    <cellStyle name="Input [yellow] 3 7 8 17 3" xfId="32376"/>
    <cellStyle name="Input [yellow] 3 7 8 17 4" xfId="43541"/>
    <cellStyle name="Input [yellow] 3 7 8 17 5" xfId="54734"/>
    <cellStyle name="Input [yellow] 3 7 8 18" xfId="10564"/>
    <cellStyle name="Input [yellow] 3 7 8 18 2" xfId="21761"/>
    <cellStyle name="Input [yellow] 3 7 8 18 3" xfId="32929"/>
    <cellStyle name="Input [yellow] 3 7 8 18 4" xfId="44094"/>
    <cellStyle name="Input [yellow] 3 7 8 18 5" xfId="55287"/>
    <cellStyle name="Input [yellow] 3 7 8 19" xfId="11050"/>
    <cellStyle name="Input [yellow] 3 7 8 19 2" xfId="22247"/>
    <cellStyle name="Input [yellow] 3 7 8 19 3" xfId="33415"/>
    <cellStyle name="Input [yellow] 3 7 8 19 4" xfId="44580"/>
    <cellStyle name="Input [yellow] 3 7 8 19 5" xfId="55773"/>
    <cellStyle name="Input [yellow] 3 7 8 2" xfId="1146"/>
    <cellStyle name="Input [yellow] 3 7 8 2 2" xfId="12343"/>
    <cellStyle name="Input [yellow] 3 7 8 2 3" xfId="23511"/>
    <cellStyle name="Input [yellow] 3 7 8 2 4" xfId="34676"/>
    <cellStyle name="Input [yellow] 3 7 8 2 5" xfId="45869"/>
    <cellStyle name="Input [yellow] 3 7 8 20" xfId="11697"/>
    <cellStyle name="Input [yellow] 3 7 8 21" xfId="22867"/>
    <cellStyle name="Input [yellow] 3 7 8 22" xfId="34034"/>
    <cellStyle name="Input [yellow] 3 7 8 23" xfId="45220"/>
    <cellStyle name="Input [yellow] 3 7 8 3" xfId="1382"/>
    <cellStyle name="Input [yellow] 3 7 8 3 2" xfId="12579"/>
    <cellStyle name="Input [yellow] 3 7 8 3 3" xfId="23747"/>
    <cellStyle name="Input [yellow] 3 7 8 3 4" xfId="34912"/>
    <cellStyle name="Input [yellow] 3 7 8 3 5" xfId="46105"/>
    <cellStyle name="Input [yellow] 3 7 8 4" xfId="2422"/>
    <cellStyle name="Input [yellow] 3 7 8 4 2" xfId="13619"/>
    <cellStyle name="Input [yellow] 3 7 8 4 3" xfId="24787"/>
    <cellStyle name="Input [yellow] 3 7 8 4 4" xfId="35952"/>
    <cellStyle name="Input [yellow] 3 7 8 4 5" xfId="47145"/>
    <cellStyle name="Input [yellow] 3 7 8 5" xfId="2847"/>
    <cellStyle name="Input [yellow] 3 7 8 5 2" xfId="14044"/>
    <cellStyle name="Input [yellow] 3 7 8 5 3" xfId="25212"/>
    <cellStyle name="Input [yellow] 3 7 8 5 4" xfId="36377"/>
    <cellStyle name="Input [yellow] 3 7 8 5 5" xfId="47570"/>
    <cellStyle name="Input [yellow] 3 7 8 6" xfId="3481"/>
    <cellStyle name="Input [yellow] 3 7 8 6 2" xfId="14678"/>
    <cellStyle name="Input [yellow] 3 7 8 6 3" xfId="25846"/>
    <cellStyle name="Input [yellow] 3 7 8 6 4" xfId="37011"/>
    <cellStyle name="Input [yellow] 3 7 8 6 5" xfId="48204"/>
    <cellStyle name="Input [yellow] 3 7 8 7" xfId="4115"/>
    <cellStyle name="Input [yellow] 3 7 8 7 2" xfId="15312"/>
    <cellStyle name="Input [yellow] 3 7 8 7 3" xfId="26480"/>
    <cellStyle name="Input [yellow] 3 7 8 7 4" xfId="37645"/>
    <cellStyle name="Input [yellow] 3 7 8 7 5" xfId="48838"/>
    <cellStyle name="Input [yellow] 3 7 8 8" xfId="4748"/>
    <cellStyle name="Input [yellow] 3 7 8 8 2" xfId="15945"/>
    <cellStyle name="Input [yellow] 3 7 8 8 3" xfId="27113"/>
    <cellStyle name="Input [yellow] 3 7 8 8 4" xfId="38278"/>
    <cellStyle name="Input [yellow] 3 7 8 8 5" xfId="49471"/>
    <cellStyle name="Input [yellow] 3 7 8 9" xfId="5379"/>
    <cellStyle name="Input [yellow] 3 7 8 9 2" xfId="16576"/>
    <cellStyle name="Input [yellow] 3 7 8 9 3" xfId="27744"/>
    <cellStyle name="Input [yellow] 3 7 8 9 4" xfId="38909"/>
    <cellStyle name="Input [yellow] 3 7 8 9 5" xfId="50102"/>
    <cellStyle name="Input [yellow] 3 7 9" xfId="555"/>
    <cellStyle name="Input [yellow] 3 7 9 10" xfId="5886"/>
    <cellStyle name="Input [yellow] 3 7 9 10 2" xfId="17083"/>
    <cellStyle name="Input [yellow] 3 7 9 10 3" xfId="28251"/>
    <cellStyle name="Input [yellow] 3 7 9 10 4" xfId="39416"/>
    <cellStyle name="Input [yellow] 3 7 9 10 5" xfId="50609"/>
    <cellStyle name="Input [yellow] 3 7 9 11" xfId="6491"/>
    <cellStyle name="Input [yellow] 3 7 9 11 2" xfId="17688"/>
    <cellStyle name="Input [yellow] 3 7 9 11 3" xfId="28856"/>
    <cellStyle name="Input [yellow] 3 7 9 11 4" xfId="40021"/>
    <cellStyle name="Input [yellow] 3 7 9 11 5" xfId="51214"/>
    <cellStyle name="Input [yellow] 3 7 9 12" xfId="7124"/>
    <cellStyle name="Input [yellow] 3 7 9 12 2" xfId="18321"/>
    <cellStyle name="Input [yellow] 3 7 9 12 3" xfId="29489"/>
    <cellStyle name="Input [yellow] 3 7 9 12 4" xfId="40654"/>
    <cellStyle name="Input [yellow] 3 7 9 12 5" xfId="51847"/>
    <cellStyle name="Input [yellow] 3 7 9 13" xfId="7758"/>
    <cellStyle name="Input [yellow] 3 7 9 13 2" xfId="18955"/>
    <cellStyle name="Input [yellow] 3 7 9 13 3" xfId="30123"/>
    <cellStyle name="Input [yellow] 3 7 9 13 4" xfId="41288"/>
    <cellStyle name="Input [yellow] 3 7 9 13 5" xfId="52481"/>
    <cellStyle name="Input [yellow] 3 7 9 14" xfId="8392"/>
    <cellStyle name="Input [yellow] 3 7 9 14 2" xfId="19589"/>
    <cellStyle name="Input [yellow] 3 7 9 14 3" xfId="30757"/>
    <cellStyle name="Input [yellow] 3 7 9 14 4" xfId="41922"/>
    <cellStyle name="Input [yellow] 3 7 9 14 5" xfId="53115"/>
    <cellStyle name="Input [yellow] 3 7 9 15" xfId="9020"/>
    <cellStyle name="Input [yellow] 3 7 9 15 2" xfId="20217"/>
    <cellStyle name="Input [yellow] 3 7 9 15 3" xfId="31385"/>
    <cellStyle name="Input [yellow] 3 7 9 15 4" xfId="42550"/>
    <cellStyle name="Input [yellow] 3 7 9 15 5" xfId="53743"/>
    <cellStyle name="Input [yellow] 3 7 9 16" xfId="9443"/>
    <cellStyle name="Input [yellow] 3 7 9 16 2" xfId="20640"/>
    <cellStyle name="Input [yellow] 3 7 9 16 3" xfId="31808"/>
    <cellStyle name="Input [yellow] 3 7 9 16 4" xfId="42973"/>
    <cellStyle name="Input [yellow] 3 7 9 16 5" xfId="54166"/>
    <cellStyle name="Input [yellow] 3 7 9 17" xfId="10068"/>
    <cellStyle name="Input [yellow] 3 7 9 17 2" xfId="21265"/>
    <cellStyle name="Input [yellow] 3 7 9 17 3" xfId="32433"/>
    <cellStyle name="Input [yellow] 3 7 9 17 4" xfId="43598"/>
    <cellStyle name="Input [yellow] 3 7 9 17 5" xfId="54791"/>
    <cellStyle name="Input [yellow] 3 7 9 18" xfId="10419"/>
    <cellStyle name="Input [yellow] 3 7 9 18 2" xfId="21616"/>
    <cellStyle name="Input [yellow] 3 7 9 18 3" xfId="32784"/>
    <cellStyle name="Input [yellow] 3 7 9 18 4" xfId="43949"/>
    <cellStyle name="Input [yellow] 3 7 9 18 5" xfId="55142"/>
    <cellStyle name="Input [yellow] 3 7 9 19" xfId="11108"/>
    <cellStyle name="Input [yellow] 3 7 9 19 2" xfId="22305"/>
    <cellStyle name="Input [yellow] 3 7 9 19 3" xfId="33473"/>
    <cellStyle name="Input [yellow] 3 7 9 19 4" xfId="44638"/>
    <cellStyle name="Input [yellow] 3 7 9 19 5" xfId="55831"/>
    <cellStyle name="Input [yellow] 3 7 9 2" xfId="1204"/>
    <cellStyle name="Input [yellow] 3 7 9 2 2" xfId="12401"/>
    <cellStyle name="Input [yellow] 3 7 9 2 3" xfId="23569"/>
    <cellStyle name="Input [yellow] 3 7 9 2 4" xfId="34734"/>
    <cellStyle name="Input [yellow] 3 7 9 2 5" xfId="45927"/>
    <cellStyle name="Input [yellow] 3 7 9 20" xfId="11755"/>
    <cellStyle name="Input [yellow] 3 7 9 21" xfId="22925"/>
    <cellStyle name="Input [yellow] 3 7 9 22" xfId="34092"/>
    <cellStyle name="Input [yellow] 3 7 9 23" xfId="45278"/>
    <cellStyle name="Input [yellow] 3 7 9 3" xfId="1738"/>
    <cellStyle name="Input [yellow] 3 7 9 3 2" xfId="12935"/>
    <cellStyle name="Input [yellow] 3 7 9 3 3" xfId="24103"/>
    <cellStyle name="Input [yellow] 3 7 9 3 4" xfId="35268"/>
    <cellStyle name="Input [yellow] 3 7 9 3 5" xfId="46461"/>
    <cellStyle name="Input [yellow] 3 7 9 4" xfId="2480"/>
    <cellStyle name="Input [yellow] 3 7 9 4 2" xfId="13677"/>
    <cellStyle name="Input [yellow] 3 7 9 4 3" xfId="24845"/>
    <cellStyle name="Input [yellow] 3 7 9 4 4" xfId="36010"/>
    <cellStyle name="Input [yellow] 3 7 9 4 5" xfId="47203"/>
    <cellStyle name="Input [yellow] 3 7 9 5" xfId="2905"/>
    <cellStyle name="Input [yellow] 3 7 9 5 2" xfId="14102"/>
    <cellStyle name="Input [yellow] 3 7 9 5 3" xfId="25270"/>
    <cellStyle name="Input [yellow] 3 7 9 5 4" xfId="36435"/>
    <cellStyle name="Input [yellow] 3 7 9 5 5" xfId="47628"/>
    <cellStyle name="Input [yellow] 3 7 9 6" xfId="3539"/>
    <cellStyle name="Input [yellow] 3 7 9 6 2" xfId="14736"/>
    <cellStyle name="Input [yellow] 3 7 9 6 3" xfId="25904"/>
    <cellStyle name="Input [yellow] 3 7 9 6 4" xfId="37069"/>
    <cellStyle name="Input [yellow] 3 7 9 6 5" xfId="48262"/>
    <cellStyle name="Input [yellow] 3 7 9 7" xfId="4173"/>
    <cellStyle name="Input [yellow] 3 7 9 7 2" xfId="15370"/>
    <cellStyle name="Input [yellow] 3 7 9 7 3" xfId="26538"/>
    <cellStyle name="Input [yellow] 3 7 9 7 4" xfId="37703"/>
    <cellStyle name="Input [yellow] 3 7 9 7 5" xfId="48896"/>
    <cellStyle name="Input [yellow] 3 7 9 8" xfId="4806"/>
    <cellStyle name="Input [yellow] 3 7 9 8 2" xfId="16003"/>
    <cellStyle name="Input [yellow] 3 7 9 8 3" xfId="27171"/>
    <cellStyle name="Input [yellow] 3 7 9 8 4" xfId="38336"/>
    <cellStyle name="Input [yellow] 3 7 9 8 5" xfId="49529"/>
    <cellStyle name="Input [yellow] 3 7 9 9" xfId="5437"/>
    <cellStyle name="Input [yellow] 3 7 9 9 2" xfId="16634"/>
    <cellStyle name="Input [yellow] 3 7 9 9 3" xfId="27802"/>
    <cellStyle name="Input [yellow] 3 7 9 9 4" xfId="38967"/>
    <cellStyle name="Input [yellow] 3 7 9 9 5" xfId="50160"/>
    <cellStyle name="Input [yellow] 3 8" xfId="93"/>
    <cellStyle name="Input [yellow] 3 8 10" xfId="483"/>
    <cellStyle name="Input [yellow] 3 8 10 10" xfId="5864"/>
    <cellStyle name="Input [yellow] 3 8 10 10 2" xfId="17061"/>
    <cellStyle name="Input [yellow] 3 8 10 10 3" xfId="28229"/>
    <cellStyle name="Input [yellow] 3 8 10 10 4" xfId="39394"/>
    <cellStyle name="Input [yellow] 3 8 10 10 5" xfId="50587"/>
    <cellStyle name="Input [yellow] 3 8 10 11" xfId="6419"/>
    <cellStyle name="Input [yellow] 3 8 10 11 2" xfId="17616"/>
    <cellStyle name="Input [yellow] 3 8 10 11 3" xfId="28784"/>
    <cellStyle name="Input [yellow] 3 8 10 11 4" xfId="39949"/>
    <cellStyle name="Input [yellow] 3 8 10 11 5" xfId="51142"/>
    <cellStyle name="Input [yellow] 3 8 10 12" xfId="7052"/>
    <cellStyle name="Input [yellow] 3 8 10 12 2" xfId="18249"/>
    <cellStyle name="Input [yellow] 3 8 10 12 3" xfId="29417"/>
    <cellStyle name="Input [yellow] 3 8 10 12 4" xfId="40582"/>
    <cellStyle name="Input [yellow] 3 8 10 12 5" xfId="51775"/>
    <cellStyle name="Input [yellow] 3 8 10 13" xfId="7686"/>
    <cellStyle name="Input [yellow] 3 8 10 13 2" xfId="18883"/>
    <cellStyle name="Input [yellow] 3 8 10 13 3" xfId="30051"/>
    <cellStyle name="Input [yellow] 3 8 10 13 4" xfId="41216"/>
    <cellStyle name="Input [yellow] 3 8 10 13 5" xfId="52409"/>
    <cellStyle name="Input [yellow] 3 8 10 14" xfId="8320"/>
    <cellStyle name="Input [yellow] 3 8 10 14 2" xfId="19517"/>
    <cellStyle name="Input [yellow] 3 8 10 14 3" xfId="30685"/>
    <cellStyle name="Input [yellow] 3 8 10 14 4" xfId="41850"/>
    <cellStyle name="Input [yellow] 3 8 10 14 5" xfId="53043"/>
    <cellStyle name="Input [yellow] 3 8 10 15" xfId="8948"/>
    <cellStyle name="Input [yellow] 3 8 10 15 2" xfId="20145"/>
    <cellStyle name="Input [yellow] 3 8 10 15 3" xfId="31313"/>
    <cellStyle name="Input [yellow] 3 8 10 15 4" xfId="42478"/>
    <cellStyle name="Input [yellow] 3 8 10 15 5" xfId="53671"/>
    <cellStyle name="Input [yellow] 3 8 10 16" xfId="9371"/>
    <cellStyle name="Input [yellow] 3 8 10 16 2" xfId="20568"/>
    <cellStyle name="Input [yellow] 3 8 10 16 3" xfId="31736"/>
    <cellStyle name="Input [yellow] 3 8 10 16 4" xfId="42901"/>
    <cellStyle name="Input [yellow] 3 8 10 16 5" xfId="54094"/>
    <cellStyle name="Input [yellow] 3 8 10 17" xfId="9997"/>
    <cellStyle name="Input [yellow] 3 8 10 17 2" xfId="21194"/>
    <cellStyle name="Input [yellow] 3 8 10 17 3" xfId="32362"/>
    <cellStyle name="Input [yellow] 3 8 10 17 4" xfId="43527"/>
    <cellStyle name="Input [yellow] 3 8 10 17 5" xfId="54720"/>
    <cellStyle name="Input [yellow] 3 8 10 18" xfId="9634"/>
    <cellStyle name="Input [yellow] 3 8 10 18 2" xfId="20831"/>
    <cellStyle name="Input [yellow] 3 8 10 18 3" xfId="31999"/>
    <cellStyle name="Input [yellow] 3 8 10 18 4" xfId="43164"/>
    <cellStyle name="Input [yellow] 3 8 10 18 5" xfId="54357"/>
    <cellStyle name="Input [yellow] 3 8 10 19" xfId="11036"/>
    <cellStyle name="Input [yellow] 3 8 10 19 2" xfId="22233"/>
    <cellStyle name="Input [yellow] 3 8 10 19 3" xfId="33401"/>
    <cellStyle name="Input [yellow] 3 8 10 19 4" xfId="44566"/>
    <cellStyle name="Input [yellow] 3 8 10 19 5" xfId="55759"/>
    <cellStyle name="Input [yellow] 3 8 10 2" xfId="1132"/>
    <cellStyle name="Input [yellow] 3 8 10 2 2" xfId="12329"/>
    <cellStyle name="Input [yellow] 3 8 10 2 3" xfId="23497"/>
    <cellStyle name="Input [yellow] 3 8 10 2 4" xfId="34662"/>
    <cellStyle name="Input [yellow] 3 8 10 2 5" xfId="45855"/>
    <cellStyle name="Input [yellow] 3 8 10 20" xfId="11683"/>
    <cellStyle name="Input [yellow] 3 8 10 21" xfId="22853"/>
    <cellStyle name="Input [yellow] 3 8 10 22" xfId="34020"/>
    <cellStyle name="Input [yellow] 3 8 10 23" xfId="45206"/>
    <cellStyle name="Input [yellow] 3 8 10 3" xfId="1462"/>
    <cellStyle name="Input [yellow] 3 8 10 3 2" xfId="12659"/>
    <cellStyle name="Input [yellow] 3 8 10 3 3" xfId="23827"/>
    <cellStyle name="Input [yellow] 3 8 10 3 4" xfId="34992"/>
    <cellStyle name="Input [yellow] 3 8 10 3 5" xfId="46185"/>
    <cellStyle name="Input [yellow] 3 8 10 4" xfId="2408"/>
    <cellStyle name="Input [yellow] 3 8 10 4 2" xfId="13605"/>
    <cellStyle name="Input [yellow] 3 8 10 4 3" xfId="24773"/>
    <cellStyle name="Input [yellow] 3 8 10 4 4" xfId="35938"/>
    <cellStyle name="Input [yellow] 3 8 10 4 5" xfId="47131"/>
    <cellStyle name="Input [yellow] 3 8 10 5" xfId="2833"/>
    <cellStyle name="Input [yellow] 3 8 10 5 2" xfId="14030"/>
    <cellStyle name="Input [yellow] 3 8 10 5 3" xfId="25198"/>
    <cellStyle name="Input [yellow] 3 8 10 5 4" xfId="36363"/>
    <cellStyle name="Input [yellow] 3 8 10 5 5" xfId="47556"/>
    <cellStyle name="Input [yellow] 3 8 10 6" xfId="3467"/>
    <cellStyle name="Input [yellow] 3 8 10 6 2" xfId="14664"/>
    <cellStyle name="Input [yellow] 3 8 10 6 3" xfId="25832"/>
    <cellStyle name="Input [yellow] 3 8 10 6 4" xfId="36997"/>
    <cellStyle name="Input [yellow] 3 8 10 6 5" xfId="48190"/>
    <cellStyle name="Input [yellow] 3 8 10 7" xfId="4101"/>
    <cellStyle name="Input [yellow] 3 8 10 7 2" xfId="15298"/>
    <cellStyle name="Input [yellow] 3 8 10 7 3" xfId="26466"/>
    <cellStyle name="Input [yellow] 3 8 10 7 4" xfId="37631"/>
    <cellStyle name="Input [yellow] 3 8 10 7 5" xfId="48824"/>
    <cellStyle name="Input [yellow] 3 8 10 8" xfId="4734"/>
    <cellStyle name="Input [yellow] 3 8 10 8 2" xfId="15931"/>
    <cellStyle name="Input [yellow] 3 8 10 8 3" xfId="27099"/>
    <cellStyle name="Input [yellow] 3 8 10 8 4" xfId="38264"/>
    <cellStyle name="Input [yellow] 3 8 10 8 5" xfId="49457"/>
    <cellStyle name="Input [yellow] 3 8 10 9" xfId="5365"/>
    <cellStyle name="Input [yellow] 3 8 10 9 2" xfId="16562"/>
    <cellStyle name="Input [yellow] 3 8 10 9 3" xfId="27730"/>
    <cellStyle name="Input [yellow] 3 8 10 9 4" xfId="38895"/>
    <cellStyle name="Input [yellow] 3 8 10 9 5" xfId="50088"/>
    <cellStyle name="Input [yellow] 3 8 11" xfId="686"/>
    <cellStyle name="Input [yellow] 3 8 11 10" xfId="5659"/>
    <cellStyle name="Input [yellow] 3 8 11 10 2" xfId="16856"/>
    <cellStyle name="Input [yellow] 3 8 11 10 3" xfId="28024"/>
    <cellStyle name="Input [yellow] 3 8 11 10 4" xfId="39189"/>
    <cellStyle name="Input [yellow] 3 8 11 10 5" xfId="50382"/>
    <cellStyle name="Input [yellow] 3 8 11 11" xfId="6622"/>
    <cellStyle name="Input [yellow] 3 8 11 11 2" xfId="17819"/>
    <cellStyle name="Input [yellow] 3 8 11 11 3" xfId="28987"/>
    <cellStyle name="Input [yellow] 3 8 11 11 4" xfId="40152"/>
    <cellStyle name="Input [yellow] 3 8 11 11 5" xfId="51345"/>
    <cellStyle name="Input [yellow] 3 8 11 12" xfId="7255"/>
    <cellStyle name="Input [yellow] 3 8 11 12 2" xfId="18452"/>
    <cellStyle name="Input [yellow] 3 8 11 12 3" xfId="29620"/>
    <cellStyle name="Input [yellow] 3 8 11 12 4" xfId="40785"/>
    <cellStyle name="Input [yellow] 3 8 11 12 5" xfId="51978"/>
    <cellStyle name="Input [yellow] 3 8 11 13" xfId="7889"/>
    <cellStyle name="Input [yellow] 3 8 11 13 2" xfId="19086"/>
    <cellStyle name="Input [yellow] 3 8 11 13 3" xfId="30254"/>
    <cellStyle name="Input [yellow] 3 8 11 13 4" xfId="41419"/>
    <cellStyle name="Input [yellow] 3 8 11 13 5" xfId="52612"/>
    <cellStyle name="Input [yellow] 3 8 11 14" xfId="8523"/>
    <cellStyle name="Input [yellow] 3 8 11 14 2" xfId="19720"/>
    <cellStyle name="Input [yellow] 3 8 11 14 3" xfId="30888"/>
    <cellStyle name="Input [yellow] 3 8 11 14 4" xfId="42053"/>
    <cellStyle name="Input [yellow] 3 8 11 14 5" xfId="53246"/>
    <cellStyle name="Input [yellow] 3 8 11 15" xfId="9151"/>
    <cellStyle name="Input [yellow] 3 8 11 15 2" xfId="20348"/>
    <cellStyle name="Input [yellow] 3 8 11 15 3" xfId="31516"/>
    <cellStyle name="Input [yellow] 3 8 11 15 4" xfId="42681"/>
    <cellStyle name="Input [yellow] 3 8 11 15 5" xfId="53874"/>
    <cellStyle name="Input [yellow] 3 8 11 16" xfId="9574"/>
    <cellStyle name="Input [yellow] 3 8 11 16 2" xfId="20771"/>
    <cellStyle name="Input [yellow] 3 8 11 16 3" xfId="31939"/>
    <cellStyle name="Input [yellow] 3 8 11 16 4" xfId="43104"/>
    <cellStyle name="Input [yellow] 3 8 11 16 5" xfId="54297"/>
    <cellStyle name="Input [yellow] 3 8 11 17" xfId="10198"/>
    <cellStyle name="Input [yellow] 3 8 11 17 2" xfId="21395"/>
    <cellStyle name="Input [yellow] 3 8 11 17 3" xfId="32563"/>
    <cellStyle name="Input [yellow] 3 8 11 17 4" xfId="43728"/>
    <cellStyle name="Input [yellow] 3 8 11 17 5" xfId="54921"/>
    <cellStyle name="Input [yellow] 3 8 11 18" xfId="9932"/>
    <cellStyle name="Input [yellow] 3 8 11 18 2" xfId="21129"/>
    <cellStyle name="Input [yellow] 3 8 11 18 3" xfId="32297"/>
    <cellStyle name="Input [yellow] 3 8 11 18 4" xfId="43462"/>
    <cellStyle name="Input [yellow] 3 8 11 18 5" xfId="54655"/>
    <cellStyle name="Input [yellow] 3 8 11 19" xfId="11239"/>
    <cellStyle name="Input [yellow] 3 8 11 19 2" xfId="22436"/>
    <cellStyle name="Input [yellow] 3 8 11 19 3" xfId="33604"/>
    <cellStyle name="Input [yellow] 3 8 11 19 4" xfId="44769"/>
    <cellStyle name="Input [yellow] 3 8 11 19 5" xfId="55962"/>
    <cellStyle name="Input [yellow] 3 8 11 2" xfId="1335"/>
    <cellStyle name="Input [yellow] 3 8 11 2 2" xfId="12532"/>
    <cellStyle name="Input [yellow] 3 8 11 2 3" xfId="23700"/>
    <cellStyle name="Input [yellow] 3 8 11 2 4" xfId="34865"/>
    <cellStyle name="Input [yellow] 3 8 11 2 5" xfId="46058"/>
    <cellStyle name="Input [yellow] 3 8 11 20" xfId="11886"/>
    <cellStyle name="Input [yellow] 3 8 11 21" xfId="23056"/>
    <cellStyle name="Input [yellow] 3 8 11 22" xfId="34223"/>
    <cellStyle name="Input [yellow] 3 8 11 23" xfId="45409"/>
    <cellStyle name="Input [yellow] 3 8 11 3" xfId="1359"/>
    <cellStyle name="Input [yellow] 3 8 11 3 2" xfId="12556"/>
    <cellStyle name="Input [yellow] 3 8 11 3 3" xfId="23724"/>
    <cellStyle name="Input [yellow] 3 8 11 3 4" xfId="34889"/>
    <cellStyle name="Input [yellow] 3 8 11 3 5" xfId="46082"/>
    <cellStyle name="Input [yellow] 3 8 11 4" xfId="2610"/>
    <cellStyle name="Input [yellow] 3 8 11 4 2" xfId="13807"/>
    <cellStyle name="Input [yellow] 3 8 11 4 3" xfId="24975"/>
    <cellStyle name="Input [yellow] 3 8 11 4 4" xfId="36140"/>
    <cellStyle name="Input [yellow] 3 8 11 4 5" xfId="47333"/>
    <cellStyle name="Input [yellow] 3 8 11 5" xfId="3036"/>
    <cellStyle name="Input [yellow] 3 8 11 5 2" xfId="14233"/>
    <cellStyle name="Input [yellow] 3 8 11 5 3" xfId="25401"/>
    <cellStyle name="Input [yellow] 3 8 11 5 4" xfId="36566"/>
    <cellStyle name="Input [yellow] 3 8 11 5 5" xfId="47759"/>
    <cellStyle name="Input [yellow] 3 8 11 6" xfId="3670"/>
    <cellStyle name="Input [yellow] 3 8 11 6 2" xfId="14867"/>
    <cellStyle name="Input [yellow] 3 8 11 6 3" xfId="26035"/>
    <cellStyle name="Input [yellow] 3 8 11 6 4" xfId="37200"/>
    <cellStyle name="Input [yellow] 3 8 11 6 5" xfId="48393"/>
    <cellStyle name="Input [yellow] 3 8 11 7" xfId="4304"/>
    <cellStyle name="Input [yellow] 3 8 11 7 2" xfId="15501"/>
    <cellStyle name="Input [yellow] 3 8 11 7 3" xfId="26669"/>
    <cellStyle name="Input [yellow] 3 8 11 7 4" xfId="37834"/>
    <cellStyle name="Input [yellow] 3 8 11 7 5" xfId="49027"/>
    <cellStyle name="Input [yellow] 3 8 11 8" xfId="4937"/>
    <cellStyle name="Input [yellow] 3 8 11 8 2" xfId="16134"/>
    <cellStyle name="Input [yellow] 3 8 11 8 3" xfId="27302"/>
    <cellStyle name="Input [yellow] 3 8 11 8 4" xfId="38467"/>
    <cellStyle name="Input [yellow] 3 8 11 8 5" xfId="49660"/>
    <cellStyle name="Input [yellow] 3 8 11 9" xfId="5568"/>
    <cellStyle name="Input [yellow] 3 8 11 9 2" xfId="16765"/>
    <cellStyle name="Input [yellow] 3 8 11 9 3" xfId="27933"/>
    <cellStyle name="Input [yellow] 3 8 11 9 4" xfId="39098"/>
    <cellStyle name="Input [yellow] 3 8 11 9 5" xfId="50291"/>
    <cellStyle name="Input [yellow] 3 8 12" xfId="742"/>
    <cellStyle name="Input [yellow] 3 8 12 2" xfId="11940"/>
    <cellStyle name="Input [yellow] 3 8 12 3" xfId="23108"/>
    <cellStyle name="Input [yellow] 3 8 12 4" xfId="34273"/>
    <cellStyle name="Input [yellow] 3 8 12 5" xfId="45465"/>
    <cellStyle name="Input [yellow] 3 8 13" xfId="1940"/>
    <cellStyle name="Input [yellow] 3 8 13 2" xfId="13137"/>
    <cellStyle name="Input [yellow] 3 8 13 3" xfId="24305"/>
    <cellStyle name="Input [yellow] 3 8 13 4" xfId="35470"/>
    <cellStyle name="Input [yellow] 3 8 13 5" xfId="46663"/>
    <cellStyle name="Input [yellow] 3 8 14" xfId="2019"/>
    <cellStyle name="Input [yellow] 3 8 14 2" xfId="13216"/>
    <cellStyle name="Input [yellow] 3 8 14 3" xfId="24384"/>
    <cellStyle name="Input [yellow] 3 8 14 4" xfId="35549"/>
    <cellStyle name="Input [yellow] 3 8 14 5" xfId="46742"/>
    <cellStyle name="Input [yellow] 3 8 15" xfId="2559"/>
    <cellStyle name="Input [yellow] 3 8 15 2" xfId="13756"/>
    <cellStyle name="Input [yellow] 3 8 15 3" xfId="24924"/>
    <cellStyle name="Input [yellow] 3 8 15 4" xfId="36089"/>
    <cellStyle name="Input [yellow] 3 8 15 5" xfId="47282"/>
    <cellStyle name="Input [yellow] 3 8 16" xfId="3077"/>
    <cellStyle name="Input [yellow] 3 8 16 2" xfId="14274"/>
    <cellStyle name="Input [yellow] 3 8 16 3" xfId="25442"/>
    <cellStyle name="Input [yellow] 3 8 16 4" xfId="36607"/>
    <cellStyle name="Input [yellow] 3 8 16 5" xfId="47800"/>
    <cellStyle name="Input [yellow] 3 8 17" xfId="3711"/>
    <cellStyle name="Input [yellow] 3 8 17 2" xfId="14908"/>
    <cellStyle name="Input [yellow] 3 8 17 3" xfId="26076"/>
    <cellStyle name="Input [yellow] 3 8 17 4" xfId="37241"/>
    <cellStyle name="Input [yellow] 3 8 17 5" xfId="48434"/>
    <cellStyle name="Input [yellow] 3 8 18" xfId="4344"/>
    <cellStyle name="Input [yellow] 3 8 18 2" xfId="15541"/>
    <cellStyle name="Input [yellow] 3 8 18 3" xfId="26709"/>
    <cellStyle name="Input [yellow] 3 8 18 4" xfId="37874"/>
    <cellStyle name="Input [yellow] 3 8 18 5" xfId="49067"/>
    <cellStyle name="Input [yellow] 3 8 19" xfId="4976"/>
    <cellStyle name="Input [yellow] 3 8 19 2" xfId="16173"/>
    <cellStyle name="Input [yellow] 3 8 19 3" xfId="27341"/>
    <cellStyle name="Input [yellow] 3 8 19 4" xfId="38506"/>
    <cellStyle name="Input [yellow] 3 8 19 5" xfId="49699"/>
    <cellStyle name="Input [yellow] 3 8 2" xfId="157"/>
    <cellStyle name="Input [yellow] 3 8 2 10" xfId="5679"/>
    <cellStyle name="Input [yellow] 3 8 2 10 2" xfId="16876"/>
    <cellStyle name="Input [yellow] 3 8 2 10 3" xfId="28044"/>
    <cellStyle name="Input [yellow] 3 8 2 10 4" xfId="39209"/>
    <cellStyle name="Input [yellow] 3 8 2 10 5" xfId="50402"/>
    <cellStyle name="Input [yellow] 3 8 2 11" xfId="6011"/>
    <cellStyle name="Input [yellow] 3 8 2 11 2" xfId="17208"/>
    <cellStyle name="Input [yellow] 3 8 2 11 3" xfId="28376"/>
    <cellStyle name="Input [yellow] 3 8 2 11 4" xfId="39541"/>
    <cellStyle name="Input [yellow] 3 8 2 11 5" xfId="50734"/>
    <cellStyle name="Input [yellow] 3 8 2 12" xfId="6726"/>
    <cellStyle name="Input [yellow] 3 8 2 12 2" xfId="17923"/>
    <cellStyle name="Input [yellow] 3 8 2 12 3" xfId="29091"/>
    <cellStyle name="Input [yellow] 3 8 2 12 4" xfId="40256"/>
    <cellStyle name="Input [yellow] 3 8 2 12 5" xfId="51449"/>
    <cellStyle name="Input [yellow] 3 8 2 13" xfId="7360"/>
    <cellStyle name="Input [yellow] 3 8 2 13 2" xfId="18557"/>
    <cellStyle name="Input [yellow] 3 8 2 13 3" xfId="29725"/>
    <cellStyle name="Input [yellow] 3 8 2 13 4" xfId="40890"/>
    <cellStyle name="Input [yellow] 3 8 2 13 5" xfId="52083"/>
    <cellStyle name="Input [yellow] 3 8 2 14" xfId="7994"/>
    <cellStyle name="Input [yellow] 3 8 2 14 2" xfId="19191"/>
    <cellStyle name="Input [yellow] 3 8 2 14 3" xfId="30359"/>
    <cellStyle name="Input [yellow] 3 8 2 14 4" xfId="41524"/>
    <cellStyle name="Input [yellow] 3 8 2 14 5" xfId="52717"/>
    <cellStyle name="Input [yellow] 3 8 2 15" xfId="8625"/>
    <cellStyle name="Input [yellow] 3 8 2 15 2" xfId="19822"/>
    <cellStyle name="Input [yellow] 3 8 2 15 3" xfId="30990"/>
    <cellStyle name="Input [yellow] 3 8 2 15 4" xfId="42155"/>
    <cellStyle name="Input [yellow] 3 8 2 15 5" xfId="53348"/>
    <cellStyle name="Input [yellow] 3 8 2 16" xfId="8935"/>
    <cellStyle name="Input [yellow] 3 8 2 16 2" xfId="20132"/>
    <cellStyle name="Input [yellow] 3 8 2 16 3" xfId="31300"/>
    <cellStyle name="Input [yellow] 3 8 2 16 4" xfId="42465"/>
    <cellStyle name="Input [yellow] 3 8 2 16 5" xfId="53658"/>
    <cellStyle name="Input [yellow] 3 8 2 17" xfId="9678"/>
    <cellStyle name="Input [yellow] 3 8 2 17 2" xfId="20875"/>
    <cellStyle name="Input [yellow] 3 8 2 17 3" xfId="32043"/>
    <cellStyle name="Input [yellow] 3 8 2 17 4" xfId="43208"/>
    <cellStyle name="Input [yellow] 3 8 2 17 5" xfId="54401"/>
    <cellStyle name="Input [yellow] 3 8 2 18" xfId="9944"/>
    <cellStyle name="Input [yellow] 3 8 2 18 2" xfId="21141"/>
    <cellStyle name="Input [yellow] 3 8 2 18 3" xfId="32309"/>
    <cellStyle name="Input [yellow] 3 8 2 18 4" xfId="43474"/>
    <cellStyle name="Input [yellow] 3 8 2 18 5" xfId="54667"/>
    <cellStyle name="Input [yellow] 3 8 2 19" xfId="10710"/>
    <cellStyle name="Input [yellow] 3 8 2 19 2" xfId="21907"/>
    <cellStyle name="Input [yellow] 3 8 2 19 3" xfId="33075"/>
    <cellStyle name="Input [yellow] 3 8 2 19 4" xfId="44240"/>
    <cellStyle name="Input [yellow] 3 8 2 19 5" xfId="55433"/>
    <cellStyle name="Input [yellow] 3 8 2 2" xfId="806"/>
    <cellStyle name="Input [yellow] 3 8 2 2 2" xfId="12003"/>
    <cellStyle name="Input [yellow] 3 8 2 2 3" xfId="23171"/>
    <cellStyle name="Input [yellow] 3 8 2 2 4" xfId="34336"/>
    <cellStyle name="Input [yellow] 3 8 2 2 5" xfId="45529"/>
    <cellStyle name="Input [yellow] 3 8 2 20" xfId="11357"/>
    <cellStyle name="Input [yellow] 3 8 2 21" xfId="22527"/>
    <cellStyle name="Input [yellow] 3 8 2 22" xfId="33694"/>
    <cellStyle name="Input [yellow] 3 8 2 23" xfId="44880"/>
    <cellStyle name="Input [yellow] 3 8 2 3" xfId="1476"/>
    <cellStyle name="Input [yellow] 3 8 2 3 2" xfId="12673"/>
    <cellStyle name="Input [yellow] 3 8 2 3 3" xfId="23841"/>
    <cellStyle name="Input [yellow] 3 8 2 3 4" xfId="35006"/>
    <cellStyle name="Input [yellow] 3 8 2 3 5" xfId="46199"/>
    <cellStyle name="Input [yellow] 3 8 2 4" xfId="2083"/>
    <cellStyle name="Input [yellow] 3 8 2 4 2" xfId="13280"/>
    <cellStyle name="Input [yellow] 3 8 2 4 3" xfId="24448"/>
    <cellStyle name="Input [yellow] 3 8 2 4 4" xfId="35613"/>
    <cellStyle name="Input [yellow] 3 8 2 4 5" xfId="46806"/>
    <cellStyle name="Input [yellow] 3 8 2 5" xfId="2319"/>
    <cellStyle name="Input [yellow] 3 8 2 5 2" xfId="13516"/>
    <cellStyle name="Input [yellow] 3 8 2 5 3" xfId="24684"/>
    <cellStyle name="Input [yellow] 3 8 2 5 4" xfId="35849"/>
    <cellStyle name="Input [yellow] 3 8 2 5 5" xfId="47042"/>
    <cellStyle name="Input [yellow] 3 8 2 6" xfId="3141"/>
    <cellStyle name="Input [yellow] 3 8 2 6 2" xfId="14338"/>
    <cellStyle name="Input [yellow] 3 8 2 6 3" xfId="25506"/>
    <cellStyle name="Input [yellow] 3 8 2 6 4" xfId="36671"/>
    <cellStyle name="Input [yellow] 3 8 2 6 5" xfId="47864"/>
    <cellStyle name="Input [yellow] 3 8 2 7" xfId="3775"/>
    <cellStyle name="Input [yellow] 3 8 2 7 2" xfId="14972"/>
    <cellStyle name="Input [yellow] 3 8 2 7 3" xfId="26140"/>
    <cellStyle name="Input [yellow] 3 8 2 7 4" xfId="37305"/>
    <cellStyle name="Input [yellow] 3 8 2 7 5" xfId="48498"/>
    <cellStyle name="Input [yellow] 3 8 2 8" xfId="4408"/>
    <cellStyle name="Input [yellow] 3 8 2 8 2" xfId="15605"/>
    <cellStyle name="Input [yellow] 3 8 2 8 3" xfId="26773"/>
    <cellStyle name="Input [yellow] 3 8 2 8 4" xfId="37938"/>
    <cellStyle name="Input [yellow] 3 8 2 8 5" xfId="49131"/>
    <cellStyle name="Input [yellow] 3 8 2 9" xfId="5039"/>
    <cellStyle name="Input [yellow] 3 8 2 9 2" xfId="16236"/>
    <cellStyle name="Input [yellow] 3 8 2 9 3" xfId="27404"/>
    <cellStyle name="Input [yellow] 3 8 2 9 4" xfId="38569"/>
    <cellStyle name="Input [yellow] 3 8 2 9 5" xfId="49762"/>
    <cellStyle name="Input [yellow] 3 8 20" xfId="6049"/>
    <cellStyle name="Input [yellow] 3 8 20 2" xfId="17246"/>
    <cellStyle name="Input [yellow] 3 8 20 3" xfId="28414"/>
    <cellStyle name="Input [yellow] 3 8 20 4" xfId="39579"/>
    <cellStyle name="Input [yellow] 3 8 20 5" xfId="50772"/>
    <cellStyle name="Input [yellow] 3 8 21" xfId="5589"/>
    <cellStyle name="Input [yellow] 3 8 21 2" xfId="16786"/>
    <cellStyle name="Input [yellow] 3 8 21 3" xfId="27954"/>
    <cellStyle name="Input [yellow] 3 8 21 4" xfId="39119"/>
    <cellStyle name="Input [yellow] 3 8 21 5" xfId="50312"/>
    <cellStyle name="Input [yellow] 3 8 22" xfId="6663"/>
    <cellStyle name="Input [yellow] 3 8 22 2" xfId="17860"/>
    <cellStyle name="Input [yellow] 3 8 22 3" xfId="29028"/>
    <cellStyle name="Input [yellow] 3 8 22 4" xfId="40193"/>
    <cellStyle name="Input [yellow] 3 8 22 5" xfId="51386"/>
    <cellStyle name="Input [yellow] 3 8 23" xfId="7296"/>
    <cellStyle name="Input [yellow] 3 8 23 2" xfId="18493"/>
    <cellStyle name="Input [yellow] 3 8 23 3" xfId="29661"/>
    <cellStyle name="Input [yellow] 3 8 23 4" xfId="40826"/>
    <cellStyle name="Input [yellow] 3 8 23 5" xfId="52019"/>
    <cellStyle name="Input [yellow] 3 8 24" xfId="7930"/>
    <cellStyle name="Input [yellow] 3 8 24 2" xfId="19127"/>
    <cellStyle name="Input [yellow] 3 8 24 3" xfId="30295"/>
    <cellStyle name="Input [yellow] 3 8 24 4" xfId="41460"/>
    <cellStyle name="Input [yellow] 3 8 24 5" xfId="52653"/>
    <cellStyle name="Input [yellow] 3 8 25" xfId="8562"/>
    <cellStyle name="Input [yellow] 3 8 25 2" xfId="19759"/>
    <cellStyle name="Input [yellow] 3 8 25 3" xfId="30927"/>
    <cellStyle name="Input [yellow] 3 8 25 4" xfId="42092"/>
    <cellStyle name="Input [yellow] 3 8 25 5" xfId="53285"/>
    <cellStyle name="Input [yellow] 3 8 26" xfId="8682"/>
    <cellStyle name="Input [yellow] 3 8 26 2" xfId="19879"/>
    <cellStyle name="Input [yellow] 3 8 26 3" xfId="31047"/>
    <cellStyle name="Input [yellow] 3 8 26 4" xfId="42212"/>
    <cellStyle name="Input [yellow] 3 8 26 5" xfId="53405"/>
    <cellStyle name="Input [yellow] 3 8 27" xfId="9615"/>
    <cellStyle name="Input [yellow] 3 8 27 2" xfId="20812"/>
    <cellStyle name="Input [yellow] 3 8 27 3" xfId="31980"/>
    <cellStyle name="Input [yellow] 3 8 27 4" xfId="43145"/>
    <cellStyle name="Input [yellow] 3 8 27 5" xfId="54338"/>
    <cellStyle name="Input [yellow] 3 8 28" xfId="10191"/>
    <cellStyle name="Input [yellow] 3 8 28 2" xfId="21388"/>
    <cellStyle name="Input [yellow] 3 8 28 3" xfId="32556"/>
    <cellStyle name="Input [yellow] 3 8 28 4" xfId="43721"/>
    <cellStyle name="Input [yellow] 3 8 28 5" xfId="54914"/>
    <cellStyle name="Input [yellow] 3 8 29" xfId="10647"/>
    <cellStyle name="Input [yellow] 3 8 29 2" xfId="21844"/>
    <cellStyle name="Input [yellow] 3 8 29 3" xfId="33012"/>
    <cellStyle name="Input [yellow] 3 8 29 4" xfId="44177"/>
    <cellStyle name="Input [yellow] 3 8 29 5" xfId="55370"/>
    <cellStyle name="Input [yellow] 3 8 3" xfId="213"/>
    <cellStyle name="Input [yellow] 3 8 3 10" xfId="5944"/>
    <cellStyle name="Input [yellow] 3 8 3 10 2" xfId="17141"/>
    <cellStyle name="Input [yellow] 3 8 3 10 3" xfId="28309"/>
    <cellStyle name="Input [yellow] 3 8 3 10 4" xfId="39474"/>
    <cellStyle name="Input [yellow] 3 8 3 10 5" xfId="50667"/>
    <cellStyle name="Input [yellow] 3 8 3 11" xfId="5719"/>
    <cellStyle name="Input [yellow] 3 8 3 11 2" xfId="16916"/>
    <cellStyle name="Input [yellow] 3 8 3 11 3" xfId="28084"/>
    <cellStyle name="Input [yellow] 3 8 3 11 4" xfId="39249"/>
    <cellStyle name="Input [yellow] 3 8 3 11 5" xfId="50442"/>
    <cellStyle name="Input [yellow] 3 8 3 12" xfId="6782"/>
    <cellStyle name="Input [yellow] 3 8 3 12 2" xfId="17979"/>
    <cellStyle name="Input [yellow] 3 8 3 12 3" xfId="29147"/>
    <cellStyle name="Input [yellow] 3 8 3 12 4" xfId="40312"/>
    <cellStyle name="Input [yellow] 3 8 3 12 5" xfId="51505"/>
    <cellStyle name="Input [yellow] 3 8 3 13" xfId="7416"/>
    <cellStyle name="Input [yellow] 3 8 3 13 2" xfId="18613"/>
    <cellStyle name="Input [yellow] 3 8 3 13 3" xfId="29781"/>
    <cellStyle name="Input [yellow] 3 8 3 13 4" xfId="40946"/>
    <cellStyle name="Input [yellow] 3 8 3 13 5" xfId="52139"/>
    <cellStyle name="Input [yellow] 3 8 3 14" xfId="8050"/>
    <cellStyle name="Input [yellow] 3 8 3 14 2" xfId="19247"/>
    <cellStyle name="Input [yellow] 3 8 3 14 3" xfId="30415"/>
    <cellStyle name="Input [yellow] 3 8 3 14 4" xfId="41580"/>
    <cellStyle name="Input [yellow] 3 8 3 14 5" xfId="52773"/>
    <cellStyle name="Input [yellow] 3 8 3 15" xfId="8681"/>
    <cellStyle name="Input [yellow] 3 8 3 15 2" xfId="19878"/>
    <cellStyle name="Input [yellow] 3 8 3 15 3" xfId="31046"/>
    <cellStyle name="Input [yellow] 3 8 3 15 4" xfId="42211"/>
    <cellStyle name="Input [yellow] 3 8 3 15 5" xfId="53404"/>
    <cellStyle name="Input [yellow] 3 8 3 16" xfId="8726"/>
    <cellStyle name="Input [yellow] 3 8 3 16 2" xfId="19923"/>
    <cellStyle name="Input [yellow] 3 8 3 16 3" xfId="31091"/>
    <cellStyle name="Input [yellow] 3 8 3 16 4" xfId="42256"/>
    <cellStyle name="Input [yellow] 3 8 3 16 5" xfId="53449"/>
    <cellStyle name="Input [yellow] 3 8 3 17" xfId="9733"/>
    <cellStyle name="Input [yellow] 3 8 3 17 2" xfId="20930"/>
    <cellStyle name="Input [yellow] 3 8 3 17 3" xfId="32098"/>
    <cellStyle name="Input [yellow] 3 8 3 17 4" xfId="43263"/>
    <cellStyle name="Input [yellow] 3 8 3 17 5" xfId="54456"/>
    <cellStyle name="Input [yellow] 3 8 3 18" xfId="9594"/>
    <cellStyle name="Input [yellow] 3 8 3 18 2" xfId="20791"/>
    <cellStyle name="Input [yellow] 3 8 3 18 3" xfId="31959"/>
    <cellStyle name="Input [yellow] 3 8 3 18 4" xfId="43124"/>
    <cellStyle name="Input [yellow] 3 8 3 18 5" xfId="54317"/>
    <cellStyle name="Input [yellow] 3 8 3 19" xfId="10766"/>
    <cellStyle name="Input [yellow] 3 8 3 19 2" xfId="21963"/>
    <cellStyle name="Input [yellow] 3 8 3 19 3" xfId="33131"/>
    <cellStyle name="Input [yellow] 3 8 3 19 4" xfId="44296"/>
    <cellStyle name="Input [yellow] 3 8 3 19 5" xfId="55489"/>
    <cellStyle name="Input [yellow] 3 8 3 2" xfId="862"/>
    <cellStyle name="Input [yellow] 3 8 3 2 2" xfId="12059"/>
    <cellStyle name="Input [yellow] 3 8 3 2 3" xfId="23227"/>
    <cellStyle name="Input [yellow] 3 8 3 2 4" xfId="34392"/>
    <cellStyle name="Input [yellow] 3 8 3 2 5" xfId="45585"/>
    <cellStyle name="Input [yellow] 3 8 3 20" xfId="11413"/>
    <cellStyle name="Input [yellow] 3 8 3 21" xfId="22583"/>
    <cellStyle name="Input [yellow] 3 8 3 22" xfId="33750"/>
    <cellStyle name="Input [yellow] 3 8 3 23" xfId="44936"/>
    <cellStyle name="Input [yellow] 3 8 3 3" xfId="1941"/>
    <cellStyle name="Input [yellow] 3 8 3 3 2" xfId="13138"/>
    <cellStyle name="Input [yellow] 3 8 3 3 3" xfId="24306"/>
    <cellStyle name="Input [yellow] 3 8 3 3 4" xfId="35471"/>
    <cellStyle name="Input [yellow] 3 8 3 3 5" xfId="46664"/>
    <cellStyle name="Input [yellow] 3 8 3 4" xfId="2139"/>
    <cellStyle name="Input [yellow] 3 8 3 4 2" xfId="13336"/>
    <cellStyle name="Input [yellow] 3 8 3 4 3" xfId="24504"/>
    <cellStyle name="Input [yellow] 3 8 3 4 4" xfId="35669"/>
    <cellStyle name="Input [yellow] 3 8 3 4 5" xfId="46862"/>
    <cellStyle name="Input [yellow] 3 8 3 5" xfId="2105"/>
    <cellStyle name="Input [yellow] 3 8 3 5 2" xfId="13302"/>
    <cellStyle name="Input [yellow] 3 8 3 5 3" xfId="24470"/>
    <cellStyle name="Input [yellow] 3 8 3 5 4" xfId="35635"/>
    <cellStyle name="Input [yellow] 3 8 3 5 5" xfId="46828"/>
    <cellStyle name="Input [yellow] 3 8 3 6" xfId="3197"/>
    <cellStyle name="Input [yellow] 3 8 3 6 2" xfId="14394"/>
    <cellStyle name="Input [yellow] 3 8 3 6 3" xfId="25562"/>
    <cellStyle name="Input [yellow] 3 8 3 6 4" xfId="36727"/>
    <cellStyle name="Input [yellow] 3 8 3 6 5" xfId="47920"/>
    <cellStyle name="Input [yellow] 3 8 3 7" xfId="3831"/>
    <cellStyle name="Input [yellow] 3 8 3 7 2" xfId="15028"/>
    <cellStyle name="Input [yellow] 3 8 3 7 3" xfId="26196"/>
    <cellStyle name="Input [yellow] 3 8 3 7 4" xfId="37361"/>
    <cellStyle name="Input [yellow] 3 8 3 7 5" xfId="48554"/>
    <cellStyle name="Input [yellow] 3 8 3 8" xfId="4464"/>
    <cellStyle name="Input [yellow] 3 8 3 8 2" xfId="15661"/>
    <cellStyle name="Input [yellow] 3 8 3 8 3" xfId="26829"/>
    <cellStyle name="Input [yellow] 3 8 3 8 4" xfId="37994"/>
    <cellStyle name="Input [yellow] 3 8 3 8 5" xfId="49187"/>
    <cellStyle name="Input [yellow] 3 8 3 9" xfId="5095"/>
    <cellStyle name="Input [yellow] 3 8 3 9 2" xfId="16292"/>
    <cellStyle name="Input [yellow] 3 8 3 9 3" xfId="27460"/>
    <cellStyle name="Input [yellow] 3 8 3 9 4" xfId="38625"/>
    <cellStyle name="Input [yellow] 3 8 3 9 5" xfId="49818"/>
    <cellStyle name="Input [yellow] 3 8 30" xfId="11294"/>
    <cellStyle name="Input [yellow] 3 8 31" xfId="22464"/>
    <cellStyle name="Input [yellow] 3 8 32" xfId="33631"/>
    <cellStyle name="Input [yellow] 3 8 33" xfId="44816"/>
    <cellStyle name="Input [yellow] 3 8 4" xfId="293"/>
    <cellStyle name="Input [yellow] 3 8 4 10" xfId="5646"/>
    <cellStyle name="Input [yellow] 3 8 4 10 2" xfId="16843"/>
    <cellStyle name="Input [yellow] 3 8 4 10 3" xfId="28011"/>
    <cellStyle name="Input [yellow] 3 8 4 10 4" xfId="39176"/>
    <cellStyle name="Input [yellow] 3 8 4 10 5" xfId="50369"/>
    <cellStyle name="Input [yellow] 3 8 4 11" xfId="6229"/>
    <cellStyle name="Input [yellow] 3 8 4 11 2" xfId="17426"/>
    <cellStyle name="Input [yellow] 3 8 4 11 3" xfId="28594"/>
    <cellStyle name="Input [yellow] 3 8 4 11 4" xfId="39759"/>
    <cellStyle name="Input [yellow] 3 8 4 11 5" xfId="50952"/>
    <cellStyle name="Input [yellow] 3 8 4 12" xfId="6862"/>
    <cellStyle name="Input [yellow] 3 8 4 12 2" xfId="18059"/>
    <cellStyle name="Input [yellow] 3 8 4 12 3" xfId="29227"/>
    <cellStyle name="Input [yellow] 3 8 4 12 4" xfId="40392"/>
    <cellStyle name="Input [yellow] 3 8 4 12 5" xfId="51585"/>
    <cellStyle name="Input [yellow] 3 8 4 13" xfId="7496"/>
    <cellStyle name="Input [yellow] 3 8 4 13 2" xfId="18693"/>
    <cellStyle name="Input [yellow] 3 8 4 13 3" xfId="29861"/>
    <cellStyle name="Input [yellow] 3 8 4 13 4" xfId="41026"/>
    <cellStyle name="Input [yellow] 3 8 4 13 5" xfId="52219"/>
    <cellStyle name="Input [yellow] 3 8 4 14" xfId="8130"/>
    <cellStyle name="Input [yellow] 3 8 4 14 2" xfId="19327"/>
    <cellStyle name="Input [yellow] 3 8 4 14 3" xfId="30495"/>
    <cellStyle name="Input [yellow] 3 8 4 14 4" xfId="41660"/>
    <cellStyle name="Input [yellow] 3 8 4 14 5" xfId="52853"/>
    <cellStyle name="Input [yellow] 3 8 4 15" xfId="8759"/>
    <cellStyle name="Input [yellow] 3 8 4 15 2" xfId="19956"/>
    <cellStyle name="Input [yellow] 3 8 4 15 3" xfId="31124"/>
    <cellStyle name="Input [yellow] 3 8 4 15 4" xfId="42289"/>
    <cellStyle name="Input [yellow] 3 8 4 15 5" xfId="53482"/>
    <cellStyle name="Input [yellow] 3 8 4 16" xfId="9181"/>
    <cellStyle name="Input [yellow] 3 8 4 16 2" xfId="20378"/>
    <cellStyle name="Input [yellow] 3 8 4 16 3" xfId="31546"/>
    <cellStyle name="Input [yellow] 3 8 4 16 4" xfId="42711"/>
    <cellStyle name="Input [yellow] 3 8 4 16 5" xfId="53904"/>
    <cellStyle name="Input [yellow] 3 8 4 17" xfId="9808"/>
    <cellStyle name="Input [yellow] 3 8 4 17 2" xfId="21005"/>
    <cellStyle name="Input [yellow] 3 8 4 17 3" xfId="32173"/>
    <cellStyle name="Input [yellow] 3 8 4 17 4" xfId="43338"/>
    <cellStyle name="Input [yellow] 3 8 4 17 5" xfId="54531"/>
    <cellStyle name="Input [yellow] 3 8 4 18" xfId="10525"/>
    <cellStyle name="Input [yellow] 3 8 4 18 2" xfId="21722"/>
    <cellStyle name="Input [yellow] 3 8 4 18 3" xfId="32890"/>
    <cellStyle name="Input [yellow] 3 8 4 18 4" xfId="44055"/>
    <cellStyle name="Input [yellow] 3 8 4 18 5" xfId="55248"/>
    <cellStyle name="Input [yellow] 3 8 4 19" xfId="10846"/>
    <cellStyle name="Input [yellow] 3 8 4 19 2" xfId="22043"/>
    <cellStyle name="Input [yellow] 3 8 4 19 3" xfId="33211"/>
    <cellStyle name="Input [yellow] 3 8 4 19 4" xfId="44376"/>
    <cellStyle name="Input [yellow] 3 8 4 19 5" xfId="55569"/>
    <cellStyle name="Input [yellow] 3 8 4 2" xfId="942"/>
    <cellStyle name="Input [yellow] 3 8 4 2 2" xfId="12139"/>
    <cellStyle name="Input [yellow] 3 8 4 2 3" xfId="23307"/>
    <cellStyle name="Input [yellow] 3 8 4 2 4" xfId="34472"/>
    <cellStyle name="Input [yellow] 3 8 4 2 5" xfId="45665"/>
    <cellStyle name="Input [yellow] 3 8 4 20" xfId="11493"/>
    <cellStyle name="Input [yellow] 3 8 4 21" xfId="22663"/>
    <cellStyle name="Input [yellow] 3 8 4 22" xfId="33830"/>
    <cellStyle name="Input [yellow] 3 8 4 23" xfId="45016"/>
    <cellStyle name="Input [yellow] 3 8 4 3" xfId="1375"/>
    <cellStyle name="Input [yellow] 3 8 4 3 2" xfId="12572"/>
    <cellStyle name="Input [yellow] 3 8 4 3 3" xfId="23740"/>
    <cellStyle name="Input [yellow] 3 8 4 3 4" xfId="34905"/>
    <cellStyle name="Input [yellow] 3 8 4 3 5" xfId="46098"/>
    <cellStyle name="Input [yellow] 3 8 4 4" xfId="2218"/>
    <cellStyle name="Input [yellow] 3 8 4 4 2" xfId="13415"/>
    <cellStyle name="Input [yellow] 3 8 4 4 3" xfId="24583"/>
    <cellStyle name="Input [yellow] 3 8 4 4 4" xfId="35748"/>
    <cellStyle name="Input [yellow] 3 8 4 4 5" xfId="46941"/>
    <cellStyle name="Input [yellow] 3 8 4 5" xfId="2643"/>
    <cellStyle name="Input [yellow] 3 8 4 5 2" xfId="13840"/>
    <cellStyle name="Input [yellow] 3 8 4 5 3" xfId="25008"/>
    <cellStyle name="Input [yellow] 3 8 4 5 4" xfId="36173"/>
    <cellStyle name="Input [yellow] 3 8 4 5 5" xfId="47366"/>
    <cellStyle name="Input [yellow] 3 8 4 6" xfId="3277"/>
    <cellStyle name="Input [yellow] 3 8 4 6 2" xfId="14474"/>
    <cellStyle name="Input [yellow] 3 8 4 6 3" xfId="25642"/>
    <cellStyle name="Input [yellow] 3 8 4 6 4" xfId="36807"/>
    <cellStyle name="Input [yellow] 3 8 4 6 5" xfId="48000"/>
    <cellStyle name="Input [yellow] 3 8 4 7" xfId="3911"/>
    <cellStyle name="Input [yellow] 3 8 4 7 2" xfId="15108"/>
    <cellStyle name="Input [yellow] 3 8 4 7 3" xfId="26276"/>
    <cellStyle name="Input [yellow] 3 8 4 7 4" xfId="37441"/>
    <cellStyle name="Input [yellow] 3 8 4 7 5" xfId="48634"/>
    <cellStyle name="Input [yellow] 3 8 4 8" xfId="4544"/>
    <cellStyle name="Input [yellow] 3 8 4 8 2" xfId="15741"/>
    <cellStyle name="Input [yellow] 3 8 4 8 3" xfId="26909"/>
    <cellStyle name="Input [yellow] 3 8 4 8 4" xfId="38074"/>
    <cellStyle name="Input [yellow] 3 8 4 8 5" xfId="49267"/>
    <cellStyle name="Input [yellow] 3 8 4 9" xfId="5175"/>
    <cellStyle name="Input [yellow] 3 8 4 9 2" xfId="16372"/>
    <cellStyle name="Input [yellow] 3 8 4 9 3" xfId="27540"/>
    <cellStyle name="Input [yellow] 3 8 4 9 4" xfId="38705"/>
    <cellStyle name="Input [yellow] 3 8 4 9 5" xfId="49898"/>
    <cellStyle name="Input [yellow] 3 8 5" xfId="263"/>
    <cellStyle name="Input [yellow] 3 8 5 10" xfId="5960"/>
    <cellStyle name="Input [yellow] 3 8 5 10 2" xfId="17157"/>
    <cellStyle name="Input [yellow] 3 8 5 10 3" xfId="28325"/>
    <cellStyle name="Input [yellow] 3 8 5 10 4" xfId="39490"/>
    <cellStyle name="Input [yellow] 3 8 5 10 5" xfId="50683"/>
    <cellStyle name="Input [yellow] 3 8 5 11" xfId="5870"/>
    <cellStyle name="Input [yellow] 3 8 5 11 2" xfId="17067"/>
    <cellStyle name="Input [yellow] 3 8 5 11 3" xfId="28235"/>
    <cellStyle name="Input [yellow] 3 8 5 11 4" xfId="39400"/>
    <cellStyle name="Input [yellow] 3 8 5 11 5" xfId="50593"/>
    <cellStyle name="Input [yellow] 3 8 5 12" xfId="6832"/>
    <cellStyle name="Input [yellow] 3 8 5 12 2" xfId="18029"/>
    <cellStyle name="Input [yellow] 3 8 5 12 3" xfId="29197"/>
    <cellStyle name="Input [yellow] 3 8 5 12 4" xfId="40362"/>
    <cellStyle name="Input [yellow] 3 8 5 12 5" xfId="51555"/>
    <cellStyle name="Input [yellow] 3 8 5 13" xfId="7466"/>
    <cellStyle name="Input [yellow] 3 8 5 13 2" xfId="18663"/>
    <cellStyle name="Input [yellow] 3 8 5 13 3" xfId="29831"/>
    <cellStyle name="Input [yellow] 3 8 5 13 4" xfId="40996"/>
    <cellStyle name="Input [yellow] 3 8 5 13 5" xfId="52189"/>
    <cellStyle name="Input [yellow] 3 8 5 14" xfId="8100"/>
    <cellStyle name="Input [yellow] 3 8 5 14 2" xfId="19297"/>
    <cellStyle name="Input [yellow] 3 8 5 14 3" xfId="30465"/>
    <cellStyle name="Input [yellow] 3 8 5 14 4" xfId="41630"/>
    <cellStyle name="Input [yellow] 3 8 5 14 5" xfId="52823"/>
    <cellStyle name="Input [yellow] 3 8 5 15" xfId="8730"/>
    <cellStyle name="Input [yellow] 3 8 5 15 2" xfId="19927"/>
    <cellStyle name="Input [yellow] 3 8 5 15 3" xfId="31095"/>
    <cellStyle name="Input [yellow] 3 8 5 15 4" xfId="42260"/>
    <cellStyle name="Input [yellow] 3 8 5 15 5" xfId="53453"/>
    <cellStyle name="Input [yellow] 3 8 5 16" xfId="8569"/>
    <cellStyle name="Input [yellow] 3 8 5 16 2" xfId="19766"/>
    <cellStyle name="Input [yellow] 3 8 5 16 3" xfId="30934"/>
    <cellStyle name="Input [yellow] 3 8 5 16 4" xfId="42099"/>
    <cellStyle name="Input [yellow] 3 8 5 16 5" xfId="53292"/>
    <cellStyle name="Input [yellow] 3 8 5 17" xfId="9780"/>
    <cellStyle name="Input [yellow] 3 8 5 17 2" xfId="20977"/>
    <cellStyle name="Input [yellow] 3 8 5 17 3" xfId="32145"/>
    <cellStyle name="Input [yellow] 3 8 5 17 4" xfId="43310"/>
    <cellStyle name="Input [yellow] 3 8 5 17 5" xfId="54503"/>
    <cellStyle name="Input [yellow] 3 8 5 18" xfId="10429"/>
    <cellStyle name="Input [yellow] 3 8 5 18 2" xfId="21626"/>
    <cellStyle name="Input [yellow] 3 8 5 18 3" xfId="32794"/>
    <cellStyle name="Input [yellow] 3 8 5 18 4" xfId="43959"/>
    <cellStyle name="Input [yellow] 3 8 5 18 5" xfId="55152"/>
    <cellStyle name="Input [yellow] 3 8 5 19" xfId="10816"/>
    <cellStyle name="Input [yellow] 3 8 5 19 2" xfId="22013"/>
    <cellStyle name="Input [yellow] 3 8 5 19 3" xfId="33181"/>
    <cellStyle name="Input [yellow] 3 8 5 19 4" xfId="44346"/>
    <cellStyle name="Input [yellow] 3 8 5 19 5" xfId="55539"/>
    <cellStyle name="Input [yellow] 3 8 5 2" xfId="912"/>
    <cellStyle name="Input [yellow] 3 8 5 2 2" xfId="12109"/>
    <cellStyle name="Input [yellow] 3 8 5 2 3" xfId="23277"/>
    <cellStyle name="Input [yellow] 3 8 5 2 4" xfId="34442"/>
    <cellStyle name="Input [yellow] 3 8 5 2 5" xfId="45635"/>
    <cellStyle name="Input [yellow] 3 8 5 20" xfId="11463"/>
    <cellStyle name="Input [yellow] 3 8 5 21" xfId="22633"/>
    <cellStyle name="Input [yellow] 3 8 5 22" xfId="33800"/>
    <cellStyle name="Input [yellow] 3 8 5 23" xfId="44986"/>
    <cellStyle name="Input [yellow] 3 8 5 3" xfId="1730"/>
    <cellStyle name="Input [yellow] 3 8 5 3 2" xfId="12927"/>
    <cellStyle name="Input [yellow] 3 8 5 3 3" xfId="24095"/>
    <cellStyle name="Input [yellow] 3 8 5 3 4" xfId="35260"/>
    <cellStyle name="Input [yellow] 3 8 5 3 5" xfId="46453"/>
    <cellStyle name="Input [yellow] 3 8 5 4" xfId="2189"/>
    <cellStyle name="Input [yellow] 3 8 5 4 2" xfId="13386"/>
    <cellStyle name="Input [yellow] 3 8 5 4 3" xfId="24554"/>
    <cellStyle name="Input [yellow] 3 8 5 4 4" xfId="35719"/>
    <cellStyle name="Input [yellow] 3 8 5 4 5" xfId="46912"/>
    <cellStyle name="Input [yellow] 3 8 5 5" xfId="1383"/>
    <cellStyle name="Input [yellow] 3 8 5 5 2" xfId="12580"/>
    <cellStyle name="Input [yellow] 3 8 5 5 3" xfId="23748"/>
    <cellStyle name="Input [yellow] 3 8 5 5 4" xfId="34913"/>
    <cellStyle name="Input [yellow] 3 8 5 5 5" xfId="46106"/>
    <cellStyle name="Input [yellow] 3 8 5 6" xfId="3247"/>
    <cellStyle name="Input [yellow] 3 8 5 6 2" xfId="14444"/>
    <cellStyle name="Input [yellow] 3 8 5 6 3" xfId="25612"/>
    <cellStyle name="Input [yellow] 3 8 5 6 4" xfId="36777"/>
    <cellStyle name="Input [yellow] 3 8 5 6 5" xfId="47970"/>
    <cellStyle name="Input [yellow] 3 8 5 7" xfId="3881"/>
    <cellStyle name="Input [yellow] 3 8 5 7 2" xfId="15078"/>
    <cellStyle name="Input [yellow] 3 8 5 7 3" xfId="26246"/>
    <cellStyle name="Input [yellow] 3 8 5 7 4" xfId="37411"/>
    <cellStyle name="Input [yellow] 3 8 5 7 5" xfId="48604"/>
    <cellStyle name="Input [yellow] 3 8 5 8" xfId="4514"/>
    <cellStyle name="Input [yellow] 3 8 5 8 2" xfId="15711"/>
    <cellStyle name="Input [yellow] 3 8 5 8 3" xfId="26879"/>
    <cellStyle name="Input [yellow] 3 8 5 8 4" xfId="38044"/>
    <cellStyle name="Input [yellow] 3 8 5 8 5" xfId="49237"/>
    <cellStyle name="Input [yellow] 3 8 5 9" xfId="5145"/>
    <cellStyle name="Input [yellow] 3 8 5 9 2" xfId="16342"/>
    <cellStyle name="Input [yellow] 3 8 5 9 3" xfId="27510"/>
    <cellStyle name="Input [yellow] 3 8 5 9 4" xfId="38675"/>
    <cellStyle name="Input [yellow] 3 8 5 9 5" xfId="49868"/>
    <cellStyle name="Input [yellow] 3 8 6" xfId="400"/>
    <cellStyle name="Input [yellow] 3 8 6 10" xfId="5962"/>
    <cellStyle name="Input [yellow] 3 8 6 10 2" xfId="17159"/>
    <cellStyle name="Input [yellow] 3 8 6 10 3" xfId="28327"/>
    <cellStyle name="Input [yellow] 3 8 6 10 4" xfId="39492"/>
    <cellStyle name="Input [yellow] 3 8 6 10 5" xfId="50685"/>
    <cellStyle name="Input [yellow] 3 8 6 11" xfId="6336"/>
    <cellStyle name="Input [yellow] 3 8 6 11 2" xfId="17533"/>
    <cellStyle name="Input [yellow] 3 8 6 11 3" xfId="28701"/>
    <cellStyle name="Input [yellow] 3 8 6 11 4" xfId="39866"/>
    <cellStyle name="Input [yellow] 3 8 6 11 5" xfId="51059"/>
    <cellStyle name="Input [yellow] 3 8 6 12" xfId="6969"/>
    <cellStyle name="Input [yellow] 3 8 6 12 2" xfId="18166"/>
    <cellStyle name="Input [yellow] 3 8 6 12 3" xfId="29334"/>
    <cellStyle name="Input [yellow] 3 8 6 12 4" xfId="40499"/>
    <cellStyle name="Input [yellow] 3 8 6 12 5" xfId="51692"/>
    <cellStyle name="Input [yellow] 3 8 6 13" xfId="7603"/>
    <cellStyle name="Input [yellow] 3 8 6 13 2" xfId="18800"/>
    <cellStyle name="Input [yellow] 3 8 6 13 3" xfId="29968"/>
    <cellStyle name="Input [yellow] 3 8 6 13 4" xfId="41133"/>
    <cellStyle name="Input [yellow] 3 8 6 13 5" xfId="52326"/>
    <cellStyle name="Input [yellow] 3 8 6 14" xfId="8237"/>
    <cellStyle name="Input [yellow] 3 8 6 14 2" xfId="19434"/>
    <cellStyle name="Input [yellow] 3 8 6 14 3" xfId="30602"/>
    <cellStyle name="Input [yellow] 3 8 6 14 4" xfId="41767"/>
    <cellStyle name="Input [yellow] 3 8 6 14 5" xfId="52960"/>
    <cellStyle name="Input [yellow] 3 8 6 15" xfId="8865"/>
    <cellStyle name="Input [yellow] 3 8 6 15 2" xfId="20062"/>
    <cellStyle name="Input [yellow] 3 8 6 15 3" xfId="31230"/>
    <cellStyle name="Input [yellow] 3 8 6 15 4" xfId="42395"/>
    <cellStyle name="Input [yellow] 3 8 6 15 5" xfId="53588"/>
    <cellStyle name="Input [yellow] 3 8 6 16" xfId="9288"/>
    <cellStyle name="Input [yellow] 3 8 6 16 2" xfId="20485"/>
    <cellStyle name="Input [yellow] 3 8 6 16 3" xfId="31653"/>
    <cellStyle name="Input [yellow] 3 8 6 16 4" xfId="42818"/>
    <cellStyle name="Input [yellow] 3 8 6 16 5" xfId="54011"/>
    <cellStyle name="Input [yellow] 3 8 6 17" xfId="9914"/>
    <cellStyle name="Input [yellow] 3 8 6 17 2" xfId="21111"/>
    <cellStyle name="Input [yellow] 3 8 6 17 3" xfId="32279"/>
    <cellStyle name="Input [yellow] 3 8 6 17 4" xfId="43444"/>
    <cellStyle name="Input [yellow] 3 8 6 17 5" xfId="54637"/>
    <cellStyle name="Input [yellow] 3 8 6 18" xfId="10114"/>
    <cellStyle name="Input [yellow] 3 8 6 18 2" xfId="21311"/>
    <cellStyle name="Input [yellow] 3 8 6 18 3" xfId="32479"/>
    <cellStyle name="Input [yellow] 3 8 6 18 4" xfId="43644"/>
    <cellStyle name="Input [yellow] 3 8 6 18 5" xfId="54837"/>
    <cellStyle name="Input [yellow] 3 8 6 19" xfId="10953"/>
    <cellStyle name="Input [yellow] 3 8 6 19 2" xfId="22150"/>
    <cellStyle name="Input [yellow] 3 8 6 19 3" xfId="33318"/>
    <cellStyle name="Input [yellow] 3 8 6 19 4" xfId="44483"/>
    <cellStyle name="Input [yellow] 3 8 6 19 5" xfId="55676"/>
    <cellStyle name="Input [yellow] 3 8 6 2" xfId="1049"/>
    <cellStyle name="Input [yellow] 3 8 6 2 2" xfId="12246"/>
    <cellStyle name="Input [yellow] 3 8 6 2 3" xfId="23414"/>
    <cellStyle name="Input [yellow] 3 8 6 2 4" xfId="34579"/>
    <cellStyle name="Input [yellow] 3 8 6 2 5" xfId="45772"/>
    <cellStyle name="Input [yellow] 3 8 6 20" xfId="11600"/>
    <cellStyle name="Input [yellow] 3 8 6 21" xfId="22770"/>
    <cellStyle name="Input [yellow] 3 8 6 22" xfId="33937"/>
    <cellStyle name="Input [yellow] 3 8 6 23" xfId="45123"/>
    <cellStyle name="Input [yellow] 3 8 6 3" xfId="1524"/>
    <cellStyle name="Input [yellow] 3 8 6 3 2" xfId="12721"/>
    <cellStyle name="Input [yellow] 3 8 6 3 3" xfId="23889"/>
    <cellStyle name="Input [yellow] 3 8 6 3 4" xfId="35054"/>
    <cellStyle name="Input [yellow] 3 8 6 3 5" xfId="46247"/>
    <cellStyle name="Input [yellow] 3 8 6 4" xfId="2325"/>
    <cellStyle name="Input [yellow] 3 8 6 4 2" xfId="13522"/>
    <cellStyle name="Input [yellow] 3 8 6 4 3" xfId="24690"/>
    <cellStyle name="Input [yellow] 3 8 6 4 4" xfId="35855"/>
    <cellStyle name="Input [yellow] 3 8 6 4 5" xfId="47048"/>
    <cellStyle name="Input [yellow] 3 8 6 5" xfId="2750"/>
    <cellStyle name="Input [yellow] 3 8 6 5 2" xfId="13947"/>
    <cellStyle name="Input [yellow] 3 8 6 5 3" xfId="25115"/>
    <cellStyle name="Input [yellow] 3 8 6 5 4" xfId="36280"/>
    <cellStyle name="Input [yellow] 3 8 6 5 5" xfId="47473"/>
    <cellStyle name="Input [yellow] 3 8 6 6" xfId="3384"/>
    <cellStyle name="Input [yellow] 3 8 6 6 2" xfId="14581"/>
    <cellStyle name="Input [yellow] 3 8 6 6 3" xfId="25749"/>
    <cellStyle name="Input [yellow] 3 8 6 6 4" xfId="36914"/>
    <cellStyle name="Input [yellow] 3 8 6 6 5" xfId="48107"/>
    <cellStyle name="Input [yellow] 3 8 6 7" xfId="4018"/>
    <cellStyle name="Input [yellow] 3 8 6 7 2" xfId="15215"/>
    <cellStyle name="Input [yellow] 3 8 6 7 3" xfId="26383"/>
    <cellStyle name="Input [yellow] 3 8 6 7 4" xfId="37548"/>
    <cellStyle name="Input [yellow] 3 8 6 7 5" xfId="48741"/>
    <cellStyle name="Input [yellow] 3 8 6 8" xfId="4651"/>
    <cellStyle name="Input [yellow] 3 8 6 8 2" xfId="15848"/>
    <cellStyle name="Input [yellow] 3 8 6 8 3" xfId="27016"/>
    <cellStyle name="Input [yellow] 3 8 6 8 4" xfId="38181"/>
    <cellStyle name="Input [yellow] 3 8 6 8 5" xfId="49374"/>
    <cellStyle name="Input [yellow] 3 8 6 9" xfId="5282"/>
    <cellStyle name="Input [yellow] 3 8 6 9 2" xfId="16479"/>
    <cellStyle name="Input [yellow] 3 8 6 9 3" xfId="27647"/>
    <cellStyle name="Input [yellow] 3 8 6 9 4" xfId="38812"/>
    <cellStyle name="Input [yellow] 3 8 6 9 5" xfId="50005"/>
    <cellStyle name="Input [yellow] 3 8 7" xfId="456"/>
    <cellStyle name="Input [yellow] 3 8 7 10" xfId="5742"/>
    <cellStyle name="Input [yellow] 3 8 7 10 2" xfId="16939"/>
    <cellStyle name="Input [yellow] 3 8 7 10 3" xfId="28107"/>
    <cellStyle name="Input [yellow] 3 8 7 10 4" xfId="39272"/>
    <cellStyle name="Input [yellow] 3 8 7 10 5" xfId="50465"/>
    <cellStyle name="Input [yellow] 3 8 7 11" xfId="6392"/>
    <cellStyle name="Input [yellow] 3 8 7 11 2" xfId="17589"/>
    <cellStyle name="Input [yellow] 3 8 7 11 3" xfId="28757"/>
    <cellStyle name="Input [yellow] 3 8 7 11 4" xfId="39922"/>
    <cellStyle name="Input [yellow] 3 8 7 11 5" xfId="51115"/>
    <cellStyle name="Input [yellow] 3 8 7 12" xfId="7025"/>
    <cellStyle name="Input [yellow] 3 8 7 12 2" xfId="18222"/>
    <cellStyle name="Input [yellow] 3 8 7 12 3" xfId="29390"/>
    <cellStyle name="Input [yellow] 3 8 7 12 4" xfId="40555"/>
    <cellStyle name="Input [yellow] 3 8 7 12 5" xfId="51748"/>
    <cellStyle name="Input [yellow] 3 8 7 13" xfId="7659"/>
    <cellStyle name="Input [yellow] 3 8 7 13 2" xfId="18856"/>
    <cellStyle name="Input [yellow] 3 8 7 13 3" xfId="30024"/>
    <cellStyle name="Input [yellow] 3 8 7 13 4" xfId="41189"/>
    <cellStyle name="Input [yellow] 3 8 7 13 5" xfId="52382"/>
    <cellStyle name="Input [yellow] 3 8 7 14" xfId="8293"/>
    <cellStyle name="Input [yellow] 3 8 7 14 2" xfId="19490"/>
    <cellStyle name="Input [yellow] 3 8 7 14 3" xfId="30658"/>
    <cellStyle name="Input [yellow] 3 8 7 14 4" xfId="41823"/>
    <cellStyle name="Input [yellow] 3 8 7 14 5" xfId="53016"/>
    <cellStyle name="Input [yellow] 3 8 7 15" xfId="8921"/>
    <cellStyle name="Input [yellow] 3 8 7 15 2" xfId="20118"/>
    <cellStyle name="Input [yellow] 3 8 7 15 3" xfId="31286"/>
    <cellStyle name="Input [yellow] 3 8 7 15 4" xfId="42451"/>
    <cellStyle name="Input [yellow] 3 8 7 15 5" xfId="53644"/>
    <cellStyle name="Input [yellow] 3 8 7 16" xfId="9344"/>
    <cellStyle name="Input [yellow] 3 8 7 16 2" xfId="20541"/>
    <cellStyle name="Input [yellow] 3 8 7 16 3" xfId="31709"/>
    <cellStyle name="Input [yellow] 3 8 7 16 4" xfId="42874"/>
    <cellStyle name="Input [yellow] 3 8 7 16 5" xfId="54067"/>
    <cellStyle name="Input [yellow] 3 8 7 17" xfId="9970"/>
    <cellStyle name="Input [yellow] 3 8 7 17 2" xfId="21167"/>
    <cellStyle name="Input [yellow] 3 8 7 17 3" xfId="32335"/>
    <cellStyle name="Input [yellow] 3 8 7 17 4" xfId="43500"/>
    <cellStyle name="Input [yellow] 3 8 7 17 5" xfId="54693"/>
    <cellStyle name="Input [yellow] 3 8 7 18" xfId="10035"/>
    <cellStyle name="Input [yellow] 3 8 7 18 2" xfId="21232"/>
    <cellStyle name="Input [yellow] 3 8 7 18 3" xfId="32400"/>
    <cellStyle name="Input [yellow] 3 8 7 18 4" xfId="43565"/>
    <cellStyle name="Input [yellow] 3 8 7 18 5" xfId="54758"/>
    <cellStyle name="Input [yellow] 3 8 7 19" xfId="11009"/>
    <cellStyle name="Input [yellow] 3 8 7 19 2" xfId="22206"/>
    <cellStyle name="Input [yellow] 3 8 7 19 3" xfId="33374"/>
    <cellStyle name="Input [yellow] 3 8 7 19 4" xfId="44539"/>
    <cellStyle name="Input [yellow] 3 8 7 19 5" xfId="55732"/>
    <cellStyle name="Input [yellow] 3 8 7 2" xfId="1105"/>
    <cellStyle name="Input [yellow] 3 8 7 2 2" xfId="12302"/>
    <cellStyle name="Input [yellow] 3 8 7 2 3" xfId="23470"/>
    <cellStyle name="Input [yellow] 3 8 7 2 4" xfId="34635"/>
    <cellStyle name="Input [yellow] 3 8 7 2 5" xfId="45828"/>
    <cellStyle name="Input [yellow] 3 8 7 20" xfId="11656"/>
    <cellStyle name="Input [yellow] 3 8 7 21" xfId="22826"/>
    <cellStyle name="Input [yellow] 3 8 7 22" xfId="33993"/>
    <cellStyle name="Input [yellow] 3 8 7 23" xfId="45179"/>
    <cellStyle name="Input [yellow] 3 8 7 3" xfId="1453"/>
    <cellStyle name="Input [yellow] 3 8 7 3 2" xfId="12650"/>
    <cellStyle name="Input [yellow] 3 8 7 3 3" xfId="23818"/>
    <cellStyle name="Input [yellow] 3 8 7 3 4" xfId="34983"/>
    <cellStyle name="Input [yellow] 3 8 7 3 5" xfId="46176"/>
    <cellStyle name="Input [yellow] 3 8 7 4" xfId="2381"/>
    <cellStyle name="Input [yellow] 3 8 7 4 2" xfId="13578"/>
    <cellStyle name="Input [yellow] 3 8 7 4 3" xfId="24746"/>
    <cellStyle name="Input [yellow] 3 8 7 4 4" xfId="35911"/>
    <cellStyle name="Input [yellow] 3 8 7 4 5" xfId="47104"/>
    <cellStyle name="Input [yellow] 3 8 7 5" xfId="2806"/>
    <cellStyle name="Input [yellow] 3 8 7 5 2" xfId="14003"/>
    <cellStyle name="Input [yellow] 3 8 7 5 3" xfId="25171"/>
    <cellStyle name="Input [yellow] 3 8 7 5 4" xfId="36336"/>
    <cellStyle name="Input [yellow] 3 8 7 5 5" xfId="47529"/>
    <cellStyle name="Input [yellow] 3 8 7 6" xfId="3440"/>
    <cellStyle name="Input [yellow] 3 8 7 6 2" xfId="14637"/>
    <cellStyle name="Input [yellow] 3 8 7 6 3" xfId="25805"/>
    <cellStyle name="Input [yellow] 3 8 7 6 4" xfId="36970"/>
    <cellStyle name="Input [yellow] 3 8 7 6 5" xfId="48163"/>
    <cellStyle name="Input [yellow] 3 8 7 7" xfId="4074"/>
    <cellStyle name="Input [yellow] 3 8 7 7 2" xfId="15271"/>
    <cellStyle name="Input [yellow] 3 8 7 7 3" xfId="26439"/>
    <cellStyle name="Input [yellow] 3 8 7 7 4" xfId="37604"/>
    <cellStyle name="Input [yellow] 3 8 7 7 5" xfId="48797"/>
    <cellStyle name="Input [yellow] 3 8 7 8" xfId="4707"/>
    <cellStyle name="Input [yellow] 3 8 7 8 2" xfId="15904"/>
    <cellStyle name="Input [yellow] 3 8 7 8 3" xfId="27072"/>
    <cellStyle name="Input [yellow] 3 8 7 8 4" xfId="38237"/>
    <cellStyle name="Input [yellow] 3 8 7 8 5" xfId="49430"/>
    <cellStyle name="Input [yellow] 3 8 7 9" xfId="5338"/>
    <cellStyle name="Input [yellow] 3 8 7 9 2" xfId="16535"/>
    <cellStyle name="Input [yellow] 3 8 7 9 3" xfId="27703"/>
    <cellStyle name="Input [yellow] 3 8 7 9 4" xfId="38868"/>
    <cellStyle name="Input [yellow] 3 8 7 9 5" xfId="50061"/>
    <cellStyle name="Input [yellow] 3 8 8" xfId="502"/>
    <cellStyle name="Input [yellow] 3 8 8 10" xfId="5758"/>
    <cellStyle name="Input [yellow] 3 8 8 10 2" xfId="16955"/>
    <cellStyle name="Input [yellow] 3 8 8 10 3" xfId="28123"/>
    <cellStyle name="Input [yellow] 3 8 8 10 4" xfId="39288"/>
    <cellStyle name="Input [yellow] 3 8 8 10 5" xfId="50481"/>
    <cellStyle name="Input [yellow] 3 8 8 11" xfId="6438"/>
    <cellStyle name="Input [yellow] 3 8 8 11 2" xfId="17635"/>
    <cellStyle name="Input [yellow] 3 8 8 11 3" xfId="28803"/>
    <cellStyle name="Input [yellow] 3 8 8 11 4" xfId="39968"/>
    <cellStyle name="Input [yellow] 3 8 8 11 5" xfId="51161"/>
    <cellStyle name="Input [yellow] 3 8 8 12" xfId="7071"/>
    <cellStyle name="Input [yellow] 3 8 8 12 2" xfId="18268"/>
    <cellStyle name="Input [yellow] 3 8 8 12 3" xfId="29436"/>
    <cellStyle name="Input [yellow] 3 8 8 12 4" xfId="40601"/>
    <cellStyle name="Input [yellow] 3 8 8 12 5" xfId="51794"/>
    <cellStyle name="Input [yellow] 3 8 8 13" xfId="7705"/>
    <cellStyle name="Input [yellow] 3 8 8 13 2" xfId="18902"/>
    <cellStyle name="Input [yellow] 3 8 8 13 3" xfId="30070"/>
    <cellStyle name="Input [yellow] 3 8 8 13 4" xfId="41235"/>
    <cellStyle name="Input [yellow] 3 8 8 13 5" xfId="52428"/>
    <cellStyle name="Input [yellow] 3 8 8 14" xfId="8339"/>
    <cellStyle name="Input [yellow] 3 8 8 14 2" xfId="19536"/>
    <cellStyle name="Input [yellow] 3 8 8 14 3" xfId="30704"/>
    <cellStyle name="Input [yellow] 3 8 8 14 4" xfId="41869"/>
    <cellStyle name="Input [yellow] 3 8 8 14 5" xfId="53062"/>
    <cellStyle name="Input [yellow] 3 8 8 15" xfId="8967"/>
    <cellStyle name="Input [yellow] 3 8 8 15 2" xfId="20164"/>
    <cellStyle name="Input [yellow] 3 8 8 15 3" xfId="31332"/>
    <cellStyle name="Input [yellow] 3 8 8 15 4" xfId="42497"/>
    <cellStyle name="Input [yellow] 3 8 8 15 5" xfId="53690"/>
    <cellStyle name="Input [yellow] 3 8 8 16" xfId="9390"/>
    <cellStyle name="Input [yellow] 3 8 8 16 2" xfId="20587"/>
    <cellStyle name="Input [yellow] 3 8 8 16 3" xfId="31755"/>
    <cellStyle name="Input [yellow] 3 8 8 16 4" xfId="42920"/>
    <cellStyle name="Input [yellow] 3 8 8 16 5" xfId="54113"/>
    <cellStyle name="Input [yellow] 3 8 8 17" xfId="10015"/>
    <cellStyle name="Input [yellow] 3 8 8 17 2" xfId="21212"/>
    <cellStyle name="Input [yellow] 3 8 8 17 3" xfId="32380"/>
    <cellStyle name="Input [yellow] 3 8 8 17 4" xfId="43545"/>
    <cellStyle name="Input [yellow] 3 8 8 17 5" xfId="54738"/>
    <cellStyle name="Input [yellow] 3 8 8 18" xfId="10309"/>
    <cellStyle name="Input [yellow] 3 8 8 18 2" xfId="21506"/>
    <cellStyle name="Input [yellow] 3 8 8 18 3" xfId="32674"/>
    <cellStyle name="Input [yellow] 3 8 8 18 4" xfId="43839"/>
    <cellStyle name="Input [yellow] 3 8 8 18 5" xfId="55032"/>
    <cellStyle name="Input [yellow] 3 8 8 19" xfId="11055"/>
    <cellStyle name="Input [yellow] 3 8 8 19 2" xfId="22252"/>
    <cellStyle name="Input [yellow] 3 8 8 19 3" xfId="33420"/>
    <cellStyle name="Input [yellow] 3 8 8 19 4" xfId="44585"/>
    <cellStyle name="Input [yellow] 3 8 8 19 5" xfId="55778"/>
    <cellStyle name="Input [yellow] 3 8 8 2" xfId="1151"/>
    <cellStyle name="Input [yellow] 3 8 8 2 2" xfId="12348"/>
    <cellStyle name="Input [yellow] 3 8 8 2 3" xfId="23516"/>
    <cellStyle name="Input [yellow] 3 8 8 2 4" xfId="34681"/>
    <cellStyle name="Input [yellow] 3 8 8 2 5" xfId="45874"/>
    <cellStyle name="Input [yellow] 3 8 8 20" xfId="11702"/>
    <cellStyle name="Input [yellow] 3 8 8 21" xfId="22872"/>
    <cellStyle name="Input [yellow] 3 8 8 22" xfId="34039"/>
    <cellStyle name="Input [yellow] 3 8 8 23" xfId="45225"/>
    <cellStyle name="Input [yellow] 3 8 8 3" xfId="1613"/>
    <cellStyle name="Input [yellow] 3 8 8 3 2" xfId="12810"/>
    <cellStyle name="Input [yellow] 3 8 8 3 3" xfId="23978"/>
    <cellStyle name="Input [yellow] 3 8 8 3 4" xfId="35143"/>
    <cellStyle name="Input [yellow] 3 8 8 3 5" xfId="46336"/>
    <cellStyle name="Input [yellow] 3 8 8 4" xfId="2427"/>
    <cellStyle name="Input [yellow] 3 8 8 4 2" xfId="13624"/>
    <cellStyle name="Input [yellow] 3 8 8 4 3" xfId="24792"/>
    <cellStyle name="Input [yellow] 3 8 8 4 4" xfId="35957"/>
    <cellStyle name="Input [yellow] 3 8 8 4 5" xfId="47150"/>
    <cellStyle name="Input [yellow] 3 8 8 5" xfId="2852"/>
    <cellStyle name="Input [yellow] 3 8 8 5 2" xfId="14049"/>
    <cellStyle name="Input [yellow] 3 8 8 5 3" xfId="25217"/>
    <cellStyle name="Input [yellow] 3 8 8 5 4" xfId="36382"/>
    <cellStyle name="Input [yellow] 3 8 8 5 5" xfId="47575"/>
    <cellStyle name="Input [yellow] 3 8 8 6" xfId="3486"/>
    <cellStyle name="Input [yellow] 3 8 8 6 2" xfId="14683"/>
    <cellStyle name="Input [yellow] 3 8 8 6 3" xfId="25851"/>
    <cellStyle name="Input [yellow] 3 8 8 6 4" xfId="37016"/>
    <cellStyle name="Input [yellow] 3 8 8 6 5" xfId="48209"/>
    <cellStyle name="Input [yellow] 3 8 8 7" xfId="4120"/>
    <cellStyle name="Input [yellow] 3 8 8 7 2" xfId="15317"/>
    <cellStyle name="Input [yellow] 3 8 8 7 3" xfId="26485"/>
    <cellStyle name="Input [yellow] 3 8 8 7 4" xfId="37650"/>
    <cellStyle name="Input [yellow] 3 8 8 7 5" xfId="48843"/>
    <cellStyle name="Input [yellow] 3 8 8 8" xfId="4753"/>
    <cellStyle name="Input [yellow] 3 8 8 8 2" xfId="15950"/>
    <cellStyle name="Input [yellow] 3 8 8 8 3" xfId="27118"/>
    <cellStyle name="Input [yellow] 3 8 8 8 4" xfId="38283"/>
    <cellStyle name="Input [yellow] 3 8 8 8 5" xfId="49476"/>
    <cellStyle name="Input [yellow] 3 8 8 9" xfId="5384"/>
    <cellStyle name="Input [yellow] 3 8 8 9 2" xfId="16581"/>
    <cellStyle name="Input [yellow] 3 8 8 9 3" xfId="27749"/>
    <cellStyle name="Input [yellow] 3 8 8 9 4" xfId="38914"/>
    <cellStyle name="Input [yellow] 3 8 8 9 5" xfId="50107"/>
    <cellStyle name="Input [yellow] 3 8 9" xfId="560"/>
    <cellStyle name="Input [yellow] 3 8 9 10" xfId="6167"/>
    <cellStyle name="Input [yellow] 3 8 9 10 2" xfId="17364"/>
    <cellStyle name="Input [yellow] 3 8 9 10 3" xfId="28532"/>
    <cellStyle name="Input [yellow] 3 8 9 10 4" xfId="39697"/>
    <cellStyle name="Input [yellow] 3 8 9 10 5" xfId="50890"/>
    <cellStyle name="Input [yellow] 3 8 9 11" xfId="6496"/>
    <cellStyle name="Input [yellow] 3 8 9 11 2" xfId="17693"/>
    <cellStyle name="Input [yellow] 3 8 9 11 3" xfId="28861"/>
    <cellStyle name="Input [yellow] 3 8 9 11 4" xfId="40026"/>
    <cellStyle name="Input [yellow] 3 8 9 11 5" xfId="51219"/>
    <cellStyle name="Input [yellow] 3 8 9 12" xfId="7129"/>
    <cellStyle name="Input [yellow] 3 8 9 12 2" xfId="18326"/>
    <cellStyle name="Input [yellow] 3 8 9 12 3" xfId="29494"/>
    <cellStyle name="Input [yellow] 3 8 9 12 4" xfId="40659"/>
    <cellStyle name="Input [yellow] 3 8 9 12 5" xfId="51852"/>
    <cellStyle name="Input [yellow] 3 8 9 13" xfId="7763"/>
    <cellStyle name="Input [yellow] 3 8 9 13 2" xfId="18960"/>
    <cellStyle name="Input [yellow] 3 8 9 13 3" xfId="30128"/>
    <cellStyle name="Input [yellow] 3 8 9 13 4" xfId="41293"/>
    <cellStyle name="Input [yellow] 3 8 9 13 5" xfId="52486"/>
    <cellStyle name="Input [yellow] 3 8 9 14" xfId="8397"/>
    <cellStyle name="Input [yellow] 3 8 9 14 2" xfId="19594"/>
    <cellStyle name="Input [yellow] 3 8 9 14 3" xfId="30762"/>
    <cellStyle name="Input [yellow] 3 8 9 14 4" xfId="41927"/>
    <cellStyle name="Input [yellow] 3 8 9 14 5" xfId="53120"/>
    <cellStyle name="Input [yellow] 3 8 9 15" xfId="9025"/>
    <cellStyle name="Input [yellow] 3 8 9 15 2" xfId="20222"/>
    <cellStyle name="Input [yellow] 3 8 9 15 3" xfId="31390"/>
    <cellStyle name="Input [yellow] 3 8 9 15 4" xfId="42555"/>
    <cellStyle name="Input [yellow] 3 8 9 15 5" xfId="53748"/>
    <cellStyle name="Input [yellow] 3 8 9 16" xfId="9448"/>
    <cellStyle name="Input [yellow] 3 8 9 16 2" xfId="20645"/>
    <cellStyle name="Input [yellow] 3 8 9 16 3" xfId="31813"/>
    <cellStyle name="Input [yellow] 3 8 9 16 4" xfId="42978"/>
    <cellStyle name="Input [yellow] 3 8 9 16 5" xfId="54171"/>
    <cellStyle name="Input [yellow] 3 8 9 17" xfId="10073"/>
    <cellStyle name="Input [yellow] 3 8 9 17 2" xfId="21270"/>
    <cellStyle name="Input [yellow] 3 8 9 17 3" xfId="32438"/>
    <cellStyle name="Input [yellow] 3 8 9 17 4" xfId="43603"/>
    <cellStyle name="Input [yellow] 3 8 9 17 5" xfId="54796"/>
    <cellStyle name="Input [yellow] 3 8 9 18" xfId="9882"/>
    <cellStyle name="Input [yellow] 3 8 9 18 2" xfId="21079"/>
    <cellStyle name="Input [yellow] 3 8 9 18 3" xfId="32247"/>
    <cellStyle name="Input [yellow] 3 8 9 18 4" xfId="43412"/>
    <cellStyle name="Input [yellow] 3 8 9 18 5" xfId="54605"/>
    <cellStyle name="Input [yellow] 3 8 9 19" xfId="11113"/>
    <cellStyle name="Input [yellow] 3 8 9 19 2" xfId="22310"/>
    <cellStyle name="Input [yellow] 3 8 9 19 3" xfId="33478"/>
    <cellStyle name="Input [yellow] 3 8 9 19 4" xfId="44643"/>
    <cellStyle name="Input [yellow] 3 8 9 19 5" xfId="55836"/>
    <cellStyle name="Input [yellow] 3 8 9 2" xfId="1209"/>
    <cellStyle name="Input [yellow] 3 8 9 2 2" xfId="12406"/>
    <cellStyle name="Input [yellow] 3 8 9 2 3" xfId="23574"/>
    <cellStyle name="Input [yellow] 3 8 9 2 4" xfId="34739"/>
    <cellStyle name="Input [yellow] 3 8 9 2 5" xfId="45932"/>
    <cellStyle name="Input [yellow] 3 8 9 20" xfId="11760"/>
    <cellStyle name="Input [yellow] 3 8 9 21" xfId="22930"/>
    <cellStyle name="Input [yellow] 3 8 9 22" xfId="34097"/>
    <cellStyle name="Input [yellow] 3 8 9 23" xfId="45283"/>
    <cellStyle name="Input [yellow] 3 8 9 3" xfId="1435"/>
    <cellStyle name="Input [yellow] 3 8 9 3 2" xfId="12632"/>
    <cellStyle name="Input [yellow] 3 8 9 3 3" xfId="23800"/>
    <cellStyle name="Input [yellow] 3 8 9 3 4" xfId="34965"/>
    <cellStyle name="Input [yellow] 3 8 9 3 5" xfId="46158"/>
    <cellStyle name="Input [yellow] 3 8 9 4" xfId="2485"/>
    <cellStyle name="Input [yellow] 3 8 9 4 2" xfId="13682"/>
    <cellStyle name="Input [yellow] 3 8 9 4 3" xfId="24850"/>
    <cellStyle name="Input [yellow] 3 8 9 4 4" xfId="36015"/>
    <cellStyle name="Input [yellow] 3 8 9 4 5" xfId="47208"/>
    <cellStyle name="Input [yellow] 3 8 9 5" xfId="2910"/>
    <cellStyle name="Input [yellow] 3 8 9 5 2" xfId="14107"/>
    <cellStyle name="Input [yellow] 3 8 9 5 3" xfId="25275"/>
    <cellStyle name="Input [yellow] 3 8 9 5 4" xfId="36440"/>
    <cellStyle name="Input [yellow] 3 8 9 5 5" xfId="47633"/>
    <cellStyle name="Input [yellow] 3 8 9 6" xfId="3544"/>
    <cellStyle name="Input [yellow] 3 8 9 6 2" xfId="14741"/>
    <cellStyle name="Input [yellow] 3 8 9 6 3" xfId="25909"/>
    <cellStyle name="Input [yellow] 3 8 9 6 4" xfId="37074"/>
    <cellStyle name="Input [yellow] 3 8 9 6 5" xfId="48267"/>
    <cellStyle name="Input [yellow] 3 8 9 7" xfId="4178"/>
    <cellStyle name="Input [yellow] 3 8 9 7 2" xfId="15375"/>
    <cellStyle name="Input [yellow] 3 8 9 7 3" xfId="26543"/>
    <cellStyle name="Input [yellow] 3 8 9 7 4" xfId="37708"/>
    <cellStyle name="Input [yellow] 3 8 9 7 5" xfId="48901"/>
    <cellStyle name="Input [yellow] 3 8 9 8" xfId="4811"/>
    <cellStyle name="Input [yellow] 3 8 9 8 2" xfId="16008"/>
    <cellStyle name="Input [yellow] 3 8 9 8 3" xfId="27176"/>
    <cellStyle name="Input [yellow] 3 8 9 8 4" xfId="38341"/>
    <cellStyle name="Input [yellow] 3 8 9 8 5" xfId="49534"/>
    <cellStyle name="Input [yellow] 3 8 9 9" xfId="5442"/>
    <cellStyle name="Input [yellow] 3 8 9 9 2" xfId="16639"/>
    <cellStyle name="Input [yellow] 3 8 9 9 3" xfId="27807"/>
    <cellStyle name="Input [yellow] 3 8 9 9 4" xfId="38972"/>
    <cellStyle name="Input [yellow] 3 8 9 9 5" xfId="50165"/>
    <cellStyle name="Input [yellow] 3 9" xfId="96"/>
    <cellStyle name="Input [yellow] 3 9 10" xfId="636"/>
    <cellStyle name="Input [yellow] 3 9 10 10" xfId="6128"/>
    <cellStyle name="Input [yellow] 3 9 10 10 2" xfId="17325"/>
    <cellStyle name="Input [yellow] 3 9 10 10 3" xfId="28493"/>
    <cellStyle name="Input [yellow] 3 9 10 10 4" xfId="39658"/>
    <cellStyle name="Input [yellow] 3 9 10 10 5" xfId="50851"/>
    <cellStyle name="Input [yellow] 3 9 10 11" xfId="6572"/>
    <cellStyle name="Input [yellow] 3 9 10 11 2" xfId="17769"/>
    <cellStyle name="Input [yellow] 3 9 10 11 3" xfId="28937"/>
    <cellStyle name="Input [yellow] 3 9 10 11 4" xfId="40102"/>
    <cellStyle name="Input [yellow] 3 9 10 11 5" xfId="51295"/>
    <cellStyle name="Input [yellow] 3 9 10 12" xfId="7205"/>
    <cellStyle name="Input [yellow] 3 9 10 12 2" xfId="18402"/>
    <cellStyle name="Input [yellow] 3 9 10 12 3" xfId="29570"/>
    <cellStyle name="Input [yellow] 3 9 10 12 4" xfId="40735"/>
    <cellStyle name="Input [yellow] 3 9 10 12 5" xfId="51928"/>
    <cellStyle name="Input [yellow] 3 9 10 13" xfId="7839"/>
    <cellStyle name="Input [yellow] 3 9 10 13 2" xfId="19036"/>
    <cellStyle name="Input [yellow] 3 9 10 13 3" xfId="30204"/>
    <cellStyle name="Input [yellow] 3 9 10 13 4" xfId="41369"/>
    <cellStyle name="Input [yellow] 3 9 10 13 5" xfId="52562"/>
    <cellStyle name="Input [yellow] 3 9 10 14" xfId="8473"/>
    <cellStyle name="Input [yellow] 3 9 10 14 2" xfId="19670"/>
    <cellStyle name="Input [yellow] 3 9 10 14 3" xfId="30838"/>
    <cellStyle name="Input [yellow] 3 9 10 14 4" xfId="42003"/>
    <cellStyle name="Input [yellow] 3 9 10 14 5" xfId="53196"/>
    <cellStyle name="Input [yellow] 3 9 10 15" xfId="9101"/>
    <cellStyle name="Input [yellow] 3 9 10 15 2" xfId="20298"/>
    <cellStyle name="Input [yellow] 3 9 10 15 3" xfId="31466"/>
    <cellStyle name="Input [yellow] 3 9 10 15 4" xfId="42631"/>
    <cellStyle name="Input [yellow] 3 9 10 15 5" xfId="53824"/>
    <cellStyle name="Input [yellow] 3 9 10 16" xfId="9524"/>
    <cellStyle name="Input [yellow] 3 9 10 16 2" xfId="20721"/>
    <cellStyle name="Input [yellow] 3 9 10 16 3" xfId="31889"/>
    <cellStyle name="Input [yellow] 3 9 10 16 4" xfId="43054"/>
    <cellStyle name="Input [yellow] 3 9 10 16 5" xfId="54247"/>
    <cellStyle name="Input [yellow] 3 9 10 17" xfId="10149"/>
    <cellStyle name="Input [yellow] 3 9 10 17 2" xfId="21346"/>
    <cellStyle name="Input [yellow] 3 9 10 17 3" xfId="32514"/>
    <cellStyle name="Input [yellow] 3 9 10 17 4" xfId="43679"/>
    <cellStyle name="Input [yellow] 3 9 10 17 5" xfId="54872"/>
    <cellStyle name="Input [yellow] 3 9 10 18" xfId="9804"/>
    <cellStyle name="Input [yellow] 3 9 10 18 2" xfId="21001"/>
    <cellStyle name="Input [yellow] 3 9 10 18 3" xfId="32169"/>
    <cellStyle name="Input [yellow] 3 9 10 18 4" xfId="43334"/>
    <cellStyle name="Input [yellow] 3 9 10 18 5" xfId="54527"/>
    <cellStyle name="Input [yellow] 3 9 10 19" xfId="11189"/>
    <cellStyle name="Input [yellow] 3 9 10 19 2" xfId="22386"/>
    <cellStyle name="Input [yellow] 3 9 10 19 3" xfId="33554"/>
    <cellStyle name="Input [yellow] 3 9 10 19 4" xfId="44719"/>
    <cellStyle name="Input [yellow] 3 9 10 19 5" xfId="55912"/>
    <cellStyle name="Input [yellow] 3 9 10 2" xfId="1285"/>
    <cellStyle name="Input [yellow] 3 9 10 2 2" xfId="12482"/>
    <cellStyle name="Input [yellow] 3 9 10 2 3" xfId="23650"/>
    <cellStyle name="Input [yellow] 3 9 10 2 4" xfId="34815"/>
    <cellStyle name="Input [yellow] 3 9 10 2 5" xfId="46008"/>
    <cellStyle name="Input [yellow] 3 9 10 20" xfId="11836"/>
    <cellStyle name="Input [yellow] 3 9 10 21" xfId="23006"/>
    <cellStyle name="Input [yellow] 3 9 10 22" xfId="34173"/>
    <cellStyle name="Input [yellow] 3 9 10 23" xfId="45359"/>
    <cellStyle name="Input [yellow] 3 9 10 3" xfId="1581"/>
    <cellStyle name="Input [yellow] 3 9 10 3 2" xfId="12778"/>
    <cellStyle name="Input [yellow] 3 9 10 3 3" xfId="23946"/>
    <cellStyle name="Input [yellow] 3 9 10 3 4" xfId="35111"/>
    <cellStyle name="Input [yellow] 3 9 10 3 5" xfId="46304"/>
    <cellStyle name="Input [yellow] 3 9 10 4" xfId="2561"/>
    <cellStyle name="Input [yellow] 3 9 10 4 2" xfId="13758"/>
    <cellStyle name="Input [yellow] 3 9 10 4 3" xfId="24926"/>
    <cellStyle name="Input [yellow] 3 9 10 4 4" xfId="36091"/>
    <cellStyle name="Input [yellow] 3 9 10 4 5" xfId="47284"/>
    <cellStyle name="Input [yellow] 3 9 10 5" xfId="2986"/>
    <cellStyle name="Input [yellow] 3 9 10 5 2" xfId="14183"/>
    <cellStyle name="Input [yellow] 3 9 10 5 3" xfId="25351"/>
    <cellStyle name="Input [yellow] 3 9 10 5 4" xfId="36516"/>
    <cellStyle name="Input [yellow] 3 9 10 5 5" xfId="47709"/>
    <cellStyle name="Input [yellow] 3 9 10 6" xfId="3620"/>
    <cellStyle name="Input [yellow] 3 9 10 6 2" xfId="14817"/>
    <cellStyle name="Input [yellow] 3 9 10 6 3" xfId="25985"/>
    <cellStyle name="Input [yellow] 3 9 10 6 4" xfId="37150"/>
    <cellStyle name="Input [yellow] 3 9 10 6 5" xfId="48343"/>
    <cellStyle name="Input [yellow] 3 9 10 7" xfId="4254"/>
    <cellStyle name="Input [yellow] 3 9 10 7 2" xfId="15451"/>
    <cellStyle name="Input [yellow] 3 9 10 7 3" xfId="26619"/>
    <cellStyle name="Input [yellow] 3 9 10 7 4" xfId="37784"/>
    <cellStyle name="Input [yellow] 3 9 10 7 5" xfId="48977"/>
    <cellStyle name="Input [yellow] 3 9 10 8" xfId="4887"/>
    <cellStyle name="Input [yellow] 3 9 10 8 2" xfId="16084"/>
    <cellStyle name="Input [yellow] 3 9 10 8 3" xfId="27252"/>
    <cellStyle name="Input [yellow] 3 9 10 8 4" xfId="38417"/>
    <cellStyle name="Input [yellow] 3 9 10 8 5" xfId="49610"/>
    <cellStyle name="Input [yellow] 3 9 10 9" xfId="5518"/>
    <cellStyle name="Input [yellow] 3 9 10 9 2" xfId="16715"/>
    <cellStyle name="Input [yellow] 3 9 10 9 3" xfId="27883"/>
    <cellStyle name="Input [yellow] 3 9 10 9 4" xfId="39048"/>
    <cellStyle name="Input [yellow] 3 9 10 9 5" xfId="50241"/>
    <cellStyle name="Input [yellow] 3 9 11" xfId="676"/>
    <cellStyle name="Input [yellow] 3 9 11 10" xfId="5874"/>
    <cellStyle name="Input [yellow] 3 9 11 10 2" xfId="17071"/>
    <cellStyle name="Input [yellow] 3 9 11 10 3" xfId="28239"/>
    <cellStyle name="Input [yellow] 3 9 11 10 4" xfId="39404"/>
    <cellStyle name="Input [yellow] 3 9 11 10 5" xfId="50597"/>
    <cellStyle name="Input [yellow] 3 9 11 11" xfId="6612"/>
    <cellStyle name="Input [yellow] 3 9 11 11 2" xfId="17809"/>
    <cellStyle name="Input [yellow] 3 9 11 11 3" xfId="28977"/>
    <cellStyle name="Input [yellow] 3 9 11 11 4" xfId="40142"/>
    <cellStyle name="Input [yellow] 3 9 11 11 5" xfId="51335"/>
    <cellStyle name="Input [yellow] 3 9 11 12" xfId="7245"/>
    <cellStyle name="Input [yellow] 3 9 11 12 2" xfId="18442"/>
    <cellStyle name="Input [yellow] 3 9 11 12 3" xfId="29610"/>
    <cellStyle name="Input [yellow] 3 9 11 12 4" xfId="40775"/>
    <cellStyle name="Input [yellow] 3 9 11 12 5" xfId="51968"/>
    <cellStyle name="Input [yellow] 3 9 11 13" xfId="7879"/>
    <cellStyle name="Input [yellow] 3 9 11 13 2" xfId="19076"/>
    <cellStyle name="Input [yellow] 3 9 11 13 3" xfId="30244"/>
    <cellStyle name="Input [yellow] 3 9 11 13 4" xfId="41409"/>
    <cellStyle name="Input [yellow] 3 9 11 13 5" xfId="52602"/>
    <cellStyle name="Input [yellow] 3 9 11 14" xfId="8513"/>
    <cellStyle name="Input [yellow] 3 9 11 14 2" xfId="19710"/>
    <cellStyle name="Input [yellow] 3 9 11 14 3" xfId="30878"/>
    <cellStyle name="Input [yellow] 3 9 11 14 4" xfId="42043"/>
    <cellStyle name="Input [yellow] 3 9 11 14 5" xfId="53236"/>
    <cellStyle name="Input [yellow] 3 9 11 15" xfId="9141"/>
    <cellStyle name="Input [yellow] 3 9 11 15 2" xfId="20338"/>
    <cellStyle name="Input [yellow] 3 9 11 15 3" xfId="31506"/>
    <cellStyle name="Input [yellow] 3 9 11 15 4" xfId="42671"/>
    <cellStyle name="Input [yellow] 3 9 11 15 5" xfId="53864"/>
    <cellStyle name="Input [yellow] 3 9 11 16" xfId="9564"/>
    <cellStyle name="Input [yellow] 3 9 11 16 2" xfId="20761"/>
    <cellStyle name="Input [yellow] 3 9 11 16 3" xfId="31929"/>
    <cellStyle name="Input [yellow] 3 9 11 16 4" xfId="43094"/>
    <cellStyle name="Input [yellow] 3 9 11 16 5" xfId="54287"/>
    <cellStyle name="Input [yellow] 3 9 11 17" xfId="10188"/>
    <cellStyle name="Input [yellow] 3 9 11 17 2" xfId="21385"/>
    <cellStyle name="Input [yellow] 3 9 11 17 3" xfId="32553"/>
    <cellStyle name="Input [yellow] 3 9 11 17 4" xfId="43718"/>
    <cellStyle name="Input [yellow] 3 9 11 17 5" xfId="54911"/>
    <cellStyle name="Input [yellow] 3 9 11 18" xfId="10496"/>
    <cellStyle name="Input [yellow] 3 9 11 18 2" xfId="21693"/>
    <cellStyle name="Input [yellow] 3 9 11 18 3" xfId="32861"/>
    <cellStyle name="Input [yellow] 3 9 11 18 4" xfId="44026"/>
    <cellStyle name="Input [yellow] 3 9 11 18 5" xfId="55219"/>
    <cellStyle name="Input [yellow] 3 9 11 19" xfId="11229"/>
    <cellStyle name="Input [yellow] 3 9 11 19 2" xfId="22426"/>
    <cellStyle name="Input [yellow] 3 9 11 19 3" xfId="33594"/>
    <cellStyle name="Input [yellow] 3 9 11 19 4" xfId="44759"/>
    <cellStyle name="Input [yellow] 3 9 11 19 5" xfId="55952"/>
    <cellStyle name="Input [yellow] 3 9 11 2" xfId="1325"/>
    <cellStyle name="Input [yellow] 3 9 11 2 2" xfId="12522"/>
    <cellStyle name="Input [yellow] 3 9 11 2 3" xfId="23690"/>
    <cellStyle name="Input [yellow] 3 9 11 2 4" xfId="34855"/>
    <cellStyle name="Input [yellow] 3 9 11 2 5" xfId="46048"/>
    <cellStyle name="Input [yellow] 3 9 11 20" xfId="11876"/>
    <cellStyle name="Input [yellow] 3 9 11 21" xfId="23046"/>
    <cellStyle name="Input [yellow] 3 9 11 22" xfId="34213"/>
    <cellStyle name="Input [yellow] 3 9 11 23" xfId="45399"/>
    <cellStyle name="Input [yellow] 3 9 11 3" xfId="1793"/>
    <cellStyle name="Input [yellow] 3 9 11 3 2" xfId="12990"/>
    <cellStyle name="Input [yellow] 3 9 11 3 3" xfId="24158"/>
    <cellStyle name="Input [yellow] 3 9 11 3 4" xfId="35323"/>
    <cellStyle name="Input [yellow] 3 9 11 3 5" xfId="46516"/>
    <cellStyle name="Input [yellow] 3 9 11 4" xfId="2601"/>
    <cellStyle name="Input [yellow] 3 9 11 4 2" xfId="13798"/>
    <cellStyle name="Input [yellow] 3 9 11 4 3" xfId="24966"/>
    <cellStyle name="Input [yellow] 3 9 11 4 4" xfId="36131"/>
    <cellStyle name="Input [yellow] 3 9 11 4 5" xfId="47324"/>
    <cellStyle name="Input [yellow] 3 9 11 5" xfId="3026"/>
    <cellStyle name="Input [yellow] 3 9 11 5 2" xfId="14223"/>
    <cellStyle name="Input [yellow] 3 9 11 5 3" xfId="25391"/>
    <cellStyle name="Input [yellow] 3 9 11 5 4" xfId="36556"/>
    <cellStyle name="Input [yellow] 3 9 11 5 5" xfId="47749"/>
    <cellStyle name="Input [yellow] 3 9 11 6" xfId="3660"/>
    <cellStyle name="Input [yellow] 3 9 11 6 2" xfId="14857"/>
    <cellStyle name="Input [yellow] 3 9 11 6 3" xfId="26025"/>
    <cellStyle name="Input [yellow] 3 9 11 6 4" xfId="37190"/>
    <cellStyle name="Input [yellow] 3 9 11 6 5" xfId="48383"/>
    <cellStyle name="Input [yellow] 3 9 11 7" xfId="4294"/>
    <cellStyle name="Input [yellow] 3 9 11 7 2" xfId="15491"/>
    <cellStyle name="Input [yellow] 3 9 11 7 3" xfId="26659"/>
    <cellStyle name="Input [yellow] 3 9 11 7 4" xfId="37824"/>
    <cellStyle name="Input [yellow] 3 9 11 7 5" xfId="49017"/>
    <cellStyle name="Input [yellow] 3 9 11 8" xfId="4927"/>
    <cellStyle name="Input [yellow] 3 9 11 8 2" xfId="16124"/>
    <cellStyle name="Input [yellow] 3 9 11 8 3" xfId="27292"/>
    <cellStyle name="Input [yellow] 3 9 11 8 4" xfId="38457"/>
    <cellStyle name="Input [yellow] 3 9 11 8 5" xfId="49650"/>
    <cellStyle name="Input [yellow] 3 9 11 9" xfId="5558"/>
    <cellStyle name="Input [yellow] 3 9 11 9 2" xfId="16755"/>
    <cellStyle name="Input [yellow] 3 9 11 9 3" xfId="27923"/>
    <cellStyle name="Input [yellow] 3 9 11 9 4" xfId="39088"/>
    <cellStyle name="Input [yellow] 3 9 11 9 5" xfId="50281"/>
    <cellStyle name="Input [yellow] 3 9 12" xfId="745"/>
    <cellStyle name="Input [yellow] 3 9 12 2" xfId="11943"/>
    <cellStyle name="Input [yellow] 3 9 12 3" xfId="23111"/>
    <cellStyle name="Input [yellow] 3 9 12 4" xfId="34276"/>
    <cellStyle name="Input [yellow] 3 9 12 5" xfId="45468"/>
    <cellStyle name="Input [yellow] 3 9 13" xfId="1833"/>
    <cellStyle name="Input [yellow] 3 9 13 2" xfId="13030"/>
    <cellStyle name="Input [yellow] 3 9 13 3" xfId="24198"/>
    <cellStyle name="Input [yellow] 3 9 13 4" xfId="35363"/>
    <cellStyle name="Input [yellow] 3 9 13 5" xfId="46556"/>
    <cellStyle name="Input [yellow] 3 9 14" xfId="2022"/>
    <cellStyle name="Input [yellow] 3 9 14 2" xfId="13219"/>
    <cellStyle name="Input [yellow] 3 9 14 3" xfId="24387"/>
    <cellStyle name="Input [yellow] 3 9 14 4" xfId="35552"/>
    <cellStyle name="Input [yellow] 3 9 14 5" xfId="46745"/>
    <cellStyle name="Input [yellow] 3 9 15" xfId="2423"/>
    <cellStyle name="Input [yellow] 3 9 15 2" xfId="13620"/>
    <cellStyle name="Input [yellow] 3 9 15 3" xfId="24788"/>
    <cellStyle name="Input [yellow] 3 9 15 4" xfId="35953"/>
    <cellStyle name="Input [yellow] 3 9 15 5" xfId="47146"/>
    <cellStyle name="Input [yellow] 3 9 16" xfId="3080"/>
    <cellStyle name="Input [yellow] 3 9 16 2" xfId="14277"/>
    <cellStyle name="Input [yellow] 3 9 16 3" xfId="25445"/>
    <cellStyle name="Input [yellow] 3 9 16 4" xfId="36610"/>
    <cellStyle name="Input [yellow] 3 9 16 5" xfId="47803"/>
    <cellStyle name="Input [yellow] 3 9 17" xfId="3714"/>
    <cellStyle name="Input [yellow] 3 9 17 2" xfId="14911"/>
    <cellStyle name="Input [yellow] 3 9 17 3" xfId="26079"/>
    <cellStyle name="Input [yellow] 3 9 17 4" xfId="37244"/>
    <cellStyle name="Input [yellow] 3 9 17 5" xfId="48437"/>
    <cellStyle name="Input [yellow] 3 9 18" xfId="4347"/>
    <cellStyle name="Input [yellow] 3 9 18 2" xfId="15544"/>
    <cellStyle name="Input [yellow] 3 9 18 3" xfId="26712"/>
    <cellStyle name="Input [yellow] 3 9 18 4" xfId="37877"/>
    <cellStyle name="Input [yellow] 3 9 18 5" xfId="49070"/>
    <cellStyle name="Input [yellow] 3 9 19" xfId="4979"/>
    <cellStyle name="Input [yellow] 3 9 19 2" xfId="16176"/>
    <cellStyle name="Input [yellow] 3 9 19 3" xfId="27344"/>
    <cellStyle name="Input [yellow] 3 9 19 4" xfId="38509"/>
    <cellStyle name="Input [yellow] 3 9 19 5" xfId="49702"/>
    <cellStyle name="Input [yellow] 3 9 2" xfId="160"/>
    <cellStyle name="Input [yellow] 3 9 2 10" xfId="5748"/>
    <cellStyle name="Input [yellow] 3 9 2 10 2" xfId="16945"/>
    <cellStyle name="Input [yellow] 3 9 2 10 3" xfId="28113"/>
    <cellStyle name="Input [yellow] 3 9 2 10 4" xfId="39278"/>
    <cellStyle name="Input [yellow] 3 9 2 10 5" xfId="50471"/>
    <cellStyle name="Input [yellow] 3 9 2 11" xfId="5773"/>
    <cellStyle name="Input [yellow] 3 9 2 11 2" xfId="16970"/>
    <cellStyle name="Input [yellow] 3 9 2 11 3" xfId="28138"/>
    <cellStyle name="Input [yellow] 3 9 2 11 4" xfId="39303"/>
    <cellStyle name="Input [yellow] 3 9 2 11 5" xfId="50496"/>
    <cellStyle name="Input [yellow] 3 9 2 12" xfId="6729"/>
    <cellStyle name="Input [yellow] 3 9 2 12 2" xfId="17926"/>
    <cellStyle name="Input [yellow] 3 9 2 12 3" xfId="29094"/>
    <cellStyle name="Input [yellow] 3 9 2 12 4" xfId="40259"/>
    <cellStyle name="Input [yellow] 3 9 2 12 5" xfId="51452"/>
    <cellStyle name="Input [yellow] 3 9 2 13" xfId="7363"/>
    <cellStyle name="Input [yellow] 3 9 2 13 2" xfId="18560"/>
    <cellStyle name="Input [yellow] 3 9 2 13 3" xfId="29728"/>
    <cellStyle name="Input [yellow] 3 9 2 13 4" xfId="40893"/>
    <cellStyle name="Input [yellow] 3 9 2 13 5" xfId="52086"/>
    <cellStyle name="Input [yellow] 3 9 2 14" xfId="7997"/>
    <cellStyle name="Input [yellow] 3 9 2 14 2" xfId="19194"/>
    <cellStyle name="Input [yellow] 3 9 2 14 3" xfId="30362"/>
    <cellStyle name="Input [yellow] 3 9 2 14 4" xfId="41527"/>
    <cellStyle name="Input [yellow] 3 9 2 14 5" xfId="52720"/>
    <cellStyle name="Input [yellow] 3 9 2 15" xfId="8628"/>
    <cellStyle name="Input [yellow] 3 9 2 15 2" xfId="19825"/>
    <cellStyle name="Input [yellow] 3 9 2 15 3" xfId="30993"/>
    <cellStyle name="Input [yellow] 3 9 2 15 4" xfId="42158"/>
    <cellStyle name="Input [yellow] 3 9 2 15 5" xfId="53351"/>
    <cellStyle name="Input [yellow] 3 9 2 16" xfId="8859"/>
    <cellStyle name="Input [yellow] 3 9 2 16 2" xfId="20056"/>
    <cellStyle name="Input [yellow] 3 9 2 16 3" xfId="31224"/>
    <cellStyle name="Input [yellow] 3 9 2 16 4" xfId="42389"/>
    <cellStyle name="Input [yellow] 3 9 2 16 5" xfId="53582"/>
    <cellStyle name="Input [yellow] 3 9 2 17" xfId="9681"/>
    <cellStyle name="Input [yellow] 3 9 2 17 2" xfId="20878"/>
    <cellStyle name="Input [yellow] 3 9 2 17 3" xfId="32046"/>
    <cellStyle name="Input [yellow] 3 9 2 17 4" xfId="43211"/>
    <cellStyle name="Input [yellow] 3 9 2 17 5" xfId="54404"/>
    <cellStyle name="Input [yellow] 3 9 2 18" xfId="10576"/>
    <cellStyle name="Input [yellow] 3 9 2 18 2" xfId="21773"/>
    <cellStyle name="Input [yellow] 3 9 2 18 3" xfId="32941"/>
    <cellStyle name="Input [yellow] 3 9 2 18 4" xfId="44106"/>
    <cellStyle name="Input [yellow] 3 9 2 18 5" xfId="55299"/>
    <cellStyle name="Input [yellow] 3 9 2 19" xfId="10713"/>
    <cellStyle name="Input [yellow] 3 9 2 19 2" xfId="21910"/>
    <cellStyle name="Input [yellow] 3 9 2 19 3" xfId="33078"/>
    <cellStyle name="Input [yellow] 3 9 2 19 4" xfId="44243"/>
    <cellStyle name="Input [yellow] 3 9 2 19 5" xfId="55436"/>
    <cellStyle name="Input [yellow] 3 9 2 2" xfId="809"/>
    <cellStyle name="Input [yellow] 3 9 2 2 2" xfId="12006"/>
    <cellStyle name="Input [yellow] 3 9 2 2 3" xfId="23174"/>
    <cellStyle name="Input [yellow] 3 9 2 2 4" xfId="34339"/>
    <cellStyle name="Input [yellow] 3 9 2 2 5" xfId="45532"/>
    <cellStyle name="Input [yellow] 3 9 2 20" xfId="11360"/>
    <cellStyle name="Input [yellow] 3 9 2 21" xfId="22530"/>
    <cellStyle name="Input [yellow] 3 9 2 22" xfId="33697"/>
    <cellStyle name="Input [yellow] 3 9 2 23" xfId="44883"/>
    <cellStyle name="Input [yellow] 3 9 2 3" xfId="1415"/>
    <cellStyle name="Input [yellow] 3 9 2 3 2" xfId="12612"/>
    <cellStyle name="Input [yellow] 3 9 2 3 3" xfId="23780"/>
    <cellStyle name="Input [yellow] 3 9 2 3 4" xfId="34945"/>
    <cellStyle name="Input [yellow] 3 9 2 3 5" xfId="46138"/>
    <cellStyle name="Input [yellow] 3 9 2 4" xfId="2086"/>
    <cellStyle name="Input [yellow] 3 9 2 4 2" xfId="13283"/>
    <cellStyle name="Input [yellow] 3 9 2 4 3" xfId="24451"/>
    <cellStyle name="Input [yellow] 3 9 2 4 4" xfId="35616"/>
    <cellStyle name="Input [yellow] 3 9 2 4 5" xfId="46809"/>
    <cellStyle name="Input [yellow] 3 9 2 5" xfId="2464"/>
    <cellStyle name="Input [yellow] 3 9 2 5 2" xfId="13661"/>
    <cellStyle name="Input [yellow] 3 9 2 5 3" xfId="24829"/>
    <cellStyle name="Input [yellow] 3 9 2 5 4" xfId="35994"/>
    <cellStyle name="Input [yellow] 3 9 2 5 5" xfId="47187"/>
    <cellStyle name="Input [yellow] 3 9 2 6" xfId="3144"/>
    <cellStyle name="Input [yellow] 3 9 2 6 2" xfId="14341"/>
    <cellStyle name="Input [yellow] 3 9 2 6 3" xfId="25509"/>
    <cellStyle name="Input [yellow] 3 9 2 6 4" xfId="36674"/>
    <cellStyle name="Input [yellow] 3 9 2 6 5" xfId="47867"/>
    <cellStyle name="Input [yellow] 3 9 2 7" xfId="3778"/>
    <cellStyle name="Input [yellow] 3 9 2 7 2" xfId="14975"/>
    <cellStyle name="Input [yellow] 3 9 2 7 3" xfId="26143"/>
    <cellStyle name="Input [yellow] 3 9 2 7 4" xfId="37308"/>
    <cellStyle name="Input [yellow] 3 9 2 7 5" xfId="48501"/>
    <cellStyle name="Input [yellow] 3 9 2 8" xfId="4411"/>
    <cellStyle name="Input [yellow] 3 9 2 8 2" xfId="15608"/>
    <cellStyle name="Input [yellow] 3 9 2 8 3" xfId="26776"/>
    <cellStyle name="Input [yellow] 3 9 2 8 4" xfId="37941"/>
    <cellStyle name="Input [yellow] 3 9 2 8 5" xfId="49134"/>
    <cellStyle name="Input [yellow] 3 9 2 9" xfId="5042"/>
    <cellStyle name="Input [yellow] 3 9 2 9 2" xfId="16239"/>
    <cellStyle name="Input [yellow] 3 9 2 9 3" xfId="27407"/>
    <cellStyle name="Input [yellow] 3 9 2 9 4" xfId="38572"/>
    <cellStyle name="Input [yellow] 3 9 2 9 5" xfId="49765"/>
    <cellStyle name="Input [yellow] 3 9 20" xfId="6010"/>
    <cellStyle name="Input [yellow] 3 9 20 2" xfId="17207"/>
    <cellStyle name="Input [yellow] 3 9 20 3" xfId="28375"/>
    <cellStyle name="Input [yellow] 3 9 20 4" xfId="39540"/>
    <cellStyle name="Input [yellow] 3 9 20 5" xfId="50733"/>
    <cellStyle name="Input [yellow] 3 9 21" xfId="5750"/>
    <cellStyle name="Input [yellow] 3 9 21 2" xfId="16947"/>
    <cellStyle name="Input [yellow] 3 9 21 3" xfId="28115"/>
    <cellStyle name="Input [yellow] 3 9 21 4" xfId="39280"/>
    <cellStyle name="Input [yellow] 3 9 21 5" xfId="50473"/>
    <cellStyle name="Input [yellow] 3 9 22" xfId="6666"/>
    <cellStyle name="Input [yellow] 3 9 22 2" xfId="17863"/>
    <cellStyle name="Input [yellow] 3 9 22 3" xfId="29031"/>
    <cellStyle name="Input [yellow] 3 9 22 4" xfId="40196"/>
    <cellStyle name="Input [yellow] 3 9 22 5" xfId="51389"/>
    <cellStyle name="Input [yellow] 3 9 23" xfId="7299"/>
    <cellStyle name="Input [yellow] 3 9 23 2" xfId="18496"/>
    <cellStyle name="Input [yellow] 3 9 23 3" xfId="29664"/>
    <cellStyle name="Input [yellow] 3 9 23 4" xfId="40829"/>
    <cellStyle name="Input [yellow] 3 9 23 5" xfId="52022"/>
    <cellStyle name="Input [yellow] 3 9 24" xfId="7933"/>
    <cellStyle name="Input [yellow] 3 9 24 2" xfId="19130"/>
    <cellStyle name="Input [yellow] 3 9 24 3" xfId="30298"/>
    <cellStyle name="Input [yellow] 3 9 24 4" xfId="41463"/>
    <cellStyle name="Input [yellow] 3 9 24 5" xfId="52656"/>
    <cellStyle name="Input [yellow] 3 9 25" xfId="8565"/>
    <cellStyle name="Input [yellow] 3 9 25 2" xfId="19762"/>
    <cellStyle name="Input [yellow] 3 9 25 3" xfId="30930"/>
    <cellStyle name="Input [yellow] 3 9 25 4" xfId="42095"/>
    <cellStyle name="Input [yellow] 3 9 25 5" xfId="53288"/>
    <cellStyle name="Input [yellow] 3 9 26" xfId="9099"/>
    <cellStyle name="Input [yellow] 3 9 26 2" xfId="20296"/>
    <cellStyle name="Input [yellow] 3 9 26 3" xfId="31464"/>
    <cellStyle name="Input [yellow] 3 9 26 4" xfId="42629"/>
    <cellStyle name="Input [yellow] 3 9 26 5" xfId="53822"/>
    <cellStyle name="Input [yellow] 3 9 27" xfId="9618"/>
    <cellStyle name="Input [yellow] 3 9 27 2" xfId="20815"/>
    <cellStyle name="Input [yellow] 3 9 27 3" xfId="31983"/>
    <cellStyle name="Input [yellow] 3 9 27 4" xfId="43148"/>
    <cellStyle name="Input [yellow] 3 9 27 5" xfId="54341"/>
    <cellStyle name="Input [yellow] 3 9 28" xfId="10142"/>
    <cellStyle name="Input [yellow] 3 9 28 2" xfId="21339"/>
    <cellStyle name="Input [yellow] 3 9 28 3" xfId="32507"/>
    <cellStyle name="Input [yellow] 3 9 28 4" xfId="43672"/>
    <cellStyle name="Input [yellow] 3 9 28 5" xfId="54865"/>
    <cellStyle name="Input [yellow] 3 9 29" xfId="10650"/>
    <cellStyle name="Input [yellow] 3 9 29 2" xfId="21847"/>
    <cellStyle name="Input [yellow] 3 9 29 3" xfId="33015"/>
    <cellStyle name="Input [yellow] 3 9 29 4" xfId="44180"/>
    <cellStyle name="Input [yellow] 3 9 29 5" xfId="55373"/>
    <cellStyle name="Input [yellow] 3 9 3" xfId="216"/>
    <cellStyle name="Input [yellow] 3 9 3 10" xfId="5892"/>
    <cellStyle name="Input [yellow] 3 9 3 10 2" xfId="17089"/>
    <cellStyle name="Input [yellow] 3 9 3 10 3" xfId="28257"/>
    <cellStyle name="Input [yellow] 3 9 3 10 4" xfId="39422"/>
    <cellStyle name="Input [yellow] 3 9 3 10 5" xfId="50615"/>
    <cellStyle name="Input [yellow] 3 9 3 11" xfId="5664"/>
    <cellStyle name="Input [yellow] 3 9 3 11 2" xfId="16861"/>
    <cellStyle name="Input [yellow] 3 9 3 11 3" xfId="28029"/>
    <cellStyle name="Input [yellow] 3 9 3 11 4" xfId="39194"/>
    <cellStyle name="Input [yellow] 3 9 3 11 5" xfId="50387"/>
    <cellStyle name="Input [yellow] 3 9 3 12" xfId="6785"/>
    <cellStyle name="Input [yellow] 3 9 3 12 2" xfId="17982"/>
    <cellStyle name="Input [yellow] 3 9 3 12 3" xfId="29150"/>
    <cellStyle name="Input [yellow] 3 9 3 12 4" xfId="40315"/>
    <cellStyle name="Input [yellow] 3 9 3 12 5" xfId="51508"/>
    <cellStyle name="Input [yellow] 3 9 3 13" xfId="7419"/>
    <cellStyle name="Input [yellow] 3 9 3 13 2" xfId="18616"/>
    <cellStyle name="Input [yellow] 3 9 3 13 3" xfId="29784"/>
    <cellStyle name="Input [yellow] 3 9 3 13 4" xfId="40949"/>
    <cellStyle name="Input [yellow] 3 9 3 13 5" xfId="52142"/>
    <cellStyle name="Input [yellow] 3 9 3 14" xfId="8053"/>
    <cellStyle name="Input [yellow] 3 9 3 14 2" xfId="19250"/>
    <cellStyle name="Input [yellow] 3 9 3 14 3" xfId="30418"/>
    <cellStyle name="Input [yellow] 3 9 3 14 4" xfId="41583"/>
    <cellStyle name="Input [yellow] 3 9 3 14 5" xfId="52776"/>
    <cellStyle name="Input [yellow] 3 9 3 15" xfId="8684"/>
    <cellStyle name="Input [yellow] 3 9 3 15 2" xfId="19881"/>
    <cellStyle name="Input [yellow] 3 9 3 15 3" xfId="31049"/>
    <cellStyle name="Input [yellow] 3 9 3 15 4" xfId="42214"/>
    <cellStyle name="Input [yellow] 3 9 3 15 5" xfId="53407"/>
    <cellStyle name="Input [yellow] 3 9 3 16" xfId="8647"/>
    <cellStyle name="Input [yellow] 3 9 3 16 2" xfId="19844"/>
    <cellStyle name="Input [yellow] 3 9 3 16 3" xfId="31012"/>
    <cellStyle name="Input [yellow] 3 9 3 16 4" xfId="42177"/>
    <cellStyle name="Input [yellow] 3 9 3 16 5" xfId="53370"/>
    <cellStyle name="Input [yellow] 3 9 3 17" xfId="9735"/>
    <cellStyle name="Input [yellow] 3 9 3 17 2" xfId="20932"/>
    <cellStyle name="Input [yellow] 3 9 3 17 3" xfId="32100"/>
    <cellStyle name="Input [yellow] 3 9 3 17 4" xfId="43265"/>
    <cellStyle name="Input [yellow] 3 9 3 17 5" xfId="54458"/>
    <cellStyle name="Input [yellow] 3 9 3 18" xfId="10066"/>
    <cellStyle name="Input [yellow] 3 9 3 18 2" xfId="21263"/>
    <cellStyle name="Input [yellow] 3 9 3 18 3" xfId="32431"/>
    <cellStyle name="Input [yellow] 3 9 3 18 4" xfId="43596"/>
    <cellStyle name="Input [yellow] 3 9 3 18 5" xfId="54789"/>
    <cellStyle name="Input [yellow] 3 9 3 19" xfId="10769"/>
    <cellStyle name="Input [yellow] 3 9 3 19 2" xfId="21966"/>
    <cellStyle name="Input [yellow] 3 9 3 19 3" xfId="33134"/>
    <cellStyle name="Input [yellow] 3 9 3 19 4" xfId="44299"/>
    <cellStyle name="Input [yellow] 3 9 3 19 5" xfId="55492"/>
    <cellStyle name="Input [yellow] 3 9 3 2" xfId="865"/>
    <cellStyle name="Input [yellow] 3 9 3 2 2" xfId="12062"/>
    <cellStyle name="Input [yellow] 3 9 3 2 3" xfId="23230"/>
    <cellStyle name="Input [yellow] 3 9 3 2 4" xfId="34395"/>
    <cellStyle name="Input [yellow] 3 9 3 2 5" xfId="45588"/>
    <cellStyle name="Input [yellow] 3 9 3 20" xfId="11416"/>
    <cellStyle name="Input [yellow] 3 9 3 21" xfId="22586"/>
    <cellStyle name="Input [yellow] 3 9 3 22" xfId="33753"/>
    <cellStyle name="Input [yellow] 3 9 3 23" xfId="44939"/>
    <cellStyle name="Input [yellow] 3 9 3 3" xfId="1856"/>
    <cellStyle name="Input [yellow] 3 9 3 3 2" xfId="13053"/>
    <cellStyle name="Input [yellow] 3 9 3 3 3" xfId="24221"/>
    <cellStyle name="Input [yellow] 3 9 3 3 4" xfId="35386"/>
    <cellStyle name="Input [yellow] 3 9 3 3 5" xfId="46579"/>
    <cellStyle name="Input [yellow] 3 9 3 4" xfId="2142"/>
    <cellStyle name="Input [yellow] 3 9 3 4 2" xfId="13339"/>
    <cellStyle name="Input [yellow] 3 9 3 4 3" xfId="24507"/>
    <cellStyle name="Input [yellow] 3 9 3 4 4" xfId="35672"/>
    <cellStyle name="Input [yellow] 3 9 3 4 5" xfId="46865"/>
    <cellStyle name="Input [yellow] 3 9 3 5" xfId="2042"/>
    <cellStyle name="Input [yellow] 3 9 3 5 2" xfId="13239"/>
    <cellStyle name="Input [yellow] 3 9 3 5 3" xfId="24407"/>
    <cellStyle name="Input [yellow] 3 9 3 5 4" xfId="35572"/>
    <cellStyle name="Input [yellow] 3 9 3 5 5" xfId="46765"/>
    <cellStyle name="Input [yellow] 3 9 3 6" xfId="3200"/>
    <cellStyle name="Input [yellow] 3 9 3 6 2" xfId="14397"/>
    <cellStyle name="Input [yellow] 3 9 3 6 3" xfId="25565"/>
    <cellStyle name="Input [yellow] 3 9 3 6 4" xfId="36730"/>
    <cellStyle name="Input [yellow] 3 9 3 6 5" xfId="47923"/>
    <cellStyle name="Input [yellow] 3 9 3 7" xfId="3834"/>
    <cellStyle name="Input [yellow] 3 9 3 7 2" xfId="15031"/>
    <cellStyle name="Input [yellow] 3 9 3 7 3" xfId="26199"/>
    <cellStyle name="Input [yellow] 3 9 3 7 4" xfId="37364"/>
    <cellStyle name="Input [yellow] 3 9 3 7 5" xfId="48557"/>
    <cellStyle name="Input [yellow] 3 9 3 8" xfId="4467"/>
    <cellStyle name="Input [yellow] 3 9 3 8 2" xfId="15664"/>
    <cellStyle name="Input [yellow] 3 9 3 8 3" xfId="26832"/>
    <cellStyle name="Input [yellow] 3 9 3 8 4" xfId="37997"/>
    <cellStyle name="Input [yellow] 3 9 3 8 5" xfId="49190"/>
    <cellStyle name="Input [yellow] 3 9 3 9" xfId="5098"/>
    <cellStyle name="Input [yellow] 3 9 3 9 2" xfId="16295"/>
    <cellStyle name="Input [yellow] 3 9 3 9 3" xfId="27463"/>
    <cellStyle name="Input [yellow] 3 9 3 9 4" xfId="38628"/>
    <cellStyle name="Input [yellow] 3 9 3 9 5" xfId="49821"/>
    <cellStyle name="Input [yellow] 3 9 30" xfId="11297"/>
    <cellStyle name="Input [yellow] 3 9 31" xfId="22467"/>
    <cellStyle name="Input [yellow] 3 9 32" xfId="33634"/>
    <cellStyle name="Input [yellow] 3 9 33" xfId="44819"/>
    <cellStyle name="Input [yellow] 3 9 4" xfId="272"/>
    <cellStyle name="Input [yellow] 3 9 4 10" xfId="5722"/>
    <cellStyle name="Input [yellow] 3 9 4 10 2" xfId="16919"/>
    <cellStyle name="Input [yellow] 3 9 4 10 3" xfId="28087"/>
    <cellStyle name="Input [yellow] 3 9 4 10 4" xfId="39252"/>
    <cellStyle name="Input [yellow] 3 9 4 10 5" xfId="50445"/>
    <cellStyle name="Input [yellow] 3 9 4 11" xfId="6208"/>
    <cellStyle name="Input [yellow] 3 9 4 11 2" xfId="17405"/>
    <cellStyle name="Input [yellow] 3 9 4 11 3" xfId="28573"/>
    <cellStyle name="Input [yellow] 3 9 4 11 4" xfId="39738"/>
    <cellStyle name="Input [yellow] 3 9 4 11 5" xfId="50931"/>
    <cellStyle name="Input [yellow] 3 9 4 12" xfId="6841"/>
    <cellStyle name="Input [yellow] 3 9 4 12 2" xfId="18038"/>
    <cellStyle name="Input [yellow] 3 9 4 12 3" xfId="29206"/>
    <cellStyle name="Input [yellow] 3 9 4 12 4" xfId="40371"/>
    <cellStyle name="Input [yellow] 3 9 4 12 5" xfId="51564"/>
    <cellStyle name="Input [yellow] 3 9 4 13" xfId="7475"/>
    <cellStyle name="Input [yellow] 3 9 4 13 2" xfId="18672"/>
    <cellStyle name="Input [yellow] 3 9 4 13 3" xfId="29840"/>
    <cellStyle name="Input [yellow] 3 9 4 13 4" xfId="41005"/>
    <cellStyle name="Input [yellow] 3 9 4 13 5" xfId="52198"/>
    <cellStyle name="Input [yellow] 3 9 4 14" xfId="8109"/>
    <cellStyle name="Input [yellow] 3 9 4 14 2" xfId="19306"/>
    <cellStyle name="Input [yellow] 3 9 4 14 3" xfId="30474"/>
    <cellStyle name="Input [yellow] 3 9 4 14 4" xfId="41639"/>
    <cellStyle name="Input [yellow] 3 9 4 14 5" xfId="52832"/>
    <cellStyle name="Input [yellow] 3 9 4 15" xfId="8739"/>
    <cellStyle name="Input [yellow] 3 9 4 15 2" xfId="19936"/>
    <cellStyle name="Input [yellow] 3 9 4 15 3" xfId="31104"/>
    <cellStyle name="Input [yellow] 3 9 4 15 4" xfId="42269"/>
    <cellStyle name="Input [yellow] 3 9 4 15 5" xfId="53462"/>
    <cellStyle name="Input [yellow] 3 9 4 16" xfId="9160"/>
    <cellStyle name="Input [yellow] 3 9 4 16 2" xfId="20357"/>
    <cellStyle name="Input [yellow] 3 9 4 16 3" xfId="31525"/>
    <cellStyle name="Input [yellow] 3 9 4 16 4" xfId="42690"/>
    <cellStyle name="Input [yellow] 3 9 4 16 5" xfId="53883"/>
    <cellStyle name="Input [yellow] 3 9 4 17" xfId="9789"/>
    <cellStyle name="Input [yellow] 3 9 4 17 2" xfId="20986"/>
    <cellStyle name="Input [yellow] 3 9 4 17 3" xfId="32154"/>
    <cellStyle name="Input [yellow] 3 9 4 17 4" xfId="43319"/>
    <cellStyle name="Input [yellow] 3 9 4 17 5" xfId="54512"/>
    <cellStyle name="Input [yellow] 3 9 4 18" xfId="9906"/>
    <cellStyle name="Input [yellow] 3 9 4 18 2" xfId="21103"/>
    <cellStyle name="Input [yellow] 3 9 4 18 3" xfId="32271"/>
    <cellStyle name="Input [yellow] 3 9 4 18 4" xfId="43436"/>
    <cellStyle name="Input [yellow] 3 9 4 18 5" xfId="54629"/>
    <cellStyle name="Input [yellow] 3 9 4 19" xfId="10825"/>
    <cellStyle name="Input [yellow] 3 9 4 19 2" xfId="22022"/>
    <cellStyle name="Input [yellow] 3 9 4 19 3" xfId="33190"/>
    <cellStyle name="Input [yellow] 3 9 4 19 4" xfId="44355"/>
    <cellStyle name="Input [yellow] 3 9 4 19 5" xfId="55548"/>
    <cellStyle name="Input [yellow] 3 9 4 2" xfId="921"/>
    <cellStyle name="Input [yellow] 3 9 4 2 2" xfId="12118"/>
    <cellStyle name="Input [yellow] 3 9 4 2 3" xfId="23286"/>
    <cellStyle name="Input [yellow] 3 9 4 2 4" xfId="34451"/>
    <cellStyle name="Input [yellow] 3 9 4 2 5" xfId="45644"/>
    <cellStyle name="Input [yellow] 3 9 4 20" xfId="11472"/>
    <cellStyle name="Input [yellow] 3 9 4 21" xfId="22642"/>
    <cellStyle name="Input [yellow] 3 9 4 22" xfId="33809"/>
    <cellStyle name="Input [yellow] 3 9 4 23" xfId="44995"/>
    <cellStyle name="Input [yellow] 3 9 4 3" xfId="1838"/>
    <cellStyle name="Input [yellow] 3 9 4 3 2" xfId="13035"/>
    <cellStyle name="Input [yellow] 3 9 4 3 3" xfId="24203"/>
    <cellStyle name="Input [yellow] 3 9 4 3 4" xfId="35368"/>
    <cellStyle name="Input [yellow] 3 9 4 3 5" xfId="46561"/>
    <cellStyle name="Input [yellow] 3 9 4 4" xfId="2198"/>
    <cellStyle name="Input [yellow] 3 9 4 4 2" xfId="13395"/>
    <cellStyle name="Input [yellow] 3 9 4 4 3" xfId="24563"/>
    <cellStyle name="Input [yellow] 3 9 4 4 4" xfId="35728"/>
    <cellStyle name="Input [yellow] 3 9 4 4 5" xfId="46921"/>
    <cellStyle name="Input [yellow] 3 9 4 5" xfId="2622"/>
    <cellStyle name="Input [yellow] 3 9 4 5 2" xfId="13819"/>
    <cellStyle name="Input [yellow] 3 9 4 5 3" xfId="24987"/>
    <cellStyle name="Input [yellow] 3 9 4 5 4" xfId="36152"/>
    <cellStyle name="Input [yellow] 3 9 4 5 5" xfId="47345"/>
    <cellStyle name="Input [yellow] 3 9 4 6" xfId="3256"/>
    <cellStyle name="Input [yellow] 3 9 4 6 2" xfId="14453"/>
    <cellStyle name="Input [yellow] 3 9 4 6 3" xfId="25621"/>
    <cellStyle name="Input [yellow] 3 9 4 6 4" xfId="36786"/>
    <cellStyle name="Input [yellow] 3 9 4 6 5" xfId="47979"/>
    <cellStyle name="Input [yellow] 3 9 4 7" xfId="3890"/>
    <cellStyle name="Input [yellow] 3 9 4 7 2" xfId="15087"/>
    <cellStyle name="Input [yellow] 3 9 4 7 3" xfId="26255"/>
    <cellStyle name="Input [yellow] 3 9 4 7 4" xfId="37420"/>
    <cellStyle name="Input [yellow] 3 9 4 7 5" xfId="48613"/>
    <cellStyle name="Input [yellow] 3 9 4 8" xfId="4523"/>
    <cellStyle name="Input [yellow] 3 9 4 8 2" xfId="15720"/>
    <cellStyle name="Input [yellow] 3 9 4 8 3" xfId="26888"/>
    <cellStyle name="Input [yellow] 3 9 4 8 4" xfId="38053"/>
    <cellStyle name="Input [yellow] 3 9 4 8 5" xfId="49246"/>
    <cellStyle name="Input [yellow] 3 9 4 9" xfId="5154"/>
    <cellStyle name="Input [yellow] 3 9 4 9 2" xfId="16351"/>
    <cellStyle name="Input [yellow] 3 9 4 9 3" xfId="27519"/>
    <cellStyle name="Input [yellow] 3 9 4 9 4" xfId="38684"/>
    <cellStyle name="Input [yellow] 3 9 4 9 5" xfId="49877"/>
    <cellStyle name="Input [yellow] 3 9 5" xfId="318"/>
    <cellStyle name="Input [yellow] 3 9 5 10" xfId="6198"/>
    <cellStyle name="Input [yellow] 3 9 5 10 2" xfId="17395"/>
    <cellStyle name="Input [yellow] 3 9 5 10 3" xfId="28563"/>
    <cellStyle name="Input [yellow] 3 9 5 10 4" xfId="39728"/>
    <cellStyle name="Input [yellow] 3 9 5 10 5" xfId="50921"/>
    <cellStyle name="Input [yellow] 3 9 5 11" xfId="6254"/>
    <cellStyle name="Input [yellow] 3 9 5 11 2" xfId="17451"/>
    <cellStyle name="Input [yellow] 3 9 5 11 3" xfId="28619"/>
    <cellStyle name="Input [yellow] 3 9 5 11 4" xfId="39784"/>
    <cellStyle name="Input [yellow] 3 9 5 11 5" xfId="50977"/>
    <cellStyle name="Input [yellow] 3 9 5 12" xfId="6887"/>
    <cellStyle name="Input [yellow] 3 9 5 12 2" xfId="18084"/>
    <cellStyle name="Input [yellow] 3 9 5 12 3" xfId="29252"/>
    <cellStyle name="Input [yellow] 3 9 5 12 4" xfId="40417"/>
    <cellStyle name="Input [yellow] 3 9 5 12 5" xfId="51610"/>
    <cellStyle name="Input [yellow] 3 9 5 13" xfId="7521"/>
    <cellStyle name="Input [yellow] 3 9 5 13 2" xfId="18718"/>
    <cellStyle name="Input [yellow] 3 9 5 13 3" xfId="29886"/>
    <cellStyle name="Input [yellow] 3 9 5 13 4" xfId="41051"/>
    <cellStyle name="Input [yellow] 3 9 5 13 5" xfId="52244"/>
    <cellStyle name="Input [yellow] 3 9 5 14" xfId="8155"/>
    <cellStyle name="Input [yellow] 3 9 5 14 2" xfId="19352"/>
    <cellStyle name="Input [yellow] 3 9 5 14 3" xfId="30520"/>
    <cellStyle name="Input [yellow] 3 9 5 14 4" xfId="41685"/>
    <cellStyle name="Input [yellow] 3 9 5 14 5" xfId="52878"/>
    <cellStyle name="Input [yellow] 3 9 5 15" xfId="8784"/>
    <cellStyle name="Input [yellow] 3 9 5 15 2" xfId="19981"/>
    <cellStyle name="Input [yellow] 3 9 5 15 3" xfId="31149"/>
    <cellStyle name="Input [yellow] 3 9 5 15 4" xfId="42314"/>
    <cellStyle name="Input [yellow] 3 9 5 15 5" xfId="53507"/>
    <cellStyle name="Input [yellow] 3 9 5 16" xfId="9206"/>
    <cellStyle name="Input [yellow] 3 9 5 16 2" xfId="20403"/>
    <cellStyle name="Input [yellow] 3 9 5 16 3" xfId="31571"/>
    <cellStyle name="Input [yellow] 3 9 5 16 4" xfId="42736"/>
    <cellStyle name="Input [yellow] 3 9 5 16 5" xfId="53929"/>
    <cellStyle name="Input [yellow] 3 9 5 17" xfId="9833"/>
    <cellStyle name="Input [yellow] 3 9 5 17 2" xfId="21030"/>
    <cellStyle name="Input [yellow] 3 9 5 17 3" xfId="32198"/>
    <cellStyle name="Input [yellow] 3 9 5 17 4" xfId="43363"/>
    <cellStyle name="Input [yellow] 3 9 5 17 5" xfId="54556"/>
    <cellStyle name="Input [yellow] 3 9 5 18" xfId="10567"/>
    <cellStyle name="Input [yellow] 3 9 5 18 2" xfId="21764"/>
    <cellStyle name="Input [yellow] 3 9 5 18 3" xfId="32932"/>
    <cellStyle name="Input [yellow] 3 9 5 18 4" xfId="44097"/>
    <cellStyle name="Input [yellow] 3 9 5 18 5" xfId="55290"/>
    <cellStyle name="Input [yellow] 3 9 5 19" xfId="10871"/>
    <cellStyle name="Input [yellow] 3 9 5 19 2" xfId="22068"/>
    <cellStyle name="Input [yellow] 3 9 5 19 3" xfId="33236"/>
    <cellStyle name="Input [yellow] 3 9 5 19 4" xfId="44401"/>
    <cellStyle name="Input [yellow] 3 9 5 19 5" xfId="55594"/>
    <cellStyle name="Input [yellow] 3 9 5 2" xfId="967"/>
    <cellStyle name="Input [yellow] 3 9 5 2 2" xfId="12164"/>
    <cellStyle name="Input [yellow] 3 9 5 2 3" xfId="23332"/>
    <cellStyle name="Input [yellow] 3 9 5 2 4" xfId="34497"/>
    <cellStyle name="Input [yellow] 3 9 5 2 5" xfId="45690"/>
    <cellStyle name="Input [yellow] 3 9 5 20" xfId="11518"/>
    <cellStyle name="Input [yellow] 3 9 5 21" xfId="22688"/>
    <cellStyle name="Input [yellow] 3 9 5 22" xfId="33855"/>
    <cellStyle name="Input [yellow] 3 9 5 23" xfId="45041"/>
    <cellStyle name="Input [yellow] 3 9 5 3" xfId="1906"/>
    <cellStyle name="Input [yellow] 3 9 5 3 2" xfId="13103"/>
    <cellStyle name="Input [yellow] 3 9 5 3 3" xfId="24271"/>
    <cellStyle name="Input [yellow] 3 9 5 3 4" xfId="35436"/>
    <cellStyle name="Input [yellow] 3 9 5 3 5" xfId="46629"/>
    <cellStyle name="Input [yellow] 3 9 5 4" xfId="2243"/>
    <cellStyle name="Input [yellow] 3 9 5 4 2" xfId="13440"/>
    <cellStyle name="Input [yellow] 3 9 5 4 3" xfId="24608"/>
    <cellStyle name="Input [yellow] 3 9 5 4 4" xfId="35773"/>
    <cellStyle name="Input [yellow] 3 9 5 4 5" xfId="46966"/>
    <cellStyle name="Input [yellow] 3 9 5 5" xfId="2668"/>
    <cellStyle name="Input [yellow] 3 9 5 5 2" xfId="13865"/>
    <cellStyle name="Input [yellow] 3 9 5 5 3" xfId="25033"/>
    <cellStyle name="Input [yellow] 3 9 5 5 4" xfId="36198"/>
    <cellStyle name="Input [yellow] 3 9 5 5 5" xfId="47391"/>
    <cellStyle name="Input [yellow] 3 9 5 6" xfId="3302"/>
    <cellStyle name="Input [yellow] 3 9 5 6 2" xfId="14499"/>
    <cellStyle name="Input [yellow] 3 9 5 6 3" xfId="25667"/>
    <cellStyle name="Input [yellow] 3 9 5 6 4" xfId="36832"/>
    <cellStyle name="Input [yellow] 3 9 5 6 5" xfId="48025"/>
    <cellStyle name="Input [yellow] 3 9 5 7" xfId="3936"/>
    <cellStyle name="Input [yellow] 3 9 5 7 2" xfId="15133"/>
    <cellStyle name="Input [yellow] 3 9 5 7 3" xfId="26301"/>
    <cellStyle name="Input [yellow] 3 9 5 7 4" xfId="37466"/>
    <cellStyle name="Input [yellow] 3 9 5 7 5" xfId="48659"/>
    <cellStyle name="Input [yellow] 3 9 5 8" xfId="4569"/>
    <cellStyle name="Input [yellow] 3 9 5 8 2" xfId="15766"/>
    <cellStyle name="Input [yellow] 3 9 5 8 3" xfId="26934"/>
    <cellStyle name="Input [yellow] 3 9 5 8 4" xfId="38099"/>
    <cellStyle name="Input [yellow] 3 9 5 8 5" xfId="49292"/>
    <cellStyle name="Input [yellow] 3 9 5 9" xfId="5200"/>
    <cellStyle name="Input [yellow] 3 9 5 9 2" xfId="16397"/>
    <cellStyle name="Input [yellow] 3 9 5 9 3" xfId="27565"/>
    <cellStyle name="Input [yellow] 3 9 5 9 4" xfId="38730"/>
    <cellStyle name="Input [yellow] 3 9 5 9 5" xfId="49923"/>
    <cellStyle name="Input [yellow] 3 9 6" xfId="381"/>
    <cellStyle name="Input [yellow] 3 9 6 10" xfId="4315"/>
    <cellStyle name="Input [yellow] 3 9 6 10 2" xfId="15512"/>
    <cellStyle name="Input [yellow] 3 9 6 10 3" xfId="26680"/>
    <cellStyle name="Input [yellow] 3 9 6 10 4" xfId="37845"/>
    <cellStyle name="Input [yellow] 3 9 6 10 5" xfId="49038"/>
    <cellStyle name="Input [yellow] 3 9 6 11" xfId="6317"/>
    <cellStyle name="Input [yellow] 3 9 6 11 2" xfId="17514"/>
    <cellStyle name="Input [yellow] 3 9 6 11 3" xfId="28682"/>
    <cellStyle name="Input [yellow] 3 9 6 11 4" xfId="39847"/>
    <cellStyle name="Input [yellow] 3 9 6 11 5" xfId="51040"/>
    <cellStyle name="Input [yellow] 3 9 6 12" xfId="6950"/>
    <cellStyle name="Input [yellow] 3 9 6 12 2" xfId="18147"/>
    <cellStyle name="Input [yellow] 3 9 6 12 3" xfId="29315"/>
    <cellStyle name="Input [yellow] 3 9 6 12 4" xfId="40480"/>
    <cellStyle name="Input [yellow] 3 9 6 12 5" xfId="51673"/>
    <cellStyle name="Input [yellow] 3 9 6 13" xfId="7584"/>
    <cellStyle name="Input [yellow] 3 9 6 13 2" xfId="18781"/>
    <cellStyle name="Input [yellow] 3 9 6 13 3" xfId="29949"/>
    <cellStyle name="Input [yellow] 3 9 6 13 4" xfId="41114"/>
    <cellStyle name="Input [yellow] 3 9 6 13 5" xfId="52307"/>
    <cellStyle name="Input [yellow] 3 9 6 14" xfId="8218"/>
    <cellStyle name="Input [yellow] 3 9 6 14 2" xfId="19415"/>
    <cellStyle name="Input [yellow] 3 9 6 14 3" xfId="30583"/>
    <cellStyle name="Input [yellow] 3 9 6 14 4" xfId="41748"/>
    <cellStyle name="Input [yellow] 3 9 6 14 5" xfId="52941"/>
    <cellStyle name="Input [yellow] 3 9 6 15" xfId="8847"/>
    <cellStyle name="Input [yellow] 3 9 6 15 2" xfId="20044"/>
    <cellStyle name="Input [yellow] 3 9 6 15 3" xfId="31212"/>
    <cellStyle name="Input [yellow] 3 9 6 15 4" xfId="42377"/>
    <cellStyle name="Input [yellow] 3 9 6 15 5" xfId="53570"/>
    <cellStyle name="Input [yellow] 3 9 6 16" xfId="9269"/>
    <cellStyle name="Input [yellow] 3 9 6 16 2" xfId="20466"/>
    <cellStyle name="Input [yellow] 3 9 6 16 3" xfId="31634"/>
    <cellStyle name="Input [yellow] 3 9 6 16 4" xfId="42799"/>
    <cellStyle name="Input [yellow] 3 9 6 16 5" xfId="53992"/>
    <cellStyle name="Input [yellow] 3 9 6 17" xfId="9896"/>
    <cellStyle name="Input [yellow] 3 9 6 17 2" xfId="21093"/>
    <cellStyle name="Input [yellow] 3 9 6 17 3" xfId="32261"/>
    <cellStyle name="Input [yellow] 3 9 6 17 4" xfId="43426"/>
    <cellStyle name="Input [yellow] 3 9 6 17 5" xfId="54619"/>
    <cellStyle name="Input [yellow] 3 9 6 18" xfId="10524"/>
    <cellStyle name="Input [yellow] 3 9 6 18 2" xfId="21721"/>
    <cellStyle name="Input [yellow] 3 9 6 18 3" xfId="32889"/>
    <cellStyle name="Input [yellow] 3 9 6 18 4" xfId="44054"/>
    <cellStyle name="Input [yellow] 3 9 6 18 5" xfId="55247"/>
    <cellStyle name="Input [yellow] 3 9 6 19" xfId="10934"/>
    <cellStyle name="Input [yellow] 3 9 6 19 2" xfId="22131"/>
    <cellStyle name="Input [yellow] 3 9 6 19 3" xfId="33299"/>
    <cellStyle name="Input [yellow] 3 9 6 19 4" xfId="44464"/>
    <cellStyle name="Input [yellow] 3 9 6 19 5" xfId="55657"/>
    <cellStyle name="Input [yellow] 3 9 6 2" xfId="1030"/>
    <cellStyle name="Input [yellow] 3 9 6 2 2" xfId="12227"/>
    <cellStyle name="Input [yellow] 3 9 6 2 3" xfId="23395"/>
    <cellStyle name="Input [yellow] 3 9 6 2 4" xfId="34560"/>
    <cellStyle name="Input [yellow] 3 9 6 2 5" xfId="45753"/>
    <cellStyle name="Input [yellow] 3 9 6 20" xfId="11581"/>
    <cellStyle name="Input [yellow] 3 9 6 21" xfId="22751"/>
    <cellStyle name="Input [yellow] 3 9 6 22" xfId="33918"/>
    <cellStyle name="Input [yellow] 3 9 6 23" xfId="45104"/>
    <cellStyle name="Input [yellow] 3 9 6 3" xfId="1928"/>
    <cellStyle name="Input [yellow] 3 9 6 3 2" xfId="13125"/>
    <cellStyle name="Input [yellow] 3 9 6 3 3" xfId="24293"/>
    <cellStyle name="Input [yellow] 3 9 6 3 4" xfId="35458"/>
    <cellStyle name="Input [yellow] 3 9 6 3 5" xfId="46651"/>
    <cellStyle name="Input [yellow] 3 9 6 4" xfId="2306"/>
    <cellStyle name="Input [yellow] 3 9 6 4 2" xfId="13503"/>
    <cellStyle name="Input [yellow] 3 9 6 4 3" xfId="24671"/>
    <cellStyle name="Input [yellow] 3 9 6 4 4" xfId="35836"/>
    <cellStyle name="Input [yellow] 3 9 6 4 5" xfId="47029"/>
    <cellStyle name="Input [yellow] 3 9 6 5" xfId="2731"/>
    <cellStyle name="Input [yellow] 3 9 6 5 2" xfId="13928"/>
    <cellStyle name="Input [yellow] 3 9 6 5 3" xfId="25096"/>
    <cellStyle name="Input [yellow] 3 9 6 5 4" xfId="36261"/>
    <cellStyle name="Input [yellow] 3 9 6 5 5" xfId="47454"/>
    <cellStyle name="Input [yellow] 3 9 6 6" xfId="3365"/>
    <cellStyle name="Input [yellow] 3 9 6 6 2" xfId="14562"/>
    <cellStyle name="Input [yellow] 3 9 6 6 3" xfId="25730"/>
    <cellStyle name="Input [yellow] 3 9 6 6 4" xfId="36895"/>
    <cellStyle name="Input [yellow] 3 9 6 6 5" xfId="48088"/>
    <cellStyle name="Input [yellow] 3 9 6 7" xfId="3999"/>
    <cellStyle name="Input [yellow] 3 9 6 7 2" xfId="15196"/>
    <cellStyle name="Input [yellow] 3 9 6 7 3" xfId="26364"/>
    <cellStyle name="Input [yellow] 3 9 6 7 4" xfId="37529"/>
    <cellStyle name="Input [yellow] 3 9 6 7 5" xfId="48722"/>
    <cellStyle name="Input [yellow] 3 9 6 8" xfId="4632"/>
    <cellStyle name="Input [yellow] 3 9 6 8 2" xfId="15829"/>
    <cellStyle name="Input [yellow] 3 9 6 8 3" xfId="26997"/>
    <cellStyle name="Input [yellow] 3 9 6 8 4" xfId="38162"/>
    <cellStyle name="Input [yellow] 3 9 6 8 5" xfId="49355"/>
    <cellStyle name="Input [yellow] 3 9 6 9" xfId="5263"/>
    <cellStyle name="Input [yellow] 3 9 6 9 2" xfId="16460"/>
    <cellStyle name="Input [yellow] 3 9 6 9 3" xfId="27628"/>
    <cellStyle name="Input [yellow] 3 9 6 9 4" xfId="38793"/>
    <cellStyle name="Input [yellow] 3 9 6 9 5" xfId="49986"/>
    <cellStyle name="Input [yellow] 3 9 7" xfId="442"/>
    <cellStyle name="Input [yellow] 3 9 7 10" xfId="5822"/>
    <cellStyle name="Input [yellow] 3 9 7 10 2" xfId="17019"/>
    <cellStyle name="Input [yellow] 3 9 7 10 3" xfId="28187"/>
    <cellStyle name="Input [yellow] 3 9 7 10 4" xfId="39352"/>
    <cellStyle name="Input [yellow] 3 9 7 10 5" xfId="50545"/>
    <cellStyle name="Input [yellow] 3 9 7 11" xfId="6378"/>
    <cellStyle name="Input [yellow] 3 9 7 11 2" xfId="17575"/>
    <cellStyle name="Input [yellow] 3 9 7 11 3" xfId="28743"/>
    <cellStyle name="Input [yellow] 3 9 7 11 4" xfId="39908"/>
    <cellStyle name="Input [yellow] 3 9 7 11 5" xfId="51101"/>
    <cellStyle name="Input [yellow] 3 9 7 12" xfId="7011"/>
    <cellStyle name="Input [yellow] 3 9 7 12 2" xfId="18208"/>
    <cellStyle name="Input [yellow] 3 9 7 12 3" xfId="29376"/>
    <cellStyle name="Input [yellow] 3 9 7 12 4" xfId="40541"/>
    <cellStyle name="Input [yellow] 3 9 7 12 5" xfId="51734"/>
    <cellStyle name="Input [yellow] 3 9 7 13" xfId="7645"/>
    <cellStyle name="Input [yellow] 3 9 7 13 2" xfId="18842"/>
    <cellStyle name="Input [yellow] 3 9 7 13 3" xfId="30010"/>
    <cellStyle name="Input [yellow] 3 9 7 13 4" xfId="41175"/>
    <cellStyle name="Input [yellow] 3 9 7 13 5" xfId="52368"/>
    <cellStyle name="Input [yellow] 3 9 7 14" xfId="8279"/>
    <cellStyle name="Input [yellow] 3 9 7 14 2" xfId="19476"/>
    <cellStyle name="Input [yellow] 3 9 7 14 3" xfId="30644"/>
    <cellStyle name="Input [yellow] 3 9 7 14 4" xfId="41809"/>
    <cellStyle name="Input [yellow] 3 9 7 14 5" xfId="53002"/>
    <cellStyle name="Input [yellow] 3 9 7 15" xfId="8907"/>
    <cellStyle name="Input [yellow] 3 9 7 15 2" xfId="20104"/>
    <cellStyle name="Input [yellow] 3 9 7 15 3" xfId="31272"/>
    <cellStyle name="Input [yellow] 3 9 7 15 4" xfId="42437"/>
    <cellStyle name="Input [yellow] 3 9 7 15 5" xfId="53630"/>
    <cellStyle name="Input [yellow] 3 9 7 16" xfId="9330"/>
    <cellStyle name="Input [yellow] 3 9 7 16 2" xfId="20527"/>
    <cellStyle name="Input [yellow] 3 9 7 16 3" xfId="31695"/>
    <cellStyle name="Input [yellow] 3 9 7 16 4" xfId="42860"/>
    <cellStyle name="Input [yellow] 3 9 7 16 5" xfId="54053"/>
    <cellStyle name="Input [yellow] 3 9 7 17" xfId="9956"/>
    <cellStyle name="Input [yellow] 3 9 7 17 2" xfId="21153"/>
    <cellStyle name="Input [yellow] 3 9 7 17 3" xfId="32321"/>
    <cellStyle name="Input [yellow] 3 9 7 17 4" xfId="43486"/>
    <cellStyle name="Input [yellow] 3 9 7 17 5" xfId="54679"/>
    <cellStyle name="Input [yellow] 3 9 7 18" xfId="10277"/>
    <cellStyle name="Input [yellow] 3 9 7 18 2" xfId="21474"/>
    <cellStyle name="Input [yellow] 3 9 7 18 3" xfId="32642"/>
    <cellStyle name="Input [yellow] 3 9 7 18 4" xfId="43807"/>
    <cellStyle name="Input [yellow] 3 9 7 18 5" xfId="55000"/>
    <cellStyle name="Input [yellow] 3 9 7 19" xfId="10995"/>
    <cellStyle name="Input [yellow] 3 9 7 19 2" xfId="22192"/>
    <cellStyle name="Input [yellow] 3 9 7 19 3" xfId="33360"/>
    <cellStyle name="Input [yellow] 3 9 7 19 4" xfId="44525"/>
    <cellStyle name="Input [yellow] 3 9 7 19 5" xfId="55718"/>
    <cellStyle name="Input [yellow] 3 9 7 2" xfId="1091"/>
    <cellStyle name="Input [yellow] 3 9 7 2 2" xfId="12288"/>
    <cellStyle name="Input [yellow] 3 9 7 2 3" xfId="23456"/>
    <cellStyle name="Input [yellow] 3 9 7 2 4" xfId="34621"/>
    <cellStyle name="Input [yellow] 3 9 7 2 5" xfId="45814"/>
    <cellStyle name="Input [yellow] 3 9 7 20" xfId="11642"/>
    <cellStyle name="Input [yellow] 3 9 7 21" xfId="22812"/>
    <cellStyle name="Input [yellow] 3 9 7 22" xfId="33979"/>
    <cellStyle name="Input [yellow] 3 9 7 23" xfId="45165"/>
    <cellStyle name="Input [yellow] 3 9 7 3" xfId="1596"/>
    <cellStyle name="Input [yellow] 3 9 7 3 2" xfId="12793"/>
    <cellStyle name="Input [yellow] 3 9 7 3 3" xfId="23961"/>
    <cellStyle name="Input [yellow] 3 9 7 3 4" xfId="35126"/>
    <cellStyle name="Input [yellow] 3 9 7 3 5" xfId="46319"/>
    <cellStyle name="Input [yellow] 3 9 7 4" xfId="2367"/>
    <cellStyle name="Input [yellow] 3 9 7 4 2" xfId="13564"/>
    <cellStyle name="Input [yellow] 3 9 7 4 3" xfId="24732"/>
    <cellStyle name="Input [yellow] 3 9 7 4 4" xfId="35897"/>
    <cellStyle name="Input [yellow] 3 9 7 4 5" xfId="47090"/>
    <cellStyle name="Input [yellow] 3 9 7 5" xfId="2792"/>
    <cellStyle name="Input [yellow] 3 9 7 5 2" xfId="13989"/>
    <cellStyle name="Input [yellow] 3 9 7 5 3" xfId="25157"/>
    <cellStyle name="Input [yellow] 3 9 7 5 4" xfId="36322"/>
    <cellStyle name="Input [yellow] 3 9 7 5 5" xfId="47515"/>
    <cellStyle name="Input [yellow] 3 9 7 6" xfId="3426"/>
    <cellStyle name="Input [yellow] 3 9 7 6 2" xfId="14623"/>
    <cellStyle name="Input [yellow] 3 9 7 6 3" xfId="25791"/>
    <cellStyle name="Input [yellow] 3 9 7 6 4" xfId="36956"/>
    <cellStyle name="Input [yellow] 3 9 7 6 5" xfId="48149"/>
    <cellStyle name="Input [yellow] 3 9 7 7" xfId="4060"/>
    <cellStyle name="Input [yellow] 3 9 7 7 2" xfId="15257"/>
    <cellStyle name="Input [yellow] 3 9 7 7 3" xfId="26425"/>
    <cellStyle name="Input [yellow] 3 9 7 7 4" xfId="37590"/>
    <cellStyle name="Input [yellow] 3 9 7 7 5" xfId="48783"/>
    <cellStyle name="Input [yellow] 3 9 7 8" xfId="4693"/>
    <cellStyle name="Input [yellow] 3 9 7 8 2" xfId="15890"/>
    <cellStyle name="Input [yellow] 3 9 7 8 3" xfId="27058"/>
    <cellStyle name="Input [yellow] 3 9 7 8 4" xfId="38223"/>
    <cellStyle name="Input [yellow] 3 9 7 8 5" xfId="49416"/>
    <cellStyle name="Input [yellow] 3 9 7 9" xfId="5324"/>
    <cellStyle name="Input [yellow] 3 9 7 9 2" xfId="16521"/>
    <cellStyle name="Input [yellow] 3 9 7 9 3" xfId="27689"/>
    <cellStyle name="Input [yellow] 3 9 7 9 4" xfId="38854"/>
    <cellStyle name="Input [yellow] 3 9 7 9 5" xfId="50047"/>
    <cellStyle name="Input [yellow] 3 9 8" xfId="505"/>
    <cellStyle name="Input [yellow] 3 9 8 10" xfId="5974"/>
    <cellStyle name="Input [yellow] 3 9 8 10 2" xfId="17171"/>
    <cellStyle name="Input [yellow] 3 9 8 10 3" xfId="28339"/>
    <cellStyle name="Input [yellow] 3 9 8 10 4" xfId="39504"/>
    <cellStyle name="Input [yellow] 3 9 8 10 5" xfId="50697"/>
    <cellStyle name="Input [yellow] 3 9 8 11" xfId="6441"/>
    <cellStyle name="Input [yellow] 3 9 8 11 2" xfId="17638"/>
    <cellStyle name="Input [yellow] 3 9 8 11 3" xfId="28806"/>
    <cellStyle name="Input [yellow] 3 9 8 11 4" xfId="39971"/>
    <cellStyle name="Input [yellow] 3 9 8 11 5" xfId="51164"/>
    <cellStyle name="Input [yellow] 3 9 8 12" xfId="7074"/>
    <cellStyle name="Input [yellow] 3 9 8 12 2" xfId="18271"/>
    <cellStyle name="Input [yellow] 3 9 8 12 3" xfId="29439"/>
    <cellStyle name="Input [yellow] 3 9 8 12 4" xfId="40604"/>
    <cellStyle name="Input [yellow] 3 9 8 12 5" xfId="51797"/>
    <cellStyle name="Input [yellow] 3 9 8 13" xfId="7708"/>
    <cellStyle name="Input [yellow] 3 9 8 13 2" xfId="18905"/>
    <cellStyle name="Input [yellow] 3 9 8 13 3" xfId="30073"/>
    <cellStyle name="Input [yellow] 3 9 8 13 4" xfId="41238"/>
    <cellStyle name="Input [yellow] 3 9 8 13 5" xfId="52431"/>
    <cellStyle name="Input [yellow] 3 9 8 14" xfId="8342"/>
    <cellStyle name="Input [yellow] 3 9 8 14 2" xfId="19539"/>
    <cellStyle name="Input [yellow] 3 9 8 14 3" xfId="30707"/>
    <cellStyle name="Input [yellow] 3 9 8 14 4" xfId="41872"/>
    <cellStyle name="Input [yellow] 3 9 8 14 5" xfId="53065"/>
    <cellStyle name="Input [yellow] 3 9 8 15" xfId="8970"/>
    <cellStyle name="Input [yellow] 3 9 8 15 2" xfId="20167"/>
    <cellStyle name="Input [yellow] 3 9 8 15 3" xfId="31335"/>
    <cellStyle name="Input [yellow] 3 9 8 15 4" xfId="42500"/>
    <cellStyle name="Input [yellow] 3 9 8 15 5" xfId="53693"/>
    <cellStyle name="Input [yellow] 3 9 8 16" xfId="9393"/>
    <cellStyle name="Input [yellow] 3 9 8 16 2" xfId="20590"/>
    <cellStyle name="Input [yellow] 3 9 8 16 3" xfId="31758"/>
    <cellStyle name="Input [yellow] 3 9 8 16 4" xfId="42923"/>
    <cellStyle name="Input [yellow] 3 9 8 16 5" xfId="54116"/>
    <cellStyle name="Input [yellow] 3 9 8 17" xfId="10018"/>
    <cellStyle name="Input [yellow] 3 9 8 17 2" xfId="21215"/>
    <cellStyle name="Input [yellow] 3 9 8 17 3" xfId="32383"/>
    <cellStyle name="Input [yellow] 3 9 8 17 4" xfId="43548"/>
    <cellStyle name="Input [yellow] 3 9 8 17 5" xfId="54741"/>
    <cellStyle name="Input [yellow] 3 9 8 18" xfId="10197"/>
    <cellStyle name="Input [yellow] 3 9 8 18 2" xfId="21394"/>
    <cellStyle name="Input [yellow] 3 9 8 18 3" xfId="32562"/>
    <cellStyle name="Input [yellow] 3 9 8 18 4" xfId="43727"/>
    <cellStyle name="Input [yellow] 3 9 8 18 5" xfId="54920"/>
    <cellStyle name="Input [yellow] 3 9 8 19" xfId="11058"/>
    <cellStyle name="Input [yellow] 3 9 8 19 2" xfId="22255"/>
    <cellStyle name="Input [yellow] 3 9 8 19 3" xfId="33423"/>
    <cellStyle name="Input [yellow] 3 9 8 19 4" xfId="44588"/>
    <cellStyle name="Input [yellow] 3 9 8 19 5" xfId="55781"/>
    <cellStyle name="Input [yellow] 3 9 8 2" xfId="1154"/>
    <cellStyle name="Input [yellow] 3 9 8 2 2" xfId="12351"/>
    <cellStyle name="Input [yellow] 3 9 8 2 3" xfId="23519"/>
    <cellStyle name="Input [yellow] 3 9 8 2 4" xfId="34684"/>
    <cellStyle name="Input [yellow] 3 9 8 2 5" xfId="45877"/>
    <cellStyle name="Input [yellow] 3 9 8 20" xfId="11705"/>
    <cellStyle name="Input [yellow] 3 9 8 21" xfId="22875"/>
    <cellStyle name="Input [yellow] 3 9 8 22" xfId="34042"/>
    <cellStyle name="Input [yellow] 3 9 8 23" xfId="45228"/>
    <cellStyle name="Input [yellow] 3 9 8 3" xfId="1449"/>
    <cellStyle name="Input [yellow] 3 9 8 3 2" xfId="12646"/>
    <cellStyle name="Input [yellow] 3 9 8 3 3" xfId="23814"/>
    <cellStyle name="Input [yellow] 3 9 8 3 4" xfId="34979"/>
    <cellStyle name="Input [yellow] 3 9 8 3 5" xfId="46172"/>
    <cellStyle name="Input [yellow] 3 9 8 4" xfId="2430"/>
    <cellStyle name="Input [yellow] 3 9 8 4 2" xfId="13627"/>
    <cellStyle name="Input [yellow] 3 9 8 4 3" xfId="24795"/>
    <cellStyle name="Input [yellow] 3 9 8 4 4" xfId="35960"/>
    <cellStyle name="Input [yellow] 3 9 8 4 5" xfId="47153"/>
    <cellStyle name="Input [yellow] 3 9 8 5" xfId="2855"/>
    <cellStyle name="Input [yellow] 3 9 8 5 2" xfId="14052"/>
    <cellStyle name="Input [yellow] 3 9 8 5 3" xfId="25220"/>
    <cellStyle name="Input [yellow] 3 9 8 5 4" xfId="36385"/>
    <cellStyle name="Input [yellow] 3 9 8 5 5" xfId="47578"/>
    <cellStyle name="Input [yellow] 3 9 8 6" xfId="3489"/>
    <cellStyle name="Input [yellow] 3 9 8 6 2" xfId="14686"/>
    <cellStyle name="Input [yellow] 3 9 8 6 3" xfId="25854"/>
    <cellStyle name="Input [yellow] 3 9 8 6 4" xfId="37019"/>
    <cellStyle name="Input [yellow] 3 9 8 6 5" xfId="48212"/>
    <cellStyle name="Input [yellow] 3 9 8 7" xfId="4123"/>
    <cellStyle name="Input [yellow] 3 9 8 7 2" xfId="15320"/>
    <cellStyle name="Input [yellow] 3 9 8 7 3" xfId="26488"/>
    <cellStyle name="Input [yellow] 3 9 8 7 4" xfId="37653"/>
    <cellStyle name="Input [yellow] 3 9 8 7 5" xfId="48846"/>
    <cellStyle name="Input [yellow] 3 9 8 8" xfId="4756"/>
    <cellStyle name="Input [yellow] 3 9 8 8 2" xfId="15953"/>
    <cellStyle name="Input [yellow] 3 9 8 8 3" xfId="27121"/>
    <cellStyle name="Input [yellow] 3 9 8 8 4" xfId="38286"/>
    <cellStyle name="Input [yellow] 3 9 8 8 5" xfId="49479"/>
    <cellStyle name="Input [yellow] 3 9 8 9" xfId="5387"/>
    <cellStyle name="Input [yellow] 3 9 8 9 2" xfId="16584"/>
    <cellStyle name="Input [yellow] 3 9 8 9 3" xfId="27752"/>
    <cellStyle name="Input [yellow] 3 9 8 9 4" xfId="38917"/>
    <cellStyle name="Input [yellow] 3 9 8 9 5" xfId="50110"/>
    <cellStyle name="Input [yellow] 3 9 9" xfId="563"/>
    <cellStyle name="Input [yellow] 3 9 9 10" xfId="5761"/>
    <cellStyle name="Input [yellow] 3 9 9 10 2" xfId="16958"/>
    <cellStyle name="Input [yellow] 3 9 9 10 3" xfId="28126"/>
    <cellStyle name="Input [yellow] 3 9 9 10 4" xfId="39291"/>
    <cellStyle name="Input [yellow] 3 9 9 10 5" xfId="50484"/>
    <cellStyle name="Input [yellow] 3 9 9 11" xfId="6499"/>
    <cellStyle name="Input [yellow] 3 9 9 11 2" xfId="17696"/>
    <cellStyle name="Input [yellow] 3 9 9 11 3" xfId="28864"/>
    <cellStyle name="Input [yellow] 3 9 9 11 4" xfId="40029"/>
    <cellStyle name="Input [yellow] 3 9 9 11 5" xfId="51222"/>
    <cellStyle name="Input [yellow] 3 9 9 12" xfId="7132"/>
    <cellStyle name="Input [yellow] 3 9 9 12 2" xfId="18329"/>
    <cellStyle name="Input [yellow] 3 9 9 12 3" xfId="29497"/>
    <cellStyle name="Input [yellow] 3 9 9 12 4" xfId="40662"/>
    <cellStyle name="Input [yellow] 3 9 9 12 5" xfId="51855"/>
    <cellStyle name="Input [yellow] 3 9 9 13" xfId="7766"/>
    <cellStyle name="Input [yellow] 3 9 9 13 2" xfId="18963"/>
    <cellStyle name="Input [yellow] 3 9 9 13 3" xfId="30131"/>
    <cellStyle name="Input [yellow] 3 9 9 13 4" xfId="41296"/>
    <cellStyle name="Input [yellow] 3 9 9 13 5" xfId="52489"/>
    <cellStyle name="Input [yellow] 3 9 9 14" xfId="8400"/>
    <cellStyle name="Input [yellow] 3 9 9 14 2" xfId="19597"/>
    <cellStyle name="Input [yellow] 3 9 9 14 3" xfId="30765"/>
    <cellStyle name="Input [yellow] 3 9 9 14 4" xfId="41930"/>
    <cellStyle name="Input [yellow] 3 9 9 14 5" xfId="53123"/>
    <cellStyle name="Input [yellow] 3 9 9 15" xfId="9028"/>
    <cellStyle name="Input [yellow] 3 9 9 15 2" xfId="20225"/>
    <cellStyle name="Input [yellow] 3 9 9 15 3" xfId="31393"/>
    <cellStyle name="Input [yellow] 3 9 9 15 4" xfId="42558"/>
    <cellStyle name="Input [yellow] 3 9 9 15 5" xfId="53751"/>
    <cellStyle name="Input [yellow] 3 9 9 16" xfId="9451"/>
    <cellStyle name="Input [yellow] 3 9 9 16 2" xfId="20648"/>
    <cellStyle name="Input [yellow] 3 9 9 16 3" xfId="31816"/>
    <cellStyle name="Input [yellow] 3 9 9 16 4" xfId="42981"/>
    <cellStyle name="Input [yellow] 3 9 9 16 5" xfId="54174"/>
    <cellStyle name="Input [yellow] 3 9 9 17" xfId="10076"/>
    <cellStyle name="Input [yellow] 3 9 9 17 2" xfId="21273"/>
    <cellStyle name="Input [yellow] 3 9 9 17 3" xfId="32441"/>
    <cellStyle name="Input [yellow] 3 9 9 17 4" xfId="43606"/>
    <cellStyle name="Input [yellow] 3 9 9 17 5" xfId="54799"/>
    <cellStyle name="Input [yellow] 3 9 9 18" xfId="10532"/>
    <cellStyle name="Input [yellow] 3 9 9 18 2" xfId="21729"/>
    <cellStyle name="Input [yellow] 3 9 9 18 3" xfId="32897"/>
    <cellStyle name="Input [yellow] 3 9 9 18 4" xfId="44062"/>
    <cellStyle name="Input [yellow] 3 9 9 18 5" xfId="55255"/>
    <cellStyle name="Input [yellow] 3 9 9 19" xfId="11116"/>
    <cellStyle name="Input [yellow] 3 9 9 19 2" xfId="22313"/>
    <cellStyle name="Input [yellow] 3 9 9 19 3" xfId="33481"/>
    <cellStyle name="Input [yellow] 3 9 9 19 4" xfId="44646"/>
    <cellStyle name="Input [yellow] 3 9 9 19 5" xfId="55839"/>
    <cellStyle name="Input [yellow] 3 9 9 2" xfId="1212"/>
    <cellStyle name="Input [yellow] 3 9 9 2 2" xfId="12409"/>
    <cellStyle name="Input [yellow] 3 9 9 2 3" xfId="23577"/>
    <cellStyle name="Input [yellow] 3 9 9 2 4" xfId="34742"/>
    <cellStyle name="Input [yellow] 3 9 9 2 5" xfId="45935"/>
    <cellStyle name="Input [yellow] 3 9 9 20" xfId="11763"/>
    <cellStyle name="Input [yellow] 3 9 9 21" xfId="22933"/>
    <cellStyle name="Input [yellow] 3 9 9 22" xfId="34100"/>
    <cellStyle name="Input [yellow] 3 9 9 23" xfId="45286"/>
    <cellStyle name="Input [yellow] 3 9 9 3" xfId="1371"/>
    <cellStyle name="Input [yellow] 3 9 9 3 2" xfId="12568"/>
    <cellStyle name="Input [yellow] 3 9 9 3 3" xfId="23736"/>
    <cellStyle name="Input [yellow] 3 9 9 3 4" xfId="34901"/>
    <cellStyle name="Input [yellow] 3 9 9 3 5" xfId="46094"/>
    <cellStyle name="Input [yellow] 3 9 9 4" xfId="2488"/>
    <cellStyle name="Input [yellow] 3 9 9 4 2" xfId="13685"/>
    <cellStyle name="Input [yellow] 3 9 9 4 3" xfId="24853"/>
    <cellStyle name="Input [yellow] 3 9 9 4 4" xfId="36018"/>
    <cellStyle name="Input [yellow] 3 9 9 4 5" xfId="47211"/>
    <cellStyle name="Input [yellow] 3 9 9 5" xfId="2913"/>
    <cellStyle name="Input [yellow] 3 9 9 5 2" xfId="14110"/>
    <cellStyle name="Input [yellow] 3 9 9 5 3" xfId="25278"/>
    <cellStyle name="Input [yellow] 3 9 9 5 4" xfId="36443"/>
    <cellStyle name="Input [yellow] 3 9 9 5 5" xfId="47636"/>
    <cellStyle name="Input [yellow] 3 9 9 6" xfId="3547"/>
    <cellStyle name="Input [yellow] 3 9 9 6 2" xfId="14744"/>
    <cellStyle name="Input [yellow] 3 9 9 6 3" xfId="25912"/>
    <cellStyle name="Input [yellow] 3 9 9 6 4" xfId="37077"/>
    <cellStyle name="Input [yellow] 3 9 9 6 5" xfId="48270"/>
    <cellStyle name="Input [yellow] 3 9 9 7" xfId="4181"/>
    <cellStyle name="Input [yellow] 3 9 9 7 2" xfId="15378"/>
    <cellStyle name="Input [yellow] 3 9 9 7 3" xfId="26546"/>
    <cellStyle name="Input [yellow] 3 9 9 7 4" xfId="37711"/>
    <cellStyle name="Input [yellow] 3 9 9 7 5" xfId="48904"/>
    <cellStyle name="Input [yellow] 3 9 9 8" xfId="4814"/>
    <cellStyle name="Input [yellow] 3 9 9 8 2" xfId="16011"/>
    <cellStyle name="Input [yellow] 3 9 9 8 3" xfId="27179"/>
    <cellStyle name="Input [yellow] 3 9 9 8 4" xfId="38344"/>
    <cellStyle name="Input [yellow] 3 9 9 8 5" xfId="49537"/>
    <cellStyle name="Input [yellow] 3 9 9 9" xfId="5445"/>
    <cellStyle name="Input [yellow] 3 9 9 9 2" xfId="16642"/>
    <cellStyle name="Input [yellow] 3 9 9 9 3" xfId="27810"/>
    <cellStyle name="Input [yellow] 3 9 9 9 4" xfId="38975"/>
    <cellStyle name="Input [yellow] 3 9 9 9 5" xfId="50168"/>
    <cellStyle name="Input [yellow] 4" xfId="54"/>
    <cellStyle name="Input [yellow] 4 10" xfId="6187"/>
    <cellStyle name="Input [yellow] 4 10 2" xfId="17384"/>
    <cellStyle name="Input [yellow] 4 10 3" xfId="28552"/>
    <cellStyle name="Input [yellow] 4 10 4" xfId="39717"/>
    <cellStyle name="Input [yellow] 4 10 5" xfId="50910"/>
    <cellStyle name="Input [yellow] 4 11" xfId="6013"/>
    <cellStyle name="Input [yellow] 4 11 2" xfId="17210"/>
    <cellStyle name="Input [yellow] 4 11 3" xfId="28378"/>
    <cellStyle name="Input [yellow] 4 11 4" xfId="39543"/>
    <cellStyle name="Input [yellow] 4 11 5" xfId="50736"/>
    <cellStyle name="Input [yellow] 4 12" xfId="5696"/>
    <cellStyle name="Input [yellow] 4 12 2" xfId="16893"/>
    <cellStyle name="Input [yellow] 4 12 3" xfId="28061"/>
    <cellStyle name="Input [yellow] 4 12 4" xfId="39226"/>
    <cellStyle name="Input [yellow] 4 12 5" xfId="50419"/>
    <cellStyle name="Input [yellow] 4 13" xfId="5763"/>
    <cellStyle name="Input [yellow] 4 13 2" xfId="16960"/>
    <cellStyle name="Input [yellow] 4 13 3" xfId="28128"/>
    <cellStyle name="Input [yellow] 4 13 4" xfId="39293"/>
    <cellStyle name="Input [yellow] 4 13 5" xfId="50486"/>
    <cellStyle name="Input [yellow] 4 14" xfId="6645"/>
    <cellStyle name="Input [yellow] 4 14 2" xfId="17842"/>
    <cellStyle name="Input [yellow] 4 14 3" xfId="29010"/>
    <cellStyle name="Input [yellow] 4 14 4" xfId="40175"/>
    <cellStyle name="Input [yellow] 4 14 5" xfId="51368"/>
    <cellStyle name="Input [yellow] 4 15" xfId="7269"/>
    <cellStyle name="Input [yellow] 4 15 2" xfId="18466"/>
    <cellStyle name="Input [yellow] 4 15 3" xfId="29634"/>
    <cellStyle name="Input [yellow] 4 15 4" xfId="40799"/>
    <cellStyle name="Input [yellow] 4 15 5" xfId="51992"/>
    <cellStyle name="Input [yellow] 4 16" xfId="9042"/>
    <cellStyle name="Input [yellow] 4 16 2" xfId="20239"/>
    <cellStyle name="Input [yellow] 4 16 3" xfId="31407"/>
    <cellStyle name="Input [yellow] 4 16 4" xfId="42572"/>
    <cellStyle name="Input [yellow] 4 16 5" xfId="53765"/>
    <cellStyle name="Input [yellow] 4 17" xfId="8544"/>
    <cellStyle name="Input [yellow] 4 17 2" xfId="19741"/>
    <cellStyle name="Input [yellow] 4 17 3" xfId="30909"/>
    <cellStyle name="Input [yellow] 4 17 4" xfId="42074"/>
    <cellStyle name="Input [yellow] 4 17 5" xfId="53267"/>
    <cellStyle name="Input [yellow] 4 18" xfId="10435"/>
    <cellStyle name="Input [yellow] 4 18 2" xfId="21632"/>
    <cellStyle name="Input [yellow] 4 18 3" xfId="32800"/>
    <cellStyle name="Input [yellow] 4 18 4" xfId="43965"/>
    <cellStyle name="Input [yellow] 4 18 5" xfId="55158"/>
    <cellStyle name="Input [yellow] 4 19" xfId="9929"/>
    <cellStyle name="Input [yellow] 4 19 2" xfId="21126"/>
    <cellStyle name="Input [yellow] 4 19 3" xfId="32294"/>
    <cellStyle name="Input [yellow] 4 19 4" xfId="43459"/>
    <cellStyle name="Input [yellow] 4 19 5" xfId="54652"/>
    <cellStyle name="Input [yellow] 4 2" xfId="709"/>
    <cellStyle name="Input [yellow] 4 2 2" xfId="11908"/>
    <cellStyle name="Input [yellow] 4 2 3" xfId="23077"/>
    <cellStyle name="Input [yellow] 4 2 4" xfId="34244"/>
    <cellStyle name="Input [yellow] 4 2 5" xfId="45432"/>
    <cellStyle name="Input [yellow] 4 20" xfId="11256"/>
    <cellStyle name="Input [yellow] 4 21" xfId="11248"/>
    <cellStyle name="Input [yellow] 4 22" xfId="11249"/>
    <cellStyle name="Input [yellow] 4 23" xfId="44783"/>
    <cellStyle name="Input [yellow] 4 3" xfId="1726"/>
    <cellStyle name="Input [yellow] 4 3 2" xfId="12923"/>
    <cellStyle name="Input [yellow] 4 3 3" xfId="24091"/>
    <cellStyle name="Input [yellow] 4 3 4" xfId="35256"/>
    <cellStyle name="Input [yellow] 4 3 5" xfId="46449"/>
    <cellStyle name="Input [yellow] 4 4" xfId="1983"/>
    <cellStyle name="Input [yellow] 4 4 2" xfId="13180"/>
    <cellStyle name="Input [yellow] 4 4 3" xfId="24348"/>
    <cellStyle name="Input [yellow] 4 4 4" xfId="35513"/>
    <cellStyle name="Input [yellow] 4 4 5" xfId="46706"/>
    <cellStyle name="Input [yellow] 4 5" xfId="2327"/>
    <cellStyle name="Input [yellow] 4 5 2" xfId="13524"/>
    <cellStyle name="Input [yellow] 4 5 3" xfId="24692"/>
    <cellStyle name="Input [yellow] 4 5 4" xfId="35857"/>
    <cellStyle name="Input [yellow] 4 5 5" xfId="47050"/>
    <cellStyle name="Input [yellow] 4 6" xfId="1342"/>
    <cellStyle name="Input [yellow] 4 6 2" xfId="12539"/>
    <cellStyle name="Input [yellow] 4 6 3" xfId="23707"/>
    <cellStyle name="Input [yellow] 4 6 4" xfId="34872"/>
    <cellStyle name="Input [yellow] 4 6 5" xfId="46065"/>
    <cellStyle name="Input [yellow] 4 7" xfId="2431"/>
    <cellStyle name="Input [yellow] 4 7 2" xfId="13628"/>
    <cellStyle name="Input [yellow] 4 7 3" xfId="24796"/>
    <cellStyle name="Input [yellow] 4 7 4" xfId="35961"/>
    <cellStyle name="Input [yellow] 4 7 5" xfId="47154"/>
    <cellStyle name="Input [yellow] 4 8" xfId="3051"/>
    <cellStyle name="Input [yellow] 4 8 2" xfId="14248"/>
    <cellStyle name="Input [yellow] 4 8 3" xfId="25416"/>
    <cellStyle name="Input [yellow] 4 8 4" xfId="36581"/>
    <cellStyle name="Input [yellow] 4 8 5" xfId="47774"/>
    <cellStyle name="Input [yellow] 4 9" xfId="3693"/>
    <cellStyle name="Input [yellow] 4 9 2" xfId="14890"/>
    <cellStyle name="Input [yellow] 4 9 3" xfId="26058"/>
    <cellStyle name="Input [yellow] 4 9 4" xfId="37223"/>
    <cellStyle name="Input [yellow] 4 9 5" xfId="48416"/>
    <cellStyle name="Input [yellow] 5" xfId="43"/>
    <cellStyle name="Input [yellow] 6" xfId="35"/>
    <cellStyle name="Input [yellow] 7" xfId="32"/>
    <cellStyle name="Input [yellow] 8" xfId="29"/>
    <cellStyle name="LINK" xfId="21"/>
    <cellStyle name="no dec" xfId="22"/>
    <cellStyle name="Nor@„l_IRRSENS" xfId="23"/>
    <cellStyle name="Normal" xfId="0" builtinId="0"/>
    <cellStyle name="Normal - Style1" xfId="8"/>
    <cellStyle name="Normal 10" xfId="55969"/>
    <cellStyle name="Normal 2" xfId="12"/>
    <cellStyle name="Normal 2 10" xfId="36"/>
    <cellStyle name="Normal 2 11" xfId="33"/>
    <cellStyle name="Normal 2 12" xfId="30"/>
    <cellStyle name="Normal 2 13" xfId="55970"/>
    <cellStyle name="Normal 2 14" xfId="55971"/>
    <cellStyle name="Normal 2 2" xfId="64"/>
    <cellStyle name="Normal 2 2 2" xfId="719"/>
    <cellStyle name="Normal 2 2 2 2" xfId="45442"/>
    <cellStyle name="Normal 2 2 3" xfId="44793"/>
    <cellStyle name="Normal 2 2 4" xfId="55972"/>
    <cellStyle name="Normal 2 3" xfId="69"/>
    <cellStyle name="Normal 2 3 2" xfId="721"/>
    <cellStyle name="Normal 2 3 2 2" xfId="45444"/>
    <cellStyle name="Normal 2 3 3" xfId="44795"/>
    <cellStyle name="Normal 2 4" xfId="92"/>
    <cellStyle name="Normal 2 4 2" xfId="741"/>
    <cellStyle name="Normal 2 4 2 2" xfId="45464"/>
    <cellStyle name="Normal 2 4 3" xfId="44815"/>
    <cellStyle name="Normal 2 5" xfId="111"/>
    <cellStyle name="Normal 2 5 2" xfId="760"/>
    <cellStyle name="Normal 2 5 2 2" xfId="45483"/>
    <cellStyle name="Normal 2 5 3" xfId="44834"/>
    <cellStyle name="Normal 2 6" xfId="59"/>
    <cellStyle name="Normal 2 6 2" xfId="714"/>
    <cellStyle name="Normal 2 6 2 2" xfId="45437"/>
    <cellStyle name="Normal 2 6 3" xfId="44788"/>
    <cellStyle name="Normal 2 7" xfId="701"/>
    <cellStyle name="Normal 2 7 2" xfId="45424"/>
    <cellStyle name="Normal 2 8" xfId="45"/>
    <cellStyle name="Normal 2 9" xfId="44776"/>
    <cellStyle name="Normal 3" xfId="13"/>
    <cellStyle name="Normal 4" xfId="24"/>
    <cellStyle name="Normal 4 2" xfId="66"/>
    <cellStyle name="Normal 4 3" xfId="702"/>
    <cellStyle name="Normal 4 3 2" xfId="45425"/>
    <cellStyle name="Normal 4 4" xfId="44777"/>
    <cellStyle name="Normal 4 5" xfId="47"/>
    <cellStyle name="Normal 5" xfId="70"/>
    <cellStyle name="Normal 6" xfId="74"/>
    <cellStyle name="Normal 7" xfId="78"/>
    <cellStyle name="Normal 8" xfId="67"/>
    <cellStyle name="Normal 9" xfId="68"/>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The Cove at York,  Centerville,  Houston County</v>
      </c>
      <c r="B1" s="1865"/>
      <c r="C1" s="1865"/>
      <c r="D1" s="1865"/>
      <c r="E1" s="1865"/>
      <c r="F1" s="1865"/>
      <c r="G1" s="1865"/>
      <c r="H1" s="1865"/>
      <c r="I1" s="1865"/>
      <c r="J1" s="1865"/>
      <c r="K1" s="1865"/>
      <c r="L1" s="1866"/>
    </row>
    <row r="2" spans="1:12" ht="26.25" customHeight="1">
      <c r="A2" s="1868" t="s">
        <v>3043</v>
      </c>
      <c r="B2" s="1868"/>
      <c r="C2" s="1868"/>
      <c r="D2" s="1868"/>
      <c r="E2" s="1868"/>
      <c r="F2" s="1868"/>
      <c r="G2" s="1868"/>
      <c r="H2" s="1868"/>
      <c r="I2" s="1868"/>
      <c r="J2" s="1868"/>
      <c r="K2" s="1868"/>
      <c r="L2" s="1868"/>
    </row>
    <row r="3" spans="1:12" s="1877" customFormat="1" ht="12" customHeight="1">
      <c r="A3" s="1870" t="s">
        <v>2939</v>
      </c>
      <c r="B3" s="1871" t="s">
        <v>4387</v>
      </c>
      <c r="C3" s="1872"/>
      <c r="D3" s="1873"/>
      <c r="E3" s="1874" t="s">
        <v>2940</v>
      </c>
      <c r="F3" s="1875"/>
      <c r="G3" s="1875"/>
      <c r="H3" s="1875"/>
      <c r="I3" s="1876"/>
      <c r="J3" s="1875"/>
      <c r="K3" s="1875"/>
      <c r="L3" s="1874" t="s">
        <v>2941</v>
      </c>
    </row>
    <row r="4" spans="1:12" s="1877" customFormat="1" ht="12.75" thickBot="1">
      <c r="A4" s="1878"/>
      <c r="B4" s="1879" t="s">
        <v>2942</v>
      </c>
      <c r="C4" s="1879"/>
      <c r="D4" s="1879"/>
      <c r="E4" s="1880"/>
      <c r="F4" s="1879" t="s">
        <v>3050</v>
      </c>
      <c r="G4" s="1881"/>
      <c r="H4" s="1881"/>
      <c r="I4" s="1879" t="s">
        <v>2943</v>
      </c>
      <c r="J4" s="1881"/>
      <c r="K4" s="1881"/>
      <c r="L4" s="1880"/>
    </row>
    <row r="5" spans="1:12" s="1885" customFormat="1" ht="10.5" customHeight="1">
      <c r="A5" s="1882"/>
      <c r="B5" s="1883"/>
      <c r="C5" s="1883"/>
      <c r="D5" s="1883"/>
      <c r="E5" s="1884"/>
      <c r="F5" s="1885" t="s">
        <v>2944</v>
      </c>
      <c r="I5" s="1886"/>
      <c r="L5" s="1887" t="s">
        <v>3422</v>
      </c>
    </row>
    <row r="6" spans="1:12" s="1885" customFormat="1" ht="10.5" customHeight="1">
      <c r="A6" s="1888" t="s">
        <v>2945</v>
      </c>
      <c r="B6" s="1889" t="s">
        <v>1495</v>
      </c>
      <c r="C6" s="1889"/>
      <c r="D6" s="1883"/>
      <c r="E6" s="1890" t="s">
        <v>2945</v>
      </c>
      <c r="F6" s="1885" t="s">
        <v>3040</v>
      </c>
      <c r="I6" s="1886"/>
      <c r="L6" s="1891" t="s">
        <v>3422</v>
      </c>
    </row>
    <row r="7" spans="1:12" s="1885" customFormat="1" ht="10.5" customHeight="1">
      <c r="A7" s="1882"/>
      <c r="B7" s="1889"/>
      <c r="C7" s="1889"/>
      <c r="D7" s="1883"/>
      <c r="E7" s="1892" t="s">
        <v>2868</v>
      </c>
      <c r="F7" s="1885" t="s">
        <v>2946</v>
      </c>
      <c r="I7" s="1886"/>
      <c r="L7" s="1891" t="s">
        <v>3422</v>
      </c>
    </row>
    <row r="8" spans="1:12" s="1885" customFormat="1" ht="10.5" customHeight="1">
      <c r="A8" s="1882"/>
      <c r="B8" s="1883"/>
      <c r="C8" s="1883"/>
      <c r="D8" s="1883"/>
      <c r="E8" s="1892" t="s">
        <v>2866</v>
      </c>
      <c r="F8" s="1885" t="s">
        <v>447</v>
      </c>
      <c r="I8" s="1886"/>
      <c r="L8" s="1891" t="s">
        <v>3425</v>
      </c>
    </row>
    <row r="9" spans="1:12" s="1885" customFormat="1" ht="10.5" customHeight="1">
      <c r="A9" s="1882"/>
      <c r="B9" s="1883"/>
      <c r="C9" s="1883"/>
      <c r="D9" s="1883"/>
      <c r="E9" s="1892" t="s">
        <v>2867</v>
      </c>
      <c r="F9" s="1885" t="s">
        <v>2842</v>
      </c>
      <c r="I9" s="1886"/>
      <c r="L9" s="1891" t="s">
        <v>3422</v>
      </c>
    </row>
    <row r="10" spans="1:12" s="1885" customFormat="1" ht="10.5" customHeight="1">
      <c r="A10" s="1882"/>
      <c r="B10" s="1883"/>
      <c r="C10" s="1883"/>
      <c r="D10" s="1883"/>
      <c r="E10" s="1892" t="s">
        <v>2869</v>
      </c>
      <c r="F10" s="1885" t="s">
        <v>2856</v>
      </c>
      <c r="I10" s="1886"/>
      <c r="J10" s="1893"/>
      <c r="L10" s="1891" t="s">
        <v>3422</v>
      </c>
    </row>
    <row r="11" spans="1:12" s="1885" customFormat="1" ht="10.5" customHeight="1">
      <c r="A11" s="1882"/>
      <c r="B11" s="1883"/>
      <c r="C11" s="1883"/>
      <c r="D11" s="1883"/>
      <c r="E11" s="1892" t="s">
        <v>2870</v>
      </c>
      <c r="F11" s="1885" t="s">
        <v>2947</v>
      </c>
      <c r="I11" s="1886"/>
      <c r="J11" s="1893"/>
      <c r="L11" s="1894" t="s">
        <v>3425</v>
      </c>
    </row>
    <row r="12" spans="1:12" s="1885" customFormat="1" ht="10.5" customHeight="1">
      <c r="A12" s="1882"/>
      <c r="B12" s="1883"/>
      <c r="C12" s="1883"/>
      <c r="D12" s="1883"/>
      <c r="E12" s="1892" t="s">
        <v>2871</v>
      </c>
      <c r="F12" s="1885" t="s">
        <v>4166</v>
      </c>
      <c r="I12" s="1886"/>
      <c r="J12" s="1893"/>
      <c r="L12" s="1894" t="s">
        <v>3422</v>
      </c>
    </row>
    <row r="13" spans="1:12" s="1885" customFormat="1" ht="10.5" customHeight="1">
      <c r="A13" s="1882"/>
      <c r="B13" s="1883"/>
      <c r="C13" s="1883"/>
      <c r="D13" s="1883"/>
      <c r="E13" s="1895" t="s">
        <v>2871</v>
      </c>
      <c r="F13" s="1885" t="s">
        <v>3041</v>
      </c>
      <c r="I13" s="1886"/>
      <c r="J13" s="1893"/>
      <c r="L13" s="1894" t="s">
        <v>3425</v>
      </c>
    </row>
    <row r="14" spans="1:12" s="1885" customFormat="1" ht="10.5" customHeight="1">
      <c r="A14" s="1896" t="s">
        <v>2948</v>
      </c>
      <c r="B14" s="1896"/>
      <c r="C14" s="1896"/>
      <c r="D14" s="1896"/>
      <c r="E14" s="1896"/>
      <c r="F14" s="1896"/>
      <c r="G14" s="1896"/>
      <c r="H14" s="1896"/>
      <c r="I14" s="1896"/>
      <c r="J14" s="1896"/>
      <c r="K14" s="1896"/>
      <c r="L14" s="1896"/>
    </row>
    <row r="15" spans="1:12" s="1885" customFormat="1" ht="10.5" customHeight="1">
      <c r="A15" s="1897" t="s">
        <v>2868</v>
      </c>
      <c r="B15" s="1898" t="s">
        <v>3051</v>
      </c>
      <c r="C15" s="1899"/>
      <c r="D15" s="1900" t="s">
        <v>2949</v>
      </c>
      <c r="E15" s="1901" t="s">
        <v>2868</v>
      </c>
      <c r="F15" s="1902" t="s">
        <v>3835</v>
      </c>
      <c r="G15" s="1902"/>
      <c r="H15" s="1903"/>
      <c r="I15" s="1886"/>
      <c r="J15" s="1893"/>
      <c r="L15" s="1891" t="s">
        <v>3422</v>
      </c>
    </row>
    <row r="16" spans="1:12" s="1885" customFormat="1" ht="10.5" customHeight="1">
      <c r="A16" s="1904"/>
      <c r="B16" s="1905"/>
      <c r="C16" s="1906"/>
      <c r="D16" s="1907"/>
      <c r="E16" s="1892"/>
      <c r="F16" s="1908" t="s">
        <v>4250</v>
      </c>
      <c r="G16" s="1909"/>
      <c r="H16" s="1910"/>
      <c r="I16" s="1886"/>
      <c r="J16" s="1893"/>
      <c r="L16" s="1891" t="s">
        <v>3425</v>
      </c>
    </row>
    <row r="17" spans="1:12" s="1885" customFormat="1" ht="10.5" customHeight="1">
      <c r="A17" s="1906"/>
      <c r="B17" s="1911"/>
      <c r="C17" s="1912"/>
      <c r="D17" s="1907" t="s">
        <v>2950</v>
      </c>
      <c r="E17" s="1892" t="s">
        <v>2866</v>
      </c>
      <c r="F17" s="1913" t="s">
        <v>4205</v>
      </c>
      <c r="G17" s="1913"/>
      <c r="H17" s="1914"/>
      <c r="I17" s="1915" t="s">
        <v>3016</v>
      </c>
      <c r="J17" s="1916" t="s">
        <v>3017</v>
      </c>
      <c r="K17" s="1916" t="s">
        <v>3018</v>
      </c>
      <c r="L17" s="1891" t="s">
        <v>3425</v>
      </c>
    </row>
    <row r="18" spans="1:12" s="1885" customFormat="1" ht="10.5" customHeight="1">
      <c r="A18" s="1906"/>
      <c r="B18" s="1911"/>
      <c r="C18" s="1912"/>
      <c r="D18" s="1907"/>
      <c r="E18" s="1892"/>
      <c r="F18" s="1917" t="s">
        <v>3834</v>
      </c>
      <c r="G18" s="1917"/>
      <c r="H18" s="1918"/>
      <c r="I18" s="1915"/>
      <c r="J18" s="1916"/>
      <c r="K18" s="1916"/>
      <c r="L18" s="1891" t="s">
        <v>3425</v>
      </c>
    </row>
    <row r="19" spans="1:12" s="1885" customFormat="1" ht="10.5" customHeight="1">
      <c r="A19" s="1906"/>
      <c r="B19" s="1911"/>
      <c r="C19" s="1912"/>
      <c r="D19" s="1907" t="s">
        <v>2951</v>
      </c>
      <c r="E19" s="1892" t="s">
        <v>2867</v>
      </c>
      <c r="F19" s="1911" t="s">
        <v>4059</v>
      </c>
      <c r="G19" s="1917"/>
      <c r="H19" s="1918"/>
      <c r="I19" s="1915"/>
      <c r="J19" s="1916"/>
      <c r="K19" s="1919"/>
      <c r="L19" s="1891" t="s">
        <v>3425</v>
      </c>
    </row>
    <row r="20" spans="1:12" s="1885" customFormat="1" ht="10.5" customHeight="1">
      <c r="A20" s="1906"/>
      <c r="B20" s="1911"/>
      <c r="C20" s="1912"/>
      <c r="D20" s="1907" t="s">
        <v>2952</v>
      </c>
      <c r="E20" s="1892" t="s">
        <v>2869</v>
      </c>
      <c r="F20" s="1911" t="s">
        <v>3046</v>
      </c>
      <c r="G20" s="1911"/>
      <c r="H20" s="1920"/>
      <c r="I20" s="1915" t="s">
        <v>3318</v>
      </c>
      <c r="J20" s="1916" t="s">
        <v>2955</v>
      </c>
      <c r="K20" s="1916" t="s">
        <v>2956</v>
      </c>
      <c r="L20" s="1891" t="s">
        <v>3422</v>
      </c>
    </row>
    <row r="21" spans="1:12" s="1885" customFormat="1" ht="10.5" customHeight="1">
      <c r="A21" s="1906"/>
      <c r="B21" s="1911"/>
      <c r="C21" s="1912"/>
      <c r="D21" s="1907"/>
      <c r="E21" s="1921"/>
      <c r="F21" s="1911" t="s">
        <v>4251</v>
      </c>
      <c r="G21" s="1911"/>
      <c r="H21" s="1920"/>
      <c r="L21" s="1891" t="s">
        <v>3425</v>
      </c>
    </row>
    <row r="22" spans="1:12" s="1885" customFormat="1" ht="10.5" customHeight="1">
      <c r="A22" s="1906"/>
      <c r="B22" s="1911"/>
      <c r="C22" s="1912"/>
      <c r="D22" s="1907"/>
      <c r="E22" s="1921"/>
      <c r="F22" s="1911" t="s">
        <v>3047</v>
      </c>
      <c r="G22" s="1911"/>
      <c r="H22" s="1920"/>
      <c r="I22" s="1886"/>
      <c r="J22" s="1893"/>
      <c r="L22" s="1891" t="s">
        <v>3425</v>
      </c>
    </row>
    <row r="23" spans="1:12" s="1885" customFormat="1" ht="10.5" customHeight="1">
      <c r="A23" s="1906"/>
      <c r="B23" s="1911"/>
      <c r="C23" s="1912"/>
      <c r="D23" s="1907"/>
      <c r="E23" s="1921"/>
      <c r="F23" s="1911" t="s">
        <v>3048</v>
      </c>
      <c r="G23" s="1911"/>
      <c r="H23" s="1920"/>
      <c r="I23" s="1886"/>
      <c r="J23" s="1893"/>
      <c r="L23" s="1891" t="s">
        <v>3425</v>
      </c>
    </row>
    <row r="24" spans="1:12" s="1885" customFormat="1" ht="10.5" customHeight="1">
      <c r="A24" s="1906"/>
      <c r="B24" s="1911"/>
      <c r="C24" s="1912"/>
      <c r="D24" s="1907"/>
      <c r="E24" s="1921"/>
      <c r="F24" s="1911" t="s">
        <v>3317</v>
      </c>
      <c r="G24" s="1911"/>
      <c r="H24" s="1920"/>
      <c r="I24" s="1886"/>
      <c r="J24" s="1893"/>
      <c r="L24" s="1891" t="s">
        <v>3425</v>
      </c>
    </row>
    <row r="25" spans="1:12" s="1885" customFormat="1" ht="10.5" customHeight="1">
      <c r="A25" s="1906"/>
      <c r="B25" s="1911"/>
      <c r="C25" s="1912"/>
      <c r="D25" s="1907" t="s">
        <v>3833</v>
      </c>
      <c r="E25" s="1892" t="s">
        <v>2870</v>
      </c>
      <c r="F25" s="1911" t="s">
        <v>4253</v>
      </c>
      <c r="G25" s="1911"/>
      <c r="H25" s="1920"/>
      <c r="I25" s="1886"/>
      <c r="J25" s="1893"/>
      <c r="L25" s="1891" t="s">
        <v>3425</v>
      </c>
    </row>
    <row r="26" spans="1:12" s="1885" customFormat="1" ht="10.5" customHeight="1">
      <c r="A26" s="1906"/>
      <c r="B26" s="1922"/>
      <c r="C26" s="1923" t="s">
        <v>4252</v>
      </c>
      <c r="D26" s="1924"/>
      <c r="E26" s="1921"/>
      <c r="F26" s="1911" t="s">
        <v>3191</v>
      </c>
      <c r="G26" s="1911"/>
      <c r="H26" s="1920"/>
      <c r="I26" s="1886"/>
      <c r="J26" s="1893"/>
      <c r="L26" s="1891" t="s">
        <v>3425</v>
      </c>
    </row>
    <row r="27" spans="1:12" s="1885" customFormat="1" ht="10.5" customHeight="1">
      <c r="A27" s="1906"/>
      <c r="B27" s="1922"/>
      <c r="C27" s="1923"/>
      <c r="D27" s="1924"/>
      <c r="E27" s="1921"/>
      <c r="F27" s="1911" t="s">
        <v>3192</v>
      </c>
      <c r="G27" s="1911"/>
      <c r="H27" s="1920"/>
      <c r="I27" s="1886"/>
      <c r="J27" s="1893"/>
      <c r="L27" s="1891" t="s">
        <v>3425</v>
      </c>
    </row>
    <row r="28" spans="1:12" s="1885" customFormat="1" ht="10.5" customHeight="1">
      <c r="A28" s="1906"/>
      <c r="B28" s="1922"/>
      <c r="C28" s="1923"/>
      <c r="D28" s="1924"/>
      <c r="E28" s="1921"/>
      <c r="F28" s="1911" t="s">
        <v>3193</v>
      </c>
      <c r="G28" s="1911"/>
      <c r="H28" s="1920"/>
      <c r="I28" s="1886"/>
      <c r="J28" s="1893"/>
      <c r="L28" s="1891" t="s">
        <v>3425</v>
      </c>
    </row>
    <row r="29" spans="1:12" s="1885" customFormat="1" ht="10.5" customHeight="1">
      <c r="A29" s="1906"/>
      <c r="B29" s="1922"/>
      <c r="C29" s="1922"/>
      <c r="D29" s="1922"/>
      <c r="E29" s="1892" t="s">
        <v>2871</v>
      </c>
      <c r="F29" s="1911" t="s">
        <v>2953</v>
      </c>
      <c r="G29" s="1911"/>
      <c r="H29" s="1920"/>
      <c r="I29" s="1886"/>
      <c r="J29" s="1893"/>
      <c r="L29" s="1891" t="s">
        <v>3422</v>
      </c>
    </row>
    <row r="30" spans="1:12" s="1885" customFormat="1" ht="10.5" customHeight="1">
      <c r="A30" s="1906"/>
      <c r="B30" s="1922"/>
      <c r="C30" s="1922"/>
      <c r="D30" s="1922"/>
      <c r="E30" s="1892" t="s">
        <v>2872</v>
      </c>
      <c r="F30" s="1911" t="s">
        <v>3330</v>
      </c>
      <c r="G30" s="1911"/>
      <c r="H30" s="1920"/>
      <c r="I30" s="1886"/>
      <c r="J30" s="1893"/>
      <c r="L30" s="1891" t="s">
        <v>3425</v>
      </c>
    </row>
    <row r="31" spans="1:12" s="1885" customFormat="1" ht="10.5" customHeight="1">
      <c r="A31" s="1906"/>
      <c r="B31" s="1922"/>
      <c r="C31" s="1922"/>
      <c r="D31" s="1922"/>
      <c r="E31" s="1892" t="s">
        <v>3025</v>
      </c>
      <c r="F31" s="1911" t="s">
        <v>4254</v>
      </c>
      <c r="G31" s="1911"/>
      <c r="H31" s="1920"/>
      <c r="I31" s="1886"/>
      <c r="J31" s="1893"/>
      <c r="L31" s="1891" t="s">
        <v>3425</v>
      </c>
    </row>
    <row r="32" spans="1:12" s="1885" customFormat="1" ht="10.5" customHeight="1">
      <c r="A32" s="1906"/>
      <c r="B32" s="1922"/>
      <c r="C32" s="1922"/>
      <c r="D32" s="1922"/>
      <c r="E32" s="1892" t="s">
        <v>3026</v>
      </c>
      <c r="F32" s="1911" t="s">
        <v>4167</v>
      </c>
      <c r="G32" s="1911"/>
      <c r="H32" s="1920"/>
      <c r="I32" s="1886"/>
      <c r="J32" s="1893"/>
      <c r="L32" s="1891" t="s">
        <v>3425</v>
      </c>
    </row>
    <row r="33" spans="1:12" s="1885" customFormat="1" ht="10.5" customHeight="1">
      <c r="A33" s="1925" t="s">
        <v>2866</v>
      </c>
      <c r="B33" s="1926" t="s">
        <v>2954</v>
      </c>
      <c r="C33" s="1926"/>
      <c r="D33" s="1926"/>
      <c r="E33" s="1890" t="s">
        <v>2868</v>
      </c>
      <c r="F33" s="1927" t="s">
        <v>2957</v>
      </c>
      <c r="G33" s="1927"/>
      <c r="H33" s="1928"/>
      <c r="I33" s="1929" t="s">
        <v>3318</v>
      </c>
      <c r="J33" s="1930" t="s">
        <v>2955</v>
      </c>
      <c r="K33" s="1931" t="s">
        <v>2956</v>
      </c>
      <c r="L33" s="1891" t="s">
        <v>3425</v>
      </c>
    </row>
    <row r="34" spans="1:12" s="1885" customFormat="1" ht="10.5" customHeight="1">
      <c r="A34" s="1925" t="s">
        <v>2867</v>
      </c>
      <c r="B34" s="1926" t="s">
        <v>4256</v>
      </c>
      <c r="C34" s="1926"/>
      <c r="D34" s="1926" t="s">
        <v>2976</v>
      </c>
      <c r="E34" s="1890" t="s">
        <v>2868</v>
      </c>
      <c r="F34" s="1932" t="s">
        <v>4255</v>
      </c>
      <c r="G34" s="1932"/>
      <c r="H34" s="1931"/>
      <c r="I34" s="1929"/>
      <c r="J34" s="1930"/>
      <c r="K34" s="1931"/>
      <c r="L34" s="1891" t="s">
        <v>3425</v>
      </c>
    </row>
    <row r="35" spans="1:12" s="1885" customFormat="1" ht="10.5" customHeight="1">
      <c r="A35" s="1925" t="s">
        <v>2869</v>
      </c>
      <c r="B35" s="1933" t="s">
        <v>4257</v>
      </c>
      <c r="C35" s="1926"/>
      <c r="D35" s="1926" t="s">
        <v>2974</v>
      </c>
      <c r="E35" s="1890" t="s">
        <v>2868</v>
      </c>
      <c r="F35" s="1932" t="s">
        <v>2958</v>
      </c>
      <c r="G35" s="1932"/>
      <c r="H35" s="1931"/>
      <c r="I35" s="1929"/>
      <c r="J35" s="1930"/>
      <c r="K35" s="1931"/>
      <c r="L35" s="1891" t="s">
        <v>3425</v>
      </c>
    </row>
    <row r="36" spans="1:12" s="1885" customFormat="1" ht="21.75" customHeight="1">
      <c r="A36" s="1904"/>
      <c r="B36" s="1905"/>
      <c r="C36" s="1907"/>
      <c r="D36" s="1907"/>
      <c r="E36" s="1892" t="s">
        <v>2866</v>
      </c>
      <c r="F36" s="1908" t="s">
        <v>3832</v>
      </c>
      <c r="G36" s="1909"/>
      <c r="H36" s="1910"/>
      <c r="I36" s="1934"/>
      <c r="J36" s="1935"/>
      <c r="K36" s="1911"/>
      <c r="L36" s="1891" t="s">
        <v>3425</v>
      </c>
    </row>
    <row r="37" spans="1:12" s="1885" customFormat="1" ht="10.5" customHeight="1">
      <c r="A37" s="1906"/>
      <c r="B37" s="1912"/>
      <c r="C37" s="1912"/>
      <c r="D37" s="1907" t="s">
        <v>2959</v>
      </c>
      <c r="E37" s="1892" t="s">
        <v>2867</v>
      </c>
      <c r="F37" s="1936" t="s">
        <v>4258</v>
      </c>
      <c r="G37" s="1911"/>
      <c r="H37" s="1920"/>
      <c r="I37" s="1886"/>
      <c r="J37" s="1893"/>
      <c r="L37" s="1891" t="s">
        <v>3425</v>
      </c>
    </row>
    <row r="38" spans="1:12" s="1885" customFormat="1" ht="10.5" customHeight="1">
      <c r="A38" s="1925" t="s">
        <v>2870</v>
      </c>
      <c r="B38" s="1926" t="s">
        <v>2960</v>
      </c>
      <c r="C38" s="1926"/>
      <c r="D38" s="1926"/>
      <c r="E38" s="1890" t="s">
        <v>2868</v>
      </c>
      <c r="F38" s="1932" t="s">
        <v>476</v>
      </c>
      <c r="G38" s="1932"/>
      <c r="H38" s="1931"/>
      <c r="I38" s="1929" t="s">
        <v>376</v>
      </c>
      <c r="J38" s="1930"/>
      <c r="K38" s="1931" t="s">
        <v>2961</v>
      </c>
      <c r="L38" s="1891" t="s">
        <v>3422</v>
      </c>
    </row>
    <row r="39" spans="1:12" s="1885" customFormat="1" ht="10.5" customHeight="1">
      <c r="A39" s="1937" t="s">
        <v>2871</v>
      </c>
      <c r="B39" s="1938" t="s">
        <v>3052</v>
      </c>
      <c r="C39" s="1938"/>
      <c r="D39" s="1938" t="s">
        <v>2959</v>
      </c>
      <c r="E39" s="1939" t="s">
        <v>2868</v>
      </c>
      <c r="F39" s="1940" t="s">
        <v>2962</v>
      </c>
      <c r="G39" s="1940"/>
      <c r="H39" s="1941"/>
      <c r="I39" s="1929"/>
      <c r="J39" s="1930"/>
      <c r="K39" s="1931"/>
      <c r="L39" s="1891" t="s">
        <v>3425</v>
      </c>
    </row>
    <row r="40" spans="1:12" s="1885" customFormat="1" ht="10.5" customHeight="1">
      <c r="A40" s="1897" t="s">
        <v>2872</v>
      </c>
      <c r="B40" s="1900" t="s">
        <v>3053</v>
      </c>
      <c r="C40" s="1900"/>
      <c r="D40" s="1900"/>
      <c r="E40" s="1901" t="s">
        <v>2868</v>
      </c>
      <c r="F40" s="1902" t="s">
        <v>4259</v>
      </c>
      <c r="G40" s="1902"/>
      <c r="H40" s="1902"/>
      <c r="I40" s="1942"/>
      <c r="J40" s="1943"/>
      <c r="K40" s="1903"/>
      <c r="L40" s="1891" t="s">
        <v>3422</v>
      </c>
    </row>
    <row r="41" spans="1:12" s="1885" customFormat="1" ht="10.5" customHeight="1">
      <c r="A41" s="1911"/>
      <c r="B41" s="1944" t="s">
        <v>3055</v>
      </c>
      <c r="C41" s="1944"/>
      <c r="D41" s="1945"/>
      <c r="E41" s="1892" t="s">
        <v>2866</v>
      </c>
      <c r="F41" s="1911" t="s">
        <v>2963</v>
      </c>
      <c r="G41" s="1911"/>
      <c r="H41" s="1911"/>
      <c r="I41" s="1934"/>
      <c r="J41" s="1935"/>
      <c r="K41" s="1920"/>
      <c r="L41" s="1891" t="s">
        <v>3422</v>
      </c>
    </row>
    <row r="42" spans="1:12" s="1885" customFormat="1" ht="10.5" customHeight="1">
      <c r="A42" s="1911"/>
      <c r="B42" s="1944"/>
      <c r="C42" s="1944"/>
      <c r="D42" s="1945"/>
      <c r="E42" s="1892" t="s">
        <v>2867</v>
      </c>
      <c r="F42" s="1911" t="s">
        <v>4261</v>
      </c>
      <c r="G42" s="1911"/>
      <c r="H42" s="1911"/>
      <c r="I42" s="1934"/>
      <c r="J42" s="1935"/>
      <c r="K42" s="1920"/>
      <c r="L42" s="1891" t="s">
        <v>3425</v>
      </c>
    </row>
    <row r="43" spans="1:12" s="1885" customFormat="1" ht="10.5" customHeight="1">
      <c r="A43" s="1911"/>
      <c r="B43" s="1944"/>
      <c r="C43" s="1944"/>
      <c r="D43" s="1945"/>
      <c r="E43" s="1892" t="s">
        <v>2869</v>
      </c>
      <c r="F43" s="1911" t="s">
        <v>3044</v>
      </c>
      <c r="G43" s="1911"/>
      <c r="H43" s="1911"/>
      <c r="I43" s="1934"/>
      <c r="J43" s="1935"/>
      <c r="K43" s="1920"/>
      <c r="L43" s="1891" t="s">
        <v>3425</v>
      </c>
    </row>
    <row r="44" spans="1:12" s="1885" customFormat="1" ht="10.5" customHeight="1">
      <c r="A44" s="1906"/>
      <c r="B44" s="1944"/>
      <c r="C44" s="1944"/>
      <c r="D44" s="1907"/>
      <c r="E44" s="1892" t="s">
        <v>2870</v>
      </c>
      <c r="F44" s="1911" t="s">
        <v>2538</v>
      </c>
      <c r="G44" s="1911"/>
      <c r="H44" s="1911"/>
      <c r="I44" s="1929"/>
      <c r="J44" s="1930"/>
      <c r="K44" s="1931"/>
      <c r="L44" s="1891" t="s">
        <v>3425</v>
      </c>
    </row>
    <row r="45" spans="1:12" s="1885" customFormat="1" ht="10.5" customHeight="1">
      <c r="A45" s="1906"/>
      <c r="B45" s="1944"/>
      <c r="C45" s="1944"/>
      <c r="D45" s="1907"/>
      <c r="E45" s="1892" t="s">
        <v>2871</v>
      </c>
      <c r="F45" s="1911" t="s">
        <v>4260</v>
      </c>
      <c r="G45" s="1911"/>
      <c r="H45" s="1911"/>
      <c r="I45" s="1934"/>
      <c r="J45" s="1935"/>
      <c r="K45" s="1920"/>
      <c r="L45" s="1891" t="s">
        <v>3425</v>
      </c>
    </row>
    <row r="46" spans="1:12" s="1885" customFormat="1" ht="10.5" customHeight="1">
      <c r="A46" s="1911"/>
      <c r="B46" s="1907"/>
      <c r="C46" s="1907"/>
      <c r="D46" s="1907"/>
      <c r="E46" s="1892" t="s">
        <v>2872</v>
      </c>
      <c r="F46" s="1911" t="s">
        <v>512</v>
      </c>
      <c r="G46" s="1911"/>
      <c r="H46" s="1911"/>
      <c r="I46" s="1934"/>
      <c r="J46" s="1935"/>
      <c r="K46" s="1920"/>
      <c r="L46" s="1891" t="s">
        <v>3425</v>
      </c>
    </row>
    <row r="47" spans="1:12" s="1885" customFormat="1" ht="10.5" customHeight="1">
      <c r="A47" s="1906"/>
      <c r="B47" s="1907"/>
      <c r="C47" s="1907"/>
      <c r="D47" s="1907"/>
      <c r="E47" s="1892" t="s">
        <v>3025</v>
      </c>
      <c r="F47" s="1911" t="s">
        <v>681</v>
      </c>
      <c r="G47" s="1911"/>
      <c r="H47" s="1911"/>
      <c r="I47" s="1934"/>
      <c r="J47" s="1935"/>
      <c r="K47" s="1920"/>
      <c r="L47" s="1891" t="s">
        <v>3425</v>
      </c>
    </row>
    <row r="48" spans="1:12" s="1885" customFormat="1" ht="10.5" customHeight="1">
      <c r="A48" s="1906"/>
      <c r="B48" s="1907"/>
      <c r="C48" s="1907"/>
      <c r="D48" s="1907"/>
      <c r="E48" s="1892" t="s">
        <v>3026</v>
      </c>
      <c r="F48" s="1911" t="s">
        <v>1615</v>
      </c>
      <c r="G48" s="1911"/>
      <c r="H48" s="1911"/>
      <c r="I48" s="1934"/>
      <c r="J48" s="1935"/>
      <c r="K48" s="1920"/>
      <c r="L48" s="1891" t="s">
        <v>3425</v>
      </c>
    </row>
    <row r="49" spans="1:12" s="1885" customFormat="1" ht="10.5" customHeight="1">
      <c r="A49" s="1911"/>
      <c r="B49" s="1907"/>
      <c r="C49" s="1907"/>
      <c r="D49" s="1907"/>
      <c r="E49" s="1892" t="s">
        <v>3060</v>
      </c>
      <c r="F49" s="1911" t="s">
        <v>3204</v>
      </c>
      <c r="G49" s="1911"/>
      <c r="H49" s="1911"/>
      <c r="I49" s="1934"/>
      <c r="J49" s="1935"/>
      <c r="K49" s="1920"/>
      <c r="L49" s="1891" t="s">
        <v>3422</v>
      </c>
    </row>
    <row r="50" spans="1:12" s="1885" customFormat="1" ht="10.5" customHeight="1">
      <c r="A50" s="1906"/>
      <c r="B50" s="1907"/>
      <c r="C50" s="1907"/>
      <c r="D50" s="1907"/>
      <c r="E50" s="1892" t="s">
        <v>4107</v>
      </c>
      <c r="F50" s="1911" t="s">
        <v>3203</v>
      </c>
      <c r="G50" s="1911"/>
      <c r="H50" s="1911"/>
      <c r="I50" s="1934"/>
      <c r="J50" s="1935"/>
      <c r="K50" s="1920"/>
      <c r="L50" s="1891" t="s">
        <v>3425</v>
      </c>
    </row>
    <row r="51" spans="1:12" s="1885" customFormat="1" ht="10.5" customHeight="1">
      <c r="A51" s="1911"/>
      <c r="B51" s="1946"/>
      <c r="C51" s="1946"/>
      <c r="D51" s="1906"/>
      <c r="E51" s="1947" t="s">
        <v>4108</v>
      </c>
      <c r="F51" s="1948" t="s">
        <v>3042</v>
      </c>
      <c r="G51" s="1948"/>
      <c r="H51" s="1948"/>
      <c r="I51" s="1948"/>
      <c r="J51" s="1948"/>
      <c r="K51" s="1949"/>
      <c r="L51" s="1891" t="s">
        <v>3425</v>
      </c>
    </row>
    <row r="52" spans="1:12" s="1885" customFormat="1" ht="10.5" customHeight="1">
      <c r="A52" s="1925" t="s">
        <v>3025</v>
      </c>
      <c r="B52" s="1950" t="s">
        <v>2964</v>
      </c>
      <c r="C52" s="1950"/>
      <c r="D52" s="1951"/>
      <c r="E52" s="1890" t="s">
        <v>2868</v>
      </c>
      <c r="F52" s="1952" t="s">
        <v>4087</v>
      </c>
      <c r="G52" s="1952"/>
      <c r="H52" s="1952"/>
      <c r="I52" s="1929"/>
      <c r="J52" s="1930"/>
      <c r="K52" s="1931"/>
      <c r="L52" s="1891" t="s">
        <v>3422</v>
      </c>
    </row>
    <row r="53" spans="1:12" s="1885" customFormat="1" ht="10.5" customHeight="1">
      <c r="A53" s="1906"/>
      <c r="B53" s="1953"/>
      <c r="C53" s="1953"/>
      <c r="D53" s="1907"/>
      <c r="E53" s="1892" t="s">
        <v>2866</v>
      </c>
      <c r="F53" s="1911" t="s">
        <v>3194</v>
      </c>
      <c r="G53" s="1911"/>
      <c r="H53" s="1911"/>
      <c r="I53" s="1954" t="s">
        <v>3318</v>
      </c>
      <c r="J53" s="1955" t="s">
        <v>3319</v>
      </c>
      <c r="K53" s="1956" t="s">
        <v>2956</v>
      </c>
      <c r="L53" s="1891" t="s">
        <v>3422</v>
      </c>
    </row>
    <row r="54" spans="1:12" s="1885" customFormat="1" ht="10.5" customHeight="1">
      <c r="A54" s="1957"/>
      <c r="B54" s="1958"/>
      <c r="C54" s="1958"/>
      <c r="D54" s="1958"/>
      <c r="E54" s="1947" t="s">
        <v>2867</v>
      </c>
      <c r="F54" s="1959" t="s">
        <v>3836</v>
      </c>
      <c r="G54" s="1959"/>
      <c r="H54" s="1959"/>
      <c r="I54" s="1934"/>
      <c r="J54" s="1935"/>
      <c r="K54" s="1920"/>
      <c r="L54" s="1891" t="s">
        <v>3425</v>
      </c>
    </row>
    <row r="55" spans="1:12" s="1885" customFormat="1" ht="10.5" customHeight="1">
      <c r="A55" s="1904" t="s">
        <v>3026</v>
      </c>
      <c r="B55" s="1960" t="s">
        <v>2965</v>
      </c>
      <c r="C55" s="1960"/>
      <c r="D55" s="1907"/>
      <c r="E55" s="1892" t="s">
        <v>2868</v>
      </c>
      <c r="F55" s="1911" t="s">
        <v>4088</v>
      </c>
      <c r="G55" s="1911"/>
      <c r="H55" s="1911"/>
      <c r="I55" s="1929"/>
      <c r="J55" s="1930"/>
      <c r="K55" s="1931"/>
      <c r="L55" s="1891" t="s">
        <v>3422</v>
      </c>
    </row>
    <row r="56" spans="1:12" s="1885" customFormat="1" ht="10.5" customHeight="1">
      <c r="A56" s="1904"/>
      <c r="B56" s="1961"/>
      <c r="C56" s="1961"/>
      <c r="D56" s="1907"/>
      <c r="E56" s="1892" t="s">
        <v>2866</v>
      </c>
      <c r="F56" s="1911" t="s">
        <v>3195</v>
      </c>
      <c r="G56" s="1911"/>
      <c r="H56" s="1911"/>
      <c r="I56" s="1934"/>
      <c r="J56" s="1935"/>
      <c r="K56" s="1920"/>
      <c r="L56" s="1891" t="s">
        <v>3425</v>
      </c>
    </row>
    <row r="57" spans="1:12" s="1885" customFormat="1" ht="10.5" customHeight="1">
      <c r="A57" s="1962"/>
      <c r="B57" s="1958"/>
      <c r="C57" s="1958"/>
      <c r="D57" s="1958"/>
      <c r="E57" s="1947" t="s">
        <v>2867</v>
      </c>
      <c r="F57" s="1959" t="s">
        <v>3196</v>
      </c>
      <c r="G57" s="1959"/>
      <c r="H57" s="1959"/>
      <c r="I57" s="1963"/>
      <c r="J57" s="1964"/>
      <c r="K57" s="1965"/>
      <c r="L57" s="1891" t="s">
        <v>3425</v>
      </c>
    </row>
    <row r="58" spans="1:12" s="1885" customFormat="1" ht="10.5" customHeight="1">
      <c r="A58" s="1966">
        <v>10</v>
      </c>
      <c r="B58" s="1933" t="s">
        <v>4089</v>
      </c>
      <c r="C58" s="1933"/>
      <c r="D58" s="1926"/>
      <c r="E58" s="1892" t="s">
        <v>2868</v>
      </c>
      <c r="F58" s="1932" t="s">
        <v>4090</v>
      </c>
      <c r="G58" s="1932"/>
      <c r="H58" s="1932"/>
      <c r="I58" s="1929"/>
      <c r="J58" s="1930"/>
      <c r="K58" s="1931"/>
      <c r="L58" s="1891" t="s">
        <v>3422</v>
      </c>
    </row>
    <row r="59" spans="1:12" s="1885" customFormat="1" ht="10.5" customHeight="1">
      <c r="A59" s="1906"/>
      <c r="B59" s="1905"/>
      <c r="C59" s="1905"/>
      <c r="D59" s="1907"/>
      <c r="E59" s="1892" t="s">
        <v>2866</v>
      </c>
      <c r="F59" s="1911" t="s">
        <v>3197</v>
      </c>
      <c r="G59" s="1911"/>
      <c r="H59" s="1911"/>
      <c r="I59" s="1934"/>
      <c r="J59" s="1935"/>
      <c r="K59" s="1920"/>
      <c r="L59" s="1891" t="s">
        <v>3422</v>
      </c>
    </row>
    <row r="60" spans="1:12" s="1885" customFormat="1" ht="10.5" customHeight="1">
      <c r="A60" s="1906"/>
      <c r="B60" s="1907"/>
      <c r="C60" s="1907"/>
      <c r="D60" s="1907"/>
      <c r="E60" s="1892" t="s">
        <v>2867</v>
      </c>
      <c r="F60" s="1911" t="s">
        <v>3198</v>
      </c>
      <c r="G60" s="1911"/>
      <c r="H60" s="1911"/>
      <c r="I60" s="1934"/>
      <c r="J60" s="1935"/>
      <c r="K60" s="1920"/>
      <c r="L60" s="1891" t="s">
        <v>3425</v>
      </c>
    </row>
    <row r="61" spans="1:12" s="1885" customFormat="1" ht="10.5" customHeight="1">
      <c r="A61" s="1906"/>
      <c r="B61" s="1907"/>
      <c r="C61" s="1907"/>
      <c r="D61" s="1907"/>
      <c r="E61" s="1892" t="s">
        <v>2869</v>
      </c>
      <c r="F61" s="1911" t="s">
        <v>2966</v>
      </c>
      <c r="G61" s="1911"/>
      <c r="H61" s="1911"/>
      <c r="I61" s="1934"/>
      <c r="J61" s="1935"/>
      <c r="K61" s="1920"/>
      <c r="L61" s="1891" t="s">
        <v>3422</v>
      </c>
    </row>
    <row r="62" spans="1:12" s="1885" customFormat="1" ht="21.75" customHeight="1">
      <c r="A62" s="1966">
        <v>11</v>
      </c>
      <c r="B62" s="1933" t="s">
        <v>4091</v>
      </c>
      <c r="C62" s="1933"/>
      <c r="D62" s="1926"/>
      <c r="E62" s="1890" t="s">
        <v>2868</v>
      </c>
      <c r="F62" s="1967" t="s">
        <v>4092</v>
      </c>
      <c r="G62" s="1927"/>
      <c r="H62" s="1927"/>
      <c r="I62" s="1929"/>
      <c r="J62" s="1930"/>
      <c r="K62" s="1931"/>
      <c r="L62" s="1891" t="s">
        <v>3422</v>
      </c>
    </row>
    <row r="63" spans="1:12" s="1885" customFormat="1" ht="10.5" customHeight="1">
      <c r="A63" s="1906"/>
      <c r="B63" s="1905"/>
      <c r="C63" s="1905"/>
      <c r="D63" s="1907"/>
      <c r="E63" s="1892" t="s">
        <v>2866</v>
      </c>
      <c r="F63" s="1911" t="s">
        <v>2969</v>
      </c>
      <c r="G63" s="1911"/>
      <c r="H63" s="1911"/>
      <c r="I63" s="1934"/>
      <c r="J63" s="1935"/>
      <c r="K63" s="1920"/>
      <c r="L63" s="1891" t="s">
        <v>3425</v>
      </c>
    </row>
    <row r="64" spans="1:12" s="1885" customFormat="1" ht="10.5" customHeight="1">
      <c r="A64" s="1906"/>
      <c r="B64" s="1907"/>
      <c r="C64" s="1907"/>
      <c r="D64" s="1907"/>
      <c r="E64" s="1892" t="s">
        <v>2867</v>
      </c>
      <c r="F64" s="1911" t="s">
        <v>2970</v>
      </c>
      <c r="G64" s="1911"/>
      <c r="H64" s="1911"/>
      <c r="I64" s="1934"/>
      <c r="J64" s="1935"/>
      <c r="K64" s="1920"/>
      <c r="L64" s="1891" t="s">
        <v>3425</v>
      </c>
    </row>
    <row r="65" spans="1:12" s="1885" customFormat="1" ht="10.5" customHeight="1">
      <c r="A65" s="1966">
        <v>12</v>
      </c>
      <c r="B65" s="1933" t="s">
        <v>2967</v>
      </c>
      <c r="C65" s="1933"/>
      <c r="D65" s="1926"/>
      <c r="E65" s="1890" t="s">
        <v>2868</v>
      </c>
      <c r="F65" s="1932" t="s">
        <v>2968</v>
      </c>
      <c r="G65" s="1932"/>
      <c r="H65" s="1932"/>
      <c r="I65" s="1929"/>
      <c r="J65" s="1930"/>
      <c r="K65" s="1931"/>
      <c r="L65" s="1891" t="s">
        <v>3422</v>
      </c>
    </row>
    <row r="66" spans="1:12" s="1885" customFormat="1" ht="10.5" customHeight="1">
      <c r="A66" s="1906"/>
      <c r="B66" s="1905"/>
      <c r="C66" s="1905"/>
      <c r="D66" s="1907"/>
      <c r="E66" s="1892" t="s">
        <v>2866</v>
      </c>
      <c r="F66" s="1911" t="s">
        <v>2969</v>
      </c>
      <c r="G66" s="1911"/>
      <c r="H66" s="1911"/>
      <c r="I66" s="1934"/>
      <c r="J66" s="1935"/>
      <c r="K66" s="1920"/>
      <c r="L66" s="1891" t="s">
        <v>3425</v>
      </c>
    </row>
    <row r="67" spans="1:12" s="1885" customFormat="1" ht="10.5" customHeight="1">
      <c r="A67" s="1906"/>
      <c r="B67" s="1907"/>
      <c r="C67" s="1907"/>
      <c r="D67" s="1907"/>
      <c r="E67" s="1892" t="s">
        <v>2867</v>
      </c>
      <c r="F67" s="1911" t="s">
        <v>2970</v>
      </c>
      <c r="G67" s="1911"/>
      <c r="H67" s="1911"/>
      <c r="I67" s="1934"/>
      <c r="J67" s="1935"/>
      <c r="K67" s="1920"/>
      <c r="L67" s="1891" t="s">
        <v>3425</v>
      </c>
    </row>
    <row r="68" spans="1:12" s="1885" customFormat="1" ht="10.5" customHeight="1">
      <c r="A68" s="1966">
        <v>13</v>
      </c>
      <c r="B68" s="1933" t="s">
        <v>4382</v>
      </c>
      <c r="C68" s="1933"/>
      <c r="D68" s="1968"/>
      <c r="E68" s="1890" t="s">
        <v>2868</v>
      </c>
      <c r="F68" s="1932" t="s">
        <v>3199</v>
      </c>
      <c r="G68" s="1932"/>
      <c r="H68" s="1932"/>
      <c r="I68" s="1929"/>
      <c r="J68" s="1930"/>
      <c r="K68" s="1931"/>
      <c r="L68" s="1891" t="s">
        <v>3422</v>
      </c>
    </row>
    <row r="69" spans="1:12" s="1885" customFormat="1" ht="10.5" customHeight="1">
      <c r="A69" s="1906"/>
      <c r="B69" s="1905"/>
      <c r="C69" s="1905"/>
      <c r="D69" s="1969"/>
      <c r="E69" s="1892" t="s">
        <v>2866</v>
      </c>
      <c r="F69" s="1911" t="s">
        <v>4262</v>
      </c>
      <c r="G69" s="1911"/>
      <c r="H69" s="1911"/>
      <c r="I69" s="1934"/>
      <c r="J69" s="1935"/>
      <c r="K69" s="1920"/>
      <c r="L69" s="1891" t="s">
        <v>3422</v>
      </c>
    </row>
    <row r="70" spans="1:12" s="1885" customFormat="1" ht="10.5" customHeight="1">
      <c r="A70" s="1906"/>
      <c r="B70" s="1907"/>
      <c r="C70" s="1907"/>
      <c r="D70" s="1907"/>
      <c r="E70" s="1892" t="s">
        <v>2867</v>
      </c>
      <c r="F70" s="1911" t="s">
        <v>4093</v>
      </c>
      <c r="G70" s="1911"/>
      <c r="H70" s="1911"/>
      <c r="I70" s="1934"/>
      <c r="J70" s="1935"/>
      <c r="K70" s="1920"/>
      <c r="L70" s="1891" t="s">
        <v>3422</v>
      </c>
    </row>
    <row r="71" spans="1:12" s="1885" customFormat="1" ht="10.5" customHeight="1">
      <c r="A71" s="1906"/>
      <c r="B71" s="1907"/>
      <c r="C71" s="1907"/>
      <c r="D71" s="1907"/>
      <c r="E71" s="1892" t="s">
        <v>2869</v>
      </c>
      <c r="F71" s="1911" t="s">
        <v>2971</v>
      </c>
      <c r="G71" s="1911"/>
      <c r="H71" s="1911"/>
      <c r="I71" s="1934"/>
      <c r="J71" s="1935"/>
      <c r="K71" s="1920"/>
      <c r="L71" s="1891" t="s">
        <v>3425</v>
      </c>
    </row>
    <row r="72" spans="1:12" s="1885" customFormat="1" ht="10.5" customHeight="1">
      <c r="A72" s="1966">
        <v>14</v>
      </c>
      <c r="B72" s="1926" t="s">
        <v>4095</v>
      </c>
      <c r="C72" s="1926"/>
      <c r="D72" s="1926"/>
      <c r="E72" s="1890" t="s">
        <v>2868</v>
      </c>
      <c r="F72" s="1932" t="s">
        <v>2972</v>
      </c>
      <c r="G72" s="1932"/>
      <c r="H72" s="1932"/>
      <c r="I72" s="1929"/>
      <c r="J72" s="1930"/>
      <c r="K72" s="1931"/>
      <c r="L72" s="1891" t="s">
        <v>3425</v>
      </c>
    </row>
    <row r="73" spans="1:12" s="1885" customFormat="1" ht="10.5" customHeight="1">
      <c r="A73" s="1957"/>
      <c r="B73" s="1958"/>
      <c r="C73" s="1958"/>
      <c r="D73" s="1958"/>
      <c r="E73" s="1947" t="s">
        <v>2866</v>
      </c>
      <c r="F73" s="1959" t="s">
        <v>4096</v>
      </c>
      <c r="G73" s="1959"/>
      <c r="H73" s="1959"/>
      <c r="I73" s="1929"/>
      <c r="J73" s="1930"/>
      <c r="K73" s="1931"/>
      <c r="L73" s="1891" t="s">
        <v>3425</v>
      </c>
    </row>
    <row r="74" spans="1:12" s="1885" customFormat="1" ht="10.5" customHeight="1">
      <c r="A74" s="1966">
        <v>15</v>
      </c>
      <c r="B74" s="1933" t="s">
        <v>2973</v>
      </c>
      <c r="C74" s="1933"/>
      <c r="D74" s="1926" t="s">
        <v>2974</v>
      </c>
      <c r="E74" s="1890" t="s">
        <v>2868</v>
      </c>
      <c r="F74" s="1932" t="s">
        <v>2975</v>
      </c>
      <c r="G74" s="1932"/>
      <c r="H74" s="1932"/>
      <c r="I74" s="1929"/>
      <c r="J74" s="1930"/>
      <c r="K74" s="1931"/>
      <c r="L74" s="1891" t="s">
        <v>3425</v>
      </c>
    </row>
    <row r="75" spans="1:12" s="1885" customFormat="1" ht="10.5" customHeight="1">
      <c r="A75" s="1906"/>
      <c r="B75" s="1905"/>
      <c r="C75" s="1905"/>
      <c r="D75" s="1907" t="s">
        <v>2959</v>
      </c>
      <c r="E75" s="1892" t="s">
        <v>2866</v>
      </c>
      <c r="F75" s="1911" t="s">
        <v>4206</v>
      </c>
      <c r="G75" s="1911"/>
      <c r="H75" s="1911"/>
      <c r="I75" s="1934"/>
      <c r="J75" s="1935"/>
      <c r="K75" s="1920"/>
      <c r="L75" s="1891" t="s">
        <v>3425</v>
      </c>
    </row>
    <row r="76" spans="1:12" s="1885" customFormat="1" ht="10.5" customHeight="1">
      <c r="A76" s="1906"/>
      <c r="B76" s="1970"/>
      <c r="C76" s="1970"/>
      <c r="D76" s="1907" t="s">
        <v>2976</v>
      </c>
      <c r="E76" s="1892" t="s">
        <v>2867</v>
      </c>
      <c r="F76" s="1911" t="s">
        <v>4207</v>
      </c>
      <c r="G76" s="1911"/>
      <c r="H76" s="1911"/>
      <c r="I76" s="1934"/>
      <c r="J76" s="1935"/>
      <c r="K76" s="1920"/>
      <c r="L76" s="1891" t="s">
        <v>3425</v>
      </c>
    </row>
    <row r="77" spans="1:12" s="1885" customFormat="1" ht="10.5" customHeight="1">
      <c r="A77" s="1966">
        <v>16</v>
      </c>
      <c r="B77" s="1933" t="s">
        <v>2977</v>
      </c>
      <c r="C77" s="1933"/>
      <c r="D77" s="1926"/>
      <c r="E77" s="1890" t="s">
        <v>2868</v>
      </c>
      <c r="F77" s="1932" t="s">
        <v>2978</v>
      </c>
      <c r="G77" s="1932"/>
      <c r="H77" s="1932"/>
      <c r="I77" s="1929"/>
      <c r="J77" s="1930"/>
      <c r="K77" s="1931"/>
      <c r="L77" s="1891" t="s">
        <v>3422</v>
      </c>
    </row>
    <row r="78" spans="1:12" s="1885" customFormat="1" ht="10.5" customHeight="1">
      <c r="A78" s="1906"/>
      <c r="B78" s="1905"/>
      <c r="C78" s="1905"/>
      <c r="D78" s="1907"/>
      <c r="E78" s="1892" t="s">
        <v>2866</v>
      </c>
      <c r="F78" s="1911" t="s">
        <v>2979</v>
      </c>
      <c r="G78" s="1911"/>
      <c r="H78" s="1911"/>
      <c r="I78" s="1934"/>
      <c r="J78" s="1935"/>
      <c r="K78" s="1920"/>
      <c r="L78" s="1891" t="s">
        <v>3422</v>
      </c>
    </row>
    <row r="79" spans="1:12" s="1885" customFormat="1" ht="10.5" customHeight="1">
      <c r="A79" s="1906"/>
      <c r="B79" s="1905"/>
      <c r="C79" s="1905"/>
      <c r="D79" s="1907"/>
      <c r="E79" s="1892" t="s">
        <v>2867</v>
      </c>
      <c r="F79" s="1911" t="s">
        <v>2980</v>
      </c>
      <c r="G79" s="1911"/>
      <c r="H79" s="1911"/>
      <c r="I79" s="1934"/>
      <c r="J79" s="1935"/>
      <c r="K79" s="1920"/>
      <c r="L79" s="1891" t="s">
        <v>3422</v>
      </c>
    </row>
    <row r="80" spans="1:12" s="1885" customFormat="1" ht="10.5" customHeight="1">
      <c r="A80" s="1906"/>
      <c r="B80" s="1907"/>
      <c r="C80" s="1907"/>
      <c r="D80" s="1907"/>
      <c r="E80" s="1892" t="s">
        <v>2869</v>
      </c>
      <c r="F80" s="1911" t="s">
        <v>2981</v>
      </c>
      <c r="G80" s="1911"/>
      <c r="H80" s="1911"/>
      <c r="I80" s="1934"/>
      <c r="J80" s="1935"/>
      <c r="K80" s="1920"/>
      <c r="L80" s="1891" t="s">
        <v>3422</v>
      </c>
    </row>
    <row r="81" spans="1:12" s="1885" customFormat="1" ht="21.75" customHeight="1">
      <c r="A81" s="1971" t="s">
        <v>3027</v>
      </c>
      <c r="B81" s="1972" t="s">
        <v>4097</v>
      </c>
      <c r="C81" s="1972"/>
      <c r="D81" s="1938"/>
      <c r="E81" s="1939" t="s">
        <v>2868</v>
      </c>
      <c r="F81" s="1973" t="s">
        <v>4263</v>
      </c>
      <c r="G81" s="1974"/>
      <c r="H81" s="1940"/>
      <c r="I81" s="1975"/>
      <c r="J81" s="1976"/>
      <c r="K81" s="1941"/>
      <c r="L81" s="1891" t="s">
        <v>3425</v>
      </c>
    </row>
    <row r="82" spans="1:12" s="1885" customFormat="1" ht="10.5" customHeight="1">
      <c r="A82" s="1899" t="s">
        <v>3028</v>
      </c>
      <c r="B82" s="1898" t="s">
        <v>4098</v>
      </c>
      <c r="C82" s="1898"/>
      <c r="D82" s="1900" t="s">
        <v>2974</v>
      </c>
      <c r="E82" s="1977" t="s">
        <v>2868</v>
      </c>
      <c r="F82" s="1902" t="s">
        <v>4081</v>
      </c>
      <c r="G82" s="1902"/>
      <c r="H82" s="1902"/>
      <c r="I82" s="1942"/>
      <c r="J82" s="1943"/>
      <c r="K82" s="1903"/>
      <c r="L82" s="1891" t="s">
        <v>3425</v>
      </c>
    </row>
    <row r="83" spans="1:12" s="1885" customFormat="1" ht="10.5" customHeight="1">
      <c r="A83" s="1906"/>
      <c r="B83" s="1905"/>
      <c r="C83" s="1905"/>
      <c r="D83" s="1907" t="s">
        <v>2959</v>
      </c>
      <c r="E83" s="1892" t="s">
        <v>2866</v>
      </c>
      <c r="F83" s="1911" t="s">
        <v>4099</v>
      </c>
      <c r="G83" s="1911"/>
      <c r="H83" s="1911"/>
      <c r="I83" s="1934"/>
      <c r="J83" s="1935"/>
      <c r="K83" s="1920"/>
      <c r="L83" s="1891" t="s">
        <v>3425</v>
      </c>
    </row>
    <row r="84" spans="1:12" s="1885" customFormat="1" ht="10.5" customHeight="1">
      <c r="A84" s="1966" t="s">
        <v>4100</v>
      </c>
      <c r="B84" s="1933" t="s">
        <v>4101</v>
      </c>
      <c r="C84" s="1933"/>
      <c r="D84" s="1926" t="s">
        <v>3054</v>
      </c>
      <c r="E84" s="1890" t="s">
        <v>2868</v>
      </c>
      <c r="F84" s="1978" t="s">
        <v>2982</v>
      </c>
      <c r="G84" s="1979"/>
      <c r="H84" s="1932"/>
      <c r="I84" s="1929"/>
      <c r="J84" s="1930"/>
      <c r="K84" s="1931"/>
      <c r="L84" s="1891" t="s">
        <v>3425</v>
      </c>
    </row>
    <row r="85" spans="1:12" s="1885" customFormat="1" ht="10.5" customHeight="1">
      <c r="A85" s="1906"/>
      <c r="B85" s="1970"/>
      <c r="C85" s="1970"/>
      <c r="D85" s="1907"/>
      <c r="E85" s="1921" t="s">
        <v>2866</v>
      </c>
      <c r="F85" s="1911" t="s">
        <v>4102</v>
      </c>
      <c r="G85" s="1911"/>
      <c r="H85" s="1911"/>
      <c r="I85" s="1934"/>
      <c r="J85" s="1935"/>
      <c r="K85" s="1920"/>
      <c r="L85" s="1891" t="s">
        <v>3425</v>
      </c>
    </row>
    <row r="86" spans="1:12" s="1885" customFormat="1" ht="10.5" customHeight="1">
      <c r="A86" s="1966" t="s">
        <v>4103</v>
      </c>
      <c r="B86" s="1933" t="s">
        <v>3065</v>
      </c>
      <c r="C86" s="1933"/>
      <c r="D86" s="1926" t="s">
        <v>3991</v>
      </c>
      <c r="E86" s="1890" t="s">
        <v>2868</v>
      </c>
      <c r="F86" s="1932" t="s">
        <v>3015</v>
      </c>
      <c r="G86" s="1932"/>
      <c r="H86" s="1932"/>
      <c r="I86" s="1929"/>
      <c r="J86" s="1930"/>
      <c r="K86" s="1931"/>
      <c r="L86" s="1891" t="s">
        <v>3425</v>
      </c>
    </row>
    <row r="87" spans="1:12" s="1885" customFormat="1" ht="10.5" customHeight="1">
      <c r="A87" s="1906"/>
      <c r="B87" s="1905"/>
      <c r="C87" s="1905"/>
      <c r="D87" s="1907"/>
      <c r="E87" s="1892" t="s">
        <v>2866</v>
      </c>
      <c r="F87" s="1911" t="s">
        <v>2984</v>
      </c>
      <c r="G87" s="1911"/>
      <c r="H87" s="1911"/>
      <c r="I87" s="1934"/>
      <c r="J87" s="1911"/>
      <c r="K87" s="1920"/>
      <c r="L87" s="1891" t="s">
        <v>3422</v>
      </c>
    </row>
    <row r="88" spans="1:12" s="1885" customFormat="1" ht="10.5" customHeight="1">
      <c r="A88" s="1906"/>
      <c r="B88" s="1907" t="s">
        <v>3066</v>
      </c>
      <c r="C88" s="1907"/>
      <c r="D88" s="1907"/>
      <c r="E88" s="1892" t="s">
        <v>2867</v>
      </c>
      <c r="F88" s="1911" t="s">
        <v>2985</v>
      </c>
      <c r="G88" s="1911"/>
      <c r="H88" s="1911"/>
      <c r="I88" s="1934"/>
      <c r="J88" s="1911"/>
      <c r="K88" s="1920"/>
      <c r="L88" s="1891" t="s">
        <v>3422</v>
      </c>
    </row>
    <row r="89" spans="1:12" s="1885" customFormat="1" ht="21.75" customHeight="1">
      <c r="A89" s="1906"/>
      <c r="B89" s="1907"/>
      <c r="C89" s="1907"/>
      <c r="D89" s="1907"/>
      <c r="E89" s="1892" t="s">
        <v>2869</v>
      </c>
      <c r="F89" s="1908" t="s">
        <v>4112</v>
      </c>
      <c r="G89" s="1909"/>
      <c r="H89" s="1909"/>
      <c r="I89" s="1934"/>
      <c r="J89" s="1911"/>
      <c r="K89" s="1920"/>
      <c r="L89" s="1891" t="s">
        <v>3422</v>
      </c>
    </row>
    <row r="90" spans="1:12" s="1885" customFormat="1" ht="10.5" customHeight="1">
      <c r="A90" s="1906"/>
      <c r="B90" s="1907"/>
      <c r="C90" s="1907"/>
      <c r="D90" s="1907" t="s">
        <v>4104</v>
      </c>
      <c r="E90" s="1892" t="s">
        <v>2870</v>
      </c>
      <c r="F90" s="1911" t="s">
        <v>4105</v>
      </c>
      <c r="G90" s="1911"/>
      <c r="H90" s="1911"/>
      <c r="I90" s="1934"/>
      <c r="J90" s="1911"/>
      <c r="K90" s="1920"/>
      <c r="L90" s="1891" t="s">
        <v>3422</v>
      </c>
    </row>
    <row r="91" spans="1:12" s="1885" customFormat="1" ht="10.5" customHeight="1">
      <c r="A91" s="1906"/>
      <c r="B91" s="1907"/>
      <c r="C91" s="1907"/>
      <c r="D91" s="1907"/>
      <c r="E91" s="1892" t="s">
        <v>2871</v>
      </c>
      <c r="F91" s="1908" t="s">
        <v>4293</v>
      </c>
      <c r="G91" s="1909"/>
      <c r="H91" s="1909"/>
      <c r="I91" s="1934"/>
      <c r="J91" s="1911"/>
      <c r="K91" s="1920"/>
      <c r="L91" s="1891" t="s">
        <v>3425</v>
      </c>
    </row>
    <row r="92" spans="1:12" s="1885" customFormat="1" ht="21.75" customHeight="1">
      <c r="A92" s="1906"/>
      <c r="B92" s="1907"/>
      <c r="C92" s="1907"/>
      <c r="D92" s="1907"/>
      <c r="E92" s="1892" t="s">
        <v>2872</v>
      </c>
      <c r="F92" s="1908" t="s">
        <v>4115</v>
      </c>
      <c r="G92" s="1909"/>
      <c r="H92" s="1909"/>
      <c r="I92" s="1934"/>
      <c r="J92" s="1911"/>
      <c r="K92" s="1920"/>
      <c r="L92" s="1891" t="s">
        <v>3422</v>
      </c>
    </row>
    <row r="93" spans="1:12" s="1885" customFormat="1" ht="21.75" customHeight="1">
      <c r="A93" s="1906"/>
      <c r="B93" s="1907"/>
      <c r="C93" s="1907"/>
      <c r="D93" s="1907"/>
      <c r="E93" s="1892" t="s">
        <v>3025</v>
      </c>
      <c r="F93" s="1908" t="s">
        <v>4106</v>
      </c>
      <c r="G93" s="1909"/>
      <c r="H93" s="1909"/>
      <c r="I93" s="1934"/>
      <c r="J93" s="1911"/>
      <c r="K93" s="1920"/>
      <c r="L93" s="1891" t="s">
        <v>3422</v>
      </c>
    </row>
    <row r="94" spans="1:12" s="1885" customFormat="1" ht="10.5" customHeight="1">
      <c r="A94" s="1906"/>
      <c r="B94" s="1907"/>
      <c r="C94" s="1907"/>
      <c r="D94" s="1907"/>
      <c r="E94" s="1892" t="s">
        <v>3026</v>
      </c>
      <c r="F94" s="1911" t="s">
        <v>4110</v>
      </c>
      <c r="G94" s="1911"/>
      <c r="H94" s="1911"/>
      <c r="I94" s="1934"/>
      <c r="J94" s="1911"/>
      <c r="K94" s="1920"/>
      <c r="L94" s="1891" t="s">
        <v>3425</v>
      </c>
    </row>
    <row r="95" spans="1:12" s="1885" customFormat="1" ht="10.5" customHeight="1">
      <c r="A95" s="1906"/>
      <c r="B95" s="1907"/>
      <c r="C95" s="1907"/>
      <c r="D95" s="1907"/>
      <c r="E95" s="1892" t="s">
        <v>3060</v>
      </c>
      <c r="F95" s="1911" t="s">
        <v>4111</v>
      </c>
      <c r="G95" s="1911"/>
      <c r="H95" s="1911"/>
      <c r="I95" s="1934"/>
      <c r="J95" s="1911"/>
      <c r="K95" s="1920"/>
      <c r="L95" s="1891" t="s">
        <v>3425</v>
      </c>
    </row>
    <row r="96" spans="1:12" s="1885" customFormat="1" ht="10.5" customHeight="1">
      <c r="A96" s="1906"/>
      <c r="B96" s="1907"/>
      <c r="C96" s="1907"/>
      <c r="D96" s="1907"/>
      <c r="E96" s="1892" t="s">
        <v>4107</v>
      </c>
      <c r="F96" s="1911" t="s">
        <v>4113</v>
      </c>
      <c r="G96" s="1911"/>
      <c r="H96" s="1911"/>
      <c r="I96" s="1934"/>
      <c r="J96" s="1911"/>
      <c r="K96" s="1920"/>
      <c r="L96" s="1891" t="s">
        <v>3425</v>
      </c>
    </row>
    <row r="97" spans="1:12" s="1885" customFormat="1" ht="22.5" customHeight="1">
      <c r="A97" s="1906"/>
      <c r="B97" s="1907"/>
      <c r="C97" s="1907"/>
      <c r="D97" s="1907"/>
      <c r="E97" s="1892" t="s">
        <v>4108</v>
      </c>
      <c r="F97" s="1908" t="s">
        <v>4114</v>
      </c>
      <c r="G97" s="1909"/>
      <c r="H97" s="1909"/>
      <c r="I97" s="1934"/>
      <c r="J97" s="1911"/>
      <c r="K97" s="1920"/>
      <c r="L97" s="1891" t="s">
        <v>3425</v>
      </c>
    </row>
    <row r="98" spans="1:12" s="1885" customFormat="1" ht="10.5" customHeight="1">
      <c r="A98" s="1906"/>
      <c r="B98" s="1907"/>
      <c r="C98" s="1907"/>
      <c r="D98" s="1907" t="s">
        <v>4116</v>
      </c>
      <c r="E98" s="1892" t="s">
        <v>4109</v>
      </c>
      <c r="F98" s="1911" t="s">
        <v>4117</v>
      </c>
      <c r="G98" s="1911"/>
      <c r="H98" s="1911"/>
      <c r="I98" s="1934"/>
      <c r="J98" s="1911"/>
      <c r="K98" s="1920"/>
      <c r="L98" s="1891" t="s">
        <v>3425</v>
      </c>
    </row>
    <row r="99" spans="1:12" s="1885" customFormat="1" ht="10.5" customHeight="1">
      <c r="A99" s="1906"/>
      <c r="B99" s="1980" t="s">
        <v>3320</v>
      </c>
      <c r="C99" s="1912"/>
      <c r="D99" s="1907" t="s">
        <v>2974</v>
      </c>
      <c r="E99" s="1892" t="s">
        <v>4216</v>
      </c>
      <c r="F99" s="1909" t="s">
        <v>3321</v>
      </c>
      <c r="G99" s="1909"/>
      <c r="H99" s="1909"/>
      <c r="I99" s="1934"/>
      <c r="J99" s="1935"/>
      <c r="K99" s="1920"/>
      <c r="L99" s="1891" t="s">
        <v>3422</v>
      </c>
    </row>
    <row r="100" spans="1:12" s="1885" customFormat="1" ht="10.5" customHeight="1">
      <c r="A100" s="1906"/>
      <c r="B100" s="1980"/>
      <c r="C100" s="1912"/>
      <c r="D100" s="1907" t="s">
        <v>2959</v>
      </c>
      <c r="E100" s="1892" t="s">
        <v>4217</v>
      </c>
      <c r="F100" s="1911" t="s">
        <v>3322</v>
      </c>
      <c r="G100" s="1911"/>
      <c r="H100" s="1911"/>
      <c r="I100" s="1934"/>
      <c r="J100" s="1935"/>
      <c r="K100" s="1920"/>
      <c r="L100" s="1891" t="s">
        <v>3422</v>
      </c>
    </row>
    <row r="101" spans="1:12" s="1885" customFormat="1" ht="10.5" customHeight="1">
      <c r="A101" s="1906"/>
      <c r="B101" s="1980"/>
      <c r="C101" s="1907"/>
      <c r="D101" s="1907"/>
      <c r="E101" s="1892" t="s">
        <v>4218</v>
      </c>
      <c r="F101" s="1911" t="s">
        <v>3323</v>
      </c>
      <c r="G101" s="1911"/>
      <c r="H101" s="1911"/>
      <c r="I101" s="1934"/>
      <c r="J101" s="1935"/>
      <c r="K101" s="1920"/>
      <c r="L101" s="1891" t="s">
        <v>3422</v>
      </c>
    </row>
    <row r="102" spans="1:12" s="1885" customFormat="1" ht="10.5" customHeight="1">
      <c r="A102" s="1906"/>
      <c r="B102" s="1980"/>
      <c r="C102" s="1907"/>
      <c r="D102" s="1907"/>
      <c r="E102" s="1892" t="s">
        <v>3027</v>
      </c>
      <c r="F102" s="1909" t="s">
        <v>3324</v>
      </c>
      <c r="G102" s="1909"/>
      <c r="H102" s="1909"/>
      <c r="I102" s="1934"/>
      <c r="J102" s="1935"/>
      <c r="K102" s="1920"/>
      <c r="L102" s="1891" t="s">
        <v>3422</v>
      </c>
    </row>
    <row r="103" spans="1:12" s="1885" customFormat="1" ht="10.5" customHeight="1">
      <c r="A103" s="1906"/>
      <c r="B103" s="1907"/>
      <c r="C103" s="1907"/>
      <c r="D103" s="1907"/>
      <c r="E103" s="1892" t="s">
        <v>3028</v>
      </c>
      <c r="F103" s="1909" t="s">
        <v>3325</v>
      </c>
      <c r="G103" s="1909"/>
      <c r="H103" s="1909"/>
      <c r="I103" s="1934"/>
      <c r="J103" s="1935"/>
      <c r="K103" s="1920"/>
      <c r="L103" s="1891" t="s">
        <v>3422</v>
      </c>
    </row>
    <row r="104" spans="1:12" s="1885" customFormat="1" ht="10.5" customHeight="1">
      <c r="A104" s="1906"/>
      <c r="B104" s="1907"/>
      <c r="C104" s="1907"/>
      <c r="D104" s="1907"/>
      <c r="E104" s="1892" t="s">
        <v>4100</v>
      </c>
      <c r="F104" s="1948" t="s">
        <v>4535</v>
      </c>
      <c r="G104" s="1948"/>
      <c r="H104" s="1948"/>
      <c r="I104" s="1948"/>
      <c r="J104" s="1948"/>
      <c r="K104" s="1949"/>
      <c r="L104" s="1891" t="s">
        <v>3422</v>
      </c>
    </row>
    <row r="105" spans="1:12" s="1885" customFormat="1" ht="10.5" customHeight="1">
      <c r="A105" s="1966">
        <v>21</v>
      </c>
      <c r="B105" s="1926" t="s">
        <v>3056</v>
      </c>
      <c r="C105" s="1926"/>
      <c r="D105" s="1926"/>
      <c r="E105" s="1890" t="s">
        <v>2868</v>
      </c>
      <c r="F105" s="1932" t="s">
        <v>2986</v>
      </c>
      <c r="G105" s="1932"/>
      <c r="H105" s="1932"/>
      <c r="I105" s="1929"/>
      <c r="J105" s="1930"/>
      <c r="K105" s="1931"/>
      <c r="L105" s="1891" t="s">
        <v>3422</v>
      </c>
    </row>
    <row r="106" spans="1:12" s="1885" customFormat="1" ht="10.5" customHeight="1">
      <c r="A106" s="1906"/>
      <c r="B106" s="1907"/>
      <c r="C106" s="1907"/>
      <c r="D106" s="1907"/>
      <c r="E106" s="1892" t="s">
        <v>2866</v>
      </c>
      <c r="F106" s="1911" t="s">
        <v>4118</v>
      </c>
      <c r="G106" s="1911"/>
      <c r="H106" s="1911"/>
      <c r="I106" s="1934"/>
      <c r="J106" s="1935"/>
      <c r="K106" s="1920"/>
      <c r="L106" s="1891" t="s">
        <v>3422</v>
      </c>
    </row>
    <row r="107" spans="1:12" s="1885" customFormat="1" ht="10.5" customHeight="1">
      <c r="A107" s="1906"/>
      <c r="B107" s="1907"/>
      <c r="C107" s="1907"/>
      <c r="D107" s="1907"/>
      <c r="E107" s="1892" t="s">
        <v>2867</v>
      </c>
      <c r="F107" s="1911" t="s">
        <v>2988</v>
      </c>
      <c r="G107" s="1911"/>
      <c r="H107" s="1911"/>
      <c r="I107" s="1934"/>
      <c r="J107" s="1935"/>
      <c r="K107" s="1920"/>
      <c r="L107" s="1891" t="s">
        <v>3425</v>
      </c>
    </row>
    <row r="108" spans="1:12" s="1885" customFormat="1" ht="22.5" customHeight="1">
      <c r="A108" s="1906"/>
      <c r="B108" s="1911"/>
      <c r="C108" s="1912"/>
      <c r="D108" s="1907"/>
      <c r="E108" s="1892" t="s">
        <v>2869</v>
      </c>
      <c r="F108" s="1909" t="s">
        <v>3200</v>
      </c>
      <c r="G108" s="1909"/>
      <c r="H108" s="1909"/>
      <c r="I108" s="1909"/>
      <c r="J108" s="1909"/>
      <c r="K108" s="1910"/>
      <c r="L108" s="1891" t="s">
        <v>3422</v>
      </c>
    </row>
    <row r="109" spans="1:12" s="1885" customFormat="1" ht="10.5" customHeight="1">
      <c r="A109" s="1981">
        <v>22</v>
      </c>
      <c r="B109" s="1926" t="s">
        <v>3202</v>
      </c>
      <c r="C109" s="1926"/>
      <c r="D109" s="1926"/>
      <c r="E109" s="1890" t="s">
        <v>2868</v>
      </c>
      <c r="F109" s="1932" t="s">
        <v>4119</v>
      </c>
      <c r="G109" s="1932"/>
      <c r="H109" s="1932"/>
      <c r="I109" s="1934"/>
      <c r="J109" s="1935"/>
      <c r="K109" s="1920"/>
      <c r="L109" s="1891" t="s">
        <v>3425</v>
      </c>
    </row>
    <row r="110" spans="1:12" s="1885" customFormat="1" ht="10.5" customHeight="1">
      <c r="A110" s="1911"/>
      <c r="B110" s="1907"/>
      <c r="C110" s="1907"/>
      <c r="D110" s="1907"/>
      <c r="E110" s="1892" t="s">
        <v>2866</v>
      </c>
      <c r="F110" s="1911" t="s">
        <v>3201</v>
      </c>
      <c r="G110" s="1911"/>
      <c r="H110" s="1911"/>
      <c r="I110" s="1934"/>
      <c r="J110" s="1935"/>
      <c r="K110" s="1920"/>
      <c r="L110" s="1891" t="s">
        <v>3425</v>
      </c>
    </row>
    <row r="111" spans="1:12" s="1885" customFormat="1" ht="10.5" customHeight="1">
      <c r="A111" s="1957"/>
      <c r="B111" s="1958"/>
      <c r="C111" s="1958"/>
      <c r="D111" s="1958"/>
      <c r="E111" s="1947" t="s">
        <v>2867</v>
      </c>
      <c r="F111" s="1959" t="s">
        <v>2989</v>
      </c>
      <c r="G111" s="1959"/>
      <c r="H111" s="1959"/>
      <c r="I111" s="1934"/>
      <c r="J111" s="1935"/>
      <c r="K111" s="1920"/>
      <c r="L111" s="1891" t="s">
        <v>3425</v>
      </c>
    </row>
    <row r="112" spans="1:12" s="1885" customFormat="1" ht="10.5" customHeight="1">
      <c r="A112" s="1966">
        <v>23</v>
      </c>
      <c r="B112" s="1933" t="s">
        <v>4381</v>
      </c>
      <c r="C112" s="1933"/>
      <c r="D112" s="1926" t="s">
        <v>2974</v>
      </c>
      <c r="E112" s="1890" t="s">
        <v>2868</v>
      </c>
      <c r="F112" s="1932" t="s">
        <v>3327</v>
      </c>
      <c r="G112" s="1932"/>
      <c r="H112" s="1932"/>
      <c r="I112" s="1929"/>
      <c r="J112" s="1930"/>
      <c r="K112" s="1931"/>
      <c r="L112" s="1891" t="s">
        <v>3425</v>
      </c>
    </row>
    <row r="113" spans="1:12" s="1885" customFormat="1" ht="10.5" customHeight="1">
      <c r="A113" s="1906"/>
      <c r="B113" s="1905"/>
      <c r="C113" s="1905"/>
      <c r="D113" s="1907" t="s">
        <v>2959</v>
      </c>
      <c r="E113" s="1892" t="s">
        <v>2866</v>
      </c>
      <c r="F113" s="1911" t="s">
        <v>2990</v>
      </c>
      <c r="G113" s="1911"/>
      <c r="H113" s="1911"/>
      <c r="I113" s="1934"/>
      <c r="J113" s="1935"/>
      <c r="K113" s="1920"/>
      <c r="L113" s="1891" t="s">
        <v>3425</v>
      </c>
    </row>
    <row r="114" spans="1:12" s="1885" customFormat="1" ht="10.5" customHeight="1">
      <c r="A114" s="1911"/>
      <c r="B114" s="1905"/>
      <c r="C114" s="1905"/>
      <c r="D114" s="1907" t="s">
        <v>2976</v>
      </c>
      <c r="E114" s="1892" t="s">
        <v>2867</v>
      </c>
      <c r="F114" s="1911" t="s">
        <v>2991</v>
      </c>
      <c r="G114" s="1911"/>
      <c r="H114" s="1911"/>
      <c r="I114" s="1934"/>
      <c r="J114" s="1935"/>
      <c r="K114" s="1920"/>
      <c r="L114" s="1891" t="s">
        <v>3422</v>
      </c>
    </row>
    <row r="115" spans="1:12" s="1885" customFormat="1" ht="10.5" customHeight="1">
      <c r="A115" s="1982"/>
      <c r="B115" s="1983"/>
      <c r="C115" s="1984"/>
      <c r="D115" s="1985" t="s">
        <v>2983</v>
      </c>
      <c r="E115" s="1895" t="s">
        <v>2869</v>
      </c>
      <c r="F115" s="1983" t="s">
        <v>2992</v>
      </c>
      <c r="G115" s="1983"/>
      <c r="H115" s="1983"/>
      <c r="I115" s="1986"/>
      <c r="J115" s="1987"/>
      <c r="K115" s="1988"/>
      <c r="L115" s="1891" t="s">
        <v>3425</v>
      </c>
    </row>
    <row r="116" spans="1:12" s="1885" customFormat="1" ht="10.5" customHeight="1">
      <c r="A116" s="1989" t="s">
        <v>4120</v>
      </c>
      <c r="B116" s="1980" t="s">
        <v>4269</v>
      </c>
      <c r="C116" s="1980"/>
      <c r="D116" s="1990"/>
      <c r="E116" s="1892" t="s">
        <v>2868</v>
      </c>
      <c r="F116" s="1936" t="s">
        <v>2993</v>
      </c>
      <c r="G116" s="1936"/>
      <c r="H116" s="1991"/>
      <c r="I116" s="1934"/>
      <c r="J116" s="1935"/>
      <c r="K116" s="1911"/>
      <c r="L116" s="1891" t="s">
        <v>3422</v>
      </c>
    </row>
    <row r="117" spans="1:12" s="1885" customFormat="1" ht="10.5" customHeight="1">
      <c r="A117" s="1989"/>
      <c r="B117" s="1980"/>
      <c r="C117" s="1980"/>
      <c r="D117" s="1992"/>
      <c r="E117" s="1892" t="s">
        <v>2866</v>
      </c>
      <c r="F117" s="1936" t="s">
        <v>1541</v>
      </c>
      <c r="G117" s="1936"/>
      <c r="H117" s="1991"/>
      <c r="I117" s="1886"/>
      <c r="J117" s="1893"/>
      <c r="L117" s="1891" t="s">
        <v>3425</v>
      </c>
    </row>
    <row r="118" spans="1:12" s="1885" customFormat="1" ht="10.5" customHeight="1">
      <c r="A118" s="1989"/>
      <c r="B118" s="1980"/>
      <c r="C118" s="1980"/>
      <c r="D118" s="1990"/>
      <c r="E118" s="1892" t="s">
        <v>2867</v>
      </c>
      <c r="F118" s="1936" t="s">
        <v>4265</v>
      </c>
      <c r="G118" s="1936"/>
      <c r="H118" s="1991"/>
      <c r="I118" s="1886"/>
      <c r="J118" s="1893"/>
      <c r="L118" s="1891" t="s">
        <v>3425</v>
      </c>
    </row>
    <row r="119" spans="1:12" s="1885" customFormat="1" ht="10.5" customHeight="1">
      <c r="A119" s="1911"/>
      <c r="B119" s="1980"/>
      <c r="C119" s="1980"/>
      <c r="D119" s="1990"/>
      <c r="E119" s="1892" t="s">
        <v>2869</v>
      </c>
      <c r="F119" s="1936" t="s">
        <v>4267</v>
      </c>
      <c r="G119" s="1936"/>
      <c r="H119" s="1991"/>
      <c r="I119" s="1886"/>
      <c r="J119" s="1893"/>
      <c r="L119" s="1891" t="s">
        <v>3425</v>
      </c>
    </row>
    <row r="120" spans="1:12" s="1885" customFormat="1" ht="10.5" customHeight="1">
      <c r="A120" s="1911"/>
      <c r="B120" s="1980"/>
      <c r="C120" s="1980"/>
      <c r="D120" s="1990"/>
      <c r="E120" s="1892" t="s">
        <v>2870</v>
      </c>
      <c r="F120" s="1936" t="s">
        <v>2326</v>
      </c>
      <c r="G120" s="1936"/>
      <c r="H120" s="1991"/>
      <c r="I120" s="1886"/>
      <c r="J120" s="1893"/>
      <c r="L120" s="1891" t="s">
        <v>3425</v>
      </c>
    </row>
    <row r="121" spans="1:12" s="1885" customFormat="1" ht="10.5" customHeight="1">
      <c r="A121" s="1989"/>
      <c r="B121" s="1980"/>
      <c r="C121" s="1980"/>
      <c r="D121" s="1990"/>
      <c r="E121" s="1892" t="s">
        <v>2871</v>
      </c>
      <c r="F121" s="1936" t="s">
        <v>4266</v>
      </c>
      <c r="G121" s="1936"/>
      <c r="H121" s="1991"/>
      <c r="I121" s="1886"/>
      <c r="J121" s="1893"/>
      <c r="L121" s="1891" t="s">
        <v>3425</v>
      </c>
    </row>
    <row r="122" spans="1:12" s="1885" customFormat="1" ht="10.5" customHeight="1">
      <c r="A122" s="1911"/>
      <c r="B122" s="1980"/>
      <c r="C122" s="1980"/>
      <c r="D122" s="1990"/>
      <c r="E122" s="1892" t="s">
        <v>2872</v>
      </c>
      <c r="F122" s="1936" t="s">
        <v>4268</v>
      </c>
      <c r="G122" s="1936"/>
      <c r="H122" s="1991"/>
      <c r="I122" s="1886"/>
      <c r="J122" s="1893"/>
      <c r="L122" s="1891" t="s">
        <v>3425</v>
      </c>
    </row>
    <row r="123" spans="1:12" s="1885" customFormat="1" ht="10.5" customHeight="1">
      <c r="A123" s="1989"/>
      <c r="B123" s="1990"/>
      <c r="C123" s="1990"/>
      <c r="D123" s="1990"/>
      <c r="E123" s="1892" t="s">
        <v>3025</v>
      </c>
      <c r="F123" s="1936" t="s">
        <v>2994</v>
      </c>
      <c r="G123" s="1936"/>
      <c r="H123" s="1991"/>
      <c r="I123" s="1886"/>
      <c r="J123" s="1893"/>
      <c r="L123" s="1891" t="s">
        <v>3425</v>
      </c>
    </row>
    <row r="124" spans="1:12" s="1885" customFormat="1" ht="10.5" customHeight="1">
      <c r="A124" s="1989"/>
      <c r="B124" s="1989"/>
      <c r="C124" s="1989"/>
      <c r="D124" s="1989"/>
      <c r="E124" s="1892" t="s">
        <v>3026</v>
      </c>
      <c r="F124" s="1936" t="s">
        <v>4264</v>
      </c>
      <c r="G124" s="1936"/>
      <c r="H124" s="1991"/>
      <c r="I124" s="1886"/>
      <c r="J124" s="1893"/>
      <c r="L124" s="1891" t="s">
        <v>3425</v>
      </c>
    </row>
    <row r="125" spans="1:12" s="1885" customFormat="1" ht="10.5" customHeight="1">
      <c r="A125" s="1989"/>
      <c r="B125" s="1989"/>
      <c r="C125" s="1989"/>
      <c r="D125" s="1989"/>
      <c r="E125" s="1892" t="s">
        <v>3060</v>
      </c>
      <c r="F125" s="1936" t="s">
        <v>2995</v>
      </c>
      <c r="G125" s="1936"/>
      <c r="H125" s="1991"/>
      <c r="I125" s="1886"/>
      <c r="J125" s="1893"/>
      <c r="L125" s="1894" t="s">
        <v>3425</v>
      </c>
    </row>
    <row r="126" spans="1:12" s="1885" customFormat="1" ht="10.5" customHeight="1">
      <c r="A126" s="1993"/>
      <c r="B126" s="1993"/>
      <c r="C126" s="1993"/>
      <c r="D126" s="1993"/>
      <c r="E126" s="1895" t="s">
        <v>4107</v>
      </c>
      <c r="F126" s="1994" t="s">
        <v>3045</v>
      </c>
      <c r="G126" s="1994"/>
      <c r="H126" s="1995"/>
      <c r="I126" s="1886"/>
      <c r="J126" s="1893"/>
      <c r="L126" s="1894" t="s">
        <v>3425</v>
      </c>
    </row>
    <row r="127" spans="1:12" s="1911" customFormat="1" ht="10.5" customHeight="1">
      <c r="A127" s="1896" t="s">
        <v>2996</v>
      </c>
      <c r="B127" s="1896"/>
      <c r="C127" s="1896"/>
      <c r="D127" s="1896"/>
      <c r="E127" s="1896"/>
      <c r="F127" s="1896"/>
      <c r="G127" s="1896"/>
      <c r="H127" s="1896"/>
      <c r="I127" s="1896"/>
      <c r="J127" s="1896"/>
      <c r="K127" s="1896"/>
      <c r="L127" s="1896"/>
    </row>
    <row r="128" spans="1:12" s="1885" customFormat="1" ht="10.5" customHeight="1">
      <c r="A128" s="1899" t="s">
        <v>4121</v>
      </c>
      <c r="B128" s="1898" t="s">
        <v>3057</v>
      </c>
      <c r="C128" s="1898"/>
      <c r="D128" s="1996"/>
      <c r="E128" s="1901" t="s">
        <v>2868</v>
      </c>
      <c r="F128" s="1997" t="s">
        <v>2997</v>
      </c>
      <c r="G128" s="1902"/>
      <c r="H128" s="1902"/>
      <c r="I128" s="1942"/>
      <c r="J128" s="1943"/>
      <c r="K128" s="1903"/>
      <c r="L128" s="1891" t="s">
        <v>3422</v>
      </c>
    </row>
    <row r="129" spans="1:12" s="1885" customFormat="1" ht="10.5" customHeight="1">
      <c r="A129" s="1906"/>
      <c r="B129" s="1905"/>
      <c r="C129" s="1905"/>
      <c r="D129" s="1998"/>
      <c r="E129" s="1892" t="s">
        <v>2866</v>
      </c>
      <c r="F129" s="1911" t="s">
        <v>3326</v>
      </c>
      <c r="G129" s="1911"/>
      <c r="H129" s="1911"/>
      <c r="I129" s="1934"/>
      <c r="J129" s="1935"/>
      <c r="K129" s="1920"/>
      <c r="L129" s="1891" t="s">
        <v>3422</v>
      </c>
    </row>
    <row r="130" spans="1:12" s="1885" customFormat="1" ht="10.5" customHeight="1">
      <c r="A130" s="1906"/>
      <c r="B130" s="1905"/>
      <c r="C130" s="1905"/>
      <c r="D130" s="1907"/>
      <c r="E130" s="1892" t="s">
        <v>2867</v>
      </c>
      <c r="F130" s="1911" t="s">
        <v>2998</v>
      </c>
      <c r="G130" s="1911"/>
      <c r="H130" s="1911"/>
      <c r="I130" s="1934"/>
      <c r="J130" s="1935"/>
      <c r="K130" s="1920"/>
      <c r="L130" s="1891" t="s">
        <v>3422</v>
      </c>
    </row>
    <row r="131" spans="1:12" s="1885" customFormat="1" ht="10.5" customHeight="1">
      <c r="A131" s="1911"/>
      <c r="B131" s="1907"/>
      <c r="C131" s="1907"/>
      <c r="D131" s="1907"/>
      <c r="E131" s="1892" t="s">
        <v>2869</v>
      </c>
      <c r="F131" s="1909" t="s">
        <v>2999</v>
      </c>
      <c r="G131" s="1909"/>
      <c r="H131" s="1909"/>
      <c r="I131" s="1909"/>
      <c r="J131" s="1909"/>
      <c r="K131" s="1910"/>
      <c r="L131" s="1891" t="s">
        <v>3425</v>
      </c>
    </row>
    <row r="132" spans="1:12" s="1885" customFormat="1" ht="10.5" customHeight="1">
      <c r="A132" s="1906"/>
      <c r="B132" s="1907"/>
      <c r="C132" s="1907"/>
      <c r="D132" s="1907"/>
      <c r="E132" s="1892" t="s">
        <v>2870</v>
      </c>
      <c r="F132" s="1911" t="s">
        <v>4194</v>
      </c>
      <c r="G132" s="1911"/>
      <c r="H132" s="1911"/>
      <c r="I132" s="1934"/>
      <c r="J132" s="1935"/>
      <c r="K132" s="1920"/>
      <c r="L132" s="1891" t="s">
        <v>3425</v>
      </c>
    </row>
    <row r="133" spans="1:12" s="1885" customFormat="1" ht="21.75" customHeight="1">
      <c r="A133" s="1957"/>
      <c r="B133" s="1958"/>
      <c r="C133" s="1958"/>
      <c r="D133" s="1958"/>
      <c r="E133" s="1947" t="s">
        <v>2871</v>
      </c>
      <c r="F133" s="1999" t="s">
        <v>4195</v>
      </c>
      <c r="G133" s="2000"/>
      <c r="H133" s="2000"/>
      <c r="I133" s="1934"/>
      <c r="J133" s="1935"/>
      <c r="K133" s="1920"/>
      <c r="L133" s="1891" t="s">
        <v>3425</v>
      </c>
    </row>
    <row r="134" spans="1:12" s="1885" customFormat="1" ht="10.5" customHeight="1">
      <c r="A134" s="1966">
        <v>26</v>
      </c>
      <c r="B134" s="1907" t="s">
        <v>3000</v>
      </c>
      <c r="C134" s="1907"/>
      <c r="D134" s="1907" t="s">
        <v>2974</v>
      </c>
      <c r="E134" s="1892" t="s">
        <v>2868</v>
      </c>
      <c r="F134" s="1911" t="s">
        <v>3211</v>
      </c>
      <c r="G134" s="1911"/>
      <c r="H134" s="1911"/>
      <c r="I134" s="1929"/>
      <c r="J134" s="1930"/>
      <c r="K134" s="1931"/>
      <c r="L134" s="1891" t="s">
        <v>3425</v>
      </c>
    </row>
    <row r="135" spans="1:12" s="1885" customFormat="1" ht="10.5" customHeight="1">
      <c r="A135" s="1906"/>
      <c r="B135" s="1907"/>
      <c r="C135" s="1907"/>
      <c r="D135" s="1998"/>
      <c r="E135" s="1892"/>
      <c r="F135" s="1911" t="s">
        <v>3212</v>
      </c>
      <c r="G135" s="1911"/>
      <c r="H135" s="1911"/>
      <c r="I135" s="1934"/>
      <c r="J135" s="1935"/>
      <c r="K135" s="1920"/>
      <c r="L135" s="1891" t="s">
        <v>3425</v>
      </c>
    </row>
    <row r="136" spans="1:12" s="1885" customFormat="1" ht="10.5" customHeight="1">
      <c r="A136" s="1906"/>
      <c r="B136" s="1907"/>
      <c r="C136" s="1907"/>
      <c r="D136" s="2001" t="s">
        <v>4209</v>
      </c>
      <c r="E136" s="1892" t="s">
        <v>2866</v>
      </c>
      <c r="F136" s="1911" t="s">
        <v>4211</v>
      </c>
      <c r="G136" s="1911"/>
      <c r="H136" s="1911"/>
      <c r="I136" s="1934"/>
      <c r="J136" s="1935"/>
      <c r="K136" s="1920"/>
      <c r="L136" s="1891" t="s">
        <v>3425</v>
      </c>
    </row>
    <row r="137" spans="1:12" s="1885" customFormat="1" ht="10.5" customHeight="1">
      <c r="A137" s="1911"/>
      <c r="B137" s="1907"/>
      <c r="C137" s="1907"/>
      <c r="D137" s="2001"/>
      <c r="E137" s="1892"/>
      <c r="F137" s="2002" t="s">
        <v>3213</v>
      </c>
      <c r="G137" s="1911"/>
      <c r="H137" s="1911"/>
      <c r="I137" s="1911"/>
      <c r="J137" s="1911"/>
      <c r="K137" s="1920"/>
      <c r="L137" s="1891" t="s">
        <v>3425</v>
      </c>
    </row>
    <row r="138" spans="1:12" s="1885" customFormat="1" ht="10.5" customHeight="1">
      <c r="A138" s="1911"/>
      <c r="B138" s="1907"/>
      <c r="C138" s="1907"/>
      <c r="D138" s="2001" t="s">
        <v>4210</v>
      </c>
      <c r="E138" s="1892"/>
      <c r="F138" s="1911" t="s">
        <v>4386</v>
      </c>
      <c r="G138" s="1911"/>
      <c r="H138" s="1911"/>
      <c r="I138" s="1911"/>
      <c r="J138" s="1911"/>
      <c r="K138" s="1920"/>
      <c r="L138" s="1891" t="s">
        <v>3425</v>
      </c>
    </row>
    <row r="139" spans="1:12" s="1885" customFormat="1" ht="10.5" customHeight="1">
      <c r="A139" s="1911"/>
      <c r="B139" s="1907"/>
      <c r="C139" s="1907"/>
      <c r="D139" s="2001"/>
      <c r="E139" s="1892"/>
      <c r="F139" s="1911" t="s">
        <v>4123</v>
      </c>
      <c r="G139" s="1911"/>
      <c r="H139" s="1911"/>
      <c r="I139" s="1911"/>
      <c r="J139" s="1911"/>
      <c r="K139" s="1920"/>
      <c r="L139" s="1891" t="s">
        <v>3425</v>
      </c>
    </row>
    <row r="140" spans="1:12" s="1885" customFormat="1" ht="10.5" customHeight="1">
      <c r="A140" s="1911"/>
      <c r="B140" s="1907"/>
      <c r="C140" s="1907"/>
      <c r="D140" s="2001" t="s">
        <v>4208</v>
      </c>
      <c r="E140" s="1892" t="s">
        <v>2867</v>
      </c>
      <c r="F140" s="1911" t="s">
        <v>4124</v>
      </c>
      <c r="G140" s="1911"/>
      <c r="H140" s="1911"/>
      <c r="I140" s="1911"/>
      <c r="J140" s="1911"/>
      <c r="K140" s="1920"/>
      <c r="L140" s="1891" t="s">
        <v>3425</v>
      </c>
    </row>
    <row r="141" spans="1:12" s="1885" customFormat="1" ht="10.5" customHeight="1">
      <c r="A141" s="1911"/>
      <c r="B141" s="1907"/>
      <c r="C141" s="1907"/>
      <c r="D141" s="2001" t="s">
        <v>2987</v>
      </c>
      <c r="E141" s="1892" t="s">
        <v>2869</v>
      </c>
      <c r="F141" s="1911" t="s">
        <v>4212</v>
      </c>
      <c r="G141" s="1911"/>
      <c r="H141" s="1911"/>
      <c r="I141" s="1911"/>
      <c r="J141" s="1911"/>
      <c r="K141" s="1920"/>
      <c r="L141" s="1891" t="s">
        <v>3425</v>
      </c>
    </row>
    <row r="142" spans="1:12" s="1885" customFormat="1" ht="10.5" customHeight="1">
      <c r="A142" s="1981">
        <v>27</v>
      </c>
      <c r="B142" s="1926" t="s">
        <v>3001</v>
      </c>
      <c r="C142" s="1926"/>
      <c r="D142" s="1926"/>
      <c r="E142" s="1890" t="s">
        <v>2868</v>
      </c>
      <c r="F142" s="1932" t="s">
        <v>488</v>
      </c>
      <c r="G142" s="1932"/>
      <c r="H142" s="1932"/>
      <c r="I142" s="1929"/>
      <c r="J142" s="1930"/>
      <c r="K142" s="1931"/>
      <c r="L142" s="1891" t="s">
        <v>3425</v>
      </c>
    </row>
    <row r="143" spans="1:12" s="1885" customFormat="1" ht="21.75" customHeight="1">
      <c r="A143" s="1906"/>
      <c r="B143" s="1907"/>
      <c r="C143" s="1907"/>
      <c r="D143" s="1907"/>
      <c r="E143" s="1892" t="s">
        <v>2866</v>
      </c>
      <c r="F143" s="1909" t="s">
        <v>3002</v>
      </c>
      <c r="G143" s="1909"/>
      <c r="H143" s="1909"/>
      <c r="I143" s="1909"/>
      <c r="J143" s="1909"/>
      <c r="K143" s="1910"/>
      <c r="L143" s="1891" t="s">
        <v>3425</v>
      </c>
    </row>
    <row r="144" spans="1:12" s="1885" customFormat="1" ht="10.5" customHeight="1">
      <c r="A144" s="1906"/>
      <c r="B144" s="1907"/>
      <c r="C144" s="1907"/>
      <c r="D144" s="1907"/>
      <c r="E144" s="1892" t="s">
        <v>2867</v>
      </c>
      <c r="F144" s="2003" t="s">
        <v>4125</v>
      </c>
      <c r="G144" s="2003"/>
      <c r="H144" s="2003"/>
      <c r="I144" s="2003"/>
      <c r="J144" s="2003"/>
      <c r="K144" s="2004"/>
      <c r="L144" s="1891" t="s">
        <v>3425</v>
      </c>
    </row>
    <row r="145" spans="1:12" s="1885" customFormat="1" ht="10.5" customHeight="1">
      <c r="A145" s="1906"/>
      <c r="B145" s="1907"/>
      <c r="C145" s="1907"/>
      <c r="D145" s="1907"/>
      <c r="E145" s="1892" t="s">
        <v>2869</v>
      </c>
      <c r="F145" s="1911" t="s">
        <v>3003</v>
      </c>
      <c r="G145" s="1911"/>
      <c r="H145" s="1911"/>
      <c r="I145" s="1934"/>
      <c r="J145" s="1935"/>
      <c r="K145" s="1920"/>
      <c r="L145" s="1891" t="s">
        <v>3425</v>
      </c>
    </row>
    <row r="146" spans="1:12" s="1885" customFormat="1" ht="10.5" customHeight="1">
      <c r="A146" s="1911"/>
      <c r="B146" s="1907"/>
      <c r="C146" s="1907"/>
      <c r="D146" s="1907"/>
      <c r="E146" s="1892" t="s">
        <v>2870</v>
      </c>
      <c r="F146" s="1911" t="s">
        <v>3004</v>
      </c>
      <c r="G146" s="1911"/>
      <c r="H146" s="1911"/>
      <c r="I146" s="1934"/>
      <c r="J146" s="1935"/>
      <c r="K146" s="1920"/>
      <c r="L146" s="1891" t="s">
        <v>3425</v>
      </c>
    </row>
    <row r="147" spans="1:12" s="1885" customFormat="1" ht="10.5" customHeight="1">
      <c r="A147" s="1957"/>
      <c r="B147" s="1958"/>
      <c r="C147" s="1958"/>
      <c r="D147" s="1958"/>
      <c r="E147" s="1947" t="s">
        <v>2871</v>
      </c>
      <c r="F147" s="1959" t="s">
        <v>3005</v>
      </c>
      <c r="G147" s="1959"/>
      <c r="H147" s="1959"/>
      <c r="I147" s="1934"/>
      <c r="J147" s="1935"/>
      <c r="K147" s="1920"/>
      <c r="L147" s="1891" t="s">
        <v>3425</v>
      </c>
    </row>
    <row r="148" spans="1:12" s="1885" customFormat="1" ht="10.5" customHeight="1">
      <c r="A148" s="1966">
        <v>28</v>
      </c>
      <c r="B148" s="1933" t="s">
        <v>3006</v>
      </c>
      <c r="C148" s="1933"/>
      <c r="D148" s="1926" t="s">
        <v>3061</v>
      </c>
      <c r="E148" s="1890" t="s">
        <v>2868</v>
      </c>
      <c r="F148" s="1932" t="s">
        <v>4126</v>
      </c>
      <c r="G148" s="1932"/>
      <c r="H148" s="1932"/>
      <c r="I148" s="1929"/>
      <c r="J148" s="1930"/>
      <c r="K148" s="1931"/>
      <c r="L148" s="1891" t="s">
        <v>3425</v>
      </c>
    </row>
    <row r="149" spans="1:12" s="1885" customFormat="1" ht="21.75" customHeight="1">
      <c r="A149" s="1906"/>
      <c r="B149" s="1905"/>
      <c r="C149" s="1905"/>
      <c r="D149" s="1907"/>
      <c r="E149" s="1892"/>
      <c r="F149" s="1908" t="s">
        <v>4127</v>
      </c>
      <c r="G149" s="1909"/>
      <c r="H149" s="1909"/>
      <c r="I149" s="1934"/>
      <c r="J149" s="1935"/>
      <c r="K149" s="1920"/>
      <c r="L149" s="1891" t="s">
        <v>3425</v>
      </c>
    </row>
    <row r="150" spans="1:12" s="1885" customFormat="1" ht="21.75" customHeight="1">
      <c r="A150" s="1906"/>
      <c r="B150" s="1911"/>
      <c r="C150" s="1912"/>
      <c r="D150" s="1907" t="s">
        <v>3059</v>
      </c>
      <c r="E150" s="1892" t="s">
        <v>2866</v>
      </c>
      <c r="F150" s="1908" t="s">
        <v>4128</v>
      </c>
      <c r="G150" s="1909"/>
      <c r="H150" s="1909"/>
      <c r="I150" s="1934"/>
      <c r="J150" s="1935"/>
      <c r="K150" s="1920"/>
      <c r="L150" s="1891" t="s">
        <v>3425</v>
      </c>
    </row>
    <row r="151" spans="1:12" s="1885" customFormat="1" ht="10.5" customHeight="1">
      <c r="A151" s="1911"/>
      <c r="B151" s="1911"/>
      <c r="C151" s="1911"/>
      <c r="D151" s="1907"/>
      <c r="E151" s="1921"/>
      <c r="F151" s="1911" t="s">
        <v>3049</v>
      </c>
      <c r="G151" s="1911"/>
      <c r="H151" s="1911"/>
      <c r="I151" s="1934"/>
      <c r="J151" s="1935"/>
      <c r="K151" s="1920"/>
      <c r="L151" s="1891" t="s">
        <v>3425</v>
      </c>
    </row>
    <row r="152" spans="1:12" s="1885" customFormat="1" ht="21.75" customHeight="1">
      <c r="A152" s="1911"/>
      <c r="B152" s="1911"/>
      <c r="C152" s="1911"/>
      <c r="D152" s="1907"/>
      <c r="E152" s="1921"/>
      <c r="F152" s="2005" t="s">
        <v>4129</v>
      </c>
      <c r="G152" s="2006"/>
      <c r="H152" s="2006"/>
      <c r="I152" s="1934"/>
      <c r="J152" s="1935"/>
      <c r="K152" s="1920"/>
      <c r="L152" s="1891" t="s">
        <v>3425</v>
      </c>
    </row>
    <row r="153" spans="1:12" s="1885" customFormat="1" ht="10.5" customHeight="1">
      <c r="A153" s="1983"/>
      <c r="B153" s="1983"/>
      <c r="C153" s="1984"/>
      <c r="D153" s="1985" t="s">
        <v>2959</v>
      </c>
      <c r="E153" s="1895" t="s">
        <v>2867</v>
      </c>
      <c r="F153" s="1983" t="s">
        <v>4130</v>
      </c>
      <c r="G153" s="1983"/>
      <c r="H153" s="1983"/>
      <c r="I153" s="1986"/>
      <c r="J153" s="1987"/>
      <c r="K153" s="1988"/>
      <c r="L153" s="1891" t="s">
        <v>3422</v>
      </c>
    </row>
    <row r="154" spans="1:12" s="1885" customFormat="1" ht="10.5" customHeight="1">
      <c r="A154" s="1899">
        <v>29</v>
      </c>
      <c r="B154" s="1898" t="s">
        <v>3058</v>
      </c>
      <c r="C154" s="1898"/>
      <c r="D154" s="2007"/>
      <c r="E154" s="1901" t="s">
        <v>2868</v>
      </c>
      <c r="F154" s="1902" t="s">
        <v>3007</v>
      </c>
      <c r="G154" s="1902"/>
      <c r="H154" s="1902"/>
      <c r="I154" s="1942"/>
      <c r="J154" s="1943"/>
      <c r="K154" s="1903"/>
      <c r="L154" s="1891" t="s">
        <v>3422</v>
      </c>
    </row>
    <row r="155" spans="1:12" s="1885" customFormat="1" ht="10.5" customHeight="1">
      <c r="A155" s="1906"/>
      <c r="B155" s="1905"/>
      <c r="C155" s="1905"/>
      <c r="D155" s="1907"/>
      <c r="E155" s="1892" t="s">
        <v>2866</v>
      </c>
      <c r="F155" s="1911" t="s">
        <v>3205</v>
      </c>
      <c r="G155" s="1911"/>
      <c r="H155" s="1911"/>
      <c r="I155" s="1934"/>
      <c r="J155" s="1935"/>
      <c r="K155" s="1920"/>
      <c r="L155" s="1891" t="s">
        <v>3422</v>
      </c>
    </row>
    <row r="156" spans="1:12" s="1885" customFormat="1" ht="10.5" customHeight="1">
      <c r="A156" s="1966">
        <v>30</v>
      </c>
      <c r="B156" s="1933" t="s">
        <v>4131</v>
      </c>
      <c r="C156" s="1933"/>
      <c r="D156" s="1926" t="s">
        <v>2974</v>
      </c>
      <c r="E156" s="1890" t="s">
        <v>2868</v>
      </c>
      <c r="F156" s="2008" t="s">
        <v>4271</v>
      </c>
      <c r="G156" s="1932"/>
      <c r="H156" s="1932"/>
      <c r="I156" s="1929"/>
      <c r="J156" s="1930"/>
      <c r="K156" s="1931"/>
      <c r="L156" s="1891" t="s">
        <v>3425</v>
      </c>
    </row>
    <row r="157" spans="1:12" s="1885" customFormat="1" ht="10.5" customHeight="1">
      <c r="A157" s="1906"/>
      <c r="B157" s="1905"/>
      <c r="C157" s="1905"/>
      <c r="D157" s="1969" t="s">
        <v>4135</v>
      </c>
      <c r="E157" s="1892" t="s">
        <v>2866</v>
      </c>
      <c r="F157" s="2002" t="s">
        <v>4270</v>
      </c>
      <c r="G157" s="1911"/>
      <c r="H157" s="1911"/>
      <c r="I157" s="1934"/>
      <c r="J157" s="1935"/>
      <c r="K157" s="1920"/>
      <c r="L157" s="1891" t="s">
        <v>3425</v>
      </c>
    </row>
    <row r="158" spans="1:12" s="1885" customFormat="1" ht="10.5" customHeight="1">
      <c r="A158" s="1906"/>
      <c r="B158" s="1905"/>
      <c r="C158" s="1905"/>
      <c r="D158" s="1969"/>
      <c r="E158" s="1921"/>
      <c r="F158" s="1911" t="s">
        <v>3206</v>
      </c>
      <c r="G158" s="1911"/>
      <c r="H158" s="1911"/>
      <c r="I158" s="1934"/>
      <c r="J158" s="1935"/>
      <c r="K158" s="1920"/>
      <c r="L158" s="1891" t="s">
        <v>3425</v>
      </c>
    </row>
    <row r="159" spans="1:12" s="1885" customFormat="1" ht="10.5" customHeight="1">
      <c r="A159" s="1906"/>
      <c r="B159" s="1905"/>
      <c r="C159" s="1905"/>
      <c r="D159" s="1911"/>
      <c r="E159" s="1921"/>
      <c r="F159" s="1911" t="s">
        <v>3207</v>
      </c>
      <c r="G159" s="1911"/>
      <c r="H159" s="1911"/>
      <c r="I159" s="1934"/>
      <c r="J159" s="1935"/>
      <c r="K159" s="1920"/>
      <c r="L159" s="1891" t="s">
        <v>3425</v>
      </c>
    </row>
    <row r="160" spans="1:12" s="1885" customFormat="1" ht="10.5" customHeight="1">
      <c r="A160" s="1906"/>
      <c r="B160" s="2009"/>
      <c r="C160" s="1911"/>
      <c r="D160" s="1911"/>
      <c r="E160" s="1921"/>
      <c r="F160" s="1911" t="s">
        <v>4132</v>
      </c>
      <c r="G160" s="1911"/>
      <c r="H160" s="1911"/>
      <c r="I160" s="1934"/>
      <c r="J160" s="1935"/>
      <c r="K160" s="1920"/>
      <c r="L160" s="1891" t="s">
        <v>3425</v>
      </c>
    </row>
    <row r="161" spans="1:12" s="1885" customFormat="1" ht="10.5" customHeight="1">
      <c r="A161" s="1906"/>
      <c r="B161" s="2009"/>
      <c r="C161" s="1907"/>
      <c r="D161" s="1906"/>
      <c r="E161" s="1921"/>
      <c r="F161" s="1911" t="s">
        <v>4133</v>
      </c>
      <c r="G161" s="1911"/>
      <c r="H161" s="1911"/>
      <c r="I161" s="1934"/>
      <c r="J161" s="1935"/>
      <c r="K161" s="1920"/>
      <c r="L161" s="1891" t="s">
        <v>3425</v>
      </c>
    </row>
    <row r="162" spans="1:12" s="1885" customFormat="1" ht="10.5" customHeight="1">
      <c r="A162" s="1906"/>
      <c r="B162" s="1911"/>
      <c r="C162" s="1912"/>
      <c r="D162" s="1911"/>
      <c r="E162" s="1921"/>
      <c r="F162" s="1911" t="s">
        <v>4134</v>
      </c>
      <c r="G162" s="1911"/>
      <c r="H162" s="1911"/>
      <c r="I162" s="1934"/>
      <c r="J162" s="1935"/>
      <c r="K162" s="1920"/>
      <c r="L162" s="1891" t="s">
        <v>3425</v>
      </c>
    </row>
    <row r="163" spans="1:12" s="1885" customFormat="1" ht="10.5" customHeight="1">
      <c r="A163" s="1906"/>
      <c r="B163" s="1911"/>
      <c r="C163" s="1907"/>
      <c r="D163" s="1906" t="s">
        <v>2976</v>
      </c>
      <c r="E163" s="1892" t="s">
        <v>2867</v>
      </c>
      <c r="F163" s="1911" t="s">
        <v>3208</v>
      </c>
      <c r="G163" s="1911"/>
      <c r="H163" s="1911"/>
      <c r="I163" s="1934"/>
      <c r="J163" s="1935"/>
      <c r="K163" s="1920"/>
      <c r="L163" s="1891" t="s">
        <v>3425</v>
      </c>
    </row>
    <row r="164" spans="1:12" s="1885" customFormat="1" ht="10.5" customHeight="1">
      <c r="A164" s="1906"/>
      <c r="B164" s="1911"/>
      <c r="C164" s="1911"/>
      <c r="D164" s="1907"/>
      <c r="E164" s="1921"/>
      <c r="F164" s="1911" t="s">
        <v>3209</v>
      </c>
      <c r="G164" s="1911"/>
      <c r="H164" s="1911"/>
      <c r="I164" s="1934"/>
      <c r="J164" s="1935"/>
      <c r="K164" s="1920"/>
      <c r="L164" s="1891" t="s">
        <v>3425</v>
      </c>
    </row>
    <row r="165" spans="1:12" s="1885" customFormat="1" ht="10.5" customHeight="1">
      <c r="A165" s="1906"/>
      <c r="B165" s="1907"/>
      <c r="C165" s="1907"/>
      <c r="D165" s="1906" t="s">
        <v>2983</v>
      </c>
      <c r="E165" s="1892" t="s">
        <v>2869</v>
      </c>
      <c r="F165" s="1911" t="s">
        <v>4272</v>
      </c>
      <c r="G165" s="1911"/>
      <c r="H165" s="1911"/>
      <c r="I165" s="1934"/>
      <c r="J165" s="1935"/>
      <c r="K165" s="1920"/>
      <c r="L165" s="1891" t="s">
        <v>3425</v>
      </c>
    </row>
    <row r="166" spans="1:12" s="1885" customFormat="1" ht="10.5" customHeight="1">
      <c r="A166" s="1966">
        <v>31</v>
      </c>
      <c r="B166" s="1933" t="s">
        <v>3216</v>
      </c>
      <c r="C166" s="1933"/>
      <c r="D166" s="1926" t="s">
        <v>2974</v>
      </c>
      <c r="E166" s="1890" t="s">
        <v>2868</v>
      </c>
      <c r="F166" s="1932" t="s">
        <v>3214</v>
      </c>
      <c r="G166" s="1932"/>
      <c r="H166" s="1932"/>
      <c r="I166" s="1929"/>
      <c r="J166" s="1930"/>
      <c r="K166" s="1931"/>
      <c r="L166" s="1891" t="s">
        <v>3425</v>
      </c>
    </row>
    <row r="167" spans="1:12" s="1885" customFormat="1" ht="10.5" customHeight="1">
      <c r="A167" s="1906"/>
      <c r="B167" s="1905"/>
      <c r="C167" s="1905"/>
      <c r="D167" s="1907"/>
      <c r="E167" s="1892"/>
      <c r="F167" s="1909" t="s">
        <v>3215</v>
      </c>
      <c r="G167" s="1909"/>
      <c r="H167" s="1909"/>
      <c r="I167" s="1909"/>
      <c r="J167" s="1909"/>
      <c r="K167" s="1910"/>
      <c r="L167" s="1891" t="s">
        <v>3425</v>
      </c>
    </row>
    <row r="168" spans="1:12" s="1885" customFormat="1" ht="10.5" customHeight="1">
      <c r="A168" s="1966">
        <v>32</v>
      </c>
      <c r="B168" s="1926" t="s">
        <v>3219</v>
      </c>
      <c r="C168" s="1926"/>
      <c r="D168" s="1926"/>
      <c r="E168" s="1890" t="s">
        <v>2868</v>
      </c>
      <c r="F168" s="1932" t="s">
        <v>4273</v>
      </c>
      <c r="G168" s="1932"/>
      <c r="H168" s="1932"/>
      <c r="I168" s="1929"/>
      <c r="J168" s="1930"/>
      <c r="K168" s="1931"/>
      <c r="L168" s="1891" t="s">
        <v>3425</v>
      </c>
    </row>
    <row r="169" spans="1:12" s="1885" customFormat="1" ht="10.5" customHeight="1">
      <c r="A169" s="1966">
        <v>33</v>
      </c>
      <c r="B169" s="1933" t="s">
        <v>4136</v>
      </c>
      <c r="C169" s="1933"/>
      <c r="D169" s="1926"/>
      <c r="E169" s="1890" t="s">
        <v>2868</v>
      </c>
      <c r="F169" s="1932" t="s">
        <v>3008</v>
      </c>
      <c r="G169" s="1932"/>
      <c r="H169" s="1932"/>
      <c r="I169" s="1929"/>
      <c r="J169" s="1930"/>
      <c r="K169" s="1931"/>
      <c r="L169" s="1891" t="s">
        <v>3425</v>
      </c>
    </row>
    <row r="170" spans="1:12" s="1885" customFormat="1" ht="10.5" customHeight="1">
      <c r="A170" s="1906"/>
      <c r="B170" s="1905"/>
      <c r="C170" s="1905"/>
      <c r="D170" s="1907"/>
      <c r="E170" s="1892" t="s">
        <v>2866</v>
      </c>
      <c r="F170" s="1911" t="s">
        <v>4276</v>
      </c>
      <c r="G170" s="1911"/>
      <c r="H170" s="1911"/>
      <c r="I170" s="1934"/>
      <c r="J170" s="1935"/>
      <c r="K170" s="1920"/>
      <c r="L170" s="1891" t="s">
        <v>3425</v>
      </c>
    </row>
    <row r="171" spans="1:12" s="1885" customFormat="1" ht="10.5" customHeight="1">
      <c r="A171" s="1906"/>
      <c r="B171" s="1905"/>
      <c r="C171" s="1905"/>
      <c r="D171" s="1907"/>
      <c r="E171" s="1892" t="s">
        <v>2867</v>
      </c>
      <c r="F171" s="1911" t="s">
        <v>4213</v>
      </c>
      <c r="G171" s="1911"/>
      <c r="H171" s="1911"/>
      <c r="I171" s="1934"/>
      <c r="J171" s="1935"/>
      <c r="K171" s="1920"/>
      <c r="L171" s="1891" t="s">
        <v>3425</v>
      </c>
    </row>
    <row r="172" spans="1:12" s="1885" customFormat="1" ht="10.5" customHeight="1">
      <c r="A172" s="1906"/>
      <c r="B172" s="1907"/>
      <c r="C172" s="1907"/>
      <c r="D172" s="1907"/>
      <c r="E172" s="1892" t="s">
        <v>2869</v>
      </c>
      <c r="F172" s="1911" t="s">
        <v>3217</v>
      </c>
      <c r="G172" s="1911"/>
      <c r="H172" s="1911"/>
      <c r="I172" s="1934"/>
      <c r="J172" s="1935"/>
      <c r="K172" s="1920"/>
      <c r="L172" s="1891" t="s">
        <v>3425</v>
      </c>
    </row>
    <row r="173" spans="1:12" s="1885" customFormat="1" ht="10.5" customHeight="1">
      <c r="A173" s="1957"/>
      <c r="B173" s="1958"/>
      <c r="C173" s="1958"/>
      <c r="D173" s="1958"/>
      <c r="E173" s="1947" t="s">
        <v>2870</v>
      </c>
      <c r="F173" s="1959" t="s">
        <v>3218</v>
      </c>
      <c r="G173" s="1959"/>
      <c r="H173" s="1959"/>
      <c r="I173" s="1934"/>
      <c r="J173" s="1935"/>
      <c r="K173" s="1920"/>
      <c r="L173" s="1891" t="s">
        <v>3425</v>
      </c>
    </row>
    <row r="174" spans="1:12" s="1885" customFormat="1" ht="10.5" customHeight="1">
      <c r="A174" s="1966">
        <v>34</v>
      </c>
      <c r="B174" s="1933" t="s">
        <v>3220</v>
      </c>
      <c r="C174" s="1933"/>
      <c r="D174" s="1907"/>
      <c r="E174" s="1892" t="s">
        <v>2868</v>
      </c>
      <c r="F174" s="2002" t="s">
        <v>4214</v>
      </c>
      <c r="G174" s="1911"/>
      <c r="H174" s="1911"/>
      <c r="I174" s="1929"/>
      <c r="J174" s="1930"/>
      <c r="K174" s="1931"/>
      <c r="L174" s="1891" t="s">
        <v>3425</v>
      </c>
    </row>
    <row r="175" spans="1:12" s="1885" customFormat="1" ht="10.5" customHeight="1">
      <c r="A175" s="1906"/>
      <c r="B175" s="1905"/>
      <c r="C175" s="1905"/>
      <c r="D175" s="1907"/>
      <c r="E175" s="1892" t="s">
        <v>2866</v>
      </c>
      <c r="F175" s="1911" t="s">
        <v>4137</v>
      </c>
      <c r="G175" s="1911"/>
      <c r="H175" s="1911"/>
      <c r="I175" s="1929"/>
      <c r="J175" s="1930"/>
      <c r="K175" s="1931"/>
      <c r="L175" s="1891" t="s">
        <v>3425</v>
      </c>
    </row>
    <row r="176" spans="1:12" s="1885" customFormat="1" ht="10.5" customHeight="1">
      <c r="A176" s="1906"/>
      <c r="B176" s="1905"/>
      <c r="C176" s="1905"/>
      <c r="D176" s="1907"/>
      <c r="E176" s="1892" t="s">
        <v>2867</v>
      </c>
      <c r="F176" s="1911" t="s">
        <v>4138</v>
      </c>
      <c r="G176" s="1911"/>
      <c r="H176" s="1911"/>
      <c r="I176" s="1929"/>
      <c r="J176" s="1930"/>
      <c r="K176" s="1931"/>
      <c r="L176" s="1891" t="s">
        <v>3425</v>
      </c>
    </row>
    <row r="177" spans="1:12" s="1885" customFormat="1" ht="10.5" customHeight="1">
      <c r="A177" s="1957"/>
      <c r="B177" s="1958"/>
      <c r="C177" s="1958"/>
      <c r="D177" s="1958"/>
      <c r="E177" s="1947" t="s">
        <v>2869</v>
      </c>
      <c r="F177" s="1959" t="s">
        <v>4139</v>
      </c>
      <c r="G177" s="1959"/>
      <c r="H177" s="1959"/>
      <c r="I177" s="1929"/>
      <c r="J177" s="1930"/>
      <c r="K177" s="1931"/>
      <c r="L177" s="1891" t="s">
        <v>3425</v>
      </c>
    </row>
    <row r="178" spans="1:12" s="1885" customFormat="1" ht="10.5" customHeight="1">
      <c r="A178" s="1906">
        <v>35</v>
      </c>
      <c r="B178" s="1933" t="s">
        <v>3221</v>
      </c>
      <c r="C178" s="1933"/>
      <c r="D178" s="1907" t="s">
        <v>2974</v>
      </c>
      <c r="E178" s="1892" t="s">
        <v>2868</v>
      </c>
      <c r="F178" s="1911" t="s">
        <v>4141</v>
      </c>
      <c r="G178" s="1911"/>
      <c r="H178" s="1911"/>
      <c r="I178" s="1929"/>
      <c r="J178" s="1930"/>
      <c r="K178" s="1931"/>
      <c r="L178" s="1891" t="s">
        <v>3425</v>
      </c>
    </row>
    <row r="179" spans="1:12" s="1885" customFormat="1" ht="10.5" customHeight="1">
      <c r="A179" s="1906"/>
      <c r="B179" s="1905"/>
      <c r="C179" s="1905"/>
      <c r="D179" s="1907"/>
      <c r="E179" s="1892"/>
      <c r="F179" s="1911" t="s">
        <v>4142</v>
      </c>
      <c r="G179" s="1911"/>
      <c r="H179" s="1911"/>
      <c r="I179" s="1934"/>
      <c r="J179" s="1935"/>
      <c r="K179" s="1920"/>
      <c r="L179" s="1891" t="s">
        <v>3425</v>
      </c>
    </row>
    <row r="180" spans="1:12" s="1885" customFormat="1" ht="10.5" customHeight="1">
      <c r="A180" s="1906"/>
      <c r="B180" s="1905"/>
      <c r="C180" s="1905"/>
      <c r="D180" s="1906" t="s">
        <v>2959</v>
      </c>
      <c r="E180" s="1892" t="s">
        <v>2866</v>
      </c>
      <c r="F180" s="1911" t="s">
        <v>4140</v>
      </c>
      <c r="G180" s="1911"/>
      <c r="H180" s="1911"/>
      <c r="I180" s="1934"/>
      <c r="J180" s="1935"/>
      <c r="K180" s="1920"/>
      <c r="L180" s="1891" t="s">
        <v>3425</v>
      </c>
    </row>
    <row r="181" spans="1:12" s="1885" customFormat="1" ht="10.5" customHeight="1">
      <c r="A181" s="1906"/>
      <c r="B181" s="1907"/>
      <c r="C181" s="1907"/>
      <c r="D181" s="1907" t="s">
        <v>2976</v>
      </c>
      <c r="E181" s="1892" t="s">
        <v>2867</v>
      </c>
      <c r="F181" s="1911" t="s">
        <v>4143</v>
      </c>
      <c r="G181" s="1911"/>
      <c r="H181" s="1911"/>
      <c r="I181" s="1934"/>
      <c r="J181" s="1935"/>
      <c r="K181" s="1920"/>
      <c r="L181" s="1891" t="s">
        <v>3425</v>
      </c>
    </row>
    <row r="182" spans="1:12" s="1885" customFormat="1" ht="10.5" customHeight="1">
      <c r="A182" s="1906"/>
      <c r="B182" s="1907"/>
      <c r="C182" s="1907"/>
      <c r="D182" s="1907"/>
      <c r="E182" s="1892"/>
      <c r="F182" s="1911" t="s">
        <v>4144</v>
      </c>
      <c r="G182" s="1911"/>
      <c r="H182" s="1911"/>
      <c r="I182" s="1934"/>
      <c r="J182" s="1935"/>
      <c r="K182" s="1920"/>
      <c r="L182" s="1891" t="s">
        <v>3425</v>
      </c>
    </row>
    <row r="183" spans="1:12" s="1885" customFormat="1" ht="10.5" customHeight="1">
      <c r="A183" s="1906"/>
      <c r="B183" s="1907"/>
      <c r="C183" s="1907"/>
      <c r="D183" s="1907"/>
      <c r="E183" s="1892"/>
      <c r="F183" s="1911" t="s">
        <v>4145</v>
      </c>
      <c r="G183" s="1911"/>
      <c r="H183" s="1911"/>
      <c r="I183" s="1934"/>
      <c r="J183" s="1935"/>
      <c r="K183" s="1920"/>
      <c r="L183" s="1891" t="s">
        <v>3425</v>
      </c>
    </row>
    <row r="184" spans="1:12" s="1885" customFormat="1" ht="10.5" customHeight="1">
      <c r="A184" s="1906"/>
      <c r="B184" s="1907"/>
      <c r="C184" s="1907"/>
      <c r="D184" s="1907"/>
      <c r="E184" s="1892"/>
      <c r="F184" s="1911" t="s">
        <v>4146</v>
      </c>
      <c r="G184" s="1911"/>
      <c r="H184" s="1911"/>
      <c r="I184" s="1934"/>
      <c r="J184" s="1935"/>
      <c r="K184" s="1920"/>
      <c r="L184" s="1891" t="s">
        <v>3425</v>
      </c>
    </row>
    <row r="185" spans="1:12" s="1885" customFormat="1" ht="10.5" customHeight="1">
      <c r="A185" s="1906"/>
      <c r="B185" s="1907"/>
      <c r="C185" s="1907"/>
      <c r="D185" s="1907"/>
      <c r="E185" s="1892"/>
      <c r="F185" s="1911" t="s">
        <v>4147</v>
      </c>
      <c r="G185" s="1911"/>
      <c r="H185" s="1911"/>
      <c r="I185" s="1934"/>
      <c r="J185" s="1935"/>
      <c r="K185" s="1920"/>
      <c r="L185" s="1891" t="s">
        <v>3425</v>
      </c>
    </row>
    <row r="186" spans="1:12" s="1885" customFormat="1" ht="10.5" customHeight="1">
      <c r="A186" s="1957"/>
      <c r="B186" s="1958"/>
      <c r="C186" s="1958"/>
      <c r="D186" s="1959"/>
      <c r="E186" s="1947"/>
      <c r="F186" s="1959" t="s">
        <v>4148</v>
      </c>
      <c r="G186" s="1959"/>
      <c r="H186" s="1959"/>
      <c r="I186" s="1934"/>
      <c r="J186" s="1935"/>
      <c r="K186" s="1920"/>
      <c r="L186" s="1891" t="s">
        <v>3425</v>
      </c>
    </row>
    <row r="187" spans="1:12" s="1885" customFormat="1" ht="10.5" customHeight="1">
      <c r="A187" s="1966">
        <v>36</v>
      </c>
      <c r="B187" s="1933" t="s">
        <v>4149</v>
      </c>
      <c r="C187" s="1933"/>
      <c r="D187" s="1926"/>
      <c r="E187" s="1890" t="s">
        <v>2868</v>
      </c>
      <c r="F187" s="1932" t="s">
        <v>4150</v>
      </c>
      <c r="G187" s="1932"/>
      <c r="H187" s="1932"/>
      <c r="I187" s="1929"/>
      <c r="J187" s="1932"/>
      <c r="K187" s="1931"/>
      <c r="L187" s="1891" t="s">
        <v>3425</v>
      </c>
    </row>
    <row r="188" spans="1:12" s="1885" customFormat="1" ht="21.75" customHeight="1">
      <c r="A188" s="1906"/>
      <c r="B188" s="1905"/>
      <c r="C188" s="1905"/>
      <c r="D188" s="1907"/>
      <c r="E188" s="1892" t="s">
        <v>2866</v>
      </c>
      <c r="F188" s="1908" t="s">
        <v>4151</v>
      </c>
      <c r="G188" s="1909"/>
      <c r="H188" s="1909"/>
      <c r="I188" s="1934"/>
      <c r="J188" s="1935"/>
      <c r="K188" s="1920"/>
      <c r="L188" s="1891" t="s">
        <v>3425</v>
      </c>
    </row>
    <row r="189" spans="1:12" s="1885" customFormat="1" ht="10.5" customHeight="1">
      <c r="A189" s="1906"/>
      <c r="B189" s="1905"/>
      <c r="C189" s="1905"/>
      <c r="D189" s="1907"/>
      <c r="E189" s="1892" t="s">
        <v>2867</v>
      </c>
      <c r="F189" s="1911" t="s">
        <v>4152</v>
      </c>
      <c r="G189" s="1911"/>
      <c r="H189" s="1911"/>
      <c r="I189" s="1934"/>
      <c r="J189" s="1935"/>
      <c r="K189" s="1920"/>
      <c r="L189" s="1891" t="s">
        <v>3425</v>
      </c>
    </row>
    <row r="190" spans="1:12" s="1885" customFormat="1" ht="10.5" customHeight="1">
      <c r="A190" s="1906"/>
      <c r="B190" s="1907"/>
      <c r="C190" s="1907"/>
      <c r="D190" s="1907"/>
      <c r="E190" s="1892" t="s">
        <v>2869</v>
      </c>
      <c r="F190" s="1911" t="s">
        <v>4153</v>
      </c>
      <c r="G190" s="1911"/>
      <c r="H190" s="1911"/>
      <c r="I190" s="1934"/>
      <c r="J190" s="1935"/>
      <c r="K190" s="1920"/>
      <c r="L190" s="1891" t="s">
        <v>3425</v>
      </c>
    </row>
    <row r="191" spans="1:12" s="1885" customFormat="1" ht="10.5" customHeight="1">
      <c r="A191" s="1906"/>
      <c r="B191" s="1907"/>
      <c r="C191" s="1907"/>
      <c r="D191" s="1907"/>
      <c r="E191" s="1892" t="s">
        <v>2870</v>
      </c>
      <c r="F191" s="1911" t="s">
        <v>4154</v>
      </c>
      <c r="G191" s="1911"/>
      <c r="H191" s="1911"/>
      <c r="I191" s="1934"/>
      <c r="J191" s="1935"/>
      <c r="K191" s="1920"/>
      <c r="L191" s="1891" t="s">
        <v>3425</v>
      </c>
    </row>
    <row r="192" spans="1:12" s="1885" customFormat="1" ht="10.5" customHeight="1">
      <c r="A192" s="1906"/>
      <c r="B192" s="1907"/>
      <c r="C192" s="1907"/>
      <c r="D192" s="1907"/>
      <c r="E192" s="1892" t="s">
        <v>2871</v>
      </c>
      <c r="F192" s="1911" t="s">
        <v>4155</v>
      </c>
      <c r="G192" s="1911"/>
      <c r="H192" s="1911"/>
      <c r="I192" s="1934"/>
      <c r="J192" s="1935"/>
      <c r="K192" s="1920"/>
      <c r="L192" s="1891" t="s">
        <v>3425</v>
      </c>
    </row>
    <row r="193" spans="1:12" s="1885" customFormat="1" ht="10.5" customHeight="1">
      <c r="A193" s="1906"/>
      <c r="B193" s="1907"/>
      <c r="C193" s="1907"/>
      <c r="D193" s="1907"/>
      <c r="E193" s="1947" t="s">
        <v>2872</v>
      </c>
      <c r="F193" s="1911" t="s">
        <v>4156</v>
      </c>
      <c r="G193" s="1911"/>
      <c r="H193" s="1911"/>
      <c r="I193" s="1934"/>
      <c r="J193" s="1935"/>
      <c r="K193" s="1920"/>
      <c r="L193" s="1891" t="s">
        <v>3425</v>
      </c>
    </row>
    <row r="194" spans="1:12" s="1885" customFormat="1" ht="21.75" customHeight="1">
      <c r="A194" s="1971">
        <v>37</v>
      </c>
      <c r="B194" s="1972" t="s">
        <v>3222</v>
      </c>
      <c r="C194" s="1972"/>
      <c r="D194" s="1938" t="s">
        <v>2959</v>
      </c>
      <c r="E194" s="1939" t="s">
        <v>2868</v>
      </c>
      <c r="F194" s="2010" t="s">
        <v>4157</v>
      </c>
      <c r="G194" s="2011"/>
      <c r="H194" s="2011"/>
      <c r="I194" s="2011"/>
      <c r="J194" s="2011"/>
      <c r="K194" s="2012"/>
      <c r="L194" s="1891" t="s">
        <v>3425</v>
      </c>
    </row>
    <row r="195" spans="1:12" s="1885" customFormat="1" ht="10.5" customHeight="1">
      <c r="A195" s="1906">
        <v>38</v>
      </c>
      <c r="B195" s="1905" t="s">
        <v>3223</v>
      </c>
      <c r="C195" s="1905"/>
      <c r="D195" s="1907" t="s">
        <v>2974</v>
      </c>
      <c r="E195" s="1892" t="s">
        <v>2868</v>
      </c>
      <c r="F195" s="1911" t="s">
        <v>487</v>
      </c>
      <c r="G195" s="1911"/>
      <c r="H195" s="1920"/>
      <c r="I195" s="1934"/>
      <c r="J195" s="1935"/>
      <c r="K195" s="1920"/>
      <c r="L195" s="1891" t="s">
        <v>3425</v>
      </c>
    </row>
    <row r="196" spans="1:12" s="1885" customFormat="1" ht="10.5" customHeight="1">
      <c r="A196" s="1906"/>
      <c r="B196" s="1905"/>
      <c r="C196" s="1905"/>
      <c r="D196" s="1907"/>
      <c r="E196" s="1892" t="s">
        <v>2866</v>
      </c>
      <c r="F196" s="1911" t="s">
        <v>443</v>
      </c>
      <c r="G196" s="1911"/>
      <c r="H196" s="1920"/>
      <c r="I196" s="1886"/>
      <c r="J196" s="1893"/>
      <c r="L196" s="1891" t="s">
        <v>3425</v>
      </c>
    </row>
    <row r="197" spans="1:12" s="1885" customFormat="1" ht="10.5" customHeight="1">
      <c r="A197" s="1906"/>
      <c r="B197" s="1905"/>
      <c r="C197" s="1905"/>
      <c r="D197" s="1907"/>
      <c r="E197" s="1892" t="s">
        <v>2867</v>
      </c>
      <c r="F197" s="1911" t="s">
        <v>3009</v>
      </c>
      <c r="G197" s="1911"/>
      <c r="H197" s="1920"/>
      <c r="I197" s="1886"/>
      <c r="J197" s="1893"/>
      <c r="L197" s="1891" t="s">
        <v>3425</v>
      </c>
    </row>
    <row r="198" spans="1:12" s="1885" customFormat="1" ht="10.5" customHeight="1">
      <c r="A198" s="1906"/>
      <c r="B198" s="1911"/>
      <c r="C198" s="1912"/>
      <c r="D198" s="1969" t="s">
        <v>4135</v>
      </c>
      <c r="E198" s="1892" t="s">
        <v>2869</v>
      </c>
      <c r="F198" s="1911" t="s">
        <v>3010</v>
      </c>
      <c r="G198" s="1911"/>
      <c r="H198" s="1920"/>
      <c r="I198" s="1886"/>
      <c r="J198" s="1893"/>
      <c r="L198" s="1891" t="s">
        <v>3425</v>
      </c>
    </row>
    <row r="199" spans="1:12" s="1885" customFormat="1" ht="10.5" customHeight="1">
      <c r="A199" s="1906"/>
      <c r="B199" s="1907"/>
      <c r="C199" s="1907"/>
      <c r="D199" s="2013"/>
      <c r="E199" s="1892" t="s">
        <v>2870</v>
      </c>
      <c r="F199" s="1911" t="s">
        <v>3224</v>
      </c>
      <c r="G199" s="1911"/>
      <c r="H199" s="1920"/>
      <c r="I199" s="1886"/>
      <c r="J199" s="1893"/>
      <c r="L199" s="1891" t="s">
        <v>3425</v>
      </c>
    </row>
    <row r="200" spans="1:12" s="1885" customFormat="1" ht="10.5" customHeight="1">
      <c r="A200" s="1966" t="s">
        <v>3228</v>
      </c>
      <c r="B200" s="1926" t="s">
        <v>3225</v>
      </c>
      <c r="C200" s="1926"/>
      <c r="D200" s="1926" t="s">
        <v>2959</v>
      </c>
      <c r="E200" s="1890" t="s">
        <v>2868</v>
      </c>
      <c r="F200" s="1932" t="s">
        <v>3226</v>
      </c>
      <c r="G200" s="1932"/>
      <c r="H200" s="1931"/>
      <c r="I200" s="1929"/>
      <c r="J200" s="1930"/>
      <c r="K200" s="1931"/>
      <c r="L200" s="1891" t="s">
        <v>3425</v>
      </c>
    </row>
    <row r="201" spans="1:12" s="1885" customFormat="1" ht="10.5" customHeight="1">
      <c r="A201" s="1906"/>
      <c r="B201" s="1911"/>
      <c r="C201" s="1912"/>
      <c r="D201" s="1907" t="s">
        <v>3210</v>
      </c>
      <c r="E201" s="1892" t="s">
        <v>2866</v>
      </c>
      <c r="F201" s="1911" t="s">
        <v>3227</v>
      </c>
      <c r="G201" s="1911"/>
      <c r="H201" s="1920"/>
      <c r="I201" s="1886"/>
      <c r="J201" s="1893"/>
      <c r="L201" s="1891" t="s">
        <v>3425</v>
      </c>
    </row>
    <row r="202" spans="1:12" s="1885" customFormat="1" ht="10.5" customHeight="1">
      <c r="A202" s="1906"/>
      <c r="B202" s="1911"/>
      <c r="C202" s="1912"/>
      <c r="D202" s="1907" t="s">
        <v>2987</v>
      </c>
      <c r="E202" s="1892" t="s">
        <v>2867</v>
      </c>
      <c r="F202" s="1911" t="s">
        <v>3328</v>
      </c>
      <c r="G202" s="1911"/>
      <c r="H202" s="1920"/>
      <c r="I202" s="1886"/>
      <c r="J202" s="1893"/>
      <c r="L202" s="1891" t="s">
        <v>3425</v>
      </c>
    </row>
    <row r="203" spans="1:12" s="1885" customFormat="1" ht="10.5" customHeight="1">
      <c r="A203" s="1906"/>
      <c r="B203" s="1911"/>
      <c r="C203" s="1912"/>
      <c r="D203" s="1907" t="s">
        <v>4160</v>
      </c>
      <c r="E203" s="1892" t="s">
        <v>2869</v>
      </c>
      <c r="F203" s="1911" t="s">
        <v>4161</v>
      </c>
      <c r="G203" s="1911"/>
      <c r="H203" s="1920"/>
      <c r="I203" s="1886"/>
      <c r="J203" s="1893"/>
      <c r="L203" s="1891" t="s">
        <v>3425</v>
      </c>
    </row>
    <row r="204" spans="1:12" s="1885" customFormat="1" ht="10.5" customHeight="1">
      <c r="A204" s="1906"/>
      <c r="B204" s="1911"/>
      <c r="C204" s="1912"/>
      <c r="D204" s="1907" t="s">
        <v>4158</v>
      </c>
      <c r="E204" s="1892" t="s">
        <v>2870</v>
      </c>
      <c r="F204" s="1911" t="s">
        <v>4159</v>
      </c>
      <c r="G204" s="1911"/>
      <c r="H204" s="1920"/>
      <c r="I204" s="1886"/>
      <c r="J204" s="1893"/>
      <c r="L204" s="1891" t="s">
        <v>3425</v>
      </c>
    </row>
    <row r="205" spans="1:12" s="1885" customFormat="1" ht="10.5" customHeight="1">
      <c r="A205" s="1966" t="s">
        <v>3229</v>
      </c>
      <c r="B205" s="1926" t="s">
        <v>4162</v>
      </c>
      <c r="C205" s="1926"/>
      <c r="D205" s="1926"/>
      <c r="E205" s="1890" t="s">
        <v>2868</v>
      </c>
      <c r="F205" s="1932" t="s">
        <v>4163</v>
      </c>
      <c r="G205" s="1932"/>
      <c r="H205" s="1931"/>
      <c r="I205" s="1929"/>
      <c r="J205" s="1930"/>
      <c r="K205" s="1931"/>
      <c r="L205" s="1891" t="s">
        <v>3422</v>
      </c>
    </row>
    <row r="206" spans="1:12" s="1885" customFormat="1" ht="10.5" customHeight="1">
      <c r="A206" s="1906"/>
      <c r="B206" s="1907"/>
      <c r="C206" s="1907"/>
      <c r="D206" s="1907"/>
      <c r="E206" s="1892" t="s">
        <v>2866</v>
      </c>
      <c r="F206" s="1911" t="s">
        <v>4164</v>
      </c>
      <c r="G206" s="1911"/>
      <c r="H206" s="1920"/>
      <c r="I206" s="1886"/>
      <c r="J206" s="1893"/>
      <c r="L206" s="1891" t="s">
        <v>3422</v>
      </c>
    </row>
    <row r="207" spans="1:12" s="1885" customFormat="1" ht="10.5" customHeight="1">
      <c r="A207" s="1906"/>
      <c r="B207" s="1907"/>
      <c r="C207" s="1907"/>
      <c r="D207" s="1907"/>
      <c r="E207" s="1892" t="s">
        <v>2867</v>
      </c>
      <c r="F207" s="1911" t="s">
        <v>4274</v>
      </c>
      <c r="G207" s="1911"/>
      <c r="H207" s="1920"/>
      <c r="I207" s="1886"/>
      <c r="L207" s="1891" t="s">
        <v>3422</v>
      </c>
    </row>
    <row r="208" spans="1:12" s="1885" customFormat="1" ht="10.5" customHeight="1">
      <c r="A208" s="1966" t="s">
        <v>3231</v>
      </c>
      <c r="B208" s="1926" t="s">
        <v>3230</v>
      </c>
      <c r="C208" s="1926"/>
      <c r="D208" s="1926"/>
      <c r="E208" s="2014" t="s">
        <v>2868</v>
      </c>
      <c r="F208" s="1932" t="s">
        <v>4275</v>
      </c>
      <c r="G208" s="1932"/>
      <c r="H208" s="1931"/>
      <c r="I208" s="1929"/>
      <c r="J208" s="1930"/>
      <c r="K208" s="1931"/>
      <c r="L208" s="1891" t="s">
        <v>3422</v>
      </c>
    </row>
    <row r="209" spans="1:12" s="1885" customFormat="1" ht="21.75" customHeight="1">
      <c r="A209" s="1971" t="s">
        <v>3233</v>
      </c>
      <c r="B209" s="1938" t="s">
        <v>3232</v>
      </c>
      <c r="C209" s="1938"/>
      <c r="D209" s="1938"/>
      <c r="E209" s="1939" t="s">
        <v>2868</v>
      </c>
      <c r="F209" s="2015" t="s">
        <v>4165</v>
      </c>
      <c r="G209" s="2016"/>
      <c r="H209" s="2017"/>
      <c r="I209" s="1929"/>
      <c r="J209" s="1930"/>
      <c r="K209" s="1931"/>
      <c r="L209" s="1891" t="s">
        <v>3425</v>
      </c>
    </row>
    <row r="210" spans="1:12" s="1885" customFormat="1" ht="10.5" customHeight="1">
      <c r="A210" s="1906" t="s">
        <v>4215</v>
      </c>
      <c r="B210" s="1907" t="s">
        <v>3075</v>
      </c>
      <c r="C210" s="1907"/>
      <c r="D210" s="1907"/>
      <c r="E210" s="1870" t="s">
        <v>2940</v>
      </c>
      <c r="F210" s="1911"/>
      <c r="G210" s="2018" t="s">
        <v>3076</v>
      </c>
      <c r="H210" s="1911"/>
      <c r="I210" s="1902"/>
      <c r="J210" s="1902"/>
      <c r="K210" s="1902"/>
    </row>
    <row r="211" spans="1:12" s="1885" customFormat="1" ht="10.5" customHeight="1">
      <c r="A211" s="1906"/>
      <c r="B211" s="2019" t="s">
        <v>3062</v>
      </c>
      <c r="C211" s="2019"/>
      <c r="D211" s="2020" t="s">
        <v>3063</v>
      </c>
      <c r="E211" s="2021"/>
      <c r="F211" s="2022" t="s">
        <v>3074</v>
      </c>
      <c r="G211" s="1983"/>
      <c r="H211" s="1983"/>
      <c r="I211" s="1983"/>
      <c r="J211" s="1983"/>
      <c r="K211" s="1983"/>
    </row>
    <row r="212" spans="1:12" s="1885" customFormat="1" ht="21.75" customHeight="1">
      <c r="A212" s="1906"/>
      <c r="B212" s="2023"/>
      <c r="C212" s="2024"/>
      <c r="D212" s="2025"/>
      <c r="E212" s="2026" t="s">
        <v>2868</v>
      </c>
      <c r="F212" s="2027" t="s">
        <v>4391</v>
      </c>
      <c r="G212" s="2027"/>
      <c r="H212" s="2027"/>
      <c r="I212" s="2027"/>
      <c r="J212" s="2027"/>
      <c r="K212" s="2027"/>
      <c r="L212" s="1891" t="s">
        <v>3422</v>
      </c>
    </row>
    <row r="213" spans="1:12" s="1885" customFormat="1" ht="21.75" customHeight="1">
      <c r="A213" s="1882"/>
      <c r="B213" s="2028"/>
      <c r="C213" s="2029"/>
      <c r="D213" s="2030"/>
      <c r="E213" s="2031" t="s">
        <v>2866</v>
      </c>
      <c r="F213" s="2032"/>
      <c r="G213" s="2032"/>
      <c r="H213" s="2032"/>
      <c r="I213" s="2032"/>
      <c r="J213" s="2032"/>
      <c r="K213" s="2032"/>
      <c r="L213" s="1891"/>
    </row>
    <row r="214" spans="1:12" s="1885" customFormat="1" ht="21.75" customHeight="1">
      <c r="A214" s="1882"/>
      <c r="B214" s="2028"/>
      <c r="C214" s="2029"/>
      <c r="D214" s="2030"/>
      <c r="E214" s="2031" t="s">
        <v>2867</v>
      </c>
      <c r="F214" s="2032"/>
      <c r="G214" s="2032"/>
      <c r="H214" s="2032"/>
      <c r="I214" s="2032"/>
      <c r="J214" s="2032"/>
      <c r="K214" s="2032"/>
      <c r="L214" s="1891"/>
    </row>
    <row r="215" spans="1:12" s="1885" customFormat="1" ht="21.75" customHeight="1">
      <c r="A215" s="1882"/>
      <c r="B215" s="2028"/>
      <c r="C215" s="2029"/>
      <c r="D215" s="2030"/>
      <c r="E215" s="2031" t="s">
        <v>2869</v>
      </c>
      <c r="F215" s="2032"/>
      <c r="G215" s="2032"/>
      <c r="H215" s="2032"/>
      <c r="I215" s="2032"/>
      <c r="J215" s="2032"/>
      <c r="K215" s="2032"/>
      <c r="L215" s="1891"/>
    </row>
    <row r="216" spans="1:12" s="1885" customFormat="1" ht="21.75" customHeight="1">
      <c r="A216" s="1882"/>
      <c r="B216" s="2028"/>
      <c r="C216" s="2029"/>
      <c r="D216" s="2030"/>
      <c r="E216" s="2031" t="s">
        <v>2870</v>
      </c>
      <c r="F216" s="2032"/>
      <c r="G216" s="2032"/>
      <c r="H216" s="2032"/>
      <c r="I216" s="2032"/>
      <c r="J216" s="2032"/>
      <c r="K216" s="2032"/>
      <c r="L216" s="1891"/>
    </row>
    <row r="217" spans="1:12" s="1885" customFormat="1" ht="21.75" customHeight="1">
      <c r="A217" s="1882"/>
      <c r="B217" s="2028"/>
      <c r="C217" s="2029"/>
      <c r="D217" s="2030"/>
      <c r="E217" s="2031" t="s">
        <v>2871</v>
      </c>
      <c r="F217" s="2032"/>
      <c r="G217" s="2032"/>
      <c r="H217" s="2032"/>
      <c r="I217" s="2032"/>
      <c r="J217" s="2032"/>
      <c r="K217" s="2032"/>
      <c r="L217" s="1891"/>
    </row>
    <row r="218" spans="1:12" s="1885" customFormat="1" ht="21.75" customHeight="1">
      <c r="A218" s="1882"/>
      <c r="B218" s="2028"/>
      <c r="C218" s="2029"/>
      <c r="D218" s="2030"/>
      <c r="E218" s="2031" t="s">
        <v>2872</v>
      </c>
      <c r="F218" s="2032"/>
      <c r="G218" s="2032"/>
      <c r="H218" s="2032"/>
      <c r="I218" s="2032"/>
      <c r="J218" s="2032"/>
      <c r="K218" s="2032"/>
      <c r="L218" s="1891"/>
    </row>
    <row r="219" spans="1:12" s="1885" customFormat="1" ht="21.75" customHeight="1">
      <c r="A219" s="1882"/>
      <c r="B219" s="2028"/>
      <c r="C219" s="2029"/>
      <c r="D219" s="2030"/>
      <c r="E219" s="2031" t="s">
        <v>3025</v>
      </c>
      <c r="F219" s="2032"/>
      <c r="G219" s="2032"/>
      <c r="H219" s="2032"/>
      <c r="I219" s="2032"/>
      <c r="J219" s="2032"/>
      <c r="K219" s="2032"/>
      <c r="L219" s="1891"/>
    </row>
    <row r="220" spans="1:12" s="1885" customFormat="1" ht="21.75" customHeight="1">
      <c r="A220" s="1882"/>
      <c r="B220" s="2028"/>
      <c r="C220" s="2029"/>
      <c r="D220" s="2030"/>
      <c r="E220" s="2031" t="s">
        <v>3026</v>
      </c>
      <c r="F220" s="2032"/>
      <c r="G220" s="2032"/>
      <c r="H220" s="2032"/>
      <c r="I220" s="2032"/>
      <c r="J220" s="2032"/>
      <c r="K220" s="2032"/>
      <c r="L220" s="1891"/>
    </row>
    <row r="221" spans="1:12" s="1885" customFormat="1" ht="21.75" customHeight="1">
      <c r="A221" s="1882"/>
      <c r="B221" s="2028"/>
      <c r="C221" s="2029"/>
      <c r="D221" s="2030"/>
      <c r="E221" s="2031" t="s">
        <v>3060</v>
      </c>
      <c r="F221" s="2032"/>
      <c r="G221" s="2032"/>
      <c r="H221" s="2032"/>
      <c r="I221" s="2032"/>
      <c r="J221" s="2032"/>
      <c r="K221" s="2032"/>
      <c r="L221" s="2033"/>
    </row>
    <row r="222" spans="1:12" s="1885" customFormat="1" ht="21.75" customHeight="1">
      <c r="A222" s="1906"/>
      <c r="B222" s="2028"/>
      <c r="C222" s="2029"/>
      <c r="D222" s="2030"/>
      <c r="E222" s="2031" t="s">
        <v>4107</v>
      </c>
      <c r="F222" s="2032"/>
      <c r="G222" s="2032"/>
      <c r="H222" s="2032"/>
      <c r="I222" s="2032"/>
      <c r="J222" s="2032"/>
      <c r="K222" s="2032"/>
      <c r="L222" s="2034"/>
    </row>
    <row r="223" spans="1:12" s="1885" customFormat="1" ht="21.75" customHeight="1">
      <c r="A223" s="1882"/>
      <c r="B223" s="2035"/>
      <c r="C223" s="2036"/>
      <c r="D223" s="2037"/>
      <c r="E223" s="2038" t="s">
        <v>4108</v>
      </c>
      <c r="F223" s="2039"/>
      <c r="G223" s="2039"/>
      <c r="H223" s="2039"/>
      <c r="I223" s="2039"/>
      <c r="J223" s="2039"/>
      <c r="K223" s="2039"/>
      <c r="L223" s="1891"/>
    </row>
    <row r="224" spans="1:12" s="1885" customFormat="1" ht="33.75" customHeight="1">
      <c r="A224" s="2040" t="s">
        <v>3077</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725lamHwZ3Jxq5JZZrmVeS25vrBhF9qFlJRMOEhB79BUHnZAdV2ZQmrBHwLXRYb2W7+fu7n78Fqjohb8cC/CJQ==" saltValue="FahvjQaT3ocFBe+niHNVeA=="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78" width="9.140625" style="160"/>
    <col min="279" max="295" width="9.140625" style="508"/>
    <col min="296" max="16384" width="9.140625" style="86"/>
  </cols>
  <sheetData>
    <row r="1" spans="1:295" s="95" customFormat="1" ht="13.9" customHeight="1">
      <c r="A1" s="1436" t="str">
        <f>CONCATENATE("PART SIX - PROJECTED REVENUES &amp; EXPENSES","  -  ",'Part I-Project Information'!$O$4," ",'Part I-Project Information'!$F$24,", ",'Part I-Project Information'!F28,", ",'Part I-Project Information'!J29," County")</f>
        <v>PART SIX - PROJECTED REVENUES &amp; EXPENSES  -  2015-009 The Cove at York, Centerville, Houston County</v>
      </c>
      <c r="B1" s="1437"/>
      <c r="C1" s="1437"/>
      <c r="D1" s="1437"/>
      <c r="E1" s="1437"/>
      <c r="F1" s="1437"/>
      <c r="G1" s="1437"/>
      <c r="H1" s="1437"/>
      <c r="I1" s="1437"/>
      <c r="J1" s="1437"/>
      <c r="K1" s="1437"/>
      <c r="L1" s="1437"/>
      <c r="M1" s="1437"/>
      <c r="N1" s="1437"/>
      <c r="O1" s="1437"/>
      <c r="P1" s="1438"/>
      <c r="T1" s="1526" t="str">
        <f>A1</f>
        <v>PART SIX - PROJECTED REVENUES &amp; EXPENSES  -  2015-009 The Cove at York, Centerville, Houston County</v>
      </c>
      <c r="U1" s="1526"/>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100"/>
      <c r="JR1" s="100"/>
      <c r="JS1" s="510"/>
      <c r="JT1" s="510"/>
      <c r="JU1" s="510"/>
      <c r="JV1" s="510"/>
      <c r="JW1" s="510"/>
      <c r="JX1" s="510"/>
      <c r="JY1" s="510"/>
      <c r="JZ1" s="510"/>
      <c r="KA1" s="510"/>
      <c r="KB1" s="510"/>
      <c r="KC1" s="510"/>
      <c r="KD1" s="510"/>
      <c r="KE1" s="510"/>
      <c r="KF1" s="510"/>
      <c r="KG1" s="510"/>
      <c r="KH1" s="510"/>
      <c r="KI1" s="510"/>
    </row>
    <row r="2" spans="1:295" ht="9" customHeight="1">
      <c r="G2" s="2049" t="s">
        <v>4387</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2478</v>
      </c>
      <c r="C3" s="1"/>
      <c r="D3" s="671" t="s">
        <v>4388</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2561</v>
      </c>
      <c r="FC3" s="514" t="s">
        <v>2562</v>
      </c>
      <c r="FD3" s="514" t="s">
        <v>2563</v>
      </c>
      <c r="FE3" s="514" t="s">
        <v>2564</v>
      </c>
      <c r="FF3" s="514" t="s">
        <v>507</v>
      </c>
      <c r="FG3" s="514" t="s">
        <v>2561</v>
      </c>
      <c r="FH3" s="514" t="s">
        <v>2562</v>
      </c>
      <c r="FI3" s="514" t="s">
        <v>2563</v>
      </c>
      <c r="FJ3" s="514" t="s">
        <v>2564</v>
      </c>
      <c r="FK3" s="516"/>
      <c r="FL3" s="516"/>
      <c r="FM3" s="516"/>
      <c r="FN3" s="516"/>
      <c r="FO3" s="516"/>
      <c r="FP3" s="516"/>
      <c r="FQ3" s="516"/>
      <c r="FR3" s="516"/>
      <c r="FS3" s="516"/>
      <c r="FT3" s="516"/>
      <c r="FU3" s="514" t="s">
        <v>507</v>
      </c>
      <c r="FV3" s="514" t="s">
        <v>2561</v>
      </c>
      <c r="FW3" s="514" t="s">
        <v>2562</v>
      </c>
      <c r="FX3" s="514" t="s">
        <v>2563</v>
      </c>
      <c r="FY3" s="514" t="s">
        <v>2564</v>
      </c>
      <c r="FZ3" s="514" t="s">
        <v>507</v>
      </c>
      <c r="GA3" s="514" t="s">
        <v>2561</v>
      </c>
      <c r="GB3" s="514" t="s">
        <v>2562</v>
      </c>
      <c r="GC3" s="514" t="s">
        <v>2563</v>
      </c>
      <c r="GD3" s="514" t="s">
        <v>2564</v>
      </c>
      <c r="GE3" s="514" t="s">
        <v>507</v>
      </c>
      <c r="GF3" s="514" t="s">
        <v>2561</v>
      </c>
      <c r="GG3" s="514" t="s">
        <v>2562</v>
      </c>
      <c r="GH3" s="514" t="s">
        <v>2563</v>
      </c>
      <c r="GI3" s="514" t="s">
        <v>2564</v>
      </c>
      <c r="GJ3" s="514" t="s">
        <v>507</v>
      </c>
      <c r="GK3" s="514" t="s">
        <v>2561</v>
      </c>
      <c r="GL3" s="514" t="s">
        <v>2562</v>
      </c>
      <c r="GM3" s="514" t="s">
        <v>2563</v>
      </c>
      <c r="GN3" s="514" t="s">
        <v>2564</v>
      </c>
      <c r="GO3" s="514" t="s">
        <v>507</v>
      </c>
      <c r="GP3" s="514" t="s">
        <v>2561</v>
      </c>
      <c r="GQ3" s="514" t="s">
        <v>2562</v>
      </c>
      <c r="GR3" s="514" t="s">
        <v>2563</v>
      </c>
      <c r="GS3" s="514" t="s">
        <v>2564</v>
      </c>
      <c r="GT3" s="514" t="s">
        <v>507</v>
      </c>
      <c r="GU3" s="514" t="s">
        <v>2561</v>
      </c>
      <c r="GV3" s="514" t="s">
        <v>2562</v>
      </c>
      <c r="GW3" s="514" t="s">
        <v>2563</v>
      </c>
      <c r="GX3" s="514" t="s">
        <v>2564</v>
      </c>
      <c r="GY3" s="514" t="s">
        <v>507</v>
      </c>
      <c r="GZ3" s="514" t="s">
        <v>2561</v>
      </c>
      <c r="HA3" s="514" t="s">
        <v>2562</v>
      </c>
      <c r="HB3" s="514" t="s">
        <v>2563</v>
      </c>
      <c r="HC3" s="514" t="s">
        <v>2564</v>
      </c>
      <c r="HD3" s="514" t="s">
        <v>507</v>
      </c>
      <c r="HE3" s="514" t="s">
        <v>2561</v>
      </c>
      <c r="HF3" s="514" t="s">
        <v>2562</v>
      </c>
      <c r="HG3" s="514" t="s">
        <v>2563</v>
      </c>
      <c r="HH3" s="514" t="s">
        <v>2564</v>
      </c>
      <c r="HI3" s="514" t="s">
        <v>507</v>
      </c>
      <c r="HJ3" s="514" t="s">
        <v>2561</v>
      </c>
      <c r="HK3" s="514" t="s">
        <v>2562</v>
      </c>
      <c r="HL3" s="514" t="s">
        <v>2563</v>
      </c>
      <c r="HM3" s="514" t="s">
        <v>2564</v>
      </c>
      <c r="HN3" s="514" t="s">
        <v>507</v>
      </c>
      <c r="HO3" s="514" t="s">
        <v>2561</v>
      </c>
      <c r="HP3" s="514" t="s">
        <v>2562</v>
      </c>
      <c r="HQ3" s="514" t="s">
        <v>2563</v>
      </c>
      <c r="HR3" s="514" t="s">
        <v>2564</v>
      </c>
      <c r="HS3" s="514" t="s">
        <v>507</v>
      </c>
      <c r="HT3" s="514" t="s">
        <v>2561</v>
      </c>
      <c r="HU3" s="514" t="s">
        <v>2562</v>
      </c>
      <c r="HV3" s="514" t="s">
        <v>2563</v>
      </c>
      <c r="HW3" s="514" t="s">
        <v>2564</v>
      </c>
      <c r="HX3" s="514" t="s">
        <v>507</v>
      </c>
      <c r="HY3" s="514" t="s">
        <v>2561</v>
      </c>
      <c r="HZ3" s="514" t="s">
        <v>2562</v>
      </c>
      <c r="IA3" s="514" t="s">
        <v>2563</v>
      </c>
      <c r="IB3" s="514" t="s">
        <v>2564</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4" t="s">
        <v>4000</v>
      </c>
      <c r="JC3" s="1524" t="s">
        <v>4001</v>
      </c>
      <c r="JD3" s="1524" t="s">
        <v>4002</v>
      </c>
      <c r="JE3" s="1524" t="s">
        <v>4003</v>
      </c>
      <c r="JF3" s="1524" t="s">
        <v>4004</v>
      </c>
      <c r="JG3" s="510"/>
      <c r="JH3" s="510"/>
      <c r="JI3" s="510"/>
      <c r="JJ3" s="510"/>
      <c r="JK3" s="510"/>
      <c r="JL3" s="510"/>
      <c r="JM3" s="510"/>
      <c r="JN3" s="510"/>
      <c r="JO3" s="510"/>
      <c r="JP3" s="510"/>
      <c r="JQ3" s="100"/>
      <c r="JR3" s="10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51" t="s">
        <v>4037</v>
      </c>
      <c r="Q4" s="467"/>
      <c r="R4" s="467"/>
      <c r="S4" s="467"/>
      <c r="T4" s="467"/>
      <c r="U4" s="468"/>
      <c r="V4" s="1525" t="s">
        <v>963</v>
      </c>
      <c r="W4" s="1525" t="s">
        <v>796</v>
      </c>
      <c r="X4" s="1525" t="s">
        <v>797</v>
      </c>
      <c r="Y4" s="1525" t="s">
        <v>798</v>
      </c>
      <c r="Z4" s="1525" t="s">
        <v>799</v>
      </c>
      <c r="AA4" s="1525" t="s">
        <v>964</v>
      </c>
      <c r="AB4" s="1525" t="s">
        <v>2419</v>
      </c>
      <c r="AC4" s="1525" t="s">
        <v>2420</v>
      </c>
      <c r="AD4" s="1525" t="s">
        <v>2421</v>
      </c>
      <c r="AE4" s="1525" t="s">
        <v>2422</v>
      </c>
      <c r="AF4" s="1525" t="s">
        <v>965</v>
      </c>
      <c r="AG4" s="1525" t="s">
        <v>2423</v>
      </c>
      <c r="AH4" s="1525" t="s">
        <v>2424</v>
      </c>
      <c r="AI4" s="1525" t="s">
        <v>2425</v>
      </c>
      <c r="AJ4" s="1525" t="s">
        <v>2426</v>
      </c>
      <c r="AK4" s="1525" t="s">
        <v>131</v>
      </c>
      <c r="AL4" s="1525" t="s">
        <v>2427</v>
      </c>
      <c r="AM4" s="1525" t="s">
        <v>2428</v>
      </c>
      <c r="AN4" s="1525" t="s">
        <v>2429</v>
      </c>
      <c r="AO4" s="1525" t="s">
        <v>1203</v>
      </c>
      <c r="AP4" s="1525" t="s">
        <v>580</v>
      </c>
      <c r="AQ4" s="1525" t="s">
        <v>581</v>
      </c>
      <c r="AR4" s="1525" t="s">
        <v>605</v>
      </c>
      <c r="AS4" s="1525" t="s">
        <v>606</v>
      </c>
      <c r="AT4" s="1525" t="s">
        <v>607</v>
      </c>
      <c r="AU4" s="1525" t="s">
        <v>608</v>
      </c>
      <c r="AV4" s="1525" t="s">
        <v>609</v>
      </c>
      <c r="AW4" s="1525" t="s">
        <v>610</v>
      </c>
      <c r="AX4" s="1525" t="s">
        <v>611</v>
      </c>
      <c r="AY4" s="1525" t="s">
        <v>612</v>
      </c>
      <c r="AZ4" s="1525" t="s">
        <v>613</v>
      </c>
      <c r="BA4" s="1525" t="s">
        <v>614</v>
      </c>
      <c r="BB4" s="1525" t="s">
        <v>975</v>
      </c>
      <c r="BC4" s="1525" t="s">
        <v>976</v>
      </c>
      <c r="BD4" s="1525" t="s">
        <v>977</v>
      </c>
      <c r="BE4" s="1525" t="s">
        <v>519</v>
      </c>
      <c r="BF4" s="1525" t="s">
        <v>520</v>
      </c>
      <c r="BG4" s="1525" t="s">
        <v>521</v>
      </c>
      <c r="BH4" s="1525" t="s">
        <v>522</v>
      </c>
      <c r="BI4" s="1525" t="s">
        <v>523</v>
      </c>
      <c r="BJ4" s="1525" t="s">
        <v>923</v>
      </c>
      <c r="BK4" s="1525" t="s">
        <v>924</v>
      </c>
      <c r="BL4" s="1525" t="s">
        <v>925</v>
      </c>
      <c r="BM4" s="1525" t="s">
        <v>926</v>
      </c>
      <c r="BN4" s="1525" t="s">
        <v>927</v>
      </c>
      <c r="BO4" s="1525" t="s">
        <v>928</v>
      </c>
      <c r="BP4" s="1525" t="s">
        <v>929</v>
      </c>
      <c r="BQ4" s="1525" t="s">
        <v>930</v>
      </c>
      <c r="BR4" s="1525" t="s">
        <v>931</v>
      </c>
      <c r="BS4" s="1525" t="s">
        <v>932</v>
      </c>
      <c r="BT4" s="1525" t="s">
        <v>2551</v>
      </c>
      <c r="BU4" s="1525" t="s">
        <v>2552</v>
      </c>
      <c r="BV4" s="1525" t="s">
        <v>2553</v>
      </c>
      <c r="BW4" s="1525" t="s">
        <v>2554</v>
      </c>
      <c r="BX4" s="1525" t="s">
        <v>2555</v>
      </c>
      <c r="BY4" s="1525" t="s">
        <v>119</v>
      </c>
      <c r="BZ4" s="1525" t="s">
        <v>1206</v>
      </c>
      <c r="CA4" s="1525" t="s">
        <v>1207</v>
      </c>
      <c r="CB4" s="1525" t="s">
        <v>1272</v>
      </c>
      <c r="CC4" s="1525" t="s">
        <v>1273</v>
      </c>
      <c r="CD4" s="1524" t="s">
        <v>134</v>
      </c>
      <c r="CE4" s="1524" t="s">
        <v>1274</v>
      </c>
      <c r="CF4" s="1524" t="s">
        <v>1275</v>
      </c>
      <c r="CG4" s="1524" t="s">
        <v>1276</v>
      </c>
      <c r="CH4" s="1524" t="s">
        <v>1277</v>
      </c>
      <c r="CI4" s="1524" t="s">
        <v>133</v>
      </c>
      <c r="CJ4" s="1524" t="s">
        <v>955</v>
      </c>
      <c r="CK4" s="1524" t="s">
        <v>956</v>
      </c>
      <c r="CL4" s="1524" t="s">
        <v>957</v>
      </c>
      <c r="CM4" s="1524" t="s">
        <v>958</v>
      </c>
      <c r="CN4" s="1524" t="s">
        <v>132</v>
      </c>
      <c r="CO4" s="1524" t="s">
        <v>959</v>
      </c>
      <c r="CP4" s="1524" t="s">
        <v>960</v>
      </c>
      <c r="CQ4" s="1524" t="s">
        <v>961</v>
      </c>
      <c r="CR4" s="1524" t="s">
        <v>962</v>
      </c>
      <c r="CS4" s="1524" t="s">
        <v>851</v>
      </c>
      <c r="CT4" s="1524" t="s">
        <v>852</v>
      </c>
      <c r="CU4" s="1524" t="s">
        <v>853</v>
      </c>
      <c r="CV4" s="1524" t="s">
        <v>854</v>
      </c>
      <c r="CW4" s="1524" t="s">
        <v>855</v>
      </c>
      <c r="CX4" s="1524" t="s">
        <v>1002</v>
      </c>
      <c r="CY4" s="1524" t="s">
        <v>1003</v>
      </c>
      <c r="CZ4" s="1524" t="s">
        <v>1004</v>
      </c>
      <c r="DA4" s="1524" t="s">
        <v>1005</v>
      </c>
      <c r="DB4" s="1524" t="s">
        <v>2550</v>
      </c>
      <c r="DC4" s="1524" t="s">
        <v>1505</v>
      </c>
      <c r="DD4" s="1524" t="s">
        <v>1506</v>
      </c>
      <c r="DE4" s="1524" t="s">
        <v>1507</v>
      </c>
      <c r="DF4" s="1524" t="s">
        <v>1508</v>
      </c>
      <c r="DG4" s="1524" t="s">
        <v>1509</v>
      </c>
      <c r="DH4" s="1524" t="s">
        <v>453</v>
      </c>
      <c r="DI4" s="1524" t="s">
        <v>454</v>
      </c>
      <c r="DJ4" s="1524" t="s">
        <v>455</v>
      </c>
      <c r="DK4" s="1524" t="s">
        <v>456</v>
      </c>
      <c r="DL4" s="1524" t="s">
        <v>457</v>
      </c>
      <c r="DM4" s="1524" t="s">
        <v>18</v>
      </c>
      <c r="DN4" s="1524" t="s">
        <v>19</v>
      </c>
      <c r="DO4" s="1524" t="s">
        <v>20</v>
      </c>
      <c r="DP4" s="1524" t="s">
        <v>21</v>
      </c>
      <c r="DQ4" s="1524" t="s">
        <v>22</v>
      </c>
      <c r="DR4" s="1524" t="s">
        <v>231</v>
      </c>
      <c r="DS4" s="1524" t="s">
        <v>232</v>
      </c>
      <c r="DT4" s="1524" t="s">
        <v>233</v>
      </c>
      <c r="DU4" s="1524" t="s">
        <v>1902</v>
      </c>
      <c r="DV4" s="1524" t="s">
        <v>1903</v>
      </c>
      <c r="DW4" s="1524" t="s">
        <v>1904</v>
      </c>
      <c r="DX4" s="1524" t="s">
        <v>621</v>
      </c>
      <c r="DY4" s="1524" t="s">
        <v>622</v>
      </c>
      <c r="DZ4" s="1524" t="s">
        <v>623</v>
      </c>
      <c r="EA4" s="1524" t="s">
        <v>624</v>
      </c>
      <c r="EB4" s="1524" t="s">
        <v>23</v>
      </c>
      <c r="EC4" s="1524" t="s">
        <v>24</v>
      </c>
      <c r="ED4" s="1524" t="s">
        <v>25</v>
      </c>
      <c r="EE4" s="1524" t="s">
        <v>26</v>
      </c>
      <c r="EF4" s="1524" t="s">
        <v>27</v>
      </c>
      <c r="EG4" s="1524" t="s">
        <v>518</v>
      </c>
      <c r="EH4" s="1524" t="s">
        <v>449</v>
      </c>
      <c r="EI4" s="1524" t="s">
        <v>450</v>
      </c>
      <c r="EJ4" s="1524" t="s">
        <v>451</v>
      </c>
      <c r="EK4" s="1524" t="s">
        <v>452</v>
      </c>
      <c r="EL4" s="1524" t="s">
        <v>2313</v>
      </c>
      <c r="EM4" s="1524" t="s">
        <v>2314</v>
      </c>
      <c r="EN4" s="1524" t="s">
        <v>2315</v>
      </c>
      <c r="EO4" s="1524" t="s">
        <v>1555</v>
      </c>
      <c r="EP4" s="1524" t="s">
        <v>1556</v>
      </c>
      <c r="EQ4" s="1524" t="s">
        <v>28</v>
      </c>
      <c r="ER4" s="1524" t="s">
        <v>29</v>
      </c>
      <c r="ES4" s="1524" t="s">
        <v>30</v>
      </c>
      <c r="ET4" s="1524" t="s">
        <v>31</v>
      </c>
      <c r="EU4" s="1524"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4" t="s">
        <v>1703</v>
      </c>
      <c r="ID4" s="1524" t="s">
        <v>2650</v>
      </c>
      <c r="IE4" s="1524" t="s">
        <v>2651</v>
      </c>
      <c r="IF4" s="1524" t="s">
        <v>400</v>
      </c>
      <c r="IG4" s="1524" t="s">
        <v>401</v>
      </c>
      <c r="IH4" s="1524" t="s">
        <v>402</v>
      </c>
      <c r="II4" s="1524" t="s">
        <v>403</v>
      </c>
      <c r="IJ4" s="1524" t="s">
        <v>404</v>
      </c>
      <c r="IK4" s="1524" t="s">
        <v>405</v>
      </c>
      <c r="IL4" s="1524" t="s">
        <v>406</v>
      </c>
      <c r="IM4" s="1524" t="s">
        <v>208</v>
      </c>
      <c r="IN4" s="1524" t="s">
        <v>209</v>
      </c>
      <c r="IO4" s="1524" t="s">
        <v>210</v>
      </c>
      <c r="IP4" s="1524" t="s">
        <v>211</v>
      </c>
      <c r="IQ4" s="1524" t="s">
        <v>212</v>
      </c>
      <c r="IR4" s="1524" t="s">
        <v>213</v>
      </c>
      <c r="IS4" s="1524" t="s">
        <v>214</v>
      </c>
      <c r="IT4" s="1524" t="s">
        <v>215</v>
      </c>
      <c r="IU4" s="1524" t="s">
        <v>216</v>
      </c>
      <c r="IV4" s="1524" t="s">
        <v>217</v>
      </c>
      <c r="IW4" s="1524" t="s">
        <v>218</v>
      </c>
      <c r="IX4" s="1524" t="s">
        <v>219</v>
      </c>
      <c r="IY4" s="1524" t="s">
        <v>220</v>
      </c>
      <c r="IZ4" s="1524" t="s">
        <v>221</v>
      </c>
      <c r="JA4" s="1524" t="s">
        <v>222</v>
      </c>
      <c r="JB4" s="1524"/>
      <c r="JC4" s="1524"/>
      <c r="JD4" s="1524"/>
      <c r="JE4" s="1524"/>
      <c r="JF4" s="1524"/>
      <c r="JG4" s="510"/>
      <c r="JH4" s="510"/>
      <c r="JI4" s="510"/>
      <c r="JJ4" s="510"/>
      <c r="JK4" s="510"/>
      <c r="JL4" s="510"/>
      <c r="JM4" s="510"/>
      <c r="JN4" s="510"/>
      <c r="JO4" s="510"/>
      <c r="JP4" s="510"/>
      <c r="JQ4" s="100"/>
      <c r="JR4" s="100"/>
      <c r="JS4" s="510"/>
      <c r="JT4" s="510"/>
      <c r="JU4" s="510"/>
      <c r="JV4" s="510"/>
      <c r="JW4" s="510"/>
      <c r="JX4" s="510"/>
      <c r="JY4" s="510"/>
      <c r="JZ4" s="510"/>
      <c r="KA4" s="510"/>
      <c r="KB4" s="510"/>
      <c r="KC4" s="510"/>
      <c r="KD4" s="510"/>
      <c r="KE4" s="510"/>
      <c r="KF4" s="510"/>
      <c r="KG4" s="510"/>
      <c r="KH4" s="510"/>
      <c r="KI4" s="510"/>
    </row>
    <row r="5" spans="1:295" s="95" customFormat="1" ht="13.15" customHeight="1">
      <c r="A5" s="1529" t="str">
        <f>IF(A48&gt;0,"Finish Row!","")</f>
        <v/>
      </c>
      <c r="B5" s="4" t="s">
        <v>1939</v>
      </c>
      <c r="D5" s="1"/>
      <c r="E5" s="4"/>
      <c r="F5" s="1"/>
      <c r="G5" s="2359"/>
      <c r="M5" s="1287" t="s">
        <v>604</v>
      </c>
      <c r="O5" s="1279" t="s">
        <v>1085</v>
      </c>
      <c r="P5" s="1551"/>
      <c r="Q5" s="468"/>
      <c r="R5" s="468"/>
      <c r="S5" s="468"/>
      <c r="V5" s="1525"/>
      <c r="W5" s="1525"/>
      <c r="X5" s="1525"/>
      <c r="Y5" s="1525"/>
      <c r="Z5" s="1525"/>
      <c r="AA5" s="1525"/>
      <c r="AB5" s="1525"/>
      <c r="AC5" s="1525"/>
      <c r="AD5" s="1525"/>
      <c r="AE5" s="1525"/>
      <c r="AF5" s="1525"/>
      <c r="AG5" s="1525"/>
      <c r="AH5" s="1525"/>
      <c r="AI5" s="1525"/>
      <c r="AJ5" s="1525"/>
      <c r="AK5" s="1525"/>
      <c r="AL5" s="1525"/>
      <c r="AM5" s="1525"/>
      <c r="AN5" s="1525"/>
      <c r="AO5" s="1525"/>
      <c r="AP5" s="1525"/>
      <c r="AQ5" s="1525"/>
      <c r="AR5" s="1525"/>
      <c r="AS5" s="1525"/>
      <c r="AT5" s="1525"/>
      <c r="AU5" s="1525"/>
      <c r="AV5" s="1525"/>
      <c r="AW5" s="1525"/>
      <c r="AX5" s="1525"/>
      <c r="AY5" s="1525"/>
      <c r="AZ5" s="1525"/>
      <c r="BA5" s="1525"/>
      <c r="BB5" s="1525"/>
      <c r="BC5" s="1525"/>
      <c r="BD5" s="1525"/>
      <c r="BE5" s="1525"/>
      <c r="BF5" s="1525"/>
      <c r="BG5" s="1525"/>
      <c r="BH5" s="1525"/>
      <c r="BI5" s="1525"/>
      <c r="BJ5" s="1525"/>
      <c r="BK5" s="1525"/>
      <c r="BL5" s="1525"/>
      <c r="BM5" s="1525"/>
      <c r="BN5" s="1525"/>
      <c r="BO5" s="1525"/>
      <c r="BP5" s="1525"/>
      <c r="BQ5" s="1525"/>
      <c r="BR5" s="1525"/>
      <c r="BS5" s="1525"/>
      <c r="BT5" s="1525"/>
      <c r="BU5" s="1525"/>
      <c r="BV5" s="1525"/>
      <c r="BW5" s="1525"/>
      <c r="BX5" s="1525"/>
      <c r="BY5" s="1525"/>
      <c r="BZ5" s="1525"/>
      <c r="CA5" s="1525"/>
      <c r="CB5" s="1525"/>
      <c r="CC5" s="1525"/>
      <c r="CD5" s="1524"/>
      <c r="CE5" s="1524"/>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4"/>
      <c r="ID5" s="1524"/>
      <c r="IE5" s="1524"/>
      <c r="IF5" s="1524"/>
      <c r="IG5" s="1524"/>
      <c r="IH5" s="1524"/>
      <c r="II5" s="1524"/>
      <c r="IJ5" s="1524"/>
      <c r="IK5" s="1524"/>
      <c r="IL5" s="1524"/>
      <c r="IM5" s="1524"/>
      <c r="IN5" s="1524"/>
      <c r="IO5" s="1524"/>
      <c r="IP5" s="1524"/>
      <c r="IQ5" s="1524"/>
      <c r="IR5" s="1524"/>
      <c r="IS5" s="1524"/>
      <c r="IT5" s="1524"/>
      <c r="IU5" s="1524"/>
      <c r="IV5" s="1524"/>
      <c r="IW5" s="1524"/>
      <c r="IX5" s="1524"/>
      <c r="IY5" s="1524"/>
      <c r="IZ5" s="1524"/>
      <c r="JA5" s="1524"/>
      <c r="JB5" s="1524"/>
      <c r="JC5" s="1524"/>
      <c r="JD5" s="1524"/>
      <c r="JE5" s="1524"/>
      <c r="JF5" s="1524"/>
      <c r="JG5" s="1548" t="s">
        <v>3995</v>
      </c>
      <c r="JH5" s="1548" t="s">
        <v>3996</v>
      </c>
      <c r="JI5" s="1548" t="s">
        <v>3997</v>
      </c>
      <c r="JJ5" s="1548" t="s">
        <v>3998</v>
      </c>
      <c r="JK5" s="1548" t="s">
        <v>3999</v>
      </c>
      <c r="JL5" s="1524" t="s">
        <v>4009</v>
      </c>
      <c r="JM5" s="1524" t="s">
        <v>4011</v>
      </c>
      <c r="JN5" s="1524" t="s">
        <v>4012</v>
      </c>
      <c r="JO5" s="1524" t="s">
        <v>4013</v>
      </c>
      <c r="JP5" s="1524" t="s">
        <v>4014</v>
      </c>
      <c r="JQ5" s="100"/>
      <c r="JR5" s="100"/>
      <c r="JS5" s="510"/>
      <c r="JT5" s="510"/>
      <c r="JU5" s="510"/>
      <c r="JV5" s="510"/>
      <c r="JW5" s="510"/>
      <c r="JX5" s="510"/>
      <c r="JY5" s="510"/>
      <c r="JZ5" s="510"/>
      <c r="KA5" s="510"/>
      <c r="KB5" s="510"/>
      <c r="KC5" s="510"/>
      <c r="KD5" s="510"/>
      <c r="KE5" s="510"/>
      <c r="KF5" s="510"/>
      <c r="KG5" s="510"/>
      <c r="KH5" s="510"/>
      <c r="KI5" s="510"/>
    </row>
    <row r="6" spans="1:295" s="95" customFormat="1" ht="13.15" customHeight="1">
      <c r="A6" s="1529"/>
      <c r="B6" s="1317" t="s">
        <v>1895</v>
      </c>
      <c r="D6" s="1"/>
      <c r="E6" s="4"/>
      <c r="G6" s="2360" t="s">
        <v>3425</v>
      </c>
      <c r="J6" s="1278" t="s">
        <v>2524</v>
      </c>
      <c r="M6" s="1532" t="str">
        <f>'Part I-Project Information'!$O$30</f>
        <v>Warner Robins</v>
      </c>
      <c r="N6" s="1532"/>
      <c r="O6" s="471">
        <f>VLOOKUP('Part I-Project Information'!$O$30,'DCA Underwriting Assumptions'!$C$127:$D$237,2)</f>
        <v>71800</v>
      </c>
      <c r="P6" s="1551"/>
      <c r="Q6" s="510"/>
      <c r="R6" s="1533" t="s">
        <v>2861</v>
      </c>
      <c r="S6" s="1533"/>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c r="AW6" s="1525"/>
      <c r="AX6" s="1525"/>
      <c r="AY6" s="1525"/>
      <c r="AZ6" s="1525"/>
      <c r="BA6" s="1525"/>
      <c r="BB6" s="1525"/>
      <c r="BC6" s="1525"/>
      <c r="BD6" s="1525"/>
      <c r="BE6" s="1525"/>
      <c r="BF6" s="1525"/>
      <c r="BG6" s="1525"/>
      <c r="BH6" s="1525"/>
      <c r="BI6" s="1525"/>
      <c r="BJ6" s="1525"/>
      <c r="BK6" s="1525"/>
      <c r="BL6" s="1525"/>
      <c r="BM6" s="1525"/>
      <c r="BN6" s="1525"/>
      <c r="BO6" s="1525"/>
      <c r="BP6" s="1525"/>
      <c r="BQ6" s="1525"/>
      <c r="BR6" s="1525"/>
      <c r="BS6" s="1525"/>
      <c r="BT6" s="1525"/>
      <c r="BU6" s="1525"/>
      <c r="BV6" s="1525"/>
      <c r="BW6" s="1525"/>
      <c r="BX6" s="1525"/>
      <c r="BY6" s="1525"/>
      <c r="BZ6" s="1525"/>
      <c r="CA6" s="1525"/>
      <c r="CB6" s="1525"/>
      <c r="CC6" s="1525"/>
      <c r="CD6" s="1524"/>
      <c r="CE6" s="1524"/>
      <c r="CF6" s="1524"/>
      <c r="CG6" s="1524"/>
      <c r="CH6" s="1524"/>
      <c r="CI6" s="1524"/>
      <c r="CJ6" s="1524"/>
      <c r="CK6" s="1524"/>
      <c r="CL6" s="1524"/>
      <c r="CM6" s="1524"/>
      <c r="CN6" s="1524"/>
      <c r="CO6" s="1524"/>
      <c r="CP6" s="1524"/>
      <c r="CQ6" s="1524"/>
      <c r="CR6" s="1524"/>
      <c r="CS6" s="1524"/>
      <c r="CT6" s="1524"/>
      <c r="CU6" s="1524"/>
      <c r="CV6" s="1524"/>
      <c r="CW6" s="1524"/>
      <c r="CX6" s="1524"/>
      <c r="CY6" s="1524"/>
      <c r="CZ6" s="1524"/>
      <c r="DA6" s="1524"/>
      <c r="DB6" s="1524"/>
      <c r="DC6" s="1524"/>
      <c r="DD6" s="1524"/>
      <c r="DE6" s="1524"/>
      <c r="DF6" s="1524"/>
      <c r="DG6" s="1524"/>
      <c r="DH6" s="1524"/>
      <c r="DI6" s="1524"/>
      <c r="DJ6" s="1524"/>
      <c r="DK6" s="1524"/>
      <c r="DL6" s="1524"/>
      <c r="DM6" s="1524"/>
      <c r="DN6" s="1524"/>
      <c r="DO6" s="1524"/>
      <c r="DP6" s="1524"/>
      <c r="DQ6" s="1524"/>
      <c r="DR6" s="1524"/>
      <c r="DS6" s="1524"/>
      <c r="DT6" s="1524"/>
      <c r="DU6" s="1524"/>
      <c r="DV6" s="1524"/>
      <c r="DW6" s="1524"/>
      <c r="DX6" s="1524"/>
      <c r="DY6" s="1524"/>
      <c r="DZ6" s="1524"/>
      <c r="EA6" s="1524"/>
      <c r="EB6" s="1524"/>
      <c r="EC6" s="1524"/>
      <c r="ED6" s="1524"/>
      <c r="EE6" s="1524"/>
      <c r="EF6" s="1524"/>
      <c r="EG6" s="1524"/>
      <c r="EH6" s="1524"/>
      <c r="EI6" s="1524"/>
      <c r="EJ6" s="1524"/>
      <c r="EK6" s="1524"/>
      <c r="EL6" s="1524"/>
      <c r="EM6" s="1524"/>
      <c r="EN6" s="1524"/>
      <c r="EO6" s="1524"/>
      <c r="EP6" s="1524"/>
      <c r="EQ6" s="1524"/>
      <c r="ER6" s="1524"/>
      <c r="ES6" s="1524"/>
      <c r="ET6" s="1524"/>
      <c r="EU6" s="1524"/>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4"/>
      <c r="ID6" s="1524"/>
      <c r="IE6" s="1524"/>
      <c r="IF6" s="1524"/>
      <c r="IG6" s="1524"/>
      <c r="IH6" s="1524"/>
      <c r="II6" s="1524"/>
      <c r="IJ6" s="1524"/>
      <c r="IK6" s="1524"/>
      <c r="IL6" s="1524"/>
      <c r="IM6" s="1524"/>
      <c r="IN6" s="1524"/>
      <c r="IO6" s="1524"/>
      <c r="IP6" s="1524"/>
      <c r="IQ6" s="1524"/>
      <c r="IR6" s="1524"/>
      <c r="IS6" s="1524"/>
      <c r="IT6" s="1524"/>
      <c r="IU6" s="1524"/>
      <c r="IV6" s="1524"/>
      <c r="IW6" s="1524"/>
      <c r="IX6" s="1524"/>
      <c r="IY6" s="1524"/>
      <c r="IZ6" s="1524"/>
      <c r="JA6" s="1524"/>
      <c r="JB6" s="1524"/>
      <c r="JC6" s="1524"/>
      <c r="JD6" s="1524"/>
      <c r="JE6" s="1524"/>
      <c r="JF6" s="1524"/>
      <c r="JG6" s="1548"/>
      <c r="JH6" s="1548"/>
      <c r="JI6" s="1548"/>
      <c r="JJ6" s="1548"/>
      <c r="JK6" s="1548"/>
      <c r="JL6" s="1524"/>
      <c r="JM6" s="1524"/>
      <c r="JN6" s="1524"/>
      <c r="JO6" s="1524"/>
      <c r="JP6" s="1524"/>
      <c r="JQ6" s="100"/>
      <c r="JR6" s="100"/>
      <c r="JS6" s="510"/>
      <c r="JT6" s="510"/>
      <c r="JU6" s="510"/>
      <c r="JV6" s="510"/>
      <c r="JW6" s="510"/>
      <c r="JX6" s="510"/>
      <c r="JY6" s="510"/>
      <c r="JZ6" s="510"/>
      <c r="KA6" s="510"/>
      <c r="KB6" s="510"/>
      <c r="KC6" s="510"/>
      <c r="KD6" s="510"/>
      <c r="KE6" s="510"/>
      <c r="KF6" s="510"/>
      <c r="KG6" s="510"/>
      <c r="KH6" s="510"/>
      <c r="KI6" s="510"/>
    </row>
    <row r="7" spans="1:295" s="95" customFormat="1" ht="13.9" customHeight="1">
      <c r="A7" s="1529"/>
      <c r="B7" s="4"/>
      <c r="C7" s="1"/>
      <c r="D7" s="4"/>
      <c r="E7" s="1"/>
      <c r="F7" s="1"/>
      <c r="G7" s="1"/>
      <c r="H7" s="1"/>
      <c r="I7" s="1"/>
      <c r="J7" s="1278" t="s">
        <v>2525</v>
      </c>
      <c r="K7" s="1"/>
      <c r="L7" s="1"/>
      <c r="M7" s="1"/>
      <c r="P7" s="1551"/>
      <c r="Q7" s="541"/>
      <c r="R7" s="542"/>
      <c r="S7" s="543" t="s">
        <v>2858</v>
      </c>
      <c r="T7" s="467"/>
      <c r="U7" s="468"/>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c r="AW7" s="1525"/>
      <c r="AX7" s="1525"/>
      <c r="AY7" s="1525"/>
      <c r="AZ7" s="1525"/>
      <c r="BA7" s="1525"/>
      <c r="BB7" s="1525"/>
      <c r="BC7" s="1525"/>
      <c r="BD7" s="1525"/>
      <c r="BE7" s="1525"/>
      <c r="BF7" s="1525"/>
      <c r="BG7" s="1525"/>
      <c r="BH7" s="1525"/>
      <c r="BI7" s="1525"/>
      <c r="BJ7" s="1525"/>
      <c r="BK7" s="1525"/>
      <c r="BL7" s="1525"/>
      <c r="BM7" s="1525"/>
      <c r="BN7" s="1525"/>
      <c r="BO7" s="1525"/>
      <c r="BP7" s="1525"/>
      <c r="BQ7" s="1525"/>
      <c r="BR7" s="1525"/>
      <c r="BS7" s="1525"/>
      <c r="BT7" s="1525"/>
      <c r="BU7" s="1525"/>
      <c r="BV7" s="1525"/>
      <c r="BW7" s="1525"/>
      <c r="BX7" s="1525"/>
      <c r="BY7" s="1525"/>
      <c r="BZ7" s="1525"/>
      <c r="CA7" s="1525"/>
      <c r="CB7" s="1525"/>
      <c r="CC7" s="1525"/>
      <c r="CD7" s="1524"/>
      <c r="CE7" s="1524"/>
      <c r="CF7" s="1524"/>
      <c r="CG7" s="1524"/>
      <c r="CH7" s="1524"/>
      <c r="CI7" s="1524"/>
      <c r="CJ7" s="1524"/>
      <c r="CK7" s="1524"/>
      <c r="CL7" s="1524"/>
      <c r="CM7" s="1524"/>
      <c r="CN7" s="1524"/>
      <c r="CO7" s="1524"/>
      <c r="CP7" s="1524"/>
      <c r="CQ7" s="1524"/>
      <c r="CR7" s="1524"/>
      <c r="CS7" s="1524"/>
      <c r="CT7" s="1524"/>
      <c r="CU7" s="1524"/>
      <c r="CV7" s="1524"/>
      <c r="CW7" s="1524"/>
      <c r="CX7" s="1524"/>
      <c r="CY7" s="1524"/>
      <c r="CZ7" s="1524"/>
      <c r="DA7" s="1524"/>
      <c r="DB7" s="1524"/>
      <c r="DC7" s="1524"/>
      <c r="DD7" s="1524"/>
      <c r="DE7" s="1524"/>
      <c r="DF7" s="1524"/>
      <c r="DG7" s="1524"/>
      <c r="DH7" s="1524"/>
      <c r="DI7" s="1524"/>
      <c r="DJ7" s="1524"/>
      <c r="DK7" s="1524"/>
      <c r="DL7" s="1524"/>
      <c r="DM7" s="1524"/>
      <c r="DN7" s="1524"/>
      <c r="DO7" s="1524"/>
      <c r="DP7" s="1524"/>
      <c r="DQ7" s="1524"/>
      <c r="DR7" s="1524"/>
      <c r="DS7" s="1524"/>
      <c r="DT7" s="1524"/>
      <c r="DU7" s="1524"/>
      <c r="DV7" s="1524"/>
      <c r="DW7" s="1524"/>
      <c r="DX7" s="1524"/>
      <c r="DY7" s="1524"/>
      <c r="DZ7" s="1524"/>
      <c r="EA7" s="1524"/>
      <c r="EB7" s="1524"/>
      <c r="EC7" s="1524"/>
      <c r="ED7" s="1524"/>
      <c r="EE7" s="1524"/>
      <c r="EF7" s="1524"/>
      <c r="EG7" s="1524"/>
      <c r="EH7" s="1524"/>
      <c r="EI7" s="1524"/>
      <c r="EJ7" s="1524"/>
      <c r="EK7" s="1524"/>
      <c r="EL7" s="1524"/>
      <c r="EM7" s="1524"/>
      <c r="EN7" s="1524"/>
      <c r="EO7" s="1524"/>
      <c r="EP7" s="1524"/>
      <c r="EQ7" s="1524"/>
      <c r="ER7" s="1524"/>
      <c r="ES7" s="1524"/>
      <c r="ET7" s="1524"/>
      <c r="EU7" s="1524"/>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2561</v>
      </c>
      <c r="FW7" s="517" t="s">
        <v>2562</v>
      </c>
      <c r="FX7" s="517" t="s">
        <v>2563</v>
      </c>
      <c r="FY7" s="517" t="s">
        <v>2564</v>
      </c>
      <c r="FZ7" s="517" t="s">
        <v>592</v>
      </c>
      <c r="GA7" s="517" t="s">
        <v>2561</v>
      </c>
      <c r="GB7" s="517" t="s">
        <v>2562</v>
      </c>
      <c r="GC7" s="517" t="s">
        <v>2563</v>
      </c>
      <c r="GD7" s="517" t="s">
        <v>2564</v>
      </c>
      <c r="GE7" s="517" t="s">
        <v>592</v>
      </c>
      <c r="GF7" s="517" t="s">
        <v>2561</v>
      </c>
      <c r="GG7" s="517" t="s">
        <v>2562</v>
      </c>
      <c r="GH7" s="517" t="s">
        <v>2563</v>
      </c>
      <c r="GI7" s="517" t="s">
        <v>2564</v>
      </c>
      <c r="GJ7" s="517" t="s">
        <v>592</v>
      </c>
      <c r="GK7" s="517" t="s">
        <v>2561</v>
      </c>
      <c r="GL7" s="517" t="s">
        <v>2562</v>
      </c>
      <c r="GM7" s="517" t="s">
        <v>2563</v>
      </c>
      <c r="GN7" s="517" t="s">
        <v>2564</v>
      </c>
      <c r="GO7" s="517" t="s">
        <v>592</v>
      </c>
      <c r="GP7" s="517" t="s">
        <v>2561</v>
      </c>
      <c r="GQ7" s="517" t="s">
        <v>2562</v>
      </c>
      <c r="GR7" s="517" t="s">
        <v>2563</v>
      </c>
      <c r="GS7" s="517" t="s">
        <v>2564</v>
      </c>
      <c r="GT7" s="517" t="s">
        <v>592</v>
      </c>
      <c r="GU7" s="517" t="s">
        <v>2561</v>
      </c>
      <c r="GV7" s="517" t="s">
        <v>2562</v>
      </c>
      <c r="GW7" s="517" t="s">
        <v>2563</v>
      </c>
      <c r="GX7" s="517" t="s">
        <v>2564</v>
      </c>
      <c r="GY7" s="517" t="s">
        <v>592</v>
      </c>
      <c r="GZ7" s="517" t="s">
        <v>2561</v>
      </c>
      <c r="HA7" s="517" t="s">
        <v>2562</v>
      </c>
      <c r="HB7" s="517" t="s">
        <v>2563</v>
      </c>
      <c r="HC7" s="517" t="s">
        <v>2564</v>
      </c>
      <c r="HD7" s="517" t="s">
        <v>592</v>
      </c>
      <c r="HE7" s="517" t="s">
        <v>2561</v>
      </c>
      <c r="HF7" s="517" t="s">
        <v>2562</v>
      </c>
      <c r="HG7" s="517" t="s">
        <v>2563</v>
      </c>
      <c r="HH7" s="517" t="s">
        <v>2564</v>
      </c>
      <c r="HI7" s="517" t="s">
        <v>507</v>
      </c>
      <c r="HJ7" s="517" t="s">
        <v>2561</v>
      </c>
      <c r="HK7" s="517" t="s">
        <v>2562</v>
      </c>
      <c r="HL7" s="517" t="s">
        <v>2563</v>
      </c>
      <c r="HM7" s="517" t="s">
        <v>2564</v>
      </c>
      <c r="HN7" s="517" t="s">
        <v>507</v>
      </c>
      <c r="HO7" s="517" t="s">
        <v>2561</v>
      </c>
      <c r="HP7" s="517" t="s">
        <v>2562</v>
      </c>
      <c r="HQ7" s="517" t="s">
        <v>2563</v>
      </c>
      <c r="HR7" s="517" t="s">
        <v>2564</v>
      </c>
      <c r="HS7" s="517" t="s">
        <v>507</v>
      </c>
      <c r="HT7" s="517" t="s">
        <v>2561</v>
      </c>
      <c r="HU7" s="517" t="s">
        <v>2562</v>
      </c>
      <c r="HV7" s="517" t="s">
        <v>2563</v>
      </c>
      <c r="HW7" s="517" t="s">
        <v>2564</v>
      </c>
      <c r="HX7" s="517" t="s">
        <v>507</v>
      </c>
      <c r="HY7" s="517" t="s">
        <v>2561</v>
      </c>
      <c r="HZ7" s="517" t="s">
        <v>2562</v>
      </c>
      <c r="IA7" s="517" t="s">
        <v>2563</v>
      </c>
      <c r="IB7" s="517" t="s">
        <v>2564</v>
      </c>
      <c r="IC7" s="1524"/>
      <c r="ID7" s="1524"/>
      <c r="IE7" s="1524"/>
      <c r="IF7" s="1524"/>
      <c r="IG7" s="1524"/>
      <c r="IH7" s="1524"/>
      <c r="II7" s="1524"/>
      <c r="IJ7" s="1524"/>
      <c r="IK7" s="1524"/>
      <c r="IL7" s="1524"/>
      <c r="IM7" s="1524"/>
      <c r="IN7" s="1524"/>
      <c r="IO7" s="1524"/>
      <c r="IP7" s="1524"/>
      <c r="IQ7" s="1524"/>
      <c r="IR7" s="1524"/>
      <c r="IS7" s="1524"/>
      <c r="IT7" s="1524"/>
      <c r="IU7" s="1524"/>
      <c r="IV7" s="1524"/>
      <c r="IW7" s="1524"/>
      <c r="IX7" s="1524"/>
      <c r="IY7" s="1524"/>
      <c r="IZ7" s="1524"/>
      <c r="JA7" s="1524"/>
      <c r="JB7" s="1524"/>
      <c r="JC7" s="1524"/>
      <c r="JD7" s="1524"/>
      <c r="JE7" s="1524"/>
      <c r="JF7" s="1524"/>
      <c r="JG7" s="1548"/>
      <c r="JH7" s="1548"/>
      <c r="JI7" s="1548"/>
      <c r="JJ7" s="1548"/>
      <c r="JK7" s="1548"/>
      <c r="JL7" s="1524"/>
      <c r="JM7" s="1524"/>
      <c r="JN7" s="1524"/>
      <c r="JO7" s="1524"/>
      <c r="JP7" s="1524"/>
      <c r="JQ7" s="100"/>
      <c r="JR7" s="100"/>
      <c r="JS7" s="510"/>
      <c r="JT7" s="510"/>
      <c r="JU7" s="510"/>
      <c r="JV7" s="510"/>
      <c r="JW7" s="510"/>
      <c r="JX7" s="510"/>
      <c r="JY7" s="510"/>
      <c r="JZ7" s="510"/>
      <c r="KA7" s="510"/>
      <c r="KB7" s="510"/>
      <c r="KC7" s="510"/>
      <c r="KD7" s="510"/>
      <c r="KE7" s="510"/>
      <c r="KF7" s="510"/>
      <c r="KG7" s="510"/>
      <c r="KH7" s="510"/>
      <c r="KI7" s="510"/>
    </row>
    <row r="8" spans="1:295" s="118" customFormat="1" ht="13.9" customHeight="1">
      <c r="A8" s="1529"/>
      <c r="B8" s="176" t="s">
        <v>1554</v>
      </c>
      <c r="C8" s="1278" t="s">
        <v>177</v>
      </c>
      <c r="D8" s="1278" t="s">
        <v>569</v>
      </c>
      <c r="E8" s="1278" t="s">
        <v>1552</v>
      </c>
      <c r="F8" s="1278" t="s">
        <v>1552</v>
      </c>
      <c r="G8" s="1278" t="s">
        <v>2503</v>
      </c>
      <c r="H8" s="1278" t="s">
        <v>2501</v>
      </c>
      <c r="I8" s="1278" t="s">
        <v>840</v>
      </c>
      <c r="J8" s="1278" t="s">
        <v>2526</v>
      </c>
      <c r="K8" s="1531" t="s">
        <v>147</v>
      </c>
      <c r="L8" s="1531"/>
      <c r="M8" s="1278" t="s">
        <v>2479</v>
      </c>
      <c r="N8" s="1278" t="s">
        <v>556</v>
      </c>
      <c r="O8" s="1278" t="s">
        <v>397</v>
      </c>
      <c r="P8" s="1551"/>
      <c r="Q8" s="764"/>
      <c r="R8" s="544" t="s">
        <v>2857</v>
      </c>
      <c r="S8" s="544" t="s">
        <v>2859</v>
      </c>
      <c r="T8" s="469"/>
      <c r="U8" s="470"/>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524"/>
      <c r="CE8" s="1524"/>
      <c r="CF8" s="1524"/>
      <c r="CG8" s="1524"/>
      <c r="CH8" s="1524"/>
      <c r="CI8" s="1524"/>
      <c r="CJ8" s="1524"/>
      <c r="CK8" s="1524"/>
      <c r="CL8" s="1524"/>
      <c r="CM8" s="1524"/>
      <c r="CN8" s="1524"/>
      <c r="CO8" s="1524"/>
      <c r="CP8" s="1524"/>
      <c r="CQ8" s="1524"/>
      <c r="CR8" s="1524"/>
      <c r="CS8" s="1524"/>
      <c r="CT8" s="1524"/>
      <c r="CU8" s="1524"/>
      <c r="CV8" s="1524"/>
      <c r="CW8" s="1524"/>
      <c r="CX8" s="1524"/>
      <c r="CY8" s="1524"/>
      <c r="CZ8" s="1524"/>
      <c r="DA8" s="1524"/>
      <c r="DB8" s="1524"/>
      <c r="DC8" s="1524"/>
      <c r="DD8" s="1524"/>
      <c r="DE8" s="1524"/>
      <c r="DF8" s="1524"/>
      <c r="DG8" s="1524"/>
      <c r="DH8" s="1524"/>
      <c r="DI8" s="1524"/>
      <c r="DJ8" s="1524"/>
      <c r="DK8" s="1524"/>
      <c r="DL8" s="1524"/>
      <c r="DM8" s="1524"/>
      <c r="DN8" s="1524"/>
      <c r="DO8" s="1524"/>
      <c r="DP8" s="1524"/>
      <c r="DQ8" s="1524"/>
      <c r="DR8" s="1524"/>
      <c r="DS8" s="1524"/>
      <c r="DT8" s="1524"/>
      <c r="DU8" s="1524"/>
      <c r="DV8" s="1524"/>
      <c r="DW8" s="1524"/>
      <c r="DX8" s="1524"/>
      <c r="DY8" s="1524"/>
      <c r="DZ8" s="1524"/>
      <c r="EA8" s="1524"/>
      <c r="EB8" s="1524"/>
      <c r="EC8" s="1524"/>
      <c r="ED8" s="1524"/>
      <c r="EE8" s="1524"/>
      <c r="EF8" s="1524"/>
      <c r="EG8" s="1524"/>
      <c r="EH8" s="1524"/>
      <c r="EI8" s="1524"/>
      <c r="EJ8" s="1524"/>
      <c r="EK8" s="1524"/>
      <c r="EL8" s="1524"/>
      <c r="EM8" s="1524"/>
      <c r="EN8" s="1524"/>
      <c r="EO8" s="1524"/>
      <c r="EP8" s="1524"/>
      <c r="EQ8" s="1524"/>
      <c r="ER8" s="1524"/>
      <c r="ES8" s="1524"/>
      <c r="ET8" s="1524"/>
      <c r="EU8" s="1524"/>
      <c r="EV8" s="1524" t="s">
        <v>1536</v>
      </c>
      <c r="EW8" s="517" t="s">
        <v>2561</v>
      </c>
      <c r="EX8" s="517" t="s">
        <v>2562</v>
      </c>
      <c r="EY8" s="517" t="s">
        <v>2563</v>
      </c>
      <c r="EZ8" s="517" t="s">
        <v>2564</v>
      </c>
      <c r="FA8" s="1524" t="s">
        <v>2620</v>
      </c>
      <c r="FB8" s="1524" t="s">
        <v>2620</v>
      </c>
      <c r="FC8" s="1524" t="s">
        <v>2620</v>
      </c>
      <c r="FD8" s="1524" t="s">
        <v>2620</v>
      </c>
      <c r="FE8" s="1524" t="s">
        <v>2620</v>
      </c>
      <c r="FF8" s="1524" t="s">
        <v>3824</v>
      </c>
      <c r="FG8" s="1524" t="s">
        <v>3824</v>
      </c>
      <c r="FH8" s="1524" t="s">
        <v>3824</v>
      </c>
      <c r="FI8" s="1524" t="s">
        <v>3824</v>
      </c>
      <c r="FJ8" s="1524" t="s">
        <v>3824</v>
      </c>
      <c r="FK8" s="517" t="s">
        <v>592</v>
      </c>
      <c r="FL8" s="517" t="s">
        <v>2561</v>
      </c>
      <c r="FM8" s="517" t="s">
        <v>2562</v>
      </c>
      <c r="FN8" s="517" t="s">
        <v>2563</v>
      </c>
      <c r="FO8" s="517" t="s">
        <v>2564</v>
      </c>
      <c r="FP8" s="517" t="s">
        <v>592</v>
      </c>
      <c r="FQ8" s="517" t="s">
        <v>2561</v>
      </c>
      <c r="FR8" s="517" t="s">
        <v>2562</v>
      </c>
      <c r="FS8" s="517" t="s">
        <v>2563</v>
      </c>
      <c r="FT8" s="517" t="s">
        <v>2564</v>
      </c>
      <c r="FU8" s="1524" t="s">
        <v>2622</v>
      </c>
      <c r="FV8" s="1524" t="s">
        <v>2622</v>
      </c>
      <c r="FW8" s="1524" t="s">
        <v>2622</v>
      </c>
      <c r="FX8" s="1524" t="s">
        <v>2622</v>
      </c>
      <c r="FY8" s="1524" t="s">
        <v>2622</v>
      </c>
      <c r="FZ8" s="1524" t="s">
        <v>3820</v>
      </c>
      <c r="GA8" s="1524" t="s">
        <v>3820</v>
      </c>
      <c r="GB8" s="1524" t="s">
        <v>3820</v>
      </c>
      <c r="GC8" s="1524" t="s">
        <v>3820</v>
      </c>
      <c r="GD8" s="1524" t="s">
        <v>3820</v>
      </c>
      <c r="GE8" s="1524" t="s">
        <v>372</v>
      </c>
      <c r="GF8" s="1524" t="s">
        <v>372</v>
      </c>
      <c r="GG8" s="1524" t="s">
        <v>372</v>
      </c>
      <c r="GH8" s="1524" t="s">
        <v>372</v>
      </c>
      <c r="GI8" s="1524" t="s">
        <v>372</v>
      </c>
      <c r="GJ8" s="1524" t="s">
        <v>3819</v>
      </c>
      <c r="GK8" s="1524" t="s">
        <v>3819</v>
      </c>
      <c r="GL8" s="1524" t="s">
        <v>3819</v>
      </c>
      <c r="GM8" s="1524" t="s">
        <v>3819</v>
      </c>
      <c r="GN8" s="1524" t="s">
        <v>3819</v>
      </c>
      <c r="GO8" s="1524" t="s">
        <v>373</v>
      </c>
      <c r="GP8" s="1524" t="s">
        <v>373</v>
      </c>
      <c r="GQ8" s="1524" t="s">
        <v>373</v>
      </c>
      <c r="GR8" s="1524" t="s">
        <v>373</v>
      </c>
      <c r="GS8" s="1524" t="s">
        <v>373</v>
      </c>
      <c r="GT8" s="1524" t="s">
        <v>3818</v>
      </c>
      <c r="GU8" s="1524" t="s">
        <v>3818</v>
      </c>
      <c r="GV8" s="1524" t="s">
        <v>3818</v>
      </c>
      <c r="GW8" s="1524" t="s">
        <v>3818</v>
      </c>
      <c r="GX8" s="1524" t="s">
        <v>3818</v>
      </c>
      <c r="GY8" s="1524" t="s">
        <v>374</v>
      </c>
      <c r="GZ8" s="1524" t="s">
        <v>374</v>
      </c>
      <c r="HA8" s="1524" t="s">
        <v>374</v>
      </c>
      <c r="HB8" s="1524" t="s">
        <v>374</v>
      </c>
      <c r="HC8" s="1524" t="s">
        <v>374</v>
      </c>
      <c r="HD8" s="1524" t="s">
        <v>3821</v>
      </c>
      <c r="HE8" s="1524" t="s">
        <v>3821</v>
      </c>
      <c r="HF8" s="1524" t="s">
        <v>3821</v>
      </c>
      <c r="HG8" s="1524" t="s">
        <v>3821</v>
      </c>
      <c r="HH8" s="1524" t="s">
        <v>3821</v>
      </c>
      <c r="HI8" s="1524" t="s">
        <v>375</v>
      </c>
      <c r="HJ8" s="1524" t="s">
        <v>375</v>
      </c>
      <c r="HK8" s="1524" t="s">
        <v>375</v>
      </c>
      <c r="HL8" s="1524" t="s">
        <v>375</v>
      </c>
      <c r="HM8" s="1524" t="s">
        <v>375</v>
      </c>
      <c r="HN8" s="1524" t="s">
        <v>3822</v>
      </c>
      <c r="HO8" s="1524" t="s">
        <v>3822</v>
      </c>
      <c r="HP8" s="1524" t="s">
        <v>3822</v>
      </c>
      <c r="HQ8" s="1524" t="s">
        <v>3822</v>
      </c>
      <c r="HR8" s="1524" t="s">
        <v>3822</v>
      </c>
      <c r="HS8" s="1524" t="s">
        <v>1535</v>
      </c>
      <c r="HT8" s="1524" t="s">
        <v>1535</v>
      </c>
      <c r="HU8" s="1524" t="s">
        <v>1535</v>
      </c>
      <c r="HV8" s="1524" t="s">
        <v>1535</v>
      </c>
      <c r="HW8" s="1524" t="s">
        <v>1535</v>
      </c>
      <c r="HX8" s="1524" t="s">
        <v>3823</v>
      </c>
      <c r="HY8" s="1524" t="s">
        <v>3823</v>
      </c>
      <c r="HZ8" s="1524" t="s">
        <v>3823</v>
      </c>
      <c r="IA8" s="1524" t="s">
        <v>3823</v>
      </c>
      <c r="IB8" s="1524" t="s">
        <v>3823</v>
      </c>
      <c r="IC8" s="1524"/>
      <c r="ID8" s="1524"/>
      <c r="IE8" s="1524"/>
      <c r="IF8" s="1524"/>
      <c r="IG8" s="1524"/>
      <c r="IH8" s="1524"/>
      <c r="II8" s="1524"/>
      <c r="IJ8" s="1524"/>
      <c r="IK8" s="1524"/>
      <c r="IL8" s="1524"/>
      <c r="IM8" s="1524"/>
      <c r="IN8" s="1524"/>
      <c r="IO8" s="1524"/>
      <c r="IP8" s="1524"/>
      <c r="IQ8" s="1524"/>
      <c r="IR8" s="1524"/>
      <c r="IS8" s="1524"/>
      <c r="IT8" s="1524"/>
      <c r="IU8" s="1524"/>
      <c r="IV8" s="1524"/>
      <c r="IW8" s="1524"/>
      <c r="IX8" s="1524"/>
      <c r="IY8" s="1524"/>
      <c r="IZ8" s="1524"/>
      <c r="JA8" s="1524"/>
      <c r="JB8" s="1524"/>
      <c r="JC8" s="1524"/>
      <c r="JD8" s="1524"/>
      <c r="JE8" s="1524"/>
      <c r="JF8" s="1524"/>
      <c r="JG8" s="1548"/>
      <c r="JH8" s="1548"/>
      <c r="JI8" s="1548"/>
      <c r="JJ8" s="1548"/>
      <c r="JK8" s="1548"/>
      <c r="JL8" s="1524"/>
      <c r="JM8" s="1524"/>
      <c r="JN8" s="1524"/>
      <c r="JO8" s="1524"/>
      <c r="JP8" s="1524"/>
      <c r="JQ8" s="94"/>
      <c r="JR8" s="94"/>
      <c r="JS8" s="513"/>
      <c r="JT8" s="513"/>
      <c r="JU8" s="513"/>
      <c r="JV8" s="513"/>
      <c r="JW8" s="513"/>
      <c r="JX8" s="513"/>
      <c r="JY8" s="513"/>
      <c r="JZ8" s="513"/>
      <c r="KA8" s="513"/>
      <c r="KB8" s="513"/>
      <c r="KC8" s="513"/>
      <c r="KD8" s="513"/>
      <c r="KE8" s="513"/>
      <c r="KF8" s="513"/>
      <c r="KG8" s="513"/>
      <c r="KH8" s="513"/>
      <c r="KI8" s="513"/>
    </row>
    <row r="9" spans="1:295" s="118" customFormat="1" ht="13.9" customHeight="1">
      <c r="A9" s="1529"/>
      <c r="B9" s="176" t="s">
        <v>1361</v>
      </c>
      <c r="C9" s="1278" t="s">
        <v>176</v>
      </c>
      <c r="D9" s="1278" t="s">
        <v>178</v>
      </c>
      <c r="E9" s="1278" t="s">
        <v>1553</v>
      </c>
      <c r="F9" s="1278" t="s">
        <v>1339</v>
      </c>
      <c r="G9" s="1278" t="s">
        <v>1340</v>
      </c>
      <c r="H9" s="1278" t="s">
        <v>2502</v>
      </c>
      <c r="I9" s="1278" t="s">
        <v>841</v>
      </c>
      <c r="J9" s="509" t="s">
        <v>363</v>
      </c>
      <c r="K9" s="1278" t="s">
        <v>1606</v>
      </c>
      <c r="L9" s="1278" t="s">
        <v>563</v>
      </c>
      <c r="M9" s="1278" t="s">
        <v>1552</v>
      </c>
      <c r="N9" s="1278" t="s">
        <v>3767</v>
      </c>
      <c r="O9" s="1278" t="s">
        <v>398</v>
      </c>
      <c r="P9" s="1552"/>
      <c r="Q9" s="544" t="s">
        <v>1090</v>
      </c>
      <c r="R9" s="544" t="s">
        <v>1554</v>
      </c>
      <c r="S9" s="544" t="s">
        <v>2860</v>
      </c>
      <c r="T9" s="1397" t="s">
        <v>1938</v>
      </c>
      <c r="U9" s="1397"/>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524"/>
      <c r="CE9" s="1524"/>
      <c r="CF9" s="1524"/>
      <c r="CG9" s="1524"/>
      <c r="CH9" s="1524"/>
      <c r="CI9" s="1524"/>
      <c r="CJ9" s="1524"/>
      <c r="CK9" s="1524"/>
      <c r="CL9" s="1524"/>
      <c r="CM9" s="1524"/>
      <c r="CN9" s="1524"/>
      <c r="CO9" s="1524"/>
      <c r="CP9" s="1524"/>
      <c r="CQ9" s="1524"/>
      <c r="CR9" s="1524"/>
      <c r="CS9" s="1524"/>
      <c r="CT9" s="1524"/>
      <c r="CU9" s="1524"/>
      <c r="CV9" s="1524"/>
      <c r="CW9" s="1524"/>
      <c r="CX9" s="1524"/>
      <c r="CY9" s="1524"/>
      <c r="CZ9" s="1524"/>
      <c r="DA9" s="1524"/>
      <c r="DB9" s="1524"/>
      <c r="DC9" s="1524"/>
      <c r="DD9" s="1524"/>
      <c r="DE9" s="1524"/>
      <c r="DF9" s="1524"/>
      <c r="DG9" s="1524"/>
      <c r="DH9" s="1524"/>
      <c r="DI9" s="1524"/>
      <c r="DJ9" s="1524"/>
      <c r="DK9" s="1524"/>
      <c r="DL9" s="1524"/>
      <c r="DM9" s="1524"/>
      <c r="DN9" s="1524"/>
      <c r="DO9" s="1524"/>
      <c r="DP9" s="1524"/>
      <c r="DQ9" s="1524"/>
      <c r="DR9" s="1524"/>
      <c r="DS9" s="1524"/>
      <c r="DT9" s="1524"/>
      <c r="DU9" s="1524"/>
      <c r="DV9" s="1524"/>
      <c r="DW9" s="1524"/>
      <c r="DX9" s="1524"/>
      <c r="DY9" s="1524"/>
      <c r="DZ9" s="1524"/>
      <c r="EA9" s="1524"/>
      <c r="EB9" s="1524"/>
      <c r="EC9" s="1524"/>
      <c r="ED9" s="1524"/>
      <c r="EE9" s="1524"/>
      <c r="EF9" s="1524"/>
      <c r="EG9" s="1524"/>
      <c r="EH9" s="1524"/>
      <c r="EI9" s="1524"/>
      <c r="EJ9" s="1524"/>
      <c r="EK9" s="1524"/>
      <c r="EL9" s="1524"/>
      <c r="EM9" s="1524"/>
      <c r="EN9" s="1524"/>
      <c r="EO9" s="1524"/>
      <c r="EP9" s="1524"/>
      <c r="EQ9" s="1524"/>
      <c r="ER9" s="1524"/>
      <c r="ES9" s="1524"/>
      <c r="ET9" s="1524"/>
      <c r="EU9" s="1524"/>
      <c r="EV9" s="1524"/>
      <c r="EW9" s="517" t="s">
        <v>2619</v>
      </c>
      <c r="EX9" s="517" t="s">
        <v>2619</v>
      </c>
      <c r="EY9" s="517" t="s">
        <v>2619</v>
      </c>
      <c r="EZ9" s="517" t="s">
        <v>2619</v>
      </c>
      <c r="FA9" s="1524"/>
      <c r="FB9" s="1524"/>
      <c r="FC9" s="1524"/>
      <c r="FD9" s="1524"/>
      <c r="FE9" s="1524"/>
      <c r="FF9" s="1524"/>
      <c r="FG9" s="1524"/>
      <c r="FH9" s="1524"/>
      <c r="FI9" s="1524"/>
      <c r="FJ9" s="1524"/>
      <c r="FK9" s="517" t="s">
        <v>2621</v>
      </c>
      <c r="FL9" s="517" t="s">
        <v>2621</v>
      </c>
      <c r="FM9" s="517" t="s">
        <v>2621</v>
      </c>
      <c r="FN9" s="517" t="s">
        <v>2621</v>
      </c>
      <c r="FO9" s="517" t="s">
        <v>2621</v>
      </c>
      <c r="FP9" s="517" t="s">
        <v>3825</v>
      </c>
      <c r="FQ9" s="517" t="s">
        <v>3825</v>
      </c>
      <c r="FR9" s="517" t="s">
        <v>3825</v>
      </c>
      <c r="FS9" s="517" t="s">
        <v>3825</v>
      </c>
      <c r="FT9" s="517" t="s">
        <v>3825</v>
      </c>
      <c r="FU9" s="1524"/>
      <c r="FV9" s="1524"/>
      <c r="FW9" s="1524"/>
      <c r="FX9" s="1524"/>
      <c r="FY9" s="1524"/>
      <c r="FZ9" s="1524"/>
      <c r="GA9" s="1524"/>
      <c r="GB9" s="1524"/>
      <c r="GC9" s="1524"/>
      <c r="GD9" s="1524"/>
      <c r="GE9" s="1524"/>
      <c r="GF9" s="1524"/>
      <c r="GG9" s="1524"/>
      <c r="GH9" s="1524"/>
      <c r="GI9" s="1524"/>
      <c r="GJ9" s="1524"/>
      <c r="GK9" s="1524"/>
      <c r="GL9" s="1524"/>
      <c r="GM9" s="1524"/>
      <c r="GN9" s="1524"/>
      <c r="GO9" s="1524"/>
      <c r="GP9" s="1524"/>
      <c r="GQ9" s="1524"/>
      <c r="GR9" s="1524"/>
      <c r="GS9" s="1524"/>
      <c r="GT9" s="1524"/>
      <c r="GU9" s="1524"/>
      <c r="GV9" s="1524"/>
      <c r="GW9" s="1524"/>
      <c r="GX9" s="1524"/>
      <c r="GY9" s="1524"/>
      <c r="GZ9" s="1524"/>
      <c r="HA9" s="1524"/>
      <c r="HB9" s="1524"/>
      <c r="HC9" s="1524"/>
      <c r="HD9" s="1524"/>
      <c r="HE9" s="1524"/>
      <c r="HF9" s="1524"/>
      <c r="HG9" s="1524"/>
      <c r="HH9" s="1524"/>
      <c r="HI9" s="1524"/>
      <c r="HJ9" s="1524"/>
      <c r="HK9" s="1524"/>
      <c r="HL9" s="1524"/>
      <c r="HM9" s="1524"/>
      <c r="HN9" s="1524"/>
      <c r="HO9" s="1524"/>
      <c r="HP9" s="1524"/>
      <c r="HQ9" s="1524"/>
      <c r="HR9" s="1524"/>
      <c r="HS9" s="1524"/>
      <c r="HT9" s="1524"/>
      <c r="HU9" s="1524"/>
      <c r="HV9" s="1524"/>
      <c r="HW9" s="1524"/>
      <c r="HX9" s="1524"/>
      <c r="HY9" s="1524"/>
      <c r="HZ9" s="1524"/>
      <c r="IA9" s="1524"/>
      <c r="IB9" s="1524"/>
      <c r="IC9" s="1524"/>
      <c r="ID9" s="1524"/>
      <c r="IE9" s="1524"/>
      <c r="IF9" s="1524"/>
      <c r="IG9" s="1524"/>
      <c r="IH9" s="1524"/>
      <c r="II9" s="1524"/>
      <c r="IJ9" s="1524"/>
      <c r="IK9" s="1524"/>
      <c r="IL9" s="1524"/>
      <c r="IM9" s="1524"/>
      <c r="IN9" s="1524"/>
      <c r="IO9" s="1524"/>
      <c r="IP9" s="1524"/>
      <c r="IQ9" s="1524"/>
      <c r="IR9" s="1524"/>
      <c r="IS9" s="1524"/>
      <c r="IT9" s="1524"/>
      <c r="IU9" s="1524"/>
      <c r="IV9" s="1524"/>
      <c r="IW9" s="1524"/>
      <c r="IX9" s="1524"/>
      <c r="IY9" s="1524"/>
      <c r="IZ9" s="1524"/>
      <c r="JA9" s="1524"/>
      <c r="JB9" s="1524"/>
      <c r="JC9" s="1524"/>
      <c r="JD9" s="1524"/>
      <c r="JE9" s="1524"/>
      <c r="JF9" s="1524"/>
      <c r="JG9" s="1548"/>
      <c r="JH9" s="1548"/>
      <c r="JI9" s="1548"/>
      <c r="JJ9" s="1548"/>
      <c r="JK9" s="1548"/>
      <c r="JL9" s="1524"/>
      <c r="JM9" s="1524"/>
      <c r="JN9" s="1524"/>
      <c r="JO9" s="1524"/>
      <c r="JP9" s="1524"/>
      <c r="JQ9" s="94"/>
      <c r="JR9" s="94"/>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61" t="s">
        <v>120</v>
      </c>
      <c r="C10" s="2362">
        <v>1</v>
      </c>
      <c r="D10" s="2363">
        <v>1</v>
      </c>
      <c r="E10" s="2364">
        <v>4</v>
      </c>
      <c r="F10" s="2364">
        <v>829</v>
      </c>
      <c r="G10" s="2364">
        <v>613</v>
      </c>
      <c r="H10" s="2364">
        <v>586</v>
      </c>
      <c r="I10" s="2364">
        <v>161</v>
      </c>
      <c r="J10" s="2365"/>
      <c r="K10" s="860">
        <f t="shared" ref="K10:K47" si="1">MAX(0,H10-I10)</f>
        <v>425</v>
      </c>
      <c r="L10" s="860">
        <f t="shared" ref="L10:L47" si="2">MAX(0,E10*K10)</f>
        <v>1700</v>
      </c>
      <c r="M10" s="2366" t="s">
        <v>3425</v>
      </c>
      <c r="N10" s="2366" t="s">
        <v>4445</v>
      </c>
      <c r="O10" s="2366" t="s">
        <v>2404</v>
      </c>
      <c r="P10" s="2366" t="s">
        <v>3425</v>
      </c>
      <c r="Q10" s="472" t="e">
        <f>IF(H10="","",P10/($O$6*VLOOKUP(C10,'DCA Underwriting Assumptions'!$J$118:$K$123,2,FALSE)))</f>
        <v>#VALUE!</v>
      </c>
      <c r="R10" s="547"/>
      <c r="S10" s="472"/>
      <c r="T10" s="2304"/>
      <c r="U10" s="2305"/>
      <c r="V10" s="508" t="str">
        <f t="shared" ref="V10:V47" si="3">IF(AND(C10="Efficiency",B10="60% AMI",NOT(M10="Common Space")),E10,"")</f>
        <v/>
      </c>
      <c r="W10" s="508" t="str">
        <f t="shared" ref="W10:W47" si="4">IF(AND(C10=1,B10="60% AMI",NOT(M10="Common Space")),E10,"")</f>
        <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f t="shared" ref="AB10:AB47" si="9">IF(AND(C10=1,B10="50% AMI",NOT(M10="Common Space")),E10,"")</f>
        <v>4</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IF(AND(C10="Efficiency",M10="Common Space"),E10,"")</f>
        <v/>
      </c>
      <c r="BU10" s="508" t="str">
        <f>IF(AND(C10=1,M10="Common Space"),E10,"")</f>
        <v/>
      </c>
      <c r="BV10" s="508" t="str">
        <f>IF(AND(C10=2,M10="Common Space"),E10,"")</f>
        <v/>
      </c>
      <c r="BW10" s="508" t="str">
        <f>IF(AND(C10=3,M10="Common Space"),E10,"")</f>
        <v/>
      </c>
      <c r="BX10" s="508" t="str">
        <f>IF(AND(C10=4,M10="Common Space"),E10,"")</f>
        <v/>
      </c>
      <c r="BY10" s="508" t="str">
        <f t="shared" ref="BY10:BY47" si="53">IF(OR(AND(C10="Efficiency",B10="60% AMI",NOT(M10="Common Space")),AND(C10="Efficiency",B10="HOME 60% AMI",NOT(M10="Common Space"))),E10*F10,"")</f>
        <v/>
      </c>
      <c r="BZ10" s="508" t="str">
        <f t="shared" ref="BZ10:BZ47" si="54">IF(OR(AND(C10=1,B10="60% AMI",NOT(M10="Common Space")),AND(C10=1,B10="HOME 60% AMI",NOT(M10="Common Space"))),E10*F10,"")</f>
        <v/>
      </c>
      <c r="CA10" s="508" t="str">
        <f t="shared" ref="CA10:CA47" si="55">IF(OR(AND(C10=2,B10="60% AMI",NOT(M10="Common Space")),AND(C10=2,B10="HOME 60% AMI",NOT(M10="Common Space"))),E10*F10,"")</f>
        <v/>
      </c>
      <c r="CB10" s="508" t="str">
        <f t="shared" ref="CB10:CB47" si="56">IF(OR(AND(C10=3,B10="60% AMI",NOT(M10="Common Space")),AND(C10=3,B10="HOME 60% AMI",NOT(M10="Common Space"))),E10*F10,"")</f>
        <v/>
      </c>
      <c r="CC10" s="508" t="str">
        <f t="shared" ref="CC10:CC47" si="57">IF(OR(AND(C10=4,B10="60% AMI",NOT(M10="Common Space")),AND(C10=4,B10="HOME 60% AMI",NOT(M10="Common Space"))),E10*F10,"")</f>
        <v/>
      </c>
      <c r="CD10" s="508" t="str">
        <f t="shared" ref="CD10:CD47" si="58">IF(OR(AND(C10="Efficiency",B10="50% AMI",NOT(M10="Common Space")),AND(C10="Efficiency",B10="HOME 50% AMI",NOT(M10="Common Space"))),E10*F10,"")</f>
        <v/>
      </c>
      <c r="CE10" s="508">
        <f t="shared" ref="CE10:CE47" si="59">IF(OR(AND(C10=1,B10="50% AMI",NOT(M10="Common Space")),AND(C10=1,B10="HOME 50% AMI",NOT(M10="Common Space"))),E10*F10,"")</f>
        <v>3316</v>
      </c>
      <c r="CF10" s="508" t="str">
        <f t="shared" ref="CF10:CF47" si="60">IF(OR(AND(C10=2,B10="50% AMI",NOT(M10="Common Space")),AND(C10=2,B10="HOME 50% AMI",NOT(M10="Common Space"))),E10*F10,"")</f>
        <v/>
      </c>
      <c r="CG10" s="508" t="str">
        <f t="shared" ref="CG10:CG47" si="61">IF(OR(AND(C10=3,B10="50% AMI",NOT(M10="Common Space")),AND(C10=3,B10="HOME 50% AMI",NOT(M10="Common Space"))),E10*F10,"")</f>
        <v/>
      </c>
      <c r="CH10" s="508" t="str">
        <f t="shared" ref="CH10:CH47" si="62">IF(OR(AND(C10=4,B10="50% AMI",NOT(M10="Common Space")),AND(C10=4,B10="HOME 50% AMI",NOT(M10="Common Space"))),E10*F10,"")</f>
        <v/>
      </c>
      <c r="CI10" s="508" t="str">
        <f t="shared" ref="CI10:CI47" si="63">IF(OR(AND(C10="Efficiency",B10="30% AMI",NOT(M10="Common Space")),AND(C10="Efficiency",B10="HOME 30% AMI",NOT(M10="Common Space"))),E10*F10,"")</f>
        <v/>
      </c>
      <c r="CJ10" s="508" t="str">
        <f t="shared" ref="CJ10:CJ47" si="64">IF(OR(AND(C10=1,B10="30% AMI",NOT(M10="Common Space")),AND(C10=1,B10="HOME 30% AMI",NOT(M10="Common Space"))),E10*F10,"")</f>
        <v/>
      </c>
      <c r="CK10" s="508" t="str">
        <f t="shared" ref="CK10:CK47" si="65">IF(OR(AND(C10=2,B10="30% AMI",NOT(M10="Common Space")),AND(C10=2,B10="HOME 30% AMI",NOT(M10="Common Space"))),E10*F10,"")</f>
        <v/>
      </c>
      <c r="CL10" s="508" t="str">
        <f t="shared" ref="CL10:CL47" si="66">IF(OR(AND(C10=3,B10="30% AMI",NOT(M10="Common Space")),AND(C10=3,B10="HOME 30% AMI",NOT(M10="Common Space"))),E10*F10,"")</f>
        <v/>
      </c>
      <c r="CM10" s="508" t="str">
        <f t="shared" ref="CM10:CM47" si="67">IF(OR(AND(C10=4,B10="30% AMI",NOT(M10="Common Space")),AND(C10=4,B10="HOME 30% AMI",NOT(M10="Common Space"))),E10*F10,"")</f>
        <v/>
      </c>
      <c r="CN10" s="508" t="str">
        <f t="shared" ref="CN10:CN47" si="68">IF(AND(C10="Efficiency",B10="Unrestricted",NOT(M10="Common Space")),E10*F10,"")</f>
        <v/>
      </c>
      <c r="CO10" s="508" t="str">
        <f t="shared" ref="CO10:CO47" si="69">IF(AND(C10=1,B10="Unrestricted",NOT(M10="Common Space")),E10*F10,"")</f>
        <v/>
      </c>
      <c r="CP10" s="508" t="str">
        <f t="shared" ref="CP10:CP47" si="70">IF(AND(C10=2,B10="Unrestricted",NOT(M10="Common Space")),E10*F10,"")</f>
        <v/>
      </c>
      <c r="CQ10" s="508" t="str">
        <f t="shared" ref="CQ10:CQ47" si="71">IF(AND(C10=3,B10="Unrestricted",NOT(M10="Common Space")),E10*F10,"")</f>
        <v/>
      </c>
      <c r="CR10" s="508" t="str">
        <f t="shared" ref="CR10:CR47" si="72">IF(AND(C10=4,B10="Unrestricted",NOT(M10="Common Space")),E10*F10,"")</f>
        <v/>
      </c>
      <c r="CS10" s="508" t="str">
        <f t="shared" ref="CS10:CS47" si="73">IF(AND(C10="Efficiency",NOT(J10=""),NOT($J10=0),NOT(M10="Common Space")),E10*F10,"")</f>
        <v/>
      </c>
      <c r="CT10" s="508" t="str">
        <f t="shared" ref="CT10:CT47" si="74">IF(AND(C10=1,NOT(J10=""),NOT($J10=0),NOT(M10="Common Space")),E10*F10,"")</f>
        <v/>
      </c>
      <c r="CU10" s="508" t="str">
        <f t="shared" ref="CU10:CU47" si="75">IF(AND(C10=2,NOT(J10=""),NOT($J10=0),NOT(M10="Common Space")),E10*F10,"")</f>
        <v/>
      </c>
      <c r="CV10" s="508" t="str">
        <f t="shared" ref="CV10:CV47" si="76">IF(AND(C10=3,NOT(J10=""),NOT($J10=0),NOT(M10="Common Space")),E10*F10,"")</f>
        <v/>
      </c>
      <c r="CW10" s="508" t="str">
        <f t="shared" ref="CW10:CW47" si="77">IF(AND(C10=4,NOT(J10=""),NOT($J10=0),NOT(M10="Common Space")),E10*F10,"")</f>
        <v/>
      </c>
      <c r="CX10" s="508" t="str">
        <f t="shared" ref="CX10:CX47" si="78">IF(AND(C10="Efficiency",M10="Common Space"),E10*F10,"")</f>
        <v/>
      </c>
      <c r="CY10" s="508" t="str">
        <f t="shared" ref="CY10:CY47" si="79">IF(AND(C10=1,M10="Common Space"),E10*F10,"")</f>
        <v/>
      </c>
      <c r="CZ10" s="508" t="str">
        <f t="shared" ref="CZ10:CZ47" si="80">IF(AND(C10=2,M10="Common Space"),E10*F10,"")</f>
        <v/>
      </c>
      <c r="DA10" s="508" t="str">
        <f t="shared" ref="DA10:DA47" si="81">IF(AND(C10=3,M10="Common Space"),E10*F10,"")</f>
        <v/>
      </c>
      <c r="DB10" s="508" t="str">
        <f t="shared" ref="DB10:DB47" si="82">IF(AND(C10=4,M10="Common Space"),E10*F10,"")</f>
        <v/>
      </c>
      <c r="DC10" s="508" t="str">
        <f t="shared" ref="DC10:DC47" si="83">IF(AND($C10="Efficiency", $O10="New Construction",NOT($B10="Unrestricted"),NOT($B10="NSP 120% AMI"),NOT($B10="N/A-CS"),NOT($M10="Common Space")),$E10,"")</f>
        <v/>
      </c>
      <c r="DD10" s="508">
        <f t="shared" ref="DD10:DD47" si="84">IF(AND($C10=1, $O10="New Construction",NOT($B10="Unrestricted"),NOT($B10="NSP 120% AMI"),NOT($B10="N/A-CS"),NOT($M10="Common Space")),$E10,"")</f>
        <v>4</v>
      </c>
      <c r="DE10" s="508" t="str">
        <f t="shared" ref="DE10:DE47" si="85">IF(AND($C10=2, $O10="New Construction",NOT($B10="Unrestricted"),NOT($B10="NSP 120% AMI"),NOT($B10="N/A-CS"),NOT($M10="Common Space")),$E10,"")</f>
        <v/>
      </c>
      <c r="DF10" s="508" t="str">
        <f t="shared" ref="DF10:DF47" si="86">IF(AND($C10=3, $O10="New Construction",NOT($B10="Unrestricted"),NOT($B10="NSP 120% AMI"),NOT($B10="N/A-CS"),NOT($M10="Common Space")),$E10,"")</f>
        <v/>
      </c>
      <c r="DG10" s="508" t="str">
        <f t="shared" ref="DG10:DG47" si="87">IF(AND($C10=4, $O10="New Construction",NOT($B10="Unrestricted"),NOT($B10="NSP 120% AMI"),NOT($B10="N/A-CS"),NOT($M10="Common Space")),$E10,"")</f>
        <v/>
      </c>
      <c r="DH10" s="508" t="str">
        <f t="shared" ref="DH10:DH47" si="88">IF(AND($C10="Efficiency", $O10="New Construction",$B10="Unrestricted",NOT($B10="N/A-CS"),NOT($M10="Common Space")),$E10,"")</f>
        <v/>
      </c>
      <c r="DI10" s="508" t="str">
        <f t="shared" ref="DI10:DI47" si="89">IF(AND($C10=1, $O10="New Construction",$B10="Unrestricted",NOT($B10="N/A-CS"),NOT($M10="Common Space")),$E10,"")</f>
        <v/>
      </c>
      <c r="DJ10" s="508" t="str">
        <f t="shared" ref="DJ10:DJ47" si="90">IF(AND($C10=2, $O10="New Construction",$B10="Unrestricted",NOT($B10="N/A-CS"),NOT($M10="Common Space")),$E10,"")</f>
        <v/>
      </c>
      <c r="DK10" s="508" t="str">
        <f t="shared" ref="DK10:DK47" si="91">IF(AND($C10=3, $O10="New Construction",$B10="Unrestricted",NOT($B10="N/A-CS"),NOT($M10="Common Space")),$E10,"")</f>
        <v/>
      </c>
      <c r="DL10" s="508" t="str">
        <f t="shared" ref="DL10:DL47" si="92">IF(AND($C10=4, $O10="New Construction",$B10="Unrestricted",NOT($B10="N/A-CS"),NOT($M10="Common Space")),$E10,"")</f>
        <v/>
      </c>
      <c r="DM10" s="508" t="str">
        <f t="shared" ref="DM10:DM47" si="93">IF(AND($C10="Efficiency", $O10="New Construction",$B10="N/A-CS",$M10="Common Space"),$E10,"")</f>
        <v/>
      </c>
      <c r="DN10" s="508" t="str">
        <f t="shared" ref="DN10:DN47" si="94">IF(AND($C10=1, $O10="New Construction",$B10="N/A-CS",$M10="Common Space"),$E10,"")</f>
        <v/>
      </c>
      <c r="DO10" s="508" t="str">
        <f t="shared" ref="DO10:DO47" si="95">IF(AND($C10=2, $O10="New Construction",$B10="N/A-CS",$M10="Common Space"),$E10,"")</f>
        <v/>
      </c>
      <c r="DP10" s="508" t="str">
        <f t="shared" ref="DP10:DP47" si="96">IF(AND($C10=3, $O10="New Construction",$B10="N/A-CS",$M10="Common Space"),$E10,"")</f>
        <v/>
      </c>
      <c r="DQ10" s="508" t="str">
        <f t="shared" ref="DQ10:DQ47" si="97">IF(AND($C10=4, $O10="New Construction",$B10="N/A-CS",$M10="Common Space"),$E10,"")</f>
        <v/>
      </c>
      <c r="DR10" s="508" t="str">
        <f t="shared" ref="DR10:DR47" si="98">IF(AND($C10="Efficiency", $O10="Acquisition/Rehab",NOT($B10="Unrestricted"),NOT($B10="NSP 120% AMI"),NOT($B10="N/A-CS"),NOT($M10="Common Space")),$E10,"")</f>
        <v/>
      </c>
      <c r="DS10" s="508" t="str">
        <f t="shared" ref="DS10:DS47" si="99">IF(AND($C10=1, $O10="Acquisition/Rehab",NOT($B10="Unrestricted"),NOT($B10="NSP 120% AMI"),NOT($B10="N/A-CS"),NOT($M10="Common Space")),$E10,"")</f>
        <v/>
      </c>
      <c r="DT10" s="508" t="str">
        <f t="shared" ref="DT10:DT47" si="100">IF(AND($C10=2, $O10="Acquisition/Rehab",NOT($B10="Unrestricted"),NOT($B10="NSP 120% AMI"),NOT($B10="N/A-CS"),NOT($M10="Common Space")),$E10,"")</f>
        <v/>
      </c>
      <c r="DU10" s="508" t="str">
        <f t="shared" ref="DU10:DU47" si="101">IF(AND($C10=3, $O10="Acquisition/Rehab",NOT($B10="Unrestricted"),NOT($B10="NSP 120% AMI"),NOT($B10="N/A-CS"),NOT($M10="Common Space")),$E10,"")</f>
        <v/>
      </c>
      <c r="DV10" s="508" t="str">
        <f t="shared" ref="DV10:DV47" si="102">IF(AND($C10=4, $O10="Acquisition/Rehab",NOT($B10="Unrestricted"),NOT($B10="NSP 120% AMI"),NOT($B10="N/A-CS"),NOT($M10="Common Space")),$E10,"")</f>
        <v/>
      </c>
      <c r="DW10" s="508" t="str">
        <f t="shared" ref="DW10:DW47" si="103">IF(AND($C10="Efficiency", $O10="Acquisition/Rehab",$B10="Unrestricted",NOT($B10="N/A-CS"),NOT($M10="Common Space")),$E10,"")</f>
        <v/>
      </c>
      <c r="DX10" s="508" t="str">
        <f t="shared" ref="DX10:DX47" si="104">IF(AND($C10=1, $O10="Acquisition/Rehab",$B10="Unrestricted",NOT($B10="N/A-CS"),NOT($M10="Common Space")),$E10,"")</f>
        <v/>
      </c>
      <c r="DY10" s="508" t="str">
        <f t="shared" ref="DY10:DY47" si="105">IF(AND($C10=2, $O10="Acquisition/Rehab",$B10="Unrestricted",NOT($B10="N/A-CS"),NOT($M10="Common Space")),$E10,"")</f>
        <v/>
      </c>
      <c r="DZ10" s="508" t="str">
        <f t="shared" ref="DZ10:DZ47" si="106">IF(AND($C10=3, $O10="Acquisition/Rehab",$B10="Unrestricted",NOT($B10="N/A-CS"),NOT($M10="Common Space")),$E10,"")</f>
        <v/>
      </c>
      <c r="EA10" s="508" t="str">
        <f t="shared" ref="EA10:EA47" si="107">IF(AND($C10=4, $O10="Acquisition/Rehab",$B10="Unrestricted",NOT($B10="N/A-CS"),NOT($M10="Common Space")),$E10,"")</f>
        <v/>
      </c>
      <c r="EB10" s="508" t="str">
        <f t="shared" ref="EB10:EB47" si="108">IF(AND($C10="Efficiency", $O10="Acquisition/Rehab",$B10="N/A-CS",$M10="Common Space"),$E10,"")</f>
        <v/>
      </c>
      <c r="EC10" s="508" t="str">
        <f t="shared" ref="EC10:EC47" si="109">IF(AND($C10=1, $O10="Acquisition/Rehab",$B10="N/A-CS",$M10="Common Space"),$E10,"")</f>
        <v/>
      </c>
      <c r="ED10" s="508" t="str">
        <f t="shared" ref="ED10:ED47" si="110">IF(AND($C10=2, $O10="Acquisition/Rehab",$B10="N/A-CS",$M10="Common Space"),$E10,"")</f>
        <v/>
      </c>
      <c r="EE10" s="508" t="str">
        <f t="shared" ref="EE10:EE47" si="111">IF(AND($C10=3, $O10="Acquisition/Rehab",$B10="N/A-CS",$M10="Common Space"),$E10,"")</f>
        <v/>
      </c>
      <c r="EF10" s="508" t="str">
        <f t="shared" ref="EF10:EF47" si="112">IF(AND($C10=4, $O10="Acquisition/Rehab",$B10="N/A-CS",$M10="Common Space"),$E10,"")</f>
        <v/>
      </c>
      <c r="EG10" s="508" t="str">
        <f t="shared" ref="EG10:EG47" si="113">IF(AND($C10="Efficiency", $O10="Rehabilitation",NOT($B10="Unrestricted"),NOT($B10="NSP 120% AMI"),NOT($B10="N/A-CS"),NOT($M10="Common Space")),$E10,"")</f>
        <v/>
      </c>
      <c r="EH10" s="508" t="str">
        <f t="shared" ref="EH10:EH47" si="114">IF(AND($C10=1, $O10="Rehabilitation",NOT($B10="Unrestricted"),NOT($B10="NSP 120% AMI"),NOT($B10="N/A-CS"),NOT($M10="Common Space")),$E10,"")</f>
        <v/>
      </c>
      <c r="EI10" s="508" t="str">
        <f t="shared" ref="EI10:EI47" si="115">IF(AND($C10=2, $O10="Rehabilitation",NOT($B10="Unrestricted"),NOT($B10="NSP 120% AMI"),NOT($B10="N/A-CS"),NOT($M10="Common Space")),$E10,"")</f>
        <v/>
      </c>
      <c r="EJ10" s="508" t="str">
        <f t="shared" ref="EJ10:EJ47" si="116">IF(AND($C10=3, $O10="Rehabilitation",NOT($B10="Unrestricted"),NOT($B10="NSP 120% AMI"),NOT($B10="N/A-CS"),NOT($M10="Common Space")),$E10,"")</f>
        <v/>
      </c>
      <c r="EK10" s="508" t="str">
        <f t="shared" ref="EK10:EK47" si="117">IF(AND($C10=4, $O10="Rehabilitation",NOT($B10="Unrestricted"),NOT($B10="NSP 120% AMI"),NOT($B10="N/A-CS"),NOT($M10="Common Space")),$E10,"")</f>
        <v/>
      </c>
      <c r="EL10" s="508" t="str">
        <f t="shared" ref="EL10:EL47" si="118">IF(AND($C10="Efficiency", $O10="Rehabilitation",$B10="Unrestricted",NOT($B10="N/A-CS"),NOT($M10="Common Space")),$E10,"")</f>
        <v/>
      </c>
      <c r="EM10" s="508" t="str">
        <f t="shared" ref="EM10:EM47" si="119">IF(AND($C10=1, $O10="Rehabilitation",$B10="Unrestricted",NOT($B10="N/A-CS"),NOT($M10="Common Space")),$E10,"")</f>
        <v/>
      </c>
      <c r="EN10" s="508" t="str">
        <f t="shared" ref="EN10:EN47" si="120">IF(AND($C10=2, $O10="Rehabilitation",$B10="Unrestricted",NOT($B10="N/A-CS"),NOT($M10="Common Space")),$E10,"")</f>
        <v/>
      </c>
      <c r="EO10" s="508" t="str">
        <f t="shared" ref="EO10:EO47" si="121">IF(AND($C10=3, $O10="Rehabilitation",$B10="Unrestricted",NOT($B10="N/A-CS"),NOT($M10="Common Space")),$E10,"")</f>
        <v/>
      </c>
      <c r="EP10" s="508" t="str">
        <f t="shared" ref="EP10:EP47" si="122">IF(AND($C10=4, $O10="Rehabilitation",$B10="Unrestricted",NOT($B10="N/A-CS"),NOT($M10="Common Space")),$E10,"")</f>
        <v/>
      </c>
      <c r="EQ10" s="508" t="str">
        <f t="shared" ref="EQ10:EQ47" si="123">IF(AND($C10="Efficiency", $O10="Rehabilitation",$B10="N/A-CS",$M10="Common Space"),$E10,"")</f>
        <v/>
      </c>
      <c r="ER10" s="508" t="str">
        <f t="shared" ref="ER10:ER47" si="124">IF(AND($C10=1, $O10="Rehabilitation",$B10="N/A-CS",$M10="Common Space"),$E10,"")</f>
        <v/>
      </c>
      <c r="ES10" s="508" t="str">
        <f t="shared" ref="ES10:ES47" si="125">IF(AND($C10=2, $O10="Rehabilitation",$B10="N/A-CS",$M10="Common Space"),$E10,"")</f>
        <v/>
      </c>
      <c r="ET10" s="508" t="str">
        <f t="shared" ref="ET10:ET47" si="126">IF(AND($C10=3, $O10="Rehabilitation",$B10="N/A-CS",$M10="Common Space"),$E10,"")</f>
        <v/>
      </c>
      <c r="EU10" s="508" t="str">
        <f t="shared" ref="EU10:EU47" si="127">IF(AND($C10=4, $O10="Rehabilitation",$B10="N/A-CS",$M10="Common Space"),$E10,"")</f>
        <v/>
      </c>
      <c r="EV10" s="518" t="str">
        <f t="shared" ref="EV10:EV47" si="128">IF(AND($C10="Efficiency", NOT(OR($N10="SF Detached",$N10="Mfd Home",$N10="Duplex",$N10="Townhome"))),$E10,"")</f>
        <v/>
      </c>
      <c r="EW10" s="518">
        <f t="shared" ref="EW10:EW47" si="129">IF(AND($C10=1, NOT(OR($N10="SF Detached",$N10="Mfd Home",$N10="Duplex",$N10="Townhome"))),$E10,"")</f>
        <v>4</v>
      </c>
      <c r="EX10" s="518" t="str">
        <f t="shared" ref="EX10:EX47" si="130">IF(AND($C10=2, NOT(OR($N10="SF Detached",$N10="Mfd Home",$N10="Duplex",$N10="Townhome"))),$E10,"")</f>
        <v/>
      </c>
      <c r="EY10" s="518" t="str">
        <f t="shared" ref="EY10:EY47" si="131">IF(AND($C10=3, NOT(OR($N10="SF Detached",$N10="Mfd Home",$N10="Duplex",$N10="Townhome"))),$E10,"")</f>
        <v/>
      </c>
      <c r="EZ10" s="518" t="str">
        <f t="shared" ref="EZ10:EZ47" si="132">IF(AND($C10=4, NOT(OR($N10="SF Detached",$N10="Mfd Home",$N10="Duplex",$N10="Townhome"))),$E10,"")</f>
        <v/>
      </c>
      <c r="FA10" s="518" t="str">
        <f t="shared" ref="FA10:FA47" si="133">IF(AND($C10="Efficiency", $N10="SF Detached",NOT($P10="Yes")),$E10,"")</f>
        <v/>
      </c>
      <c r="FB10" s="518" t="str">
        <f t="shared" ref="FB10:FB47" si="134">IF(AND($C10=1, $N10="SF Detached",NOT($P10="Yes")),$E10,"")</f>
        <v/>
      </c>
      <c r="FC10" s="518" t="str">
        <f t="shared" ref="FC10:FC47" si="135">IF(AND($C10=2, $N10="SF Detached",NOT($P10="Yes")),$E10,"")</f>
        <v/>
      </c>
      <c r="FD10" s="518" t="str">
        <f t="shared" ref="FD10:FD47" si="136">IF(AND($C10=3, $N10="SF Detached",NOT($P10="Yes")),$E10,"")</f>
        <v/>
      </c>
      <c r="FE10" s="518" t="str">
        <f t="shared" ref="FE10:FE47" si="137">IF(AND($C10=4, $N10="SF Detached",NOT($P10="Yes")),$E10,"")</f>
        <v/>
      </c>
      <c r="FF10" s="518" t="str">
        <f t="shared" ref="FF10:FF47" si="138">IF(AND($C10="Efficiency", $N10="SF Detached",$P10="Yes"),$E10,"")</f>
        <v/>
      </c>
      <c r="FG10" s="518" t="str">
        <f t="shared" ref="FG10:FG47" si="139">IF(AND($C10=1, $N10="SF Detached",$P10="Yes"),$E10,"")</f>
        <v/>
      </c>
      <c r="FH10" s="518" t="str">
        <f t="shared" ref="FH10:FH47" si="140">IF(AND($C10=2, $N10="SF Detached",$P10="Yes"),$E10,"")</f>
        <v/>
      </c>
      <c r="FI10" s="518" t="str">
        <f t="shared" ref="FI10:FI47" si="141">IF(AND($C10=3, $N10="SF Detached",$P10="Yes"),$E10,"")</f>
        <v/>
      </c>
      <c r="FJ10" s="518" t="str">
        <f t="shared" ref="FJ10:FJ47" si="142">IF(AND($C10=4, $N10="SF Detached",$P10="Yes"),$E10,"")</f>
        <v/>
      </c>
      <c r="FK10" s="518" t="str">
        <f t="shared" ref="FK10:FK47" si="143">IF(AND($C10="Efficiency", $N10="Mfd Home",NOT($P10="Yes")),$E10,"")</f>
        <v/>
      </c>
      <c r="FL10" s="518" t="str">
        <f t="shared" ref="FL10:FL47" si="144">IF(AND($C10=1, $N10="Mfd Home",NOT($P10="Yes")),$E10,"")</f>
        <v/>
      </c>
      <c r="FM10" s="518" t="str">
        <f t="shared" ref="FM10:FM47" si="145">IF(AND($C10=2, $N10="Mfd Home",NOT($P10="Yes")),$E10,"")</f>
        <v/>
      </c>
      <c r="FN10" s="518" t="str">
        <f t="shared" ref="FN10:FN47" si="146">IF(AND($C10=3, $N10="Mfd Home",NOT($P10="Yes")),$E10,"")</f>
        <v/>
      </c>
      <c r="FO10" s="518" t="str">
        <f t="shared" ref="FO10:FO47" si="147">IF(AND($C10=4, $N10="Mfd Home",NOT($P10="Yes")),$E10,"")</f>
        <v/>
      </c>
      <c r="FP10" s="518" t="str">
        <f t="shared" ref="FP10:FP47" si="148">IF(AND($C10="Efficiency", $N10="Mfd Home",$P10="Yes"),$E10,"")</f>
        <v/>
      </c>
      <c r="FQ10" s="518" t="str">
        <f t="shared" ref="FQ10:FQ47" si="149">IF(AND($C10=1, $N10="Mfd Home",$P10="Yes"),$E10,"")</f>
        <v/>
      </c>
      <c r="FR10" s="518" t="str">
        <f t="shared" ref="FR10:FR47" si="150">IF(AND($C10=2, $N10="Mfd Home",$P10="Yes"),$E10,"")</f>
        <v/>
      </c>
      <c r="FS10" s="518" t="str">
        <f t="shared" ref="FS10:FS47" si="151">IF(AND($C10=3, $N10="Mfd Home",$P10="Yes"),$E10,"")</f>
        <v/>
      </c>
      <c r="FT10" s="518" t="str">
        <f t="shared" ref="FT10:FT47" si="152">IF(AND($C10=4, $N10="Mfd Home",$P10="Yes"),$E10,"")</f>
        <v/>
      </c>
      <c r="FU10" s="518" t="str">
        <f t="shared" ref="FU10:FU47" si="153">IF(AND($C10="Efficiency", $N10="Duplex",NOT($P10="Yes")),$E10,"")</f>
        <v/>
      </c>
      <c r="FV10" s="518" t="str">
        <f t="shared" ref="FV10:FV47" si="154">IF(AND($C10=1, $N10="Duplex",NOT($P10="Yes")),$E10,"")</f>
        <v/>
      </c>
      <c r="FW10" s="518" t="str">
        <f t="shared" ref="FW10:FW47" si="155">IF(AND($C10=2, $N10="Duplex",NOT($P10="Yes")),$E10,"")</f>
        <v/>
      </c>
      <c r="FX10" s="518" t="str">
        <f t="shared" ref="FX10:FX47" si="156">IF(AND($C10=3, $N10="Duplex",NOT($P10="Yes")),$E10,"")</f>
        <v/>
      </c>
      <c r="FY10" s="518" t="str">
        <f t="shared" ref="FY10:FY47" si="157">IF(AND($C10=4, $N10="Duplex",NOT($P10="Yes")),$E10,"")</f>
        <v/>
      </c>
      <c r="FZ10" s="518" t="str">
        <f t="shared" ref="FZ10:FZ47" si="158">IF(AND($C10="Efficiency", $N10="Duplex",$P10="Yes"),$E10,"")</f>
        <v/>
      </c>
      <c r="GA10" s="518" t="str">
        <f t="shared" ref="GA10:GA47" si="159">IF(AND($C10=1, $N10="Duplex",$P10="Yes"),$E10,"")</f>
        <v/>
      </c>
      <c r="GB10" s="518" t="str">
        <f t="shared" ref="GB10:GB47" si="160">IF(AND($C10=2, $N10="Duplex",$P10="Yes"),$E10,"")</f>
        <v/>
      </c>
      <c r="GC10" s="518" t="str">
        <f t="shared" ref="GC10:GC47" si="161">IF(AND($C10=3, $N10="Duplex",$P10="Yes"),$E10,"")</f>
        <v/>
      </c>
      <c r="GD10" s="518" t="str">
        <f t="shared" ref="GD10:GD47" si="162">IF(AND($C10=4, $N10="Duplex",$P10="Yes"),$E10,"")</f>
        <v/>
      </c>
      <c r="GE10" s="518" t="str">
        <f t="shared" ref="GE10:GE47" si="163">IF(AND($C10="Efficiency", $N10="Townhome",NOT($P10="Yes")),$E10,"")</f>
        <v/>
      </c>
      <c r="GF10" s="518" t="str">
        <f t="shared" ref="GF10:GF47" si="164">IF(AND($C10=1, $N10="Townhome",NOT($P10="Yes")),$E10,"")</f>
        <v/>
      </c>
      <c r="GG10" s="518" t="str">
        <f t="shared" ref="GG10:GG47" si="165">IF(AND($C10=2, $N10="Townhome",NOT($P10="Yes")),$E10,"")</f>
        <v/>
      </c>
      <c r="GH10" s="518" t="str">
        <f t="shared" ref="GH10:GH47" si="166">IF(AND($C10=3, $N10="Townhome",NOT($P10="Yes")),$E10,"")</f>
        <v/>
      </c>
      <c r="GI10" s="518" t="str">
        <f t="shared" ref="GI10:GI47" si="167">IF(AND($C10=4, $N10="Townhome",NOT($P10="Yes")),$E10,"")</f>
        <v/>
      </c>
      <c r="GJ10" s="518" t="str">
        <f t="shared" ref="GJ10:GJ47" si="168">IF(AND($C10="Efficiency", $N10="Townhome",$P10="Yes"),$E10,"")</f>
        <v/>
      </c>
      <c r="GK10" s="518" t="str">
        <f t="shared" ref="GK10:GK47" si="169">IF(AND($C10=1, $N10="Townhome",$P10="Yes"),$E10,"")</f>
        <v/>
      </c>
      <c r="GL10" s="518" t="str">
        <f t="shared" ref="GL10:GL47" si="170">IF(AND($C10=2, $N10="Townhome",$P10="Yes"),$E10,"")</f>
        <v/>
      </c>
      <c r="GM10" s="518" t="str">
        <f t="shared" ref="GM10:GM47" si="171">IF(AND($C10=3, $N10="Townhome",$P10="Yes"),$E10,"")</f>
        <v/>
      </c>
      <c r="GN10" s="518" t="str">
        <f t="shared" ref="GN10:GN47" si="172">IF(AND($C10=4, $N10="Townhome",$P10="Yes"),$E10,"")</f>
        <v/>
      </c>
      <c r="GO10" s="518" t="str">
        <f t="shared" ref="GO10:GO47" si="173">IF(AND($C10="Efficiency", $N10="1-Story",NOT($P10="Yes")),$E10,"")</f>
        <v/>
      </c>
      <c r="GP10" s="518" t="str">
        <f t="shared" ref="GP10:GP47" si="174">IF(AND($C10=1, $N10="1-Story",NOT($P10="Yes")),$E10,"")</f>
        <v/>
      </c>
      <c r="GQ10" s="518" t="str">
        <f t="shared" ref="GQ10:GQ47" si="175">IF(AND($C10=2, $N10="1-Story",NOT($P10="Yes")),$E10,"")</f>
        <v/>
      </c>
      <c r="GR10" s="518" t="str">
        <f t="shared" ref="GR10:GR47" si="176">IF(AND($C10=3, $N10="1-Story",NOT($P10="Yes")),$E10,"")</f>
        <v/>
      </c>
      <c r="GS10" s="518" t="str">
        <f t="shared" ref="GS10:GS47" si="177">IF(AND($C10=4, $N10="1-Story",NOT($P10="Yes")),$E10,"")</f>
        <v/>
      </c>
      <c r="GT10" s="518" t="str">
        <f t="shared" ref="GT10:GT47" si="178">IF(AND($C10="Efficiency", $N10="1-Story",$P10="Yes"),$E10,"")</f>
        <v/>
      </c>
      <c r="GU10" s="518" t="str">
        <f t="shared" ref="GU10:GU47" si="179">IF(AND($C10=1, $N10="1-Story",$P10="Yes"),$E10,"")</f>
        <v/>
      </c>
      <c r="GV10" s="518" t="str">
        <f t="shared" ref="GV10:GV47" si="180">IF(AND($C10=2, $N10="1-Story",$P10="Yes"),$E10,"")</f>
        <v/>
      </c>
      <c r="GW10" s="518" t="str">
        <f t="shared" ref="GW10:GW47" si="181">IF(AND($C10=3, $N10="1-Story",$P10="Yes"),$E10,"")</f>
        <v/>
      </c>
      <c r="GX10" s="518" t="str">
        <f t="shared" ref="GX10:GX47" si="182">IF(AND($C10=4, $N10="1-Story",$P10="Yes"),$E10,"")</f>
        <v/>
      </c>
      <c r="GY10" s="518" t="str">
        <f t="shared" ref="GY10:GY47" si="183">IF(AND($C10="Efficiency", $N10="2-Story",NOT($P10="Yes")),$E10,"")</f>
        <v/>
      </c>
      <c r="GZ10" s="518" t="str">
        <f t="shared" ref="GZ10:GZ47" si="184">IF(AND($C10=1, $N10="2-Story",NOT($P10="Yes")),$E10,"")</f>
        <v/>
      </c>
      <c r="HA10" s="518" t="str">
        <f t="shared" ref="HA10:HA47" si="185">IF(AND($C10=2, $N10="2-Story",NOT($P10="Yes")),$E10,"")</f>
        <v/>
      </c>
      <c r="HB10" s="518" t="str">
        <f t="shared" ref="HB10:HB47" si="186">IF(AND($C10=3, $N10="2-Story",NOT($P10="Yes")),$E10,"")</f>
        <v/>
      </c>
      <c r="HC10" s="518" t="str">
        <f t="shared" ref="HC10:HC47" si="187">IF(AND($C10=4, $N10="2-Story",NOT($P10="Yes")),$E10,"")</f>
        <v/>
      </c>
      <c r="HD10" s="518" t="str">
        <f t="shared" ref="HD10:HD47" si="188">IF(AND($C10="Efficiency", $N10="2-Story",$P10="Yes"),$E10,"")</f>
        <v/>
      </c>
      <c r="HE10" s="518" t="str">
        <f t="shared" ref="HE10:HE47" si="189">IF(AND($C10=1, $N10="2-Story",$P10="Yes"),$E10,"")</f>
        <v/>
      </c>
      <c r="HF10" s="518" t="str">
        <f t="shared" ref="HF10:HF47" si="190">IF(AND($C10=2, $N10="2-Story",$P10="Yes"),$E10,"")</f>
        <v/>
      </c>
      <c r="HG10" s="518" t="str">
        <f t="shared" ref="HG10:HG47" si="191">IF(AND($C10=3, $N10="2-Story",$P10="Yes"),$E10,"")</f>
        <v/>
      </c>
      <c r="HH10" s="518" t="str">
        <f t="shared" ref="HH10:HH47" si="192">IF(AND($C10=4, $N10="2-Story",$P10="Yes"),$E10,"")</f>
        <v/>
      </c>
      <c r="HI10" s="518" t="str">
        <f t="shared" ref="HI10:HI47" si="193">IF(AND($C10="Efficiency", $N10="2-Story Walkup",NOT($P10="Yes")),$E10,"")</f>
        <v/>
      </c>
      <c r="HJ10" s="518" t="str">
        <f t="shared" ref="HJ10:HJ47" si="194">IF(AND($C10=1, $N10="2-Story Walkup",NOT($P10="Yes")),$E10,"")</f>
        <v/>
      </c>
      <c r="HK10" s="518" t="str">
        <f t="shared" ref="HK10:HK47" si="195">IF(AND($C10=2, $N10="2-Story Walkup",NOT($P10="Yes")),$E10,"")</f>
        <v/>
      </c>
      <c r="HL10" s="518" t="str">
        <f t="shared" ref="HL10:HL47" si="196">IF(AND($C10=3, $N10="2-Story Walkup",NOT($P10="Yes")),$E10,"")</f>
        <v/>
      </c>
      <c r="HM10" s="518" t="str">
        <f t="shared" ref="HM10:HM47" si="197">IF(AND($C10=4, $N10="2-Story Walkup",NOT($P10="Yes")),$E10,"")</f>
        <v/>
      </c>
      <c r="HN10" s="518" t="str">
        <f t="shared" ref="HN10:HN47" si="198">IF(AND($C10="Efficiency", $N10="2-Story Walkup",$P10="Yes"),$E10,"")</f>
        <v/>
      </c>
      <c r="HO10" s="518" t="str">
        <f t="shared" ref="HO10:HO47" si="199">IF(AND($C10=1, $N10="2-Story Walkup",$P10="Yes"),$E10,"")</f>
        <v/>
      </c>
      <c r="HP10" s="518" t="str">
        <f t="shared" ref="HP10:HP47" si="200">IF(AND($C10=2, $N10="2-Story Walkup",$P10="Yes"),$E10,"")</f>
        <v/>
      </c>
      <c r="HQ10" s="518" t="str">
        <f t="shared" ref="HQ10:HQ47" si="201">IF(AND($C10=3, $N10="2-Story Walkup",$P10="Yes"),$E10,"")</f>
        <v/>
      </c>
      <c r="HR10" s="518" t="str">
        <f t="shared" ref="HR10:HR47" si="202">IF(AND($C10=4, $N10="2-Story Walkup",$P10="Yes"),$E10,"")</f>
        <v/>
      </c>
      <c r="HS10" s="518" t="str">
        <f t="shared" ref="HS10:HS47" si="203">IF(AND($C10="Efficiency", $N10="3+ Story",NOT($P10="Yes")),$E10,"")</f>
        <v/>
      </c>
      <c r="HT10" s="518">
        <f t="shared" ref="HT10:HT47" si="204">IF(AND($C10=1, $N10="3+ Story",NOT($P10="Yes")),$E10,"")</f>
        <v>4</v>
      </c>
      <c r="HU10" s="518" t="str">
        <f t="shared" ref="HU10:HU47" si="205">IF(AND($C10=2, $N10="3+ Story",NOT($P10="Yes")),$E10,"")</f>
        <v/>
      </c>
      <c r="HV10" s="518" t="str">
        <f t="shared" ref="HV10:HV47" si="206">IF(AND($C10=3, $N10="3+ Story",NOT($P10="Yes")),$E10,"")</f>
        <v/>
      </c>
      <c r="HW10" s="518" t="str">
        <f t="shared" ref="HW10:HW47" si="207">IF(AND($C10=4, $N10="3+ Story",NOT($P10="Yes")),$E10,"")</f>
        <v/>
      </c>
      <c r="HX10" s="518" t="str">
        <f t="shared" ref="HX10:HX47" si="208">IF(AND($C10="Efficiency", $N10="3+ Story",$P10="Yes"),$E10,"")</f>
        <v/>
      </c>
      <c r="HY10" s="518" t="str">
        <f t="shared" ref="HY10:HY47" si="209">IF(AND($C10=1, $N10="3+ Story",$P10="Yes"),$E10,"")</f>
        <v/>
      </c>
      <c r="HZ10" s="518" t="str">
        <f t="shared" ref="HZ10:HZ47" si="210">IF(AND($C10=2, $N10="3+ Story",$P10="Yes"),$E10,"")</f>
        <v/>
      </c>
      <c r="IA10" s="518" t="str">
        <f t="shared" ref="IA10:IA47" si="211">IF(AND($C10=3, $N10="3+ Story",$P10="Yes"),$E10,"")</f>
        <v/>
      </c>
      <c r="IB10" s="518" t="str">
        <f t="shared" ref="IB10:IB47" si="212">IF(AND($C10=4, $N10="3+ Story",$P10="Yes"),$E10,"")</f>
        <v/>
      </c>
      <c r="IC10" s="519" t="str">
        <f t="shared" ref="IC10:IC47" si="213">IF(AND($B10="NSP 120% AMI",$C10="Efficiency", NOT($M10="Common Space")),$E10,"")</f>
        <v/>
      </c>
      <c r="ID10" s="519" t="str">
        <f t="shared" ref="ID10:ID47" si="214">IF(AND($B10="NSP 120% AMI",$C10=1,NOT($M10="Common Space")),$E10,"")</f>
        <v/>
      </c>
      <c r="IE10" s="519" t="str">
        <f t="shared" ref="IE10:IE47" si="215">IF(AND($B10="NSP 120% AMI",$C10=2,NOT($M10="Common Space")),$E10,"")</f>
        <v/>
      </c>
      <c r="IF10" s="519" t="str">
        <f t="shared" ref="IF10:IF47" si="216">IF(AND($B10="NSP 120% AMI",$C10=3,NOT($M10="Common Space")),$E10,"")</f>
        <v/>
      </c>
      <c r="IG10" s="519" t="str">
        <f t="shared" ref="IG10:IG47" si="217">IF(AND($B10="NSP 120% AMI",$C10=4,NOT($M10="Common Space")),$E10,"")</f>
        <v/>
      </c>
      <c r="IH10" s="508" t="str">
        <f t="shared" ref="IH10:IH47" si="218">IF(AND(C10="Efficiency",B10="NSP 120% AMI",NOT(M10="Common Space")),E10*F10,"")</f>
        <v/>
      </c>
      <c r="II10" s="508" t="str">
        <f t="shared" ref="II10:II47" si="219">IF(AND(C10=1,B10="NSP 120% AMI",NOT(M10="Common Space")),E10*F10,"")</f>
        <v/>
      </c>
      <c r="IJ10" s="508" t="str">
        <f t="shared" ref="IJ10:IJ47" si="220">IF(AND(C10=2,B10="NSP 120% AMI",NOT(M10="Common Space")),E10*F10,"")</f>
        <v/>
      </c>
      <c r="IK10" s="508" t="str">
        <f t="shared" ref="IK10:IK47" si="221">IF(AND(C10=3,B10="NSP 120% AMI",NOT(M10="Common Space")),E10*F10,"")</f>
        <v/>
      </c>
      <c r="IL10" s="508" t="str">
        <f t="shared" ref="IL10:IL47" si="222">IF(AND(C10=4,B10="NSP 120% AMI",NOT(M10="Common Space")),E10*F10,"")</f>
        <v/>
      </c>
      <c r="IM10" s="508" t="str">
        <f t="shared" ref="IM10:IM47" si="223">IF(AND($C10="Efficiency", $O10="New Construction",$B10="NSP 120% AMI",NOT($M10="Common Space")),$E10,"")</f>
        <v/>
      </c>
      <c r="IN10" s="508" t="str">
        <f t="shared" ref="IN10:IN47" si="224">IF(AND($C10=1, $O10="New Construction",$B10="NSP 120% AMI",NOT($M10="Common Space")),$E10,"")</f>
        <v/>
      </c>
      <c r="IO10" s="508" t="str">
        <f t="shared" ref="IO10:IO47" si="225">IF(AND($C10=2, $O10="New Construction",$B10="NSP 120% AMI",NOT($M10="Common Space")),$E10,"")</f>
        <v/>
      </c>
      <c r="IP10" s="508" t="str">
        <f t="shared" ref="IP10:IP47" si="226">IF(AND($C10=3, $O10="New Construction",$B10="NSP 120% AMI",NOT($M10="Common Space")),$E10,"")</f>
        <v/>
      </c>
      <c r="IQ10" s="508" t="str">
        <f t="shared" ref="IQ10:IQ47" si="227">IF(AND($C10=4, $O10="New Construction",$B10="NSP 120% AMI",NOT($M10="Common Space")),$E10,"")</f>
        <v/>
      </c>
      <c r="IR10" s="508" t="str">
        <f t="shared" ref="IR10:IR47" si="228">IF(AND($C10="Efficiency", $O10="Acquisition/Rehab",$B10="NSP 120% AMI",NOT($M10="Common Space")),$E10,"")</f>
        <v/>
      </c>
      <c r="IS10" s="508" t="str">
        <f t="shared" ref="IS10:IS47" si="229">IF(AND($C10=1, $O10="Acquisition/Rehab",$B10="NSP 120% AMI",NOT($M10="Common Space")),$E10,"")</f>
        <v/>
      </c>
      <c r="IT10" s="508" t="str">
        <f t="shared" ref="IT10:IT47" si="230">IF(AND($C10=2, $O10="Acquisition/Rehab",$B10="NSP 120% AMI",NOT($M10="Common Space")),$E10,"")</f>
        <v/>
      </c>
      <c r="IU10" s="508" t="str">
        <f t="shared" ref="IU10:IU47" si="231">IF(AND($C10=3, $O10="Acquisition/Rehab",$B10="NSP 120% AMI",NOT($M10="Common Space")),$E10,"")</f>
        <v/>
      </c>
      <c r="IV10" s="508" t="str">
        <f t="shared" ref="IV10:IV47" si="232">IF(AND($C10=4, $O10="Acquisition/Rehab",$B10="NSP 120% AMI",NOT($M10="Common Space")),$E10,"")</f>
        <v/>
      </c>
      <c r="IW10" s="508" t="str">
        <f t="shared" ref="IW10:IW47" si="233">IF(AND($C10="Efficiency", $O10="Rehabilitation",$B10="NSP 120% AMI",NOT($M10="Common Space")),$E10,"")</f>
        <v/>
      </c>
      <c r="IX10" s="508" t="str">
        <f t="shared" ref="IX10:IX47" si="234">IF(AND($C10=1, $O10="Rehabilitation",$B10="NSP 120% AMI",NOT($M10="Common Space")),$E10,"")</f>
        <v/>
      </c>
      <c r="IY10" s="508" t="str">
        <f t="shared" ref="IY10:IY47" si="235">IF(AND($C10=2, $O10="Rehabilitation",$B10="NSP 120% AMI",NOT($M10="Common Space")),$E10,"")</f>
        <v/>
      </c>
      <c r="IZ10" s="508" t="str">
        <f t="shared" ref="IZ10:IZ47" si="236">IF(AND($C10=3, $O10="Rehabilitation",$B10="NSP 120% AMI",NOT($M10="Common Space")),$E10,"")</f>
        <v/>
      </c>
      <c r="JA10" s="508" t="str">
        <f t="shared" ref="JA10:JA47" si="237">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4</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67" t="s">
        <v>120</v>
      </c>
      <c r="C11" s="2368">
        <v>2</v>
      </c>
      <c r="D11" s="2369">
        <v>2</v>
      </c>
      <c r="E11" s="2370">
        <v>12</v>
      </c>
      <c r="F11" s="2370">
        <v>1073</v>
      </c>
      <c r="G11" s="2370">
        <v>735</v>
      </c>
      <c r="H11" s="2370">
        <v>680</v>
      </c>
      <c r="I11" s="2370">
        <v>205</v>
      </c>
      <c r="J11" s="2371"/>
      <c r="K11" s="861">
        <f t="shared" si="1"/>
        <v>475</v>
      </c>
      <c r="L11" s="861">
        <f t="shared" si="2"/>
        <v>5700</v>
      </c>
      <c r="M11" s="2372" t="s">
        <v>3425</v>
      </c>
      <c r="N11" s="2372" t="s">
        <v>4445</v>
      </c>
      <c r="O11" s="2372" t="s">
        <v>2404</v>
      </c>
      <c r="P11" s="2372" t="s">
        <v>3425</v>
      </c>
      <c r="Q11" s="472" t="e">
        <f>IF(H11="","",P11/($O$6*VLOOKUP(C11,'DCA Underwriting Assumptions'!$J$118:$K$123,2,FALSE)))</f>
        <v>#VALUE!</v>
      </c>
      <c r="R11" s="547"/>
      <c r="S11" s="472"/>
      <c r="T11" s="2306"/>
      <c r="U11" s="2307"/>
      <c r="V11" s="508" t="str">
        <f t="shared" si="3"/>
        <v/>
      </c>
      <c r="W11" s="508" t="str">
        <f t="shared" si="4"/>
        <v/>
      </c>
      <c r="X11" s="508" t="str">
        <f t="shared" si="5"/>
        <v/>
      </c>
      <c r="Y11" s="508" t="str">
        <f t="shared" si="6"/>
        <v/>
      </c>
      <c r="Z11" s="508" t="str">
        <f t="shared" si="7"/>
        <v/>
      </c>
      <c r="AA11" s="508" t="str">
        <f t="shared" si="8"/>
        <v/>
      </c>
      <c r="AB11" s="508" t="str">
        <f t="shared" si="9"/>
        <v/>
      </c>
      <c r="AC11" s="508">
        <f t="shared" si="10"/>
        <v>12</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ref="BT11:BT47" si="238">IF(AND(C11="Efficiency",M11="Common Space"),E11,"")</f>
        <v/>
      </c>
      <c r="BU11" s="508" t="str">
        <f t="shared" ref="BU11:BU47" si="239">IF(AND(C11=1,M11="Common Space"),E11,"")</f>
        <v/>
      </c>
      <c r="BV11" s="508" t="str">
        <f t="shared" ref="BV11:BV47" si="240">IF(AND(C11=2,M11="Common Space"),E11,"")</f>
        <v/>
      </c>
      <c r="BW11" s="508" t="str">
        <f t="shared" ref="BW11:BW47" si="241">IF(AND(C11=3,M11="Common Space"),E11,"")</f>
        <v/>
      </c>
      <c r="BX11" s="508" t="str">
        <f t="shared" ref="BX11:BX47" si="242">IF(AND(C11=4,M11="Common Space"),E11,"")</f>
        <v/>
      </c>
      <c r="BY11" s="508" t="str">
        <f t="shared" si="53"/>
        <v/>
      </c>
      <c r="BZ11" s="508" t="str">
        <f t="shared" si="54"/>
        <v/>
      </c>
      <c r="CA11" s="508" t="str">
        <f t="shared" si="55"/>
        <v/>
      </c>
      <c r="CB11" s="508" t="str">
        <f t="shared" si="56"/>
        <v/>
      </c>
      <c r="CC11" s="508" t="str">
        <f t="shared" si="57"/>
        <v/>
      </c>
      <c r="CD11" s="508" t="str">
        <f t="shared" si="58"/>
        <v/>
      </c>
      <c r="CE11" s="508" t="str">
        <f t="shared" si="59"/>
        <v/>
      </c>
      <c r="CF11" s="508">
        <f t="shared" si="60"/>
        <v>12876</v>
      </c>
      <c r="CG11" s="508" t="str">
        <f t="shared" si="61"/>
        <v/>
      </c>
      <c r="CH11" s="508" t="str">
        <f t="shared" si="62"/>
        <v/>
      </c>
      <c r="CI11" s="508" t="str">
        <f t="shared" si="63"/>
        <v/>
      </c>
      <c r="CJ11" s="508" t="str">
        <f t="shared" si="64"/>
        <v/>
      </c>
      <c r="CK11" s="508" t="str">
        <f t="shared" si="65"/>
        <v/>
      </c>
      <c r="CL11" s="508" t="str">
        <f t="shared" si="66"/>
        <v/>
      </c>
      <c r="CM11" s="508" t="str">
        <f t="shared" si="67"/>
        <v/>
      </c>
      <c r="CN11" s="508" t="str">
        <f t="shared" si="68"/>
        <v/>
      </c>
      <c r="CO11" s="508" t="str">
        <f t="shared" si="69"/>
        <v/>
      </c>
      <c r="CP11" s="508" t="str">
        <f t="shared" si="70"/>
        <v/>
      </c>
      <c r="CQ11" s="508" t="str">
        <f t="shared" si="71"/>
        <v/>
      </c>
      <c r="CR11" s="508" t="str">
        <f t="shared" si="72"/>
        <v/>
      </c>
      <c r="CS11" s="508" t="str">
        <f t="shared" si="73"/>
        <v/>
      </c>
      <c r="CT11" s="508" t="str">
        <f t="shared" si="74"/>
        <v/>
      </c>
      <c r="CU11" s="508" t="str">
        <f t="shared" si="75"/>
        <v/>
      </c>
      <c r="CV11" s="508" t="str">
        <f t="shared" si="76"/>
        <v/>
      </c>
      <c r="CW11" s="508" t="str">
        <f t="shared" si="77"/>
        <v/>
      </c>
      <c r="CX11" s="508" t="str">
        <f t="shared" si="78"/>
        <v/>
      </c>
      <c r="CY11" s="508" t="str">
        <f t="shared" si="79"/>
        <v/>
      </c>
      <c r="CZ11" s="508" t="str">
        <f t="shared" si="80"/>
        <v/>
      </c>
      <c r="DA11" s="508" t="str">
        <f t="shared" si="81"/>
        <v/>
      </c>
      <c r="DB11" s="508" t="str">
        <f t="shared" si="82"/>
        <v/>
      </c>
      <c r="DC11" s="508" t="str">
        <f t="shared" si="83"/>
        <v/>
      </c>
      <c r="DD11" s="508" t="str">
        <f t="shared" si="84"/>
        <v/>
      </c>
      <c r="DE11" s="508">
        <f t="shared" si="85"/>
        <v>12</v>
      </c>
      <c r="DF11" s="508" t="str">
        <f t="shared" si="86"/>
        <v/>
      </c>
      <c r="DG11" s="508" t="str">
        <f t="shared" si="87"/>
        <v/>
      </c>
      <c r="DH11" s="508" t="str">
        <f t="shared" si="88"/>
        <v/>
      </c>
      <c r="DI11" s="508" t="str">
        <f t="shared" si="89"/>
        <v/>
      </c>
      <c r="DJ11" s="508" t="str">
        <f t="shared" si="90"/>
        <v/>
      </c>
      <c r="DK11" s="508" t="str">
        <f t="shared" si="91"/>
        <v/>
      </c>
      <c r="DL11" s="508" t="str">
        <f t="shared" si="92"/>
        <v/>
      </c>
      <c r="DM11" s="508" t="str">
        <f t="shared" si="93"/>
        <v/>
      </c>
      <c r="DN11" s="508" t="str">
        <f t="shared" si="94"/>
        <v/>
      </c>
      <c r="DO11" s="508" t="str">
        <f t="shared" si="95"/>
        <v/>
      </c>
      <c r="DP11" s="508" t="str">
        <f t="shared" si="96"/>
        <v/>
      </c>
      <c r="DQ11" s="508" t="str">
        <f t="shared" si="97"/>
        <v/>
      </c>
      <c r="DR11" s="508" t="str">
        <f t="shared" si="98"/>
        <v/>
      </c>
      <c r="DS11" s="508" t="str">
        <f t="shared" si="99"/>
        <v/>
      </c>
      <c r="DT11" s="508" t="str">
        <f t="shared" si="100"/>
        <v/>
      </c>
      <c r="DU11" s="508" t="str">
        <f t="shared" si="101"/>
        <v/>
      </c>
      <c r="DV11" s="508" t="str">
        <f t="shared" si="102"/>
        <v/>
      </c>
      <c r="DW11" s="508" t="str">
        <f t="shared" si="103"/>
        <v/>
      </c>
      <c r="DX11" s="508" t="str">
        <f t="shared" si="104"/>
        <v/>
      </c>
      <c r="DY11" s="508" t="str">
        <f t="shared" si="105"/>
        <v/>
      </c>
      <c r="DZ11" s="508" t="str">
        <f t="shared" si="106"/>
        <v/>
      </c>
      <c r="EA11" s="508" t="str">
        <f t="shared" si="107"/>
        <v/>
      </c>
      <c r="EB11" s="508" t="str">
        <f t="shared" si="108"/>
        <v/>
      </c>
      <c r="EC11" s="508" t="str">
        <f t="shared" si="109"/>
        <v/>
      </c>
      <c r="ED11" s="508" t="str">
        <f t="shared" si="110"/>
        <v/>
      </c>
      <c r="EE11" s="508" t="str">
        <f t="shared" si="111"/>
        <v/>
      </c>
      <c r="EF11" s="508" t="str">
        <f t="shared" si="112"/>
        <v/>
      </c>
      <c r="EG11" s="508" t="str">
        <f t="shared" si="113"/>
        <v/>
      </c>
      <c r="EH11" s="508" t="str">
        <f t="shared" si="114"/>
        <v/>
      </c>
      <c r="EI11" s="508" t="str">
        <f t="shared" si="115"/>
        <v/>
      </c>
      <c r="EJ11" s="508" t="str">
        <f t="shared" si="116"/>
        <v/>
      </c>
      <c r="EK11" s="508" t="str">
        <f t="shared" si="117"/>
        <v/>
      </c>
      <c r="EL11" s="508" t="str">
        <f t="shared" si="118"/>
        <v/>
      </c>
      <c r="EM11" s="508" t="str">
        <f t="shared" si="119"/>
        <v/>
      </c>
      <c r="EN11" s="508" t="str">
        <f t="shared" si="120"/>
        <v/>
      </c>
      <c r="EO11" s="508" t="str">
        <f t="shared" si="121"/>
        <v/>
      </c>
      <c r="EP11" s="508" t="str">
        <f t="shared" si="122"/>
        <v/>
      </c>
      <c r="EQ11" s="508" t="str">
        <f t="shared" si="123"/>
        <v/>
      </c>
      <c r="ER11" s="508" t="str">
        <f t="shared" si="124"/>
        <v/>
      </c>
      <c r="ES11" s="508" t="str">
        <f t="shared" si="125"/>
        <v/>
      </c>
      <c r="ET11" s="508" t="str">
        <f t="shared" si="126"/>
        <v/>
      </c>
      <c r="EU11" s="508" t="str">
        <f t="shared" si="127"/>
        <v/>
      </c>
      <c r="EV11" s="518" t="str">
        <f t="shared" si="128"/>
        <v/>
      </c>
      <c r="EW11" s="518" t="str">
        <f t="shared" si="129"/>
        <v/>
      </c>
      <c r="EX11" s="518">
        <f t="shared" si="130"/>
        <v>12</v>
      </c>
      <c r="EY11" s="518" t="str">
        <f t="shared" si="131"/>
        <v/>
      </c>
      <c r="EZ11" s="518" t="str">
        <f t="shared" si="132"/>
        <v/>
      </c>
      <c r="FA11" s="518" t="str">
        <f t="shared" si="133"/>
        <v/>
      </c>
      <c r="FB11" s="518" t="str">
        <f t="shared" si="134"/>
        <v/>
      </c>
      <c r="FC11" s="518" t="str">
        <f t="shared" si="135"/>
        <v/>
      </c>
      <c r="FD11" s="518" t="str">
        <f t="shared" si="136"/>
        <v/>
      </c>
      <c r="FE11" s="518" t="str">
        <f t="shared" si="137"/>
        <v/>
      </c>
      <c r="FF11" s="518" t="str">
        <f t="shared" si="138"/>
        <v/>
      </c>
      <c r="FG11" s="518" t="str">
        <f t="shared" si="139"/>
        <v/>
      </c>
      <c r="FH11" s="518" t="str">
        <f t="shared" si="140"/>
        <v/>
      </c>
      <c r="FI11" s="518" t="str">
        <f t="shared" si="141"/>
        <v/>
      </c>
      <c r="FJ11" s="518" t="str">
        <f t="shared" si="142"/>
        <v/>
      </c>
      <c r="FK11" s="518" t="str">
        <f t="shared" si="143"/>
        <v/>
      </c>
      <c r="FL11" s="518" t="str">
        <f t="shared" si="144"/>
        <v/>
      </c>
      <c r="FM11" s="518" t="str">
        <f t="shared" si="145"/>
        <v/>
      </c>
      <c r="FN11" s="518" t="str">
        <f t="shared" si="146"/>
        <v/>
      </c>
      <c r="FO11" s="518" t="str">
        <f t="shared" si="147"/>
        <v/>
      </c>
      <c r="FP11" s="518" t="str">
        <f t="shared" si="148"/>
        <v/>
      </c>
      <c r="FQ11" s="518" t="str">
        <f t="shared" si="149"/>
        <v/>
      </c>
      <c r="FR11" s="518" t="str">
        <f t="shared" si="150"/>
        <v/>
      </c>
      <c r="FS11" s="518" t="str">
        <f t="shared" si="151"/>
        <v/>
      </c>
      <c r="FT11" s="518" t="str">
        <f t="shared" si="152"/>
        <v/>
      </c>
      <c r="FU11" s="518" t="str">
        <f t="shared" si="153"/>
        <v/>
      </c>
      <c r="FV11" s="518" t="str">
        <f t="shared" si="154"/>
        <v/>
      </c>
      <c r="FW11" s="518" t="str">
        <f t="shared" si="155"/>
        <v/>
      </c>
      <c r="FX11" s="518" t="str">
        <f t="shared" si="156"/>
        <v/>
      </c>
      <c r="FY11" s="518" t="str">
        <f t="shared" si="157"/>
        <v/>
      </c>
      <c r="FZ11" s="518" t="str">
        <f t="shared" si="158"/>
        <v/>
      </c>
      <c r="GA11" s="518" t="str">
        <f t="shared" si="159"/>
        <v/>
      </c>
      <c r="GB11" s="518" t="str">
        <f t="shared" si="160"/>
        <v/>
      </c>
      <c r="GC11" s="518" t="str">
        <f t="shared" si="161"/>
        <v/>
      </c>
      <c r="GD11" s="518" t="str">
        <f t="shared" si="162"/>
        <v/>
      </c>
      <c r="GE11" s="518" t="str">
        <f t="shared" si="163"/>
        <v/>
      </c>
      <c r="GF11" s="518" t="str">
        <f t="shared" si="164"/>
        <v/>
      </c>
      <c r="GG11" s="518" t="str">
        <f t="shared" si="165"/>
        <v/>
      </c>
      <c r="GH11" s="518" t="str">
        <f t="shared" si="166"/>
        <v/>
      </c>
      <c r="GI11" s="518" t="str">
        <f t="shared" si="167"/>
        <v/>
      </c>
      <c r="GJ11" s="518" t="str">
        <f t="shared" si="168"/>
        <v/>
      </c>
      <c r="GK11" s="518" t="str">
        <f t="shared" si="169"/>
        <v/>
      </c>
      <c r="GL11" s="518" t="str">
        <f t="shared" si="170"/>
        <v/>
      </c>
      <c r="GM11" s="518" t="str">
        <f t="shared" si="171"/>
        <v/>
      </c>
      <c r="GN11" s="518" t="str">
        <f t="shared" si="172"/>
        <v/>
      </c>
      <c r="GO11" s="518" t="str">
        <f t="shared" si="173"/>
        <v/>
      </c>
      <c r="GP11" s="518" t="str">
        <f t="shared" si="174"/>
        <v/>
      </c>
      <c r="GQ11" s="518" t="str">
        <f t="shared" si="175"/>
        <v/>
      </c>
      <c r="GR11" s="518" t="str">
        <f t="shared" si="176"/>
        <v/>
      </c>
      <c r="GS11" s="518" t="str">
        <f t="shared" si="177"/>
        <v/>
      </c>
      <c r="GT11" s="518" t="str">
        <f t="shared" si="178"/>
        <v/>
      </c>
      <c r="GU11" s="518" t="str">
        <f t="shared" si="179"/>
        <v/>
      </c>
      <c r="GV11" s="518" t="str">
        <f t="shared" si="180"/>
        <v/>
      </c>
      <c r="GW11" s="518" t="str">
        <f t="shared" si="181"/>
        <v/>
      </c>
      <c r="GX11" s="518" t="str">
        <f t="shared" si="182"/>
        <v/>
      </c>
      <c r="GY11" s="518" t="str">
        <f t="shared" si="183"/>
        <v/>
      </c>
      <c r="GZ11" s="518" t="str">
        <f t="shared" si="184"/>
        <v/>
      </c>
      <c r="HA11" s="518" t="str">
        <f t="shared" si="185"/>
        <v/>
      </c>
      <c r="HB11" s="518" t="str">
        <f t="shared" si="186"/>
        <v/>
      </c>
      <c r="HC11" s="518" t="str">
        <f t="shared" si="187"/>
        <v/>
      </c>
      <c r="HD11" s="518" t="str">
        <f t="shared" si="188"/>
        <v/>
      </c>
      <c r="HE11" s="518" t="str">
        <f t="shared" si="189"/>
        <v/>
      </c>
      <c r="HF11" s="518" t="str">
        <f t="shared" si="190"/>
        <v/>
      </c>
      <c r="HG11" s="518" t="str">
        <f t="shared" si="191"/>
        <v/>
      </c>
      <c r="HH11" s="518" t="str">
        <f t="shared" si="192"/>
        <v/>
      </c>
      <c r="HI11" s="518" t="str">
        <f t="shared" si="193"/>
        <v/>
      </c>
      <c r="HJ11" s="518" t="str">
        <f t="shared" si="194"/>
        <v/>
      </c>
      <c r="HK11" s="518" t="str">
        <f t="shared" si="195"/>
        <v/>
      </c>
      <c r="HL11" s="518" t="str">
        <f t="shared" si="196"/>
        <v/>
      </c>
      <c r="HM11" s="518" t="str">
        <f t="shared" si="197"/>
        <v/>
      </c>
      <c r="HN11" s="518" t="str">
        <f t="shared" si="198"/>
        <v/>
      </c>
      <c r="HO11" s="518" t="str">
        <f t="shared" si="199"/>
        <v/>
      </c>
      <c r="HP11" s="518" t="str">
        <f t="shared" si="200"/>
        <v/>
      </c>
      <c r="HQ11" s="518" t="str">
        <f t="shared" si="201"/>
        <v/>
      </c>
      <c r="HR11" s="518" t="str">
        <f t="shared" si="202"/>
        <v/>
      </c>
      <c r="HS11" s="518" t="str">
        <f t="shared" si="203"/>
        <v/>
      </c>
      <c r="HT11" s="518" t="str">
        <f t="shared" si="204"/>
        <v/>
      </c>
      <c r="HU11" s="518">
        <f t="shared" si="205"/>
        <v>12</v>
      </c>
      <c r="HV11" s="518" t="str">
        <f t="shared" si="206"/>
        <v/>
      </c>
      <c r="HW11" s="518" t="str">
        <f t="shared" si="207"/>
        <v/>
      </c>
      <c r="HX11" s="518" t="str">
        <f t="shared" si="208"/>
        <v/>
      </c>
      <c r="HY11" s="518" t="str">
        <f t="shared" si="209"/>
        <v/>
      </c>
      <c r="HZ11" s="518" t="str">
        <f t="shared" si="210"/>
        <v/>
      </c>
      <c r="IA11" s="518" t="str">
        <f t="shared" si="211"/>
        <v/>
      </c>
      <c r="IB11" s="518" t="str">
        <f t="shared" si="212"/>
        <v/>
      </c>
      <c r="IC11" s="519" t="str">
        <f t="shared" si="213"/>
        <v/>
      </c>
      <c r="ID11" s="519" t="str">
        <f t="shared" si="214"/>
        <v/>
      </c>
      <c r="IE11" s="519" t="str">
        <f t="shared" si="215"/>
        <v/>
      </c>
      <c r="IF11" s="519" t="str">
        <f t="shared" si="216"/>
        <v/>
      </c>
      <c r="IG11" s="519" t="str">
        <f t="shared" si="217"/>
        <v/>
      </c>
      <c r="IH11" s="508" t="str">
        <f t="shared" si="218"/>
        <v/>
      </c>
      <c r="II11" s="508" t="str">
        <f t="shared" si="219"/>
        <v/>
      </c>
      <c r="IJ11" s="508" t="str">
        <f t="shared" si="220"/>
        <v/>
      </c>
      <c r="IK11" s="508" t="str">
        <f t="shared" si="221"/>
        <v/>
      </c>
      <c r="IL11" s="508" t="str">
        <f t="shared" si="222"/>
        <v/>
      </c>
      <c r="IM11" s="508" t="str">
        <f t="shared" si="223"/>
        <v/>
      </c>
      <c r="IN11" s="508" t="str">
        <f t="shared" si="224"/>
        <v/>
      </c>
      <c r="IO11" s="508" t="str">
        <f t="shared" si="225"/>
        <v/>
      </c>
      <c r="IP11" s="508" t="str">
        <f t="shared" si="226"/>
        <v/>
      </c>
      <c r="IQ11" s="508" t="str">
        <f t="shared" si="227"/>
        <v/>
      </c>
      <c r="IR11" s="508" t="str">
        <f t="shared" si="228"/>
        <v/>
      </c>
      <c r="IS11" s="508" t="str">
        <f t="shared" si="229"/>
        <v/>
      </c>
      <c r="IT11" s="508" t="str">
        <f t="shared" si="230"/>
        <v/>
      </c>
      <c r="IU11" s="508" t="str">
        <f t="shared" si="231"/>
        <v/>
      </c>
      <c r="IV11" s="508" t="str">
        <f t="shared" si="232"/>
        <v/>
      </c>
      <c r="IW11" s="508" t="str">
        <f t="shared" si="233"/>
        <v/>
      </c>
      <c r="IX11" s="508" t="str">
        <f t="shared" si="234"/>
        <v/>
      </c>
      <c r="IY11" s="508" t="str">
        <f t="shared" si="235"/>
        <v/>
      </c>
      <c r="IZ11" s="508" t="str">
        <f t="shared" si="236"/>
        <v/>
      </c>
      <c r="JA11" s="508" t="str">
        <f t="shared" si="237"/>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12</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67" t="s">
        <v>120</v>
      </c>
      <c r="C12" s="2368">
        <v>3</v>
      </c>
      <c r="D12" s="2369">
        <v>2</v>
      </c>
      <c r="E12" s="2370">
        <v>4</v>
      </c>
      <c r="F12" s="2370">
        <v>1295</v>
      </c>
      <c r="G12" s="2370">
        <v>849</v>
      </c>
      <c r="H12" s="2370">
        <v>780</v>
      </c>
      <c r="I12" s="2370">
        <v>255</v>
      </c>
      <c r="J12" s="2371"/>
      <c r="K12" s="861">
        <f t="shared" si="1"/>
        <v>525</v>
      </c>
      <c r="L12" s="861">
        <f t="shared" si="2"/>
        <v>2100</v>
      </c>
      <c r="M12" s="2372" t="s">
        <v>3425</v>
      </c>
      <c r="N12" s="2372" t="s">
        <v>4445</v>
      </c>
      <c r="O12" s="2372" t="s">
        <v>2404</v>
      </c>
      <c r="P12" s="2372" t="s">
        <v>3425</v>
      </c>
      <c r="Q12" s="472" t="e">
        <f>IF(H12="","",P12/($O$6*VLOOKUP(C12,'DCA Underwriting Assumptions'!$J$118:$K$123,2,FALSE)))</f>
        <v>#VALUE!</v>
      </c>
      <c r="R12" s="547"/>
      <c r="S12" s="472"/>
      <c r="T12" s="2306"/>
      <c r="U12" s="2307"/>
      <c r="V12" s="508" t="str">
        <f t="shared" si="3"/>
        <v/>
      </c>
      <c r="W12" s="508" t="str">
        <f t="shared" si="4"/>
        <v/>
      </c>
      <c r="X12" s="508" t="str">
        <f t="shared" si="5"/>
        <v/>
      </c>
      <c r="Y12" s="508" t="str">
        <f t="shared" si="6"/>
        <v/>
      </c>
      <c r="Z12" s="508" t="str">
        <f t="shared" si="7"/>
        <v/>
      </c>
      <c r="AA12" s="508" t="str">
        <f t="shared" si="8"/>
        <v/>
      </c>
      <c r="AB12" s="508" t="str">
        <f t="shared" si="9"/>
        <v/>
      </c>
      <c r="AC12" s="508" t="str">
        <f t="shared" si="10"/>
        <v/>
      </c>
      <c r="AD12" s="508">
        <f t="shared" si="11"/>
        <v>4</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238"/>
        <v/>
      </c>
      <c r="BU12" s="508" t="str">
        <f t="shared" si="239"/>
        <v/>
      </c>
      <c r="BV12" s="508" t="str">
        <f t="shared" si="240"/>
        <v/>
      </c>
      <c r="BW12" s="508" t="str">
        <f t="shared" si="241"/>
        <v/>
      </c>
      <c r="BX12" s="508" t="str">
        <f t="shared" si="242"/>
        <v/>
      </c>
      <c r="BY12" s="508" t="str">
        <f t="shared" si="53"/>
        <v/>
      </c>
      <c r="BZ12" s="508" t="str">
        <f t="shared" si="54"/>
        <v/>
      </c>
      <c r="CA12" s="508" t="str">
        <f t="shared" si="55"/>
        <v/>
      </c>
      <c r="CB12" s="508" t="str">
        <f t="shared" si="56"/>
        <v/>
      </c>
      <c r="CC12" s="508" t="str">
        <f t="shared" si="57"/>
        <v/>
      </c>
      <c r="CD12" s="508" t="str">
        <f t="shared" si="58"/>
        <v/>
      </c>
      <c r="CE12" s="508" t="str">
        <f t="shared" si="59"/>
        <v/>
      </c>
      <c r="CF12" s="508" t="str">
        <f t="shared" si="60"/>
        <v/>
      </c>
      <c r="CG12" s="508">
        <f t="shared" si="61"/>
        <v>5180</v>
      </c>
      <c r="CH12" s="508" t="str">
        <f t="shared" si="62"/>
        <v/>
      </c>
      <c r="CI12" s="508" t="str">
        <f t="shared" si="63"/>
        <v/>
      </c>
      <c r="CJ12" s="508" t="str">
        <f t="shared" si="64"/>
        <v/>
      </c>
      <c r="CK12" s="508" t="str">
        <f t="shared" si="65"/>
        <v/>
      </c>
      <c r="CL12" s="508" t="str">
        <f t="shared" si="66"/>
        <v/>
      </c>
      <c r="CM12" s="508" t="str">
        <f t="shared" si="67"/>
        <v/>
      </c>
      <c r="CN12" s="508" t="str">
        <f t="shared" si="68"/>
        <v/>
      </c>
      <c r="CO12" s="508" t="str">
        <f t="shared" si="69"/>
        <v/>
      </c>
      <c r="CP12" s="508" t="str">
        <f t="shared" si="70"/>
        <v/>
      </c>
      <c r="CQ12" s="508" t="str">
        <f t="shared" si="71"/>
        <v/>
      </c>
      <c r="CR12" s="508" t="str">
        <f t="shared" si="72"/>
        <v/>
      </c>
      <c r="CS12" s="508" t="str">
        <f t="shared" si="73"/>
        <v/>
      </c>
      <c r="CT12" s="508" t="str">
        <f t="shared" si="74"/>
        <v/>
      </c>
      <c r="CU12" s="508" t="str">
        <f t="shared" si="75"/>
        <v/>
      </c>
      <c r="CV12" s="508" t="str">
        <f t="shared" si="76"/>
        <v/>
      </c>
      <c r="CW12" s="508" t="str">
        <f t="shared" si="77"/>
        <v/>
      </c>
      <c r="CX12" s="508" t="str">
        <f t="shared" si="78"/>
        <v/>
      </c>
      <c r="CY12" s="508" t="str">
        <f t="shared" si="79"/>
        <v/>
      </c>
      <c r="CZ12" s="508" t="str">
        <f t="shared" si="80"/>
        <v/>
      </c>
      <c r="DA12" s="508" t="str">
        <f t="shared" si="81"/>
        <v/>
      </c>
      <c r="DB12" s="508" t="str">
        <f t="shared" si="82"/>
        <v/>
      </c>
      <c r="DC12" s="508" t="str">
        <f t="shared" si="83"/>
        <v/>
      </c>
      <c r="DD12" s="508" t="str">
        <f t="shared" si="84"/>
        <v/>
      </c>
      <c r="DE12" s="508" t="str">
        <f t="shared" si="85"/>
        <v/>
      </c>
      <c r="DF12" s="508">
        <f t="shared" si="86"/>
        <v>4</v>
      </c>
      <c r="DG12" s="508" t="str">
        <f t="shared" si="87"/>
        <v/>
      </c>
      <c r="DH12" s="508" t="str">
        <f t="shared" si="88"/>
        <v/>
      </c>
      <c r="DI12" s="508" t="str">
        <f t="shared" si="89"/>
        <v/>
      </c>
      <c r="DJ12" s="508" t="str">
        <f t="shared" si="90"/>
        <v/>
      </c>
      <c r="DK12" s="508" t="str">
        <f t="shared" si="91"/>
        <v/>
      </c>
      <c r="DL12" s="508" t="str">
        <f t="shared" si="92"/>
        <v/>
      </c>
      <c r="DM12" s="508" t="str">
        <f t="shared" si="93"/>
        <v/>
      </c>
      <c r="DN12" s="508" t="str">
        <f t="shared" si="94"/>
        <v/>
      </c>
      <c r="DO12" s="508" t="str">
        <f t="shared" si="95"/>
        <v/>
      </c>
      <c r="DP12" s="508" t="str">
        <f t="shared" si="96"/>
        <v/>
      </c>
      <c r="DQ12" s="508" t="str">
        <f t="shared" si="97"/>
        <v/>
      </c>
      <c r="DR12" s="508" t="str">
        <f t="shared" si="98"/>
        <v/>
      </c>
      <c r="DS12" s="508" t="str">
        <f t="shared" si="99"/>
        <v/>
      </c>
      <c r="DT12" s="508" t="str">
        <f t="shared" si="100"/>
        <v/>
      </c>
      <c r="DU12" s="508" t="str">
        <f t="shared" si="101"/>
        <v/>
      </c>
      <c r="DV12" s="508" t="str">
        <f t="shared" si="102"/>
        <v/>
      </c>
      <c r="DW12" s="508" t="str">
        <f t="shared" si="103"/>
        <v/>
      </c>
      <c r="DX12" s="508" t="str">
        <f t="shared" si="104"/>
        <v/>
      </c>
      <c r="DY12" s="508" t="str">
        <f t="shared" si="105"/>
        <v/>
      </c>
      <c r="DZ12" s="508" t="str">
        <f t="shared" si="106"/>
        <v/>
      </c>
      <c r="EA12" s="508" t="str">
        <f t="shared" si="107"/>
        <v/>
      </c>
      <c r="EB12" s="508" t="str">
        <f t="shared" si="108"/>
        <v/>
      </c>
      <c r="EC12" s="508" t="str">
        <f t="shared" si="109"/>
        <v/>
      </c>
      <c r="ED12" s="508" t="str">
        <f t="shared" si="110"/>
        <v/>
      </c>
      <c r="EE12" s="508" t="str">
        <f t="shared" si="111"/>
        <v/>
      </c>
      <c r="EF12" s="508" t="str">
        <f t="shared" si="112"/>
        <v/>
      </c>
      <c r="EG12" s="508" t="str">
        <f t="shared" si="113"/>
        <v/>
      </c>
      <c r="EH12" s="508" t="str">
        <f t="shared" si="114"/>
        <v/>
      </c>
      <c r="EI12" s="508" t="str">
        <f t="shared" si="115"/>
        <v/>
      </c>
      <c r="EJ12" s="508" t="str">
        <f t="shared" si="116"/>
        <v/>
      </c>
      <c r="EK12" s="508" t="str">
        <f t="shared" si="117"/>
        <v/>
      </c>
      <c r="EL12" s="508" t="str">
        <f t="shared" si="118"/>
        <v/>
      </c>
      <c r="EM12" s="508" t="str">
        <f t="shared" si="119"/>
        <v/>
      </c>
      <c r="EN12" s="508" t="str">
        <f t="shared" si="120"/>
        <v/>
      </c>
      <c r="EO12" s="508" t="str">
        <f t="shared" si="121"/>
        <v/>
      </c>
      <c r="EP12" s="508" t="str">
        <f t="shared" si="122"/>
        <v/>
      </c>
      <c r="EQ12" s="508" t="str">
        <f t="shared" si="123"/>
        <v/>
      </c>
      <c r="ER12" s="508" t="str">
        <f t="shared" si="124"/>
        <v/>
      </c>
      <c r="ES12" s="508" t="str">
        <f t="shared" si="125"/>
        <v/>
      </c>
      <c r="ET12" s="508" t="str">
        <f t="shared" si="126"/>
        <v/>
      </c>
      <c r="EU12" s="508" t="str">
        <f t="shared" si="127"/>
        <v/>
      </c>
      <c r="EV12" s="518" t="str">
        <f t="shared" si="128"/>
        <v/>
      </c>
      <c r="EW12" s="518" t="str">
        <f t="shared" si="129"/>
        <v/>
      </c>
      <c r="EX12" s="518" t="str">
        <f t="shared" si="130"/>
        <v/>
      </c>
      <c r="EY12" s="518">
        <f t="shared" si="131"/>
        <v>4</v>
      </c>
      <c r="EZ12" s="518" t="str">
        <f t="shared" si="132"/>
        <v/>
      </c>
      <c r="FA12" s="518" t="str">
        <f t="shared" si="133"/>
        <v/>
      </c>
      <c r="FB12" s="518" t="str">
        <f t="shared" si="134"/>
        <v/>
      </c>
      <c r="FC12" s="518" t="str">
        <f t="shared" si="135"/>
        <v/>
      </c>
      <c r="FD12" s="518" t="str">
        <f t="shared" si="136"/>
        <v/>
      </c>
      <c r="FE12" s="518" t="str">
        <f t="shared" si="137"/>
        <v/>
      </c>
      <c r="FF12" s="518" t="str">
        <f t="shared" si="138"/>
        <v/>
      </c>
      <c r="FG12" s="518" t="str">
        <f t="shared" si="139"/>
        <v/>
      </c>
      <c r="FH12" s="518" t="str">
        <f t="shared" si="140"/>
        <v/>
      </c>
      <c r="FI12" s="518" t="str">
        <f t="shared" si="141"/>
        <v/>
      </c>
      <c r="FJ12" s="518" t="str">
        <f t="shared" si="142"/>
        <v/>
      </c>
      <c r="FK12" s="518" t="str">
        <f t="shared" si="143"/>
        <v/>
      </c>
      <c r="FL12" s="518" t="str">
        <f t="shared" si="144"/>
        <v/>
      </c>
      <c r="FM12" s="518" t="str">
        <f t="shared" si="145"/>
        <v/>
      </c>
      <c r="FN12" s="518" t="str">
        <f t="shared" si="146"/>
        <v/>
      </c>
      <c r="FO12" s="518" t="str">
        <f t="shared" si="147"/>
        <v/>
      </c>
      <c r="FP12" s="518" t="str">
        <f t="shared" si="148"/>
        <v/>
      </c>
      <c r="FQ12" s="518" t="str">
        <f t="shared" si="149"/>
        <v/>
      </c>
      <c r="FR12" s="518" t="str">
        <f t="shared" si="150"/>
        <v/>
      </c>
      <c r="FS12" s="518" t="str">
        <f t="shared" si="151"/>
        <v/>
      </c>
      <c r="FT12" s="518" t="str">
        <f t="shared" si="152"/>
        <v/>
      </c>
      <c r="FU12" s="518" t="str">
        <f t="shared" si="153"/>
        <v/>
      </c>
      <c r="FV12" s="518" t="str">
        <f t="shared" si="154"/>
        <v/>
      </c>
      <c r="FW12" s="518" t="str">
        <f t="shared" si="155"/>
        <v/>
      </c>
      <c r="FX12" s="518" t="str">
        <f t="shared" si="156"/>
        <v/>
      </c>
      <c r="FY12" s="518" t="str">
        <f t="shared" si="157"/>
        <v/>
      </c>
      <c r="FZ12" s="518" t="str">
        <f t="shared" si="158"/>
        <v/>
      </c>
      <c r="GA12" s="518" t="str">
        <f t="shared" si="159"/>
        <v/>
      </c>
      <c r="GB12" s="518" t="str">
        <f t="shared" si="160"/>
        <v/>
      </c>
      <c r="GC12" s="518" t="str">
        <f t="shared" si="161"/>
        <v/>
      </c>
      <c r="GD12" s="518" t="str">
        <f t="shared" si="162"/>
        <v/>
      </c>
      <c r="GE12" s="518" t="str">
        <f t="shared" si="163"/>
        <v/>
      </c>
      <c r="GF12" s="518" t="str">
        <f t="shared" si="164"/>
        <v/>
      </c>
      <c r="GG12" s="518" t="str">
        <f t="shared" si="165"/>
        <v/>
      </c>
      <c r="GH12" s="518" t="str">
        <f t="shared" si="166"/>
        <v/>
      </c>
      <c r="GI12" s="518" t="str">
        <f t="shared" si="167"/>
        <v/>
      </c>
      <c r="GJ12" s="518" t="str">
        <f t="shared" si="168"/>
        <v/>
      </c>
      <c r="GK12" s="518" t="str">
        <f t="shared" si="169"/>
        <v/>
      </c>
      <c r="GL12" s="518" t="str">
        <f t="shared" si="170"/>
        <v/>
      </c>
      <c r="GM12" s="518" t="str">
        <f t="shared" si="171"/>
        <v/>
      </c>
      <c r="GN12" s="518" t="str">
        <f t="shared" si="172"/>
        <v/>
      </c>
      <c r="GO12" s="518" t="str">
        <f t="shared" si="173"/>
        <v/>
      </c>
      <c r="GP12" s="518" t="str">
        <f t="shared" si="174"/>
        <v/>
      </c>
      <c r="GQ12" s="518" t="str">
        <f t="shared" si="175"/>
        <v/>
      </c>
      <c r="GR12" s="518" t="str">
        <f t="shared" si="176"/>
        <v/>
      </c>
      <c r="GS12" s="518" t="str">
        <f t="shared" si="177"/>
        <v/>
      </c>
      <c r="GT12" s="518" t="str">
        <f t="shared" si="178"/>
        <v/>
      </c>
      <c r="GU12" s="518" t="str">
        <f t="shared" si="179"/>
        <v/>
      </c>
      <c r="GV12" s="518" t="str">
        <f t="shared" si="180"/>
        <v/>
      </c>
      <c r="GW12" s="518" t="str">
        <f t="shared" si="181"/>
        <v/>
      </c>
      <c r="GX12" s="518" t="str">
        <f t="shared" si="182"/>
        <v/>
      </c>
      <c r="GY12" s="518" t="str">
        <f t="shared" si="183"/>
        <v/>
      </c>
      <c r="GZ12" s="518" t="str">
        <f t="shared" si="184"/>
        <v/>
      </c>
      <c r="HA12" s="518" t="str">
        <f t="shared" si="185"/>
        <v/>
      </c>
      <c r="HB12" s="518" t="str">
        <f t="shared" si="186"/>
        <v/>
      </c>
      <c r="HC12" s="518" t="str">
        <f t="shared" si="187"/>
        <v/>
      </c>
      <c r="HD12" s="518" t="str">
        <f t="shared" si="188"/>
        <v/>
      </c>
      <c r="HE12" s="518" t="str">
        <f t="shared" si="189"/>
        <v/>
      </c>
      <c r="HF12" s="518" t="str">
        <f t="shared" si="190"/>
        <v/>
      </c>
      <c r="HG12" s="518" t="str">
        <f t="shared" si="191"/>
        <v/>
      </c>
      <c r="HH12" s="518" t="str">
        <f t="shared" si="192"/>
        <v/>
      </c>
      <c r="HI12" s="518" t="str">
        <f t="shared" si="193"/>
        <v/>
      </c>
      <c r="HJ12" s="518" t="str">
        <f t="shared" si="194"/>
        <v/>
      </c>
      <c r="HK12" s="518" t="str">
        <f t="shared" si="195"/>
        <v/>
      </c>
      <c r="HL12" s="518" t="str">
        <f t="shared" si="196"/>
        <v/>
      </c>
      <c r="HM12" s="518" t="str">
        <f t="shared" si="197"/>
        <v/>
      </c>
      <c r="HN12" s="518" t="str">
        <f t="shared" si="198"/>
        <v/>
      </c>
      <c r="HO12" s="518" t="str">
        <f t="shared" si="199"/>
        <v/>
      </c>
      <c r="HP12" s="518" t="str">
        <f t="shared" si="200"/>
        <v/>
      </c>
      <c r="HQ12" s="518" t="str">
        <f t="shared" si="201"/>
        <v/>
      </c>
      <c r="HR12" s="518" t="str">
        <f t="shared" si="202"/>
        <v/>
      </c>
      <c r="HS12" s="518" t="str">
        <f t="shared" si="203"/>
        <v/>
      </c>
      <c r="HT12" s="518" t="str">
        <f t="shared" si="204"/>
        <v/>
      </c>
      <c r="HU12" s="518" t="str">
        <f t="shared" si="205"/>
        <v/>
      </c>
      <c r="HV12" s="518">
        <f t="shared" si="206"/>
        <v>4</v>
      </c>
      <c r="HW12" s="518" t="str">
        <f t="shared" si="207"/>
        <v/>
      </c>
      <c r="HX12" s="518" t="str">
        <f t="shared" si="208"/>
        <v/>
      </c>
      <c r="HY12" s="518" t="str">
        <f t="shared" si="209"/>
        <v/>
      </c>
      <c r="HZ12" s="518" t="str">
        <f t="shared" si="210"/>
        <v/>
      </c>
      <c r="IA12" s="518" t="str">
        <f t="shared" si="211"/>
        <v/>
      </c>
      <c r="IB12" s="518" t="str">
        <f t="shared" si="212"/>
        <v/>
      </c>
      <c r="IC12" s="519" t="str">
        <f t="shared" si="213"/>
        <v/>
      </c>
      <c r="ID12" s="519" t="str">
        <f t="shared" si="214"/>
        <v/>
      </c>
      <c r="IE12" s="519" t="str">
        <f t="shared" si="215"/>
        <v/>
      </c>
      <c r="IF12" s="519" t="str">
        <f t="shared" si="216"/>
        <v/>
      </c>
      <c r="IG12" s="519" t="str">
        <f t="shared" si="217"/>
        <v/>
      </c>
      <c r="IH12" s="508" t="str">
        <f t="shared" si="218"/>
        <v/>
      </c>
      <c r="II12" s="508" t="str">
        <f t="shared" si="219"/>
        <v/>
      </c>
      <c r="IJ12" s="508" t="str">
        <f t="shared" si="220"/>
        <v/>
      </c>
      <c r="IK12" s="508" t="str">
        <f t="shared" si="221"/>
        <v/>
      </c>
      <c r="IL12" s="508" t="str">
        <f t="shared" si="222"/>
        <v/>
      </c>
      <c r="IM12" s="508" t="str">
        <f t="shared" si="223"/>
        <v/>
      </c>
      <c r="IN12" s="508" t="str">
        <f t="shared" si="224"/>
        <v/>
      </c>
      <c r="IO12" s="508" t="str">
        <f t="shared" si="225"/>
        <v/>
      </c>
      <c r="IP12" s="508" t="str">
        <f t="shared" si="226"/>
        <v/>
      </c>
      <c r="IQ12" s="508" t="str">
        <f t="shared" si="227"/>
        <v/>
      </c>
      <c r="IR12" s="508" t="str">
        <f t="shared" si="228"/>
        <v/>
      </c>
      <c r="IS12" s="508" t="str">
        <f t="shared" si="229"/>
        <v/>
      </c>
      <c r="IT12" s="508" t="str">
        <f t="shared" si="230"/>
        <v/>
      </c>
      <c r="IU12" s="508" t="str">
        <f t="shared" si="231"/>
        <v/>
      </c>
      <c r="IV12" s="508" t="str">
        <f t="shared" si="232"/>
        <v/>
      </c>
      <c r="IW12" s="508" t="str">
        <f t="shared" si="233"/>
        <v/>
      </c>
      <c r="IX12" s="508" t="str">
        <f t="shared" si="234"/>
        <v/>
      </c>
      <c r="IY12" s="508" t="str">
        <f t="shared" si="235"/>
        <v/>
      </c>
      <c r="IZ12" s="508" t="str">
        <f t="shared" si="236"/>
        <v/>
      </c>
      <c r="JA12" s="508" t="str">
        <f t="shared" si="237"/>
        <v/>
      </c>
      <c r="JB12" s="517">
        <f t="shared" si="243"/>
        <v>0</v>
      </c>
      <c r="JC12" s="517">
        <f t="shared" si="244"/>
        <v>0</v>
      </c>
      <c r="JD12" s="517">
        <f t="shared" si="245"/>
        <v>0</v>
      </c>
      <c r="JE12" s="517">
        <f t="shared" si="246"/>
        <v>0</v>
      </c>
      <c r="JF12" s="517">
        <f t="shared" si="247"/>
        <v>0</v>
      </c>
      <c r="JG12" s="517">
        <f t="shared" si="248"/>
        <v>0</v>
      </c>
      <c r="JH12" s="517">
        <f t="shared" si="249"/>
        <v>0</v>
      </c>
      <c r="JI12" s="517">
        <f t="shared" si="250"/>
        <v>0</v>
      </c>
      <c r="JJ12" s="517">
        <f t="shared" si="251"/>
        <v>4</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67" t="s">
        <v>1204</v>
      </c>
      <c r="C13" s="2368">
        <v>1</v>
      </c>
      <c r="D13" s="2369">
        <v>1</v>
      </c>
      <c r="E13" s="2370">
        <v>14</v>
      </c>
      <c r="F13" s="2370">
        <v>829</v>
      </c>
      <c r="G13" s="2370">
        <v>735</v>
      </c>
      <c r="H13" s="2370">
        <v>616</v>
      </c>
      <c r="I13" s="2370">
        <v>161</v>
      </c>
      <c r="J13" s="2371"/>
      <c r="K13" s="861">
        <f t="shared" si="1"/>
        <v>455</v>
      </c>
      <c r="L13" s="861">
        <f t="shared" si="2"/>
        <v>6370</v>
      </c>
      <c r="M13" s="2372" t="s">
        <v>3425</v>
      </c>
      <c r="N13" s="2372" t="s">
        <v>4445</v>
      </c>
      <c r="O13" s="2372" t="s">
        <v>2404</v>
      </c>
      <c r="P13" s="2372" t="s">
        <v>3425</v>
      </c>
      <c r="Q13" s="472" t="e">
        <f>IF(H13="","",P13/($O$6*VLOOKUP(C13,'DCA Underwriting Assumptions'!$J$118:$K$123,2,FALSE)))</f>
        <v>#VALUE!</v>
      </c>
      <c r="R13" s="547"/>
      <c r="S13" s="472"/>
      <c r="T13" s="2306"/>
      <c r="U13" s="2307"/>
      <c r="V13" s="508" t="str">
        <f t="shared" si="3"/>
        <v/>
      </c>
      <c r="W13" s="508">
        <f t="shared" si="4"/>
        <v>14</v>
      </c>
      <c r="X13" s="508" t="str">
        <f t="shared" si="5"/>
        <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238"/>
        <v/>
      </c>
      <c r="BU13" s="508" t="str">
        <f t="shared" si="239"/>
        <v/>
      </c>
      <c r="BV13" s="508" t="str">
        <f t="shared" si="240"/>
        <v/>
      </c>
      <c r="BW13" s="508" t="str">
        <f t="shared" si="241"/>
        <v/>
      </c>
      <c r="BX13" s="508" t="str">
        <f t="shared" si="242"/>
        <v/>
      </c>
      <c r="BY13" s="508" t="str">
        <f t="shared" si="53"/>
        <v/>
      </c>
      <c r="BZ13" s="508">
        <f t="shared" si="54"/>
        <v>11606</v>
      </c>
      <c r="CA13" s="508" t="str">
        <f t="shared" si="55"/>
        <v/>
      </c>
      <c r="CB13" s="508" t="str">
        <f t="shared" si="56"/>
        <v/>
      </c>
      <c r="CC13" s="508" t="str">
        <f t="shared" si="57"/>
        <v/>
      </c>
      <c r="CD13" s="508" t="str">
        <f t="shared" si="58"/>
        <v/>
      </c>
      <c r="CE13" s="508" t="str">
        <f t="shared" si="59"/>
        <v/>
      </c>
      <c r="CF13" s="508" t="str">
        <f t="shared" si="60"/>
        <v/>
      </c>
      <c r="CG13" s="508" t="str">
        <f t="shared" si="61"/>
        <v/>
      </c>
      <c r="CH13" s="508" t="str">
        <f t="shared" si="62"/>
        <v/>
      </c>
      <c r="CI13" s="508" t="str">
        <f t="shared" si="63"/>
        <v/>
      </c>
      <c r="CJ13" s="508" t="str">
        <f t="shared" si="64"/>
        <v/>
      </c>
      <c r="CK13" s="508" t="str">
        <f t="shared" si="65"/>
        <v/>
      </c>
      <c r="CL13" s="508" t="str">
        <f t="shared" si="66"/>
        <v/>
      </c>
      <c r="CM13" s="508" t="str">
        <f t="shared" si="67"/>
        <v/>
      </c>
      <c r="CN13" s="508" t="str">
        <f t="shared" si="68"/>
        <v/>
      </c>
      <c r="CO13" s="508" t="str">
        <f t="shared" si="69"/>
        <v/>
      </c>
      <c r="CP13" s="508" t="str">
        <f t="shared" si="70"/>
        <v/>
      </c>
      <c r="CQ13" s="508" t="str">
        <f t="shared" si="71"/>
        <v/>
      </c>
      <c r="CR13" s="508" t="str">
        <f t="shared" si="72"/>
        <v/>
      </c>
      <c r="CS13" s="508" t="str">
        <f t="shared" si="73"/>
        <v/>
      </c>
      <c r="CT13" s="508" t="str">
        <f t="shared" si="74"/>
        <v/>
      </c>
      <c r="CU13" s="508" t="str">
        <f t="shared" si="75"/>
        <v/>
      </c>
      <c r="CV13" s="508" t="str">
        <f t="shared" si="76"/>
        <v/>
      </c>
      <c r="CW13" s="508" t="str">
        <f t="shared" si="77"/>
        <v/>
      </c>
      <c r="CX13" s="508" t="str">
        <f t="shared" si="78"/>
        <v/>
      </c>
      <c r="CY13" s="508" t="str">
        <f t="shared" si="79"/>
        <v/>
      </c>
      <c r="CZ13" s="508" t="str">
        <f t="shared" si="80"/>
        <v/>
      </c>
      <c r="DA13" s="508" t="str">
        <f t="shared" si="81"/>
        <v/>
      </c>
      <c r="DB13" s="508" t="str">
        <f t="shared" si="82"/>
        <v/>
      </c>
      <c r="DC13" s="508" t="str">
        <f t="shared" si="83"/>
        <v/>
      </c>
      <c r="DD13" s="508">
        <f t="shared" si="84"/>
        <v>14</v>
      </c>
      <c r="DE13" s="508" t="str">
        <f t="shared" si="85"/>
        <v/>
      </c>
      <c r="DF13" s="508" t="str">
        <f t="shared" si="86"/>
        <v/>
      </c>
      <c r="DG13" s="508" t="str">
        <f t="shared" si="87"/>
        <v/>
      </c>
      <c r="DH13" s="508" t="str">
        <f t="shared" si="88"/>
        <v/>
      </c>
      <c r="DI13" s="508" t="str">
        <f t="shared" si="89"/>
        <v/>
      </c>
      <c r="DJ13" s="508" t="str">
        <f t="shared" si="90"/>
        <v/>
      </c>
      <c r="DK13" s="508" t="str">
        <f t="shared" si="91"/>
        <v/>
      </c>
      <c r="DL13" s="508" t="str">
        <f t="shared" si="92"/>
        <v/>
      </c>
      <c r="DM13" s="508" t="str">
        <f t="shared" si="93"/>
        <v/>
      </c>
      <c r="DN13" s="508" t="str">
        <f t="shared" si="94"/>
        <v/>
      </c>
      <c r="DO13" s="508" t="str">
        <f t="shared" si="95"/>
        <v/>
      </c>
      <c r="DP13" s="508" t="str">
        <f t="shared" si="96"/>
        <v/>
      </c>
      <c r="DQ13" s="508" t="str">
        <f t="shared" si="97"/>
        <v/>
      </c>
      <c r="DR13" s="508" t="str">
        <f t="shared" si="98"/>
        <v/>
      </c>
      <c r="DS13" s="508" t="str">
        <f t="shared" si="99"/>
        <v/>
      </c>
      <c r="DT13" s="508" t="str">
        <f t="shared" si="100"/>
        <v/>
      </c>
      <c r="DU13" s="508" t="str">
        <f t="shared" si="101"/>
        <v/>
      </c>
      <c r="DV13" s="508" t="str">
        <f t="shared" si="102"/>
        <v/>
      </c>
      <c r="DW13" s="508" t="str">
        <f t="shared" si="103"/>
        <v/>
      </c>
      <c r="DX13" s="508" t="str">
        <f t="shared" si="104"/>
        <v/>
      </c>
      <c r="DY13" s="508" t="str">
        <f t="shared" si="105"/>
        <v/>
      </c>
      <c r="DZ13" s="508" t="str">
        <f t="shared" si="106"/>
        <v/>
      </c>
      <c r="EA13" s="508" t="str">
        <f t="shared" si="107"/>
        <v/>
      </c>
      <c r="EB13" s="508" t="str">
        <f t="shared" si="108"/>
        <v/>
      </c>
      <c r="EC13" s="508" t="str">
        <f t="shared" si="109"/>
        <v/>
      </c>
      <c r="ED13" s="508" t="str">
        <f t="shared" si="110"/>
        <v/>
      </c>
      <c r="EE13" s="508" t="str">
        <f t="shared" si="111"/>
        <v/>
      </c>
      <c r="EF13" s="508" t="str">
        <f t="shared" si="112"/>
        <v/>
      </c>
      <c r="EG13" s="508" t="str">
        <f t="shared" si="113"/>
        <v/>
      </c>
      <c r="EH13" s="508" t="str">
        <f t="shared" si="114"/>
        <v/>
      </c>
      <c r="EI13" s="508" t="str">
        <f t="shared" si="115"/>
        <v/>
      </c>
      <c r="EJ13" s="508" t="str">
        <f t="shared" si="116"/>
        <v/>
      </c>
      <c r="EK13" s="508" t="str">
        <f t="shared" si="117"/>
        <v/>
      </c>
      <c r="EL13" s="508" t="str">
        <f t="shared" si="118"/>
        <v/>
      </c>
      <c r="EM13" s="508" t="str">
        <f t="shared" si="119"/>
        <v/>
      </c>
      <c r="EN13" s="508" t="str">
        <f t="shared" si="120"/>
        <v/>
      </c>
      <c r="EO13" s="508" t="str">
        <f t="shared" si="121"/>
        <v/>
      </c>
      <c r="EP13" s="508" t="str">
        <f t="shared" si="122"/>
        <v/>
      </c>
      <c r="EQ13" s="508" t="str">
        <f t="shared" si="123"/>
        <v/>
      </c>
      <c r="ER13" s="508" t="str">
        <f t="shared" si="124"/>
        <v/>
      </c>
      <c r="ES13" s="508" t="str">
        <f t="shared" si="125"/>
        <v/>
      </c>
      <c r="ET13" s="508" t="str">
        <f t="shared" si="126"/>
        <v/>
      </c>
      <c r="EU13" s="508" t="str">
        <f t="shared" si="127"/>
        <v/>
      </c>
      <c r="EV13" s="518" t="str">
        <f t="shared" si="128"/>
        <v/>
      </c>
      <c r="EW13" s="518">
        <f t="shared" si="129"/>
        <v>14</v>
      </c>
      <c r="EX13" s="518" t="str">
        <f t="shared" si="130"/>
        <v/>
      </c>
      <c r="EY13" s="518" t="str">
        <f t="shared" si="131"/>
        <v/>
      </c>
      <c r="EZ13" s="518" t="str">
        <f t="shared" si="132"/>
        <v/>
      </c>
      <c r="FA13" s="518" t="str">
        <f t="shared" si="133"/>
        <v/>
      </c>
      <c r="FB13" s="518" t="str">
        <f t="shared" si="134"/>
        <v/>
      </c>
      <c r="FC13" s="518" t="str">
        <f t="shared" si="135"/>
        <v/>
      </c>
      <c r="FD13" s="518" t="str">
        <f t="shared" si="136"/>
        <v/>
      </c>
      <c r="FE13" s="518" t="str">
        <f t="shared" si="137"/>
        <v/>
      </c>
      <c r="FF13" s="518" t="str">
        <f t="shared" si="138"/>
        <v/>
      </c>
      <c r="FG13" s="518" t="str">
        <f t="shared" si="139"/>
        <v/>
      </c>
      <c r="FH13" s="518" t="str">
        <f t="shared" si="140"/>
        <v/>
      </c>
      <c r="FI13" s="518" t="str">
        <f t="shared" si="141"/>
        <v/>
      </c>
      <c r="FJ13" s="518" t="str">
        <f t="shared" si="142"/>
        <v/>
      </c>
      <c r="FK13" s="518" t="str">
        <f t="shared" si="143"/>
        <v/>
      </c>
      <c r="FL13" s="518" t="str">
        <f t="shared" si="144"/>
        <v/>
      </c>
      <c r="FM13" s="518" t="str">
        <f t="shared" si="145"/>
        <v/>
      </c>
      <c r="FN13" s="518" t="str">
        <f t="shared" si="146"/>
        <v/>
      </c>
      <c r="FO13" s="518" t="str">
        <f t="shared" si="147"/>
        <v/>
      </c>
      <c r="FP13" s="518" t="str">
        <f t="shared" si="148"/>
        <v/>
      </c>
      <c r="FQ13" s="518" t="str">
        <f t="shared" si="149"/>
        <v/>
      </c>
      <c r="FR13" s="518" t="str">
        <f t="shared" si="150"/>
        <v/>
      </c>
      <c r="FS13" s="518" t="str">
        <f t="shared" si="151"/>
        <v/>
      </c>
      <c r="FT13" s="518" t="str">
        <f t="shared" si="152"/>
        <v/>
      </c>
      <c r="FU13" s="518" t="str">
        <f t="shared" si="153"/>
        <v/>
      </c>
      <c r="FV13" s="518" t="str">
        <f t="shared" si="154"/>
        <v/>
      </c>
      <c r="FW13" s="518" t="str">
        <f t="shared" si="155"/>
        <v/>
      </c>
      <c r="FX13" s="518" t="str">
        <f t="shared" si="156"/>
        <v/>
      </c>
      <c r="FY13" s="518" t="str">
        <f t="shared" si="157"/>
        <v/>
      </c>
      <c r="FZ13" s="518" t="str">
        <f t="shared" si="158"/>
        <v/>
      </c>
      <c r="GA13" s="518" t="str">
        <f t="shared" si="159"/>
        <v/>
      </c>
      <c r="GB13" s="518" t="str">
        <f t="shared" si="160"/>
        <v/>
      </c>
      <c r="GC13" s="518" t="str">
        <f t="shared" si="161"/>
        <v/>
      </c>
      <c r="GD13" s="518" t="str">
        <f t="shared" si="162"/>
        <v/>
      </c>
      <c r="GE13" s="518" t="str">
        <f t="shared" si="163"/>
        <v/>
      </c>
      <c r="GF13" s="518" t="str">
        <f t="shared" si="164"/>
        <v/>
      </c>
      <c r="GG13" s="518" t="str">
        <f t="shared" si="165"/>
        <v/>
      </c>
      <c r="GH13" s="518" t="str">
        <f t="shared" si="166"/>
        <v/>
      </c>
      <c r="GI13" s="518" t="str">
        <f t="shared" si="167"/>
        <v/>
      </c>
      <c r="GJ13" s="518" t="str">
        <f t="shared" si="168"/>
        <v/>
      </c>
      <c r="GK13" s="518" t="str">
        <f t="shared" si="169"/>
        <v/>
      </c>
      <c r="GL13" s="518" t="str">
        <f t="shared" si="170"/>
        <v/>
      </c>
      <c r="GM13" s="518" t="str">
        <f t="shared" si="171"/>
        <v/>
      </c>
      <c r="GN13" s="518" t="str">
        <f t="shared" si="172"/>
        <v/>
      </c>
      <c r="GO13" s="518" t="str">
        <f t="shared" si="173"/>
        <v/>
      </c>
      <c r="GP13" s="518" t="str">
        <f t="shared" si="174"/>
        <v/>
      </c>
      <c r="GQ13" s="518" t="str">
        <f t="shared" si="175"/>
        <v/>
      </c>
      <c r="GR13" s="518" t="str">
        <f t="shared" si="176"/>
        <v/>
      </c>
      <c r="GS13" s="518" t="str">
        <f t="shared" si="177"/>
        <v/>
      </c>
      <c r="GT13" s="518" t="str">
        <f t="shared" si="178"/>
        <v/>
      </c>
      <c r="GU13" s="518" t="str">
        <f t="shared" si="179"/>
        <v/>
      </c>
      <c r="GV13" s="518" t="str">
        <f t="shared" si="180"/>
        <v/>
      </c>
      <c r="GW13" s="518" t="str">
        <f t="shared" si="181"/>
        <v/>
      </c>
      <c r="GX13" s="518" t="str">
        <f t="shared" si="182"/>
        <v/>
      </c>
      <c r="GY13" s="518" t="str">
        <f t="shared" si="183"/>
        <v/>
      </c>
      <c r="GZ13" s="518" t="str">
        <f t="shared" si="184"/>
        <v/>
      </c>
      <c r="HA13" s="518" t="str">
        <f t="shared" si="185"/>
        <v/>
      </c>
      <c r="HB13" s="518" t="str">
        <f t="shared" si="186"/>
        <v/>
      </c>
      <c r="HC13" s="518" t="str">
        <f t="shared" si="187"/>
        <v/>
      </c>
      <c r="HD13" s="518" t="str">
        <f t="shared" si="188"/>
        <v/>
      </c>
      <c r="HE13" s="518" t="str">
        <f t="shared" si="189"/>
        <v/>
      </c>
      <c r="HF13" s="518" t="str">
        <f t="shared" si="190"/>
        <v/>
      </c>
      <c r="HG13" s="518" t="str">
        <f t="shared" si="191"/>
        <v/>
      </c>
      <c r="HH13" s="518" t="str">
        <f t="shared" si="192"/>
        <v/>
      </c>
      <c r="HI13" s="518" t="str">
        <f t="shared" si="193"/>
        <v/>
      </c>
      <c r="HJ13" s="518" t="str">
        <f t="shared" si="194"/>
        <v/>
      </c>
      <c r="HK13" s="518" t="str">
        <f t="shared" si="195"/>
        <v/>
      </c>
      <c r="HL13" s="518" t="str">
        <f t="shared" si="196"/>
        <v/>
      </c>
      <c r="HM13" s="518" t="str">
        <f t="shared" si="197"/>
        <v/>
      </c>
      <c r="HN13" s="518" t="str">
        <f t="shared" si="198"/>
        <v/>
      </c>
      <c r="HO13" s="518" t="str">
        <f t="shared" si="199"/>
        <v/>
      </c>
      <c r="HP13" s="518" t="str">
        <f t="shared" si="200"/>
        <v/>
      </c>
      <c r="HQ13" s="518" t="str">
        <f t="shared" si="201"/>
        <v/>
      </c>
      <c r="HR13" s="518" t="str">
        <f t="shared" si="202"/>
        <v/>
      </c>
      <c r="HS13" s="518" t="str">
        <f t="shared" si="203"/>
        <v/>
      </c>
      <c r="HT13" s="518">
        <f t="shared" si="204"/>
        <v>14</v>
      </c>
      <c r="HU13" s="518" t="str">
        <f t="shared" si="205"/>
        <v/>
      </c>
      <c r="HV13" s="518" t="str">
        <f t="shared" si="206"/>
        <v/>
      </c>
      <c r="HW13" s="518" t="str">
        <f t="shared" si="207"/>
        <v/>
      </c>
      <c r="HX13" s="518" t="str">
        <f t="shared" si="208"/>
        <v/>
      </c>
      <c r="HY13" s="518" t="str">
        <f t="shared" si="209"/>
        <v/>
      </c>
      <c r="HZ13" s="518" t="str">
        <f t="shared" si="210"/>
        <v/>
      </c>
      <c r="IA13" s="518" t="str">
        <f t="shared" si="211"/>
        <v/>
      </c>
      <c r="IB13" s="518" t="str">
        <f t="shared" si="212"/>
        <v/>
      </c>
      <c r="IC13" s="519" t="str">
        <f t="shared" si="213"/>
        <v/>
      </c>
      <c r="ID13" s="519" t="str">
        <f t="shared" si="214"/>
        <v/>
      </c>
      <c r="IE13" s="519" t="str">
        <f t="shared" si="215"/>
        <v/>
      </c>
      <c r="IF13" s="519" t="str">
        <f t="shared" si="216"/>
        <v/>
      </c>
      <c r="IG13" s="519" t="str">
        <f t="shared" si="217"/>
        <v/>
      </c>
      <c r="IH13" s="508" t="str">
        <f t="shared" si="218"/>
        <v/>
      </c>
      <c r="II13" s="508" t="str">
        <f t="shared" si="219"/>
        <v/>
      </c>
      <c r="IJ13" s="508" t="str">
        <f t="shared" si="220"/>
        <v/>
      </c>
      <c r="IK13" s="508" t="str">
        <f t="shared" si="221"/>
        <v/>
      </c>
      <c r="IL13" s="508" t="str">
        <f t="shared" si="222"/>
        <v/>
      </c>
      <c r="IM13" s="508" t="str">
        <f t="shared" si="223"/>
        <v/>
      </c>
      <c r="IN13" s="508" t="str">
        <f t="shared" si="224"/>
        <v/>
      </c>
      <c r="IO13" s="508" t="str">
        <f t="shared" si="225"/>
        <v/>
      </c>
      <c r="IP13" s="508" t="str">
        <f t="shared" si="226"/>
        <v/>
      </c>
      <c r="IQ13" s="508" t="str">
        <f t="shared" si="227"/>
        <v/>
      </c>
      <c r="IR13" s="508" t="str">
        <f t="shared" si="228"/>
        <v/>
      </c>
      <c r="IS13" s="508" t="str">
        <f t="shared" si="229"/>
        <v/>
      </c>
      <c r="IT13" s="508" t="str">
        <f t="shared" si="230"/>
        <v/>
      </c>
      <c r="IU13" s="508" t="str">
        <f t="shared" si="231"/>
        <v/>
      </c>
      <c r="IV13" s="508" t="str">
        <f t="shared" si="232"/>
        <v/>
      </c>
      <c r="IW13" s="508" t="str">
        <f t="shared" si="233"/>
        <v/>
      </c>
      <c r="IX13" s="508" t="str">
        <f t="shared" si="234"/>
        <v/>
      </c>
      <c r="IY13" s="508" t="str">
        <f t="shared" si="235"/>
        <v/>
      </c>
      <c r="IZ13" s="508" t="str">
        <f t="shared" si="236"/>
        <v/>
      </c>
      <c r="JA13" s="508" t="str">
        <f t="shared" si="237"/>
        <v/>
      </c>
      <c r="JB13" s="517">
        <f t="shared" si="243"/>
        <v>0</v>
      </c>
      <c r="JC13" s="517">
        <f t="shared" si="244"/>
        <v>0</v>
      </c>
      <c r="JD13" s="517">
        <f t="shared" si="245"/>
        <v>0</v>
      </c>
      <c r="JE13" s="517">
        <f t="shared" si="246"/>
        <v>0</v>
      </c>
      <c r="JF13" s="517">
        <f t="shared" si="247"/>
        <v>0</v>
      </c>
      <c r="JG13" s="517">
        <f t="shared" si="248"/>
        <v>0</v>
      </c>
      <c r="JH13" s="517">
        <f t="shared" si="249"/>
        <v>14</v>
      </c>
      <c r="JI13" s="517">
        <f t="shared" si="250"/>
        <v>0</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67" t="s">
        <v>1204</v>
      </c>
      <c r="C14" s="2368">
        <v>2</v>
      </c>
      <c r="D14" s="2369">
        <v>2</v>
      </c>
      <c r="E14" s="2370">
        <v>42</v>
      </c>
      <c r="F14" s="2370">
        <v>1073</v>
      </c>
      <c r="G14" s="2370">
        <v>882</v>
      </c>
      <c r="H14" s="2370">
        <v>760</v>
      </c>
      <c r="I14" s="2370">
        <v>205</v>
      </c>
      <c r="J14" s="2371"/>
      <c r="K14" s="861">
        <f t="shared" si="1"/>
        <v>555</v>
      </c>
      <c r="L14" s="861">
        <f t="shared" si="2"/>
        <v>23310</v>
      </c>
      <c r="M14" s="2372" t="s">
        <v>3425</v>
      </c>
      <c r="N14" s="2372" t="s">
        <v>4445</v>
      </c>
      <c r="O14" s="2372" t="s">
        <v>2404</v>
      </c>
      <c r="P14" s="2372" t="s">
        <v>3425</v>
      </c>
      <c r="Q14" s="472" t="e">
        <f>IF(H14="","",P14/($O$6*VLOOKUP(C14,'DCA Underwriting Assumptions'!$J$118:$K$123,2,FALSE)))</f>
        <v>#VALUE!</v>
      </c>
      <c r="R14" s="547"/>
      <c r="S14" s="472"/>
      <c r="T14" s="2306"/>
      <c r="U14" s="2307"/>
      <c r="V14" s="508" t="str">
        <f t="shared" si="3"/>
        <v/>
      </c>
      <c r="W14" s="508" t="str">
        <f t="shared" si="4"/>
        <v/>
      </c>
      <c r="X14" s="508">
        <f t="shared" si="5"/>
        <v>42</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238"/>
        <v/>
      </c>
      <c r="BU14" s="508" t="str">
        <f t="shared" si="239"/>
        <v/>
      </c>
      <c r="BV14" s="508" t="str">
        <f t="shared" si="240"/>
        <v/>
      </c>
      <c r="BW14" s="508" t="str">
        <f t="shared" si="241"/>
        <v/>
      </c>
      <c r="BX14" s="508" t="str">
        <f t="shared" si="242"/>
        <v/>
      </c>
      <c r="BY14" s="508" t="str">
        <f t="shared" si="53"/>
        <v/>
      </c>
      <c r="BZ14" s="508" t="str">
        <f t="shared" si="54"/>
        <v/>
      </c>
      <c r="CA14" s="508">
        <f t="shared" si="55"/>
        <v>45066</v>
      </c>
      <c r="CB14" s="508" t="str">
        <f t="shared" si="56"/>
        <v/>
      </c>
      <c r="CC14" s="508" t="str">
        <f t="shared" si="57"/>
        <v/>
      </c>
      <c r="CD14" s="508" t="str">
        <f t="shared" si="58"/>
        <v/>
      </c>
      <c r="CE14" s="508" t="str">
        <f t="shared" si="59"/>
        <v/>
      </c>
      <c r="CF14" s="508" t="str">
        <f t="shared" si="60"/>
        <v/>
      </c>
      <c r="CG14" s="508" t="str">
        <f t="shared" si="61"/>
        <v/>
      </c>
      <c r="CH14" s="508" t="str">
        <f t="shared" si="62"/>
        <v/>
      </c>
      <c r="CI14" s="508" t="str">
        <f t="shared" si="63"/>
        <v/>
      </c>
      <c r="CJ14" s="508" t="str">
        <f t="shared" si="64"/>
        <v/>
      </c>
      <c r="CK14" s="508" t="str">
        <f t="shared" si="65"/>
        <v/>
      </c>
      <c r="CL14" s="508" t="str">
        <f t="shared" si="66"/>
        <v/>
      </c>
      <c r="CM14" s="508" t="str">
        <f t="shared" si="67"/>
        <v/>
      </c>
      <c r="CN14" s="508" t="str">
        <f t="shared" si="68"/>
        <v/>
      </c>
      <c r="CO14" s="508" t="str">
        <f t="shared" si="69"/>
        <v/>
      </c>
      <c r="CP14" s="508" t="str">
        <f t="shared" si="70"/>
        <v/>
      </c>
      <c r="CQ14" s="508" t="str">
        <f t="shared" si="71"/>
        <v/>
      </c>
      <c r="CR14" s="508" t="str">
        <f t="shared" si="72"/>
        <v/>
      </c>
      <c r="CS14" s="508" t="str">
        <f t="shared" si="73"/>
        <v/>
      </c>
      <c r="CT14" s="508" t="str">
        <f t="shared" si="74"/>
        <v/>
      </c>
      <c r="CU14" s="508" t="str">
        <f t="shared" si="75"/>
        <v/>
      </c>
      <c r="CV14" s="508" t="str">
        <f t="shared" si="76"/>
        <v/>
      </c>
      <c r="CW14" s="508" t="str">
        <f t="shared" si="77"/>
        <v/>
      </c>
      <c r="CX14" s="508" t="str">
        <f t="shared" si="78"/>
        <v/>
      </c>
      <c r="CY14" s="508" t="str">
        <f t="shared" si="79"/>
        <v/>
      </c>
      <c r="CZ14" s="508" t="str">
        <f t="shared" si="80"/>
        <v/>
      </c>
      <c r="DA14" s="508" t="str">
        <f t="shared" si="81"/>
        <v/>
      </c>
      <c r="DB14" s="508" t="str">
        <f t="shared" si="82"/>
        <v/>
      </c>
      <c r="DC14" s="508" t="str">
        <f t="shared" si="83"/>
        <v/>
      </c>
      <c r="DD14" s="508" t="str">
        <f t="shared" si="84"/>
        <v/>
      </c>
      <c r="DE14" s="508">
        <f t="shared" si="85"/>
        <v>42</v>
      </c>
      <c r="DF14" s="508" t="str">
        <f t="shared" si="86"/>
        <v/>
      </c>
      <c r="DG14" s="508" t="str">
        <f t="shared" si="87"/>
        <v/>
      </c>
      <c r="DH14" s="508" t="str">
        <f t="shared" si="88"/>
        <v/>
      </c>
      <c r="DI14" s="508" t="str">
        <f t="shared" si="89"/>
        <v/>
      </c>
      <c r="DJ14" s="508" t="str">
        <f t="shared" si="90"/>
        <v/>
      </c>
      <c r="DK14" s="508" t="str">
        <f t="shared" si="91"/>
        <v/>
      </c>
      <c r="DL14" s="508" t="str">
        <f t="shared" si="92"/>
        <v/>
      </c>
      <c r="DM14" s="508" t="str">
        <f t="shared" si="93"/>
        <v/>
      </c>
      <c r="DN14" s="508" t="str">
        <f t="shared" si="94"/>
        <v/>
      </c>
      <c r="DO14" s="508" t="str">
        <f t="shared" si="95"/>
        <v/>
      </c>
      <c r="DP14" s="508" t="str">
        <f t="shared" si="96"/>
        <v/>
      </c>
      <c r="DQ14" s="508" t="str">
        <f t="shared" si="97"/>
        <v/>
      </c>
      <c r="DR14" s="508" t="str">
        <f t="shared" si="98"/>
        <v/>
      </c>
      <c r="DS14" s="508" t="str">
        <f t="shared" si="99"/>
        <v/>
      </c>
      <c r="DT14" s="508" t="str">
        <f t="shared" si="100"/>
        <v/>
      </c>
      <c r="DU14" s="508" t="str">
        <f t="shared" si="101"/>
        <v/>
      </c>
      <c r="DV14" s="508" t="str">
        <f t="shared" si="102"/>
        <v/>
      </c>
      <c r="DW14" s="508" t="str">
        <f t="shared" si="103"/>
        <v/>
      </c>
      <c r="DX14" s="508" t="str">
        <f t="shared" si="104"/>
        <v/>
      </c>
      <c r="DY14" s="508" t="str">
        <f t="shared" si="105"/>
        <v/>
      </c>
      <c r="DZ14" s="508" t="str">
        <f t="shared" si="106"/>
        <v/>
      </c>
      <c r="EA14" s="508" t="str">
        <f t="shared" si="107"/>
        <v/>
      </c>
      <c r="EB14" s="508" t="str">
        <f t="shared" si="108"/>
        <v/>
      </c>
      <c r="EC14" s="508" t="str">
        <f t="shared" si="109"/>
        <v/>
      </c>
      <c r="ED14" s="508" t="str">
        <f t="shared" si="110"/>
        <v/>
      </c>
      <c r="EE14" s="508" t="str">
        <f t="shared" si="111"/>
        <v/>
      </c>
      <c r="EF14" s="508" t="str">
        <f t="shared" si="112"/>
        <v/>
      </c>
      <c r="EG14" s="508" t="str">
        <f t="shared" si="113"/>
        <v/>
      </c>
      <c r="EH14" s="508" t="str">
        <f t="shared" si="114"/>
        <v/>
      </c>
      <c r="EI14" s="508" t="str">
        <f t="shared" si="115"/>
        <v/>
      </c>
      <c r="EJ14" s="508" t="str">
        <f t="shared" si="116"/>
        <v/>
      </c>
      <c r="EK14" s="508" t="str">
        <f t="shared" si="117"/>
        <v/>
      </c>
      <c r="EL14" s="508" t="str">
        <f t="shared" si="118"/>
        <v/>
      </c>
      <c r="EM14" s="508" t="str">
        <f t="shared" si="119"/>
        <v/>
      </c>
      <c r="EN14" s="508" t="str">
        <f t="shared" si="120"/>
        <v/>
      </c>
      <c r="EO14" s="508" t="str">
        <f t="shared" si="121"/>
        <v/>
      </c>
      <c r="EP14" s="508" t="str">
        <f t="shared" si="122"/>
        <v/>
      </c>
      <c r="EQ14" s="508" t="str">
        <f t="shared" si="123"/>
        <v/>
      </c>
      <c r="ER14" s="508" t="str">
        <f t="shared" si="124"/>
        <v/>
      </c>
      <c r="ES14" s="508" t="str">
        <f t="shared" si="125"/>
        <v/>
      </c>
      <c r="ET14" s="508" t="str">
        <f t="shared" si="126"/>
        <v/>
      </c>
      <c r="EU14" s="508" t="str">
        <f t="shared" si="127"/>
        <v/>
      </c>
      <c r="EV14" s="518" t="str">
        <f t="shared" si="128"/>
        <v/>
      </c>
      <c r="EW14" s="518" t="str">
        <f t="shared" si="129"/>
        <v/>
      </c>
      <c r="EX14" s="518">
        <f t="shared" si="130"/>
        <v>42</v>
      </c>
      <c r="EY14" s="518" t="str">
        <f t="shared" si="131"/>
        <v/>
      </c>
      <c r="EZ14" s="518" t="str">
        <f t="shared" si="132"/>
        <v/>
      </c>
      <c r="FA14" s="518" t="str">
        <f t="shared" si="133"/>
        <v/>
      </c>
      <c r="FB14" s="518" t="str">
        <f t="shared" si="134"/>
        <v/>
      </c>
      <c r="FC14" s="518" t="str">
        <f t="shared" si="135"/>
        <v/>
      </c>
      <c r="FD14" s="518" t="str">
        <f t="shared" si="136"/>
        <v/>
      </c>
      <c r="FE14" s="518" t="str">
        <f t="shared" si="137"/>
        <v/>
      </c>
      <c r="FF14" s="518" t="str">
        <f t="shared" si="138"/>
        <v/>
      </c>
      <c r="FG14" s="518" t="str">
        <f t="shared" si="139"/>
        <v/>
      </c>
      <c r="FH14" s="518" t="str">
        <f t="shared" si="140"/>
        <v/>
      </c>
      <c r="FI14" s="518" t="str">
        <f t="shared" si="141"/>
        <v/>
      </c>
      <c r="FJ14" s="518" t="str">
        <f t="shared" si="142"/>
        <v/>
      </c>
      <c r="FK14" s="518" t="str">
        <f t="shared" si="143"/>
        <v/>
      </c>
      <c r="FL14" s="518" t="str">
        <f t="shared" si="144"/>
        <v/>
      </c>
      <c r="FM14" s="518" t="str">
        <f t="shared" si="145"/>
        <v/>
      </c>
      <c r="FN14" s="518" t="str">
        <f t="shared" si="146"/>
        <v/>
      </c>
      <c r="FO14" s="518" t="str">
        <f t="shared" si="147"/>
        <v/>
      </c>
      <c r="FP14" s="518" t="str">
        <f t="shared" si="148"/>
        <v/>
      </c>
      <c r="FQ14" s="518" t="str">
        <f t="shared" si="149"/>
        <v/>
      </c>
      <c r="FR14" s="518" t="str">
        <f t="shared" si="150"/>
        <v/>
      </c>
      <c r="FS14" s="518" t="str">
        <f t="shared" si="151"/>
        <v/>
      </c>
      <c r="FT14" s="518" t="str">
        <f t="shared" si="152"/>
        <v/>
      </c>
      <c r="FU14" s="518" t="str">
        <f t="shared" si="153"/>
        <v/>
      </c>
      <c r="FV14" s="518" t="str">
        <f t="shared" si="154"/>
        <v/>
      </c>
      <c r="FW14" s="518" t="str">
        <f t="shared" si="155"/>
        <v/>
      </c>
      <c r="FX14" s="518" t="str">
        <f t="shared" si="156"/>
        <v/>
      </c>
      <c r="FY14" s="518" t="str">
        <f t="shared" si="157"/>
        <v/>
      </c>
      <c r="FZ14" s="518" t="str">
        <f t="shared" si="158"/>
        <v/>
      </c>
      <c r="GA14" s="518" t="str">
        <f t="shared" si="159"/>
        <v/>
      </c>
      <c r="GB14" s="518" t="str">
        <f t="shared" si="160"/>
        <v/>
      </c>
      <c r="GC14" s="518" t="str">
        <f t="shared" si="161"/>
        <v/>
      </c>
      <c r="GD14" s="518" t="str">
        <f t="shared" si="162"/>
        <v/>
      </c>
      <c r="GE14" s="518" t="str">
        <f t="shared" si="163"/>
        <v/>
      </c>
      <c r="GF14" s="518" t="str">
        <f t="shared" si="164"/>
        <v/>
      </c>
      <c r="GG14" s="518" t="str">
        <f t="shared" si="165"/>
        <v/>
      </c>
      <c r="GH14" s="518" t="str">
        <f t="shared" si="166"/>
        <v/>
      </c>
      <c r="GI14" s="518" t="str">
        <f t="shared" si="167"/>
        <v/>
      </c>
      <c r="GJ14" s="518" t="str">
        <f t="shared" si="168"/>
        <v/>
      </c>
      <c r="GK14" s="518" t="str">
        <f t="shared" si="169"/>
        <v/>
      </c>
      <c r="GL14" s="518" t="str">
        <f t="shared" si="170"/>
        <v/>
      </c>
      <c r="GM14" s="518" t="str">
        <f t="shared" si="171"/>
        <v/>
      </c>
      <c r="GN14" s="518" t="str">
        <f t="shared" si="172"/>
        <v/>
      </c>
      <c r="GO14" s="518" t="str">
        <f t="shared" si="173"/>
        <v/>
      </c>
      <c r="GP14" s="518" t="str">
        <f t="shared" si="174"/>
        <v/>
      </c>
      <c r="GQ14" s="518" t="str">
        <f t="shared" si="175"/>
        <v/>
      </c>
      <c r="GR14" s="518" t="str">
        <f t="shared" si="176"/>
        <v/>
      </c>
      <c r="GS14" s="518" t="str">
        <f t="shared" si="177"/>
        <v/>
      </c>
      <c r="GT14" s="518" t="str">
        <f t="shared" si="178"/>
        <v/>
      </c>
      <c r="GU14" s="518" t="str">
        <f t="shared" si="179"/>
        <v/>
      </c>
      <c r="GV14" s="518" t="str">
        <f t="shared" si="180"/>
        <v/>
      </c>
      <c r="GW14" s="518" t="str">
        <f t="shared" si="181"/>
        <v/>
      </c>
      <c r="GX14" s="518" t="str">
        <f t="shared" si="182"/>
        <v/>
      </c>
      <c r="GY14" s="518" t="str">
        <f t="shared" si="183"/>
        <v/>
      </c>
      <c r="GZ14" s="518" t="str">
        <f t="shared" si="184"/>
        <v/>
      </c>
      <c r="HA14" s="518" t="str">
        <f t="shared" si="185"/>
        <v/>
      </c>
      <c r="HB14" s="518" t="str">
        <f t="shared" si="186"/>
        <v/>
      </c>
      <c r="HC14" s="518" t="str">
        <f t="shared" si="187"/>
        <v/>
      </c>
      <c r="HD14" s="518" t="str">
        <f t="shared" si="188"/>
        <v/>
      </c>
      <c r="HE14" s="518" t="str">
        <f t="shared" si="189"/>
        <v/>
      </c>
      <c r="HF14" s="518" t="str">
        <f t="shared" si="190"/>
        <v/>
      </c>
      <c r="HG14" s="518" t="str">
        <f t="shared" si="191"/>
        <v/>
      </c>
      <c r="HH14" s="518" t="str">
        <f t="shared" si="192"/>
        <v/>
      </c>
      <c r="HI14" s="518" t="str">
        <f t="shared" si="193"/>
        <v/>
      </c>
      <c r="HJ14" s="518" t="str">
        <f t="shared" si="194"/>
        <v/>
      </c>
      <c r="HK14" s="518" t="str">
        <f t="shared" si="195"/>
        <v/>
      </c>
      <c r="HL14" s="518" t="str">
        <f t="shared" si="196"/>
        <v/>
      </c>
      <c r="HM14" s="518" t="str">
        <f t="shared" si="197"/>
        <v/>
      </c>
      <c r="HN14" s="518" t="str">
        <f t="shared" si="198"/>
        <v/>
      </c>
      <c r="HO14" s="518" t="str">
        <f t="shared" si="199"/>
        <v/>
      </c>
      <c r="HP14" s="518" t="str">
        <f t="shared" si="200"/>
        <v/>
      </c>
      <c r="HQ14" s="518" t="str">
        <f t="shared" si="201"/>
        <v/>
      </c>
      <c r="HR14" s="518" t="str">
        <f t="shared" si="202"/>
        <v/>
      </c>
      <c r="HS14" s="518" t="str">
        <f t="shared" si="203"/>
        <v/>
      </c>
      <c r="HT14" s="518" t="str">
        <f t="shared" si="204"/>
        <v/>
      </c>
      <c r="HU14" s="518">
        <f t="shared" si="205"/>
        <v>42</v>
      </c>
      <c r="HV14" s="518" t="str">
        <f t="shared" si="206"/>
        <v/>
      </c>
      <c r="HW14" s="518" t="str">
        <f t="shared" si="207"/>
        <v/>
      </c>
      <c r="HX14" s="518" t="str">
        <f t="shared" si="208"/>
        <v/>
      </c>
      <c r="HY14" s="518" t="str">
        <f t="shared" si="209"/>
        <v/>
      </c>
      <c r="HZ14" s="518" t="str">
        <f t="shared" si="210"/>
        <v/>
      </c>
      <c r="IA14" s="518" t="str">
        <f t="shared" si="211"/>
        <v/>
      </c>
      <c r="IB14" s="518" t="str">
        <f t="shared" si="212"/>
        <v/>
      </c>
      <c r="IC14" s="519" t="str">
        <f t="shared" si="213"/>
        <v/>
      </c>
      <c r="ID14" s="519" t="str">
        <f t="shared" si="214"/>
        <v/>
      </c>
      <c r="IE14" s="519" t="str">
        <f t="shared" si="215"/>
        <v/>
      </c>
      <c r="IF14" s="519" t="str">
        <f t="shared" si="216"/>
        <v/>
      </c>
      <c r="IG14" s="519" t="str">
        <f t="shared" si="217"/>
        <v/>
      </c>
      <c r="IH14" s="508" t="str">
        <f t="shared" si="218"/>
        <v/>
      </c>
      <c r="II14" s="508" t="str">
        <f t="shared" si="219"/>
        <v/>
      </c>
      <c r="IJ14" s="508" t="str">
        <f t="shared" si="220"/>
        <v/>
      </c>
      <c r="IK14" s="508" t="str">
        <f t="shared" si="221"/>
        <v/>
      </c>
      <c r="IL14" s="508" t="str">
        <f t="shared" si="222"/>
        <v/>
      </c>
      <c r="IM14" s="508" t="str">
        <f t="shared" si="223"/>
        <v/>
      </c>
      <c r="IN14" s="508" t="str">
        <f t="shared" si="224"/>
        <v/>
      </c>
      <c r="IO14" s="508" t="str">
        <f t="shared" si="225"/>
        <v/>
      </c>
      <c r="IP14" s="508" t="str">
        <f t="shared" si="226"/>
        <v/>
      </c>
      <c r="IQ14" s="508" t="str">
        <f t="shared" si="227"/>
        <v/>
      </c>
      <c r="IR14" s="508" t="str">
        <f t="shared" si="228"/>
        <v/>
      </c>
      <c r="IS14" s="508" t="str">
        <f t="shared" si="229"/>
        <v/>
      </c>
      <c r="IT14" s="508" t="str">
        <f t="shared" si="230"/>
        <v/>
      </c>
      <c r="IU14" s="508" t="str">
        <f t="shared" si="231"/>
        <v/>
      </c>
      <c r="IV14" s="508" t="str">
        <f t="shared" si="232"/>
        <v/>
      </c>
      <c r="IW14" s="508" t="str">
        <f t="shared" si="233"/>
        <v/>
      </c>
      <c r="IX14" s="508" t="str">
        <f t="shared" si="234"/>
        <v/>
      </c>
      <c r="IY14" s="508" t="str">
        <f t="shared" si="235"/>
        <v/>
      </c>
      <c r="IZ14" s="508" t="str">
        <f t="shared" si="236"/>
        <v/>
      </c>
      <c r="JA14" s="508" t="str">
        <f t="shared" si="237"/>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42</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67" t="s">
        <v>1204</v>
      </c>
      <c r="C15" s="2368">
        <v>3</v>
      </c>
      <c r="D15" s="2369">
        <v>2</v>
      </c>
      <c r="E15" s="2370">
        <v>20</v>
      </c>
      <c r="F15" s="2370">
        <v>1295</v>
      </c>
      <c r="G15" s="2370">
        <v>1019</v>
      </c>
      <c r="H15" s="2370">
        <v>910</v>
      </c>
      <c r="I15" s="2370">
        <v>255</v>
      </c>
      <c r="J15" s="2371"/>
      <c r="K15" s="861">
        <f t="shared" si="1"/>
        <v>655</v>
      </c>
      <c r="L15" s="861">
        <f t="shared" si="2"/>
        <v>13100</v>
      </c>
      <c r="M15" s="2372" t="s">
        <v>3425</v>
      </c>
      <c r="N15" s="2372" t="s">
        <v>4445</v>
      </c>
      <c r="O15" s="2372" t="s">
        <v>2404</v>
      </c>
      <c r="P15" s="2372" t="s">
        <v>3425</v>
      </c>
      <c r="Q15" s="472" t="e">
        <f>IF(H15="","",P15/($O$6*VLOOKUP(C15,'DCA Underwriting Assumptions'!$J$118:$K$123,2,FALSE)))</f>
        <v>#VALUE!</v>
      </c>
      <c r="R15" s="547"/>
      <c r="S15" s="472"/>
      <c r="T15" s="2306"/>
      <c r="U15" s="2307"/>
      <c r="V15" s="508" t="str">
        <f t="shared" si="3"/>
        <v/>
      </c>
      <c r="W15" s="508" t="str">
        <f t="shared" si="4"/>
        <v/>
      </c>
      <c r="X15" s="508" t="str">
        <f t="shared" si="5"/>
        <v/>
      </c>
      <c r="Y15" s="508">
        <f t="shared" si="6"/>
        <v>20</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238"/>
        <v/>
      </c>
      <c r="BU15" s="508" t="str">
        <f t="shared" si="239"/>
        <v/>
      </c>
      <c r="BV15" s="508" t="str">
        <f t="shared" si="240"/>
        <v/>
      </c>
      <c r="BW15" s="508" t="str">
        <f t="shared" si="241"/>
        <v/>
      </c>
      <c r="BX15" s="508" t="str">
        <f t="shared" si="242"/>
        <v/>
      </c>
      <c r="BY15" s="508" t="str">
        <f t="shared" si="53"/>
        <v/>
      </c>
      <c r="BZ15" s="508" t="str">
        <f t="shared" si="54"/>
        <v/>
      </c>
      <c r="CA15" s="508" t="str">
        <f t="shared" si="55"/>
        <v/>
      </c>
      <c r="CB15" s="508">
        <f t="shared" si="56"/>
        <v>25900</v>
      </c>
      <c r="CC15" s="508" t="str">
        <f t="shared" si="57"/>
        <v/>
      </c>
      <c r="CD15" s="508" t="str">
        <f t="shared" si="58"/>
        <v/>
      </c>
      <c r="CE15" s="508" t="str">
        <f t="shared" si="59"/>
        <v/>
      </c>
      <c r="CF15" s="508" t="str">
        <f t="shared" si="60"/>
        <v/>
      </c>
      <c r="CG15" s="508" t="str">
        <f t="shared" si="61"/>
        <v/>
      </c>
      <c r="CH15" s="508" t="str">
        <f t="shared" si="62"/>
        <v/>
      </c>
      <c r="CI15" s="508" t="str">
        <f t="shared" si="63"/>
        <v/>
      </c>
      <c r="CJ15" s="508" t="str">
        <f t="shared" si="64"/>
        <v/>
      </c>
      <c r="CK15" s="508" t="str">
        <f t="shared" si="65"/>
        <v/>
      </c>
      <c r="CL15" s="508" t="str">
        <f t="shared" si="66"/>
        <v/>
      </c>
      <c r="CM15" s="508" t="str">
        <f t="shared" si="67"/>
        <v/>
      </c>
      <c r="CN15" s="508" t="str">
        <f t="shared" si="68"/>
        <v/>
      </c>
      <c r="CO15" s="508" t="str">
        <f t="shared" si="69"/>
        <v/>
      </c>
      <c r="CP15" s="508" t="str">
        <f t="shared" si="70"/>
        <v/>
      </c>
      <c r="CQ15" s="508" t="str">
        <f t="shared" si="71"/>
        <v/>
      </c>
      <c r="CR15" s="508" t="str">
        <f t="shared" si="72"/>
        <v/>
      </c>
      <c r="CS15" s="508" t="str">
        <f t="shared" si="73"/>
        <v/>
      </c>
      <c r="CT15" s="508" t="str">
        <f t="shared" si="74"/>
        <v/>
      </c>
      <c r="CU15" s="508" t="str">
        <f t="shared" si="75"/>
        <v/>
      </c>
      <c r="CV15" s="508" t="str">
        <f t="shared" si="76"/>
        <v/>
      </c>
      <c r="CW15" s="508" t="str">
        <f t="shared" si="77"/>
        <v/>
      </c>
      <c r="CX15" s="508" t="str">
        <f t="shared" si="78"/>
        <v/>
      </c>
      <c r="CY15" s="508" t="str">
        <f t="shared" si="79"/>
        <v/>
      </c>
      <c r="CZ15" s="508" t="str">
        <f t="shared" si="80"/>
        <v/>
      </c>
      <c r="DA15" s="508" t="str">
        <f t="shared" si="81"/>
        <v/>
      </c>
      <c r="DB15" s="508" t="str">
        <f t="shared" si="82"/>
        <v/>
      </c>
      <c r="DC15" s="508" t="str">
        <f t="shared" si="83"/>
        <v/>
      </c>
      <c r="DD15" s="508" t="str">
        <f t="shared" si="84"/>
        <v/>
      </c>
      <c r="DE15" s="508" t="str">
        <f t="shared" si="85"/>
        <v/>
      </c>
      <c r="DF15" s="508">
        <f t="shared" si="86"/>
        <v>20</v>
      </c>
      <c r="DG15" s="508" t="str">
        <f t="shared" si="87"/>
        <v/>
      </c>
      <c r="DH15" s="508" t="str">
        <f t="shared" si="88"/>
        <v/>
      </c>
      <c r="DI15" s="508" t="str">
        <f t="shared" si="89"/>
        <v/>
      </c>
      <c r="DJ15" s="508" t="str">
        <f t="shared" si="90"/>
        <v/>
      </c>
      <c r="DK15" s="508" t="str">
        <f t="shared" si="91"/>
        <v/>
      </c>
      <c r="DL15" s="508" t="str">
        <f t="shared" si="92"/>
        <v/>
      </c>
      <c r="DM15" s="508" t="str">
        <f t="shared" si="93"/>
        <v/>
      </c>
      <c r="DN15" s="508" t="str">
        <f t="shared" si="94"/>
        <v/>
      </c>
      <c r="DO15" s="508" t="str">
        <f t="shared" si="95"/>
        <v/>
      </c>
      <c r="DP15" s="508" t="str">
        <f t="shared" si="96"/>
        <v/>
      </c>
      <c r="DQ15" s="508" t="str">
        <f t="shared" si="97"/>
        <v/>
      </c>
      <c r="DR15" s="508" t="str">
        <f t="shared" si="98"/>
        <v/>
      </c>
      <c r="DS15" s="508" t="str">
        <f t="shared" si="99"/>
        <v/>
      </c>
      <c r="DT15" s="508" t="str">
        <f t="shared" si="100"/>
        <v/>
      </c>
      <c r="DU15" s="508" t="str">
        <f t="shared" si="101"/>
        <v/>
      </c>
      <c r="DV15" s="508" t="str">
        <f t="shared" si="102"/>
        <v/>
      </c>
      <c r="DW15" s="508" t="str">
        <f t="shared" si="103"/>
        <v/>
      </c>
      <c r="DX15" s="508" t="str">
        <f t="shared" si="104"/>
        <v/>
      </c>
      <c r="DY15" s="508" t="str">
        <f t="shared" si="105"/>
        <v/>
      </c>
      <c r="DZ15" s="508" t="str">
        <f t="shared" si="106"/>
        <v/>
      </c>
      <c r="EA15" s="508" t="str">
        <f t="shared" si="107"/>
        <v/>
      </c>
      <c r="EB15" s="508" t="str">
        <f t="shared" si="108"/>
        <v/>
      </c>
      <c r="EC15" s="508" t="str">
        <f t="shared" si="109"/>
        <v/>
      </c>
      <c r="ED15" s="508" t="str">
        <f t="shared" si="110"/>
        <v/>
      </c>
      <c r="EE15" s="508" t="str">
        <f t="shared" si="111"/>
        <v/>
      </c>
      <c r="EF15" s="508" t="str">
        <f t="shared" si="112"/>
        <v/>
      </c>
      <c r="EG15" s="508" t="str">
        <f t="shared" si="113"/>
        <v/>
      </c>
      <c r="EH15" s="508" t="str">
        <f t="shared" si="114"/>
        <v/>
      </c>
      <c r="EI15" s="508" t="str">
        <f t="shared" si="115"/>
        <v/>
      </c>
      <c r="EJ15" s="508" t="str">
        <f t="shared" si="116"/>
        <v/>
      </c>
      <c r="EK15" s="508" t="str">
        <f t="shared" si="117"/>
        <v/>
      </c>
      <c r="EL15" s="508" t="str">
        <f t="shared" si="118"/>
        <v/>
      </c>
      <c r="EM15" s="508" t="str">
        <f t="shared" si="119"/>
        <v/>
      </c>
      <c r="EN15" s="508" t="str">
        <f t="shared" si="120"/>
        <v/>
      </c>
      <c r="EO15" s="508" t="str">
        <f t="shared" si="121"/>
        <v/>
      </c>
      <c r="EP15" s="508" t="str">
        <f t="shared" si="122"/>
        <v/>
      </c>
      <c r="EQ15" s="508" t="str">
        <f t="shared" si="123"/>
        <v/>
      </c>
      <c r="ER15" s="508" t="str">
        <f t="shared" si="124"/>
        <v/>
      </c>
      <c r="ES15" s="508" t="str">
        <f t="shared" si="125"/>
        <v/>
      </c>
      <c r="ET15" s="508" t="str">
        <f t="shared" si="126"/>
        <v/>
      </c>
      <c r="EU15" s="508" t="str">
        <f t="shared" si="127"/>
        <v/>
      </c>
      <c r="EV15" s="518" t="str">
        <f t="shared" si="128"/>
        <v/>
      </c>
      <c r="EW15" s="518" t="str">
        <f t="shared" si="129"/>
        <v/>
      </c>
      <c r="EX15" s="518" t="str">
        <f t="shared" si="130"/>
        <v/>
      </c>
      <c r="EY15" s="518">
        <f t="shared" si="131"/>
        <v>20</v>
      </c>
      <c r="EZ15" s="518" t="str">
        <f t="shared" si="132"/>
        <v/>
      </c>
      <c r="FA15" s="518" t="str">
        <f t="shared" si="133"/>
        <v/>
      </c>
      <c r="FB15" s="518" t="str">
        <f t="shared" si="134"/>
        <v/>
      </c>
      <c r="FC15" s="518" t="str">
        <f t="shared" si="135"/>
        <v/>
      </c>
      <c r="FD15" s="518" t="str">
        <f t="shared" si="136"/>
        <v/>
      </c>
      <c r="FE15" s="518" t="str">
        <f t="shared" si="137"/>
        <v/>
      </c>
      <c r="FF15" s="518" t="str">
        <f t="shared" si="138"/>
        <v/>
      </c>
      <c r="FG15" s="518" t="str">
        <f t="shared" si="139"/>
        <v/>
      </c>
      <c r="FH15" s="518" t="str">
        <f t="shared" si="140"/>
        <v/>
      </c>
      <c r="FI15" s="518" t="str">
        <f t="shared" si="141"/>
        <v/>
      </c>
      <c r="FJ15" s="518" t="str">
        <f t="shared" si="142"/>
        <v/>
      </c>
      <c r="FK15" s="518" t="str">
        <f t="shared" si="143"/>
        <v/>
      </c>
      <c r="FL15" s="518" t="str">
        <f t="shared" si="144"/>
        <v/>
      </c>
      <c r="FM15" s="518" t="str">
        <f t="shared" si="145"/>
        <v/>
      </c>
      <c r="FN15" s="518" t="str">
        <f t="shared" si="146"/>
        <v/>
      </c>
      <c r="FO15" s="518" t="str">
        <f t="shared" si="147"/>
        <v/>
      </c>
      <c r="FP15" s="518" t="str">
        <f t="shared" si="148"/>
        <v/>
      </c>
      <c r="FQ15" s="518" t="str">
        <f t="shared" si="149"/>
        <v/>
      </c>
      <c r="FR15" s="518" t="str">
        <f t="shared" si="150"/>
        <v/>
      </c>
      <c r="FS15" s="518" t="str">
        <f t="shared" si="151"/>
        <v/>
      </c>
      <c r="FT15" s="518" t="str">
        <f t="shared" si="152"/>
        <v/>
      </c>
      <c r="FU15" s="518" t="str">
        <f t="shared" si="153"/>
        <v/>
      </c>
      <c r="FV15" s="518" t="str">
        <f t="shared" si="154"/>
        <v/>
      </c>
      <c r="FW15" s="518" t="str">
        <f t="shared" si="155"/>
        <v/>
      </c>
      <c r="FX15" s="518" t="str">
        <f t="shared" si="156"/>
        <v/>
      </c>
      <c r="FY15" s="518" t="str">
        <f t="shared" si="157"/>
        <v/>
      </c>
      <c r="FZ15" s="518" t="str">
        <f t="shared" si="158"/>
        <v/>
      </c>
      <c r="GA15" s="518" t="str">
        <f t="shared" si="159"/>
        <v/>
      </c>
      <c r="GB15" s="518" t="str">
        <f t="shared" si="160"/>
        <v/>
      </c>
      <c r="GC15" s="518" t="str">
        <f t="shared" si="161"/>
        <v/>
      </c>
      <c r="GD15" s="518" t="str">
        <f t="shared" si="162"/>
        <v/>
      </c>
      <c r="GE15" s="518" t="str">
        <f t="shared" si="163"/>
        <v/>
      </c>
      <c r="GF15" s="518" t="str">
        <f t="shared" si="164"/>
        <v/>
      </c>
      <c r="GG15" s="518" t="str">
        <f t="shared" si="165"/>
        <v/>
      </c>
      <c r="GH15" s="518" t="str">
        <f t="shared" si="166"/>
        <v/>
      </c>
      <c r="GI15" s="518" t="str">
        <f t="shared" si="167"/>
        <v/>
      </c>
      <c r="GJ15" s="518" t="str">
        <f t="shared" si="168"/>
        <v/>
      </c>
      <c r="GK15" s="518" t="str">
        <f t="shared" si="169"/>
        <v/>
      </c>
      <c r="GL15" s="518" t="str">
        <f t="shared" si="170"/>
        <v/>
      </c>
      <c r="GM15" s="518" t="str">
        <f t="shared" si="171"/>
        <v/>
      </c>
      <c r="GN15" s="518" t="str">
        <f t="shared" si="172"/>
        <v/>
      </c>
      <c r="GO15" s="518" t="str">
        <f t="shared" si="173"/>
        <v/>
      </c>
      <c r="GP15" s="518" t="str">
        <f t="shared" si="174"/>
        <v/>
      </c>
      <c r="GQ15" s="518" t="str">
        <f t="shared" si="175"/>
        <v/>
      </c>
      <c r="GR15" s="518" t="str">
        <f t="shared" si="176"/>
        <v/>
      </c>
      <c r="GS15" s="518" t="str">
        <f t="shared" si="177"/>
        <v/>
      </c>
      <c r="GT15" s="518" t="str">
        <f t="shared" si="178"/>
        <v/>
      </c>
      <c r="GU15" s="518" t="str">
        <f t="shared" si="179"/>
        <v/>
      </c>
      <c r="GV15" s="518" t="str">
        <f t="shared" si="180"/>
        <v/>
      </c>
      <c r="GW15" s="518" t="str">
        <f t="shared" si="181"/>
        <v/>
      </c>
      <c r="GX15" s="518" t="str">
        <f t="shared" si="182"/>
        <v/>
      </c>
      <c r="GY15" s="518" t="str">
        <f t="shared" si="183"/>
        <v/>
      </c>
      <c r="GZ15" s="518" t="str">
        <f t="shared" si="184"/>
        <v/>
      </c>
      <c r="HA15" s="518" t="str">
        <f t="shared" si="185"/>
        <v/>
      </c>
      <c r="HB15" s="518" t="str">
        <f t="shared" si="186"/>
        <v/>
      </c>
      <c r="HC15" s="518" t="str">
        <f t="shared" si="187"/>
        <v/>
      </c>
      <c r="HD15" s="518" t="str">
        <f t="shared" si="188"/>
        <v/>
      </c>
      <c r="HE15" s="518" t="str">
        <f t="shared" si="189"/>
        <v/>
      </c>
      <c r="HF15" s="518" t="str">
        <f t="shared" si="190"/>
        <v/>
      </c>
      <c r="HG15" s="518" t="str">
        <f t="shared" si="191"/>
        <v/>
      </c>
      <c r="HH15" s="518" t="str">
        <f t="shared" si="192"/>
        <v/>
      </c>
      <c r="HI15" s="518" t="str">
        <f t="shared" si="193"/>
        <v/>
      </c>
      <c r="HJ15" s="518" t="str">
        <f t="shared" si="194"/>
        <v/>
      </c>
      <c r="HK15" s="518" t="str">
        <f t="shared" si="195"/>
        <v/>
      </c>
      <c r="HL15" s="518" t="str">
        <f t="shared" si="196"/>
        <v/>
      </c>
      <c r="HM15" s="518" t="str">
        <f t="shared" si="197"/>
        <v/>
      </c>
      <c r="HN15" s="518" t="str">
        <f t="shared" si="198"/>
        <v/>
      </c>
      <c r="HO15" s="518" t="str">
        <f t="shared" si="199"/>
        <v/>
      </c>
      <c r="HP15" s="518" t="str">
        <f t="shared" si="200"/>
        <v/>
      </c>
      <c r="HQ15" s="518" t="str">
        <f t="shared" si="201"/>
        <v/>
      </c>
      <c r="HR15" s="518" t="str">
        <f t="shared" si="202"/>
        <v/>
      </c>
      <c r="HS15" s="518" t="str">
        <f t="shared" si="203"/>
        <v/>
      </c>
      <c r="HT15" s="518" t="str">
        <f t="shared" si="204"/>
        <v/>
      </c>
      <c r="HU15" s="518" t="str">
        <f t="shared" si="205"/>
        <v/>
      </c>
      <c r="HV15" s="518">
        <f t="shared" si="206"/>
        <v>20</v>
      </c>
      <c r="HW15" s="518" t="str">
        <f t="shared" si="207"/>
        <v/>
      </c>
      <c r="HX15" s="518" t="str">
        <f t="shared" si="208"/>
        <v/>
      </c>
      <c r="HY15" s="518" t="str">
        <f t="shared" si="209"/>
        <v/>
      </c>
      <c r="HZ15" s="518" t="str">
        <f t="shared" si="210"/>
        <v/>
      </c>
      <c r="IA15" s="518" t="str">
        <f t="shared" si="211"/>
        <v/>
      </c>
      <c r="IB15" s="518" t="str">
        <f t="shared" si="212"/>
        <v/>
      </c>
      <c r="IC15" s="519" t="str">
        <f t="shared" si="213"/>
        <v/>
      </c>
      <c r="ID15" s="519" t="str">
        <f t="shared" si="214"/>
        <v/>
      </c>
      <c r="IE15" s="519" t="str">
        <f t="shared" si="215"/>
        <v/>
      </c>
      <c r="IF15" s="519" t="str">
        <f t="shared" si="216"/>
        <v/>
      </c>
      <c r="IG15" s="519" t="str">
        <f t="shared" si="217"/>
        <v/>
      </c>
      <c r="IH15" s="508" t="str">
        <f t="shared" si="218"/>
        <v/>
      </c>
      <c r="II15" s="508" t="str">
        <f t="shared" si="219"/>
        <v/>
      </c>
      <c r="IJ15" s="508" t="str">
        <f t="shared" si="220"/>
        <v/>
      </c>
      <c r="IK15" s="508" t="str">
        <f t="shared" si="221"/>
        <v/>
      </c>
      <c r="IL15" s="508" t="str">
        <f t="shared" si="222"/>
        <v/>
      </c>
      <c r="IM15" s="508" t="str">
        <f t="shared" si="223"/>
        <v/>
      </c>
      <c r="IN15" s="508" t="str">
        <f t="shared" si="224"/>
        <v/>
      </c>
      <c r="IO15" s="508" t="str">
        <f t="shared" si="225"/>
        <v/>
      </c>
      <c r="IP15" s="508" t="str">
        <f t="shared" si="226"/>
        <v/>
      </c>
      <c r="IQ15" s="508" t="str">
        <f t="shared" si="227"/>
        <v/>
      </c>
      <c r="IR15" s="508" t="str">
        <f t="shared" si="228"/>
        <v/>
      </c>
      <c r="IS15" s="508" t="str">
        <f t="shared" si="229"/>
        <v/>
      </c>
      <c r="IT15" s="508" t="str">
        <f t="shared" si="230"/>
        <v/>
      </c>
      <c r="IU15" s="508" t="str">
        <f t="shared" si="231"/>
        <v/>
      </c>
      <c r="IV15" s="508" t="str">
        <f t="shared" si="232"/>
        <v/>
      </c>
      <c r="IW15" s="508" t="str">
        <f t="shared" si="233"/>
        <v/>
      </c>
      <c r="IX15" s="508" t="str">
        <f t="shared" si="234"/>
        <v/>
      </c>
      <c r="IY15" s="508" t="str">
        <f t="shared" si="235"/>
        <v/>
      </c>
      <c r="IZ15" s="508" t="str">
        <f t="shared" si="236"/>
        <v/>
      </c>
      <c r="JA15" s="508" t="str">
        <f t="shared" si="237"/>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0</v>
      </c>
      <c r="JJ15" s="517">
        <f t="shared" si="251"/>
        <v>20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67" t="s">
        <v>1859</v>
      </c>
      <c r="C16" s="2368"/>
      <c r="D16" s="2369"/>
      <c r="E16" s="2370"/>
      <c r="F16" s="2370"/>
      <c r="G16" s="2370"/>
      <c r="H16" s="2370"/>
      <c r="I16" s="2370"/>
      <c r="J16" s="2371"/>
      <c r="K16" s="861">
        <f t="shared" si="1"/>
        <v>0</v>
      </c>
      <c r="L16" s="861">
        <f t="shared" si="2"/>
        <v>0</v>
      </c>
      <c r="M16" s="2372"/>
      <c r="N16" s="2372"/>
      <c r="O16" s="2372"/>
      <c r="P16" s="2372"/>
      <c r="Q16" s="472" t="str">
        <f>IF(H16="","",P16/($O$6*VLOOKUP(C16,'DCA Underwriting Assumptions'!$J$118:$K$123,2,FALSE)))</f>
        <v/>
      </c>
      <c r="R16" s="547"/>
      <c r="S16" s="472"/>
      <c r="T16" s="2306"/>
      <c r="U16" s="2307"/>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238"/>
        <v/>
      </c>
      <c r="BU16" s="508" t="str">
        <f t="shared" si="239"/>
        <v/>
      </c>
      <c r="BV16" s="508" t="str">
        <f t="shared" si="240"/>
        <v/>
      </c>
      <c r="BW16" s="508" t="str">
        <f t="shared" si="241"/>
        <v/>
      </c>
      <c r="BX16" s="508" t="str">
        <f t="shared" si="242"/>
        <v/>
      </c>
      <c r="BY16" s="508" t="str">
        <f t="shared" si="53"/>
        <v/>
      </c>
      <c r="BZ16" s="508" t="str">
        <f t="shared" si="54"/>
        <v/>
      </c>
      <c r="CA16" s="508" t="str">
        <f t="shared" si="55"/>
        <v/>
      </c>
      <c r="CB16" s="508" t="str">
        <f t="shared" si="56"/>
        <v/>
      </c>
      <c r="CC16" s="508" t="str">
        <f t="shared" si="57"/>
        <v/>
      </c>
      <c r="CD16" s="508" t="str">
        <f t="shared" si="58"/>
        <v/>
      </c>
      <c r="CE16" s="508" t="str">
        <f t="shared" si="59"/>
        <v/>
      </c>
      <c r="CF16" s="508" t="str">
        <f t="shared" si="60"/>
        <v/>
      </c>
      <c r="CG16" s="508" t="str">
        <f t="shared" si="61"/>
        <v/>
      </c>
      <c r="CH16" s="508" t="str">
        <f t="shared" si="62"/>
        <v/>
      </c>
      <c r="CI16" s="508" t="str">
        <f t="shared" si="63"/>
        <v/>
      </c>
      <c r="CJ16" s="508" t="str">
        <f t="shared" si="64"/>
        <v/>
      </c>
      <c r="CK16" s="508" t="str">
        <f t="shared" si="65"/>
        <v/>
      </c>
      <c r="CL16" s="508" t="str">
        <f t="shared" si="66"/>
        <v/>
      </c>
      <c r="CM16" s="508" t="str">
        <f t="shared" si="67"/>
        <v/>
      </c>
      <c r="CN16" s="508" t="str">
        <f t="shared" si="68"/>
        <v/>
      </c>
      <c r="CO16" s="508" t="str">
        <f t="shared" si="69"/>
        <v/>
      </c>
      <c r="CP16" s="508" t="str">
        <f t="shared" si="70"/>
        <v/>
      </c>
      <c r="CQ16" s="508" t="str">
        <f t="shared" si="71"/>
        <v/>
      </c>
      <c r="CR16" s="508" t="str">
        <f t="shared" si="72"/>
        <v/>
      </c>
      <c r="CS16" s="508" t="str">
        <f t="shared" si="73"/>
        <v/>
      </c>
      <c r="CT16" s="508" t="str">
        <f t="shared" si="74"/>
        <v/>
      </c>
      <c r="CU16" s="508" t="str">
        <f t="shared" si="75"/>
        <v/>
      </c>
      <c r="CV16" s="508" t="str">
        <f t="shared" si="76"/>
        <v/>
      </c>
      <c r="CW16" s="508" t="str">
        <f t="shared" si="77"/>
        <v/>
      </c>
      <c r="CX16" s="508" t="str">
        <f t="shared" si="78"/>
        <v/>
      </c>
      <c r="CY16" s="508" t="str">
        <f t="shared" si="79"/>
        <v/>
      </c>
      <c r="CZ16" s="508" t="str">
        <f t="shared" si="80"/>
        <v/>
      </c>
      <c r="DA16" s="508" t="str">
        <f t="shared" si="81"/>
        <v/>
      </c>
      <c r="DB16" s="508" t="str">
        <f t="shared" si="82"/>
        <v/>
      </c>
      <c r="DC16" s="508" t="str">
        <f t="shared" si="83"/>
        <v/>
      </c>
      <c r="DD16" s="508" t="str">
        <f t="shared" si="84"/>
        <v/>
      </c>
      <c r="DE16" s="508" t="str">
        <f t="shared" si="85"/>
        <v/>
      </c>
      <c r="DF16" s="508" t="str">
        <f t="shared" si="86"/>
        <v/>
      </c>
      <c r="DG16" s="508" t="str">
        <f t="shared" si="87"/>
        <v/>
      </c>
      <c r="DH16" s="508" t="str">
        <f t="shared" si="88"/>
        <v/>
      </c>
      <c r="DI16" s="508" t="str">
        <f t="shared" si="89"/>
        <v/>
      </c>
      <c r="DJ16" s="508" t="str">
        <f t="shared" si="90"/>
        <v/>
      </c>
      <c r="DK16" s="508" t="str">
        <f t="shared" si="91"/>
        <v/>
      </c>
      <c r="DL16" s="508" t="str">
        <f t="shared" si="92"/>
        <v/>
      </c>
      <c r="DM16" s="508" t="str">
        <f t="shared" si="93"/>
        <v/>
      </c>
      <c r="DN16" s="508" t="str">
        <f t="shared" si="94"/>
        <v/>
      </c>
      <c r="DO16" s="508" t="str">
        <f t="shared" si="95"/>
        <v/>
      </c>
      <c r="DP16" s="508" t="str">
        <f t="shared" si="96"/>
        <v/>
      </c>
      <c r="DQ16" s="508" t="str">
        <f t="shared" si="97"/>
        <v/>
      </c>
      <c r="DR16" s="508" t="str">
        <f t="shared" si="98"/>
        <v/>
      </c>
      <c r="DS16" s="508" t="str">
        <f t="shared" si="99"/>
        <v/>
      </c>
      <c r="DT16" s="508" t="str">
        <f t="shared" si="100"/>
        <v/>
      </c>
      <c r="DU16" s="508" t="str">
        <f t="shared" si="101"/>
        <v/>
      </c>
      <c r="DV16" s="508" t="str">
        <f t="shared" si="102"/>
        <v/>
      </c>
      <c r="DW16" s="508" t="str">
        <f t="shared" si="103"/>
        <v/>
      </c>
      <c r="DX16" s="508" t="str">
        <f t="shared" si="104"/>
        <v/>
      </c>
      <c r="DY16" s="508" t="str">
        <f t="shared" si="105"/>
        <v/>
      </c>
      <c r="DZ16" s="508" t="str">
        <f t="shared" si="106"/>
        <v/>
      </c>
      <c r="EA16" s="508" t="str">
        <f t="shared" si="107"/>
        <v/>
      </c>
      <c r="EB16" s="508" t="str">
        <f t="shared" si="108"/>
        <v/>
      </c>
      <c r="EC16" s="508" t="str">
        <f t="shared" si="109"/>
        <v/>
      </c>
      <c r="ED16" s="508" t="str">
        <f t="shared" si="110"/>
        <v/>
      </c>
      <c r="EE16" s="508" t="str">
        <f t="shared" si="111"/>
        <v/>
      </c>
      <c r="EF16" s="508" t="str">
        <f t="shared" si="112"/>
        <v/>
      </c>
      <c r="EG16" s="508" t="str">
        <f t="shared" si="113"/>
        <v/>
      </c>
      <c r="EH16" s="508" t="str">
        <f t="shared" si="114"/>
        <v/>
      </c>
      <c r="EI16" s="508" t="str">
        <f t="shared" si="115"/>
        <v/>
      </c>
      <c r="EJ16" s="508" t="str">
        <f t="shared" si="116"/>
        <v/>
      </c>
      <c r="EK16" s="508" t="str">
        <f t="shared" si="117"/>
        <v/>
      </c>
      <c r="EL16" s="508" t="str">
        <f t="shared" si="118"/>
        <v/>
      </c>
      <c r="EM16" s="508" t="str">
        <f t="shared" si="119"/>
        <v/>
      </c>
      <c r="EN16" s="508" t="str">
        <f t="shared" si="120"/>
        <v/>
      </c>
      <c r="EO16" s="508" t="str">
        <f t="shared" si="121"/>
        <v/>
      </c>
      <c r="EP16" s="508" t="str">
        <f t="shared" si="122"/>
        <v/>
      </c>
      <c r="EQ16" s="508" t="str">
        <f t="shared" si="123"/>
        <v/>
      </c>
      <c r="ER16" s="508" t="str">
        <f t="shared" si="124"/>
        <v/>
      </c>
      <c r="ES16" s="508" t="str">
        <f t="shared" si="125"/>
        <v/>
      </c>
      <c r="ET16" s="508" t="str">
        <f t="shared" si="126"/>
        <v/>
      </c>
      <c r="EU16" s="508" t="str">
        <f t="shared" si="127"/>
        <v/>
      </c>
      <c r="EV16" s="518" t="str">
        <f t="shared" si="128"/>
        <v/>
      </c>
      <c r="EW16" s="518" t="str">
        <f t="shared" si="129"/>
        <v/>
      </c>
      <c r="EX16" s="518" t="str">
        <f t="shared" si="130"/>
        <v/>
      </c>
      <c r="EY16" s="518" t="str">
        <f t="shared" si="131"/>
        <v/>
      </c>
      <c r="EZ16" s="518" t="str">
        <f t="shared" si="132"/>
        <v/>
      </c>
      <c r="FA16" s="518" t="str">
        <f t="shared" si="133"/>
        <v/>
      </c>
      <c r="FB16" s="518" t="str">
        <f t="shared" si="134"/>
        <v/>
      </c>
      <c r="FC16" s="518" t="str">
        <f t="shared" si="135"/>
        <v/>
      </c>
      <c r="FD16" s="518" t="str">
        <f t="shared" si="136"/>
        <v/>
      </c>
      <c r="FE16" s="518" t="str">
        <f t="shared" si="137"/>
        <v/>
      </c>
      <c r="FF16" s="518" t="str">
        <f t="shared" si="138"/>
        <v/>
      </c>
      <c r="FG16" s="518" t="str">
        <f t="shared" si="139"/>
        <v/>
      </c>
      <c r="FH16" s="518" t="str">
        <f t="shared" si="140"/>
        <v/>
      </c>
      <c r="FI16" s="518" t="str">
        <f t="shared" si="141"/>
        <v/>
      </c>
      <c r="FJ16" s="518" t="str">
        <f t="shared" si="142"/>
        <v/>
      </c>
      <c r="FK16" s="518" t="str">
        <f t="shared" si="143"/>
        <v/>
      </c>
      <c r="FL16" s="518" t="str">
        <f t="shared" si="144"/>
        <v/>
      </c>
      <c r="FM16" s="518" t="str">
        <f t="shared" si="145"/>
        <v/>
      </c>
      <c r="FN16" s="518" t="str">
        <f t="shared" si="146"/>
        <v/>
      </c>
      <c r="FO16" s="518" t="str">
        <f t="shared" si="147"/>
        <v/>
      </c>
      <c r="FP16" s="518" t="str">
        <f t="shared" si="148"/>
        <v/>
      </c>
      <c r="FQ16" s="518" t="str">
        <f t="shared" si="149"/>
        <v/>
      </c>
      <c r="FR16" s="518" t="str">
        <f t="shared" si="150"/>
        <v/>
      </c>
      <c r="FS16" s="518" t="str">
        <f t="shared" si="151"/>
        <v/>
      </c>
      <c r="FT16" s="518" t="str">
        <f t="shared" si="152"/>
        <v/>
      </c>
      <c r="FU16" s="518" t="str">
        <f t="shared" si="153"/>
        <v/>
      </c>
      <c r="FV16" s="518" t="str">
        <f t="shared" si="154"/>
        <v/>
      </c>
      <c r="FW16" s="518" t="str">
        <f t="shared" si="155"/>
        <v/>
      </c>
      <c r="FX16" s="518" t="str">
        <f t="shared" si="156"/>
        <v/>
      </c>
      <c r="FY16" s="518" t="str">
        <f t="shared" si="157"/>
        <v/>
      </c>
      <c r="FZ16" s="518" t="str">
        <f t="shared" si="158"/>
        <v/>
      </c>
      <c r="GA16" s="518" t="str">
        <f t="shared" si="159"/>
        <v/>
      </c>
      <c r="GB16" s="518" t="str">
        <f t="shared" si="160"/>
        <v/>
      </c>
      <c r="GC16" s="518" t="str">
        <f t="shared" si="161"/>
        <v/>
      </c>
      <c r="GD16" s="518" t="str">
        <f t="shared" si="162"/>
        <v/>
      </c>
      <c r="GE16" s="518" t="str">
        <f t="shared" si="163"/>
        <v/>
      </c>
      <c r="GF16" s="518" t="str">
        <f t="shared" si="164"/>
        <v/>
      </c>
      <c r="GG16" s="518" t="str">
        <f t="shared" si="165"/>
        <v/>
      </c>
      <c r="GH16" s="518" t="str">
        <f t="shared" si="166"/>
        <v/>
      </c>
      <c r="GI16" s="518" t="str">
        <f t="shared" si="167"/>
        <v/>
      </c>
      <c r="GJ16" s="518" t="str">
        <f t="shared" si="168"/>
        <v/>
      </c>
      <c r="GK16" s="518" t="str">
        <f t="shared" si="169"/>
        <v/>
      </c>
      <c r="GL16" s="518" t="str">
        <f t="shared" si="170"/>
        <v/>
      </c>
      <c r="GM16" s="518" t="str">
        <f t="shared" si="171"/>
        <v/>
      </c>
      <c r="GN16" s="518" t="str">
        <f t="shared" si="172"/>
        <v/>
      </c>
      <c r="GO16" s="518" t="str">
        <f t="shared" si="173"/>
        <v/>
      </c>
      <c r="GP16" s="518" t="str">
        <f t="shared" si="174"/>
        <v/>
      </c>
      <c r="GQ16" s="518" t="str">
        <f t="shared" si="175"/>
        <v/>
      </c>
      <c r="GR16" s="518" t="str">
        <f t="shared" si="176"/>
        <v/>
      </c>
      <c r="GS16" s="518" t="str">
        <f t="shared" si="177"/>
        <v/>
      </c>
      <c r="GT16" s="518" t="str">
        <f t="shared" si="178"/>
        <v/>
      </c>
      <c r="GU16" s="518" t="str">
        <f t="shared" si="179"/>
        <v/>
      </c>
      <c r="GV16" s="518" t="str">
        <f t="shared" si="180"/>
        <v/>
      </c>
      <c r="GW16" s="518" t="str">
        <f t="shared" si="181"/>
        <v/>
      </c>
      <c r="GX16" s="518" t="str">
        <f t="shared" si="182"/>
        <v/>
      </c>
      <c r="GY16" s="518" t="str">
        <f t="shared" si="183"/>
        <v/>
      </c>
      <c r="GZ16" s="518" t="str">
        <f t="shared" si="184"/>
        <v/>
      </c>
      <c r="HA16" s="518" t="str">
        <f t="shared" si="185"/>
        <v/>
      </c>
      <c r="HB16" s="518" t="str">
        <f t="shared" si="186"/>
        <v/>
      </c>
      <c r="HC16" s="518" t="str">
        <f t="shared" si="187"/>
        <v/>
      </c>
      <c r="HD16" s="518" t="str">
        <f t="shared" si="188"/>
        <v/>
      </c>
      <c r="HE16" s="518" t="str">
        <f t="shared" si="189"/>
        <v/>
      </c>
      <c r="HF16" s="518" t="str">
        <f t="shared" si="190"/>
        <v/>
      </c>
      <c r="HG16" s="518" t="str">
        <f t="shared" si="191"/>
        <v/>
      </c>
      <c r="HH16" s="518" t="str">
        <f t="shared" si="192"/>
        <v/>
      </c>
      <c r="HI16" s="518" t="str">
        <f t="shared" si="193"/>
        <v/>
      </c>
      <c r="HJ16" s="518" t="str">
        <f t="shared" si="194"/>
        <v/>
      </c>
      <c r="HK16" s="518" t="str">
        <f t="shared" si="195"/>
        <v/>
      </c>
      <c r="HL16" s="518" t="str">
        <f t="shared" si="196"/>
        <v/>
      </c>
      <c r="HM16" s="518" t="str">
        <f t="shared" si="197"/>
        <v/>
      </c>
      <c r="HN16" s="518" t="str">
        <f t="shared" si="198"/>
        <v/>
      </c>
      <c r="HO16" s="518" t="str">
        <f t="shared" si="199"/>
        <v/>
      </c>
      <c r="HP16" s="518" t="str">
        <f t="shared" si="200"/>
        <v/>
      </c>
      <c r="HQ16" s="518" t="str">
        <f t="shared" si="201"/>
        <v/>
      </c>
      <c r="HR16" s="518" t="str">
        <f t="shared" si="202"/>
        <v/>
      </c>
      <c r="HS16" s="518" t="str">
        <f t="shared" si="203"/>
        <v/>
      </c>
      <c r="HT16" s="518" t="str">
        <f t="shared" si="204"/>
        <v/>
      </c>
      <c r="HU16" s="518" t="str">
        <f t="shared" si="205"/>
        <v/>
      </c>
      <c r="HV16" s="518" t="str">
        <f t="shared" si="206"/>
        <v/>
      </c>
      <c r="HW16" s="518" t="str">
        <f t="shared" si="207"/>
        <v/>
      </c>
      <c r="HX16" s="518" t="str">
        <f t="shared" si="208"/>
        <v/>
      </c>
      <c r="HY16" s="518" t="str">
        <f t="shared" si="209"/>
        <v/>
      </c>
      <c r="HZ16" s="518" t="str">
        <f t="shared" si="210"/>
        <v/>
      </c>
      <c r="IA16" s="518" t="str">
        <f t="shared" si="211"/>
        <v/>
      </c>
      <c r="IB16" s="518" t="str">
        <f t="shared" si="212"/>
        <v/>
      </c>
      <c r="IC16" s="519" t="str">
        <f t="shared" si="213"/>
        <v/>
      </c>
      <c r="ID16" s="519" t="str">
        <f t="shared" si="214"/>
        <v/>
      </c>
      <c r="IE16" s="519" t="str">
        <f t="shared" si="215"/>
        <v/>
      </c>
      <c r="IF16" s="519" t="str">
        <f t="shared" si="216"/>
        <v/>
      </c>
      <c r="IG16" s="519" t="str">
        <f t="shared" si="217"/>
        <v/>
      </c>
      <c r="IH16" s="508" t="str">
        <f t="shared" si="218"/>
        <v/>
      </c>
      <c r="II16" s="508" t="str">
        <f t="shared" si="219"/>
        <v/>
      </c>
      <c r="IJ16" s="508" t="str">
        <f t="shared" si="220"/>
        <v/>
      </c>
      <c r="IK16" s="508" t="str">
        <f t="shared" si="221"/>
        <v/>
      </c>
      <c r="IL16" s="508" t="str">
        <f t="shared" si="222"/>
        <v/>
      </c>
      <c r="IM16" s="508" t="str">
        <f t="shared" si="223"/>
        <v/>
      </c>
      <c r="IN16" s="508" t="str">
        <f t="shared" si="224"/>
        <v/>
      </c>
      <c r="IO16" s="508" t="str">
        <f t="shared" si="225"/>
        <v/>
      </c>
      <c r="IP16" s="508" t="str">
        <f t="shared" si="226"/>
        <v/>
      </c>
      <c r="IQ16" s="508" t="str">
        <f t="shared" si="227"/>
        <v/>
      </c>
      <c r="IR16" s="508" t="str">
        <f t="shared" si="228"/>
        <v/>
      </c>
      <c r="IS16" s="508" t="str">
        <f t="shared" si="229"/>
        <v/>
      </c>
      <c r="IT16" s="508" t="str">
        <f t="shared" si="230"/>
        <v/>
      </c>
      <c r="IU16" s="508" t="str">
        <f t="shared" si="231"/>
        <v/>
      </c>
      <c r="IV16" s="508" t="str">
        <f t="shared" si="232"/>
        <v/>
      </c>
      <c r="IW16" s="508" t="str">
        <f t="shared" si="233"/>
        <v/>
      </c>
      <c r="IX16" s="508" t="str">
        <f t="shared" si="234"/>
        <v/>
      </c>
      <c r="IY16" s="508" t="str">
        <f t="shared" si="235"/>
        <v/>
      </c>
      <c r="IZ16" s="508" t="str">
        <f t="shared" si="236"/>
        <v/>
      </c>
      <c r="JA16" s="508" t="str">
        <f t="shared" si="237"/>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67" t="s">
        <v>1859</v>
      </c>
      <c r="C17" s="2368"/>
      <c r="D17" s="2369"/>
      <c r="E17" s="2370"/>
      <c r="F17" s="2370"/>
      <c r="G17" s="2370"/>
      <c r="H17" s="2370"/>
      <c r="I17" s="2370"/>
      <c r="J17" s="2371"/>
      <c r="K17" s="861">
        <f t="shared" si="1"/>
        <v>0</v>
      </c>
      <c r="L17" s="861">
        <f t="shared" si="2"/>
        <v>0</v>
      </c>
      <c r="M17" s="2372"/>
      <c r="N17" s="2372"/>
      <c r="O17" s="2372"/>
      <c r="P17" s="2372"/>
      <c r="Q17" s="472" t="str">
        <f>IF(H17="","",P17/($O$6*VLOOKUP(C17,'DCA Underwriting Assumptions'!$J$118:$K$123,2,FALSE)))</f>
        <v/>
      </c>
      <c r="R17" s="547"/>
      <c r="S17" s="472"/>
      <c r="T17" s="2306"/>
      <c r="U17" s="2307"/>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238"/>
        <v/>
      </c>
      <c r="BU17" s="508" t="str">
        <f t="shared" si="239"/>
        <v/>
      </c>
      <c r="BV17" s="508" t="str">
        <f t="shared" si="240"/>
        <v/>
      </c>
      <c r="BW17" s="508" t="str">
        <f t="shared" si="241"/>
        <v/>
      </c>
      <c r="BX17" s="508" t="str">
        <f t="shared" si="242"/>
        <v/>
      </c>
      <c r="BY17" s="508" t="str">
        <f t="shared" si="53"/>
        <v/>
      </c>
      <c r="BZ17" s="508" t="str">
        <f t="shared" si="54"/>
        <v/>
      </c>
      <c r="CA17" s="508" t="str">
        <f t="shared" si="55"/>
        <v/>
      </c>
      <c r="CB17" s="508" t="str">
        <f t="shared" si="56"/>
        <v/>
      </c>
      <c r="CC17" s="508" t="str">
        <f t="shared" si="57"/>
        <v/>
      </c>
      <c r="CD17" s="508" t="str">
        <f t="shared" si="58"/>
        <v/>
      </c>
      <c r="CE17" s="508" t="str">
        <f t="shared" si="59"/>
        <v/>
      </c>
      <c r="CF17" s="508" t="str">
        <f t="shared" si="60"/>
        <v/>
      </c>
      <c r="CG17" s="508" t="str">
        <f t="shared" si="61"/>
        <v/>
      </c>
      <c r="CH17" s="508" t="str">
        <f t="shared" si="62"/>
        <v/>
      </c>
      <c r="CI17" s="508" t="str">
        <f t="shared" si="63"/>
        <v/>
      </c>
      <c r="CJ17" s="508" t="str">
        <f t="shared" si="64"/>
        <v/>
      </c>
      <c r="CK17" s="508" t="str">
        <f t="shared" si="65"/>
        <v/>
      </c>
      <c r="CL17" s="508" t="str">
        <f t="shared" si="66"/>
        <v/>
      </c>
      <c r="CM17" s="508" t="str">
        <f t="shared" si="67"/>
        <v/>
      </c>
      <c r="CN17" s="508" t="str">
        <f t="shared" si="68"/>
        <v/>
      </c>
      <c r="CO17" s="508" t="str">
        <f t="shared" si="69"/>
        <v/>
      </c>
      <c r="CP17" s="508" t="str">
        <f t="shared" si="70"/>
        <v/>
      </c>
      <c r="CQ17" s="508" t="str">
        <f t="shared" si="71"/>
        <v/>
      </c>
      <c r="CR17" s="508" t="str">
        <f t="shared" si="72"/>
        <v/>
      </c>
      <c r="CS17" s="508" t="str">
        <f t="shared" si="73"/>
        <v/>
      </c>
      <c r="CT17" s="508" t="str">
        <f t="shared" si="74"/>
        <v/>
      </c>
      <c r="CU17" s="508" t="str">
        <f t="shared" si="75"/>
        <v/>
      </c>
      <c r="CV17" s="508" t="str">
        <f t="shared" si="76"/>
        <v/>
      </c>
      <c r="CW17" s="508" t="str">
        <f t="shared" si="77"/>
        <v/>
      </c>
      <c r="CX17" s="508" t="str">
        <f t="shared" si="78"/>
        <v/>
      </c>
      <c r="CY17" s="508" t="str">
        <f t="shared" si="79"/>
        <v/>
      </c>
      <c r="CZ17" s="508" t="str">
        <f t="shared" si="80"/>
        <v/>
      </c>
      <c r="DA17" s="508" t="str">
        <f t="shared" si="81"/>
        <v/>
      </c>
      <c r="DB17" s="508" t="str">
        <f t="shared" si="82"/>
        <v/>
      </c>
      <c r="DC17" s="508" t="str">
        <f t="shared" si="83"/>
        <v/>
      </c>
      <c r="DD17" s="508" t="str">
        <f t="shared" si="84"/>
        <v/>
      </c>
      <c r="DE17" s="508" t="str">
        <f t="shared" si="85"/>
        <v/>
      </c>
      <c r="DF17" s="508" t="str">
        <f t="shared" si="86"/>
        <v/>
      </c>
      <c r="DG17" s="508" t="str">
        <f t="shared" si="87"/>
        <v/>
      </c>
      <c r="DH17" s="508" t="str">
        <f t="shared" si="88"/>
        <v/>
      </c>
      <c r="DI17" s="508" t="str">
        <f t="shared" si="89"/>
        <v/>
      </c>
      <c r="DJ17" s="508" t="str">
        <f t="shared" si="90"/>
        <v/>
      </c>
      <c r="DK17" s="508" t="str">
        <f t="shared" si="91"/>
        <v/>
      </c>
      <c r="DL17" s="508" t="str">
        <f t="shared" si="92"/>
        <v/>
      </c>
      <c r="DM17" s="508" t="str">
        <f t="shared" si="93"/>
        <v/>
      </c>
      <c r="DN17" s="508" t="str">
        <f t="shared" si="94"/>
        <v/>
      </c>
      <c r="DO17" s="508" t="str">
        <f t="shared" si="95"/>
        <v/>
      </c>
      <c r="DP17" s="508" t="str">
        <f t="shared" si="96"/>
        <v/>
      </c>
      <c r="DQ17" s="508" t="str">
        <f t="shared" si="97"/>
        <v/>
      </c>
      <c r="DR17" s="508" t="str">
        <f t="shared" si="98"/>
        <v/>
      </c>
      <c r="DS17" s="508" t="str">
        <f t="shared" si="99"/>
        <v/>
      </c>
      <c r="DT17" s="508" t="str">
        <f t="shared" si="100"/>
        <v/>
      </c>
      <c r="DU17" s="508" t="str">
        <f t="shared" si="101"/>
        <v/>
      </c>
      <c r="DV17" s="508" t="str">
        <f t="shared" si="102"/>
        <v/>
      </c>
      <c r="DW17" s="508" t="str">
        <f t="shared" si="103"/>
        <v/>
      </c>
      <c r="DX17" s="508" t="str">
        <f t="shared" si="104"/>
        <v/>
      </c>
      <c r="DY17" s="508" t="str">
        <f t="shared" si="105"/>
        <v/>
      </c>
      <c r="DZ17" s="508" t="str">
        <f t="shared" si="106"/>
        <v/>
      </c>
      <c r="EA17" s="508" t="str">
        <f t="shared" si="107"/>
        <v/>
      </c>
      <c r="EB17" s="508" t="str">
        <f t="shared" si="108"/>
        <v/>
      </c>
      <c r="EC17" s="508" t="str">
        <f t="shared" si="109"/>
        <v/>
      </c>
      <c r="ED17" s="508" t="str">
        <f t="shared" si="110"/>
        <v/>
      </c>
      <c r="EE17" s="508" t="str">
        <f t="shared" si="111"/>
        <v/>
      </c>
      <c r="EF17" s="508" t="str">
        <f t="shared" si="112"/>
        <v/>
      </c>
      <c r="EG17" s="508" t="str">
        <f t="shared" si="113"/>
        <v/>
      </c>
      <c r="EH17" s="508" t="str">
        <f t="shared" si="114"/>
        <v/>
      </c>
      <c r="EI17" s="508" t="str">
        <f t="shared" si="115"/>
        <v/>
      </c>
      <c r="EJ17" s="508" t="str">
        <f t="shared" si="116"/>
        <v/>
      </c>
      <c r="EK17" s="508" t="str">
        <f t="shared" si="117"/>
        <v/>
      </c>
      <c r="EL17" s="508" t="str">
        <f t="shared" si="118"/>
        <v/>
      </c>
      <c r="EM17" s="508" t="str">
        <f t="shared" si="119"/>
        <v/>
      </c>
      <c r="EN17" s="508" t="str">
        <f t="shared" si="120"/>
        <v/>
      </c>
      <c r="EO17" s="508" t="str">
        <f t="shared" si="121"/>
        <v/>
      </c>
      <c r="EP17" s="508" t="str">
        <f t="shared" si="122"/>
        <v/>
      </c>
      <c r="EQ17" s="508" t="str">
        <f t="shared" si="123"/>
        <v/>
      </c>
      <c r="ER17" s="508" t="str">
        <f t="shared" si="124"/>
        <v/>
      </c>
      <c r="ES17" s="508" t="str">
        <f t="shared" si="125"/>
        <v/>
      </c>
      <c r="ET17" s="508" t="str">
        <f t="shared" si="126"/>
        <v/>
      </c>
      <c r="EU17" s="508" t="str">
        <f t="shared" si="127"/>
        <v/>
      </c>
      <c r="EV17" s="518" t="str">
        <f t="shared" si="128"/>
        <v/>
      </c>
      <c r="EW17" s="518" t="str">
        <f t="shared" si="129"/>
        <v/>
      </c>
      <c r="EX17" s="518" t="str">
        <f t="shared" si="130"/>
        <v/>
      </c>
      <c r="EY17" s="518" t="str">
        <f t="shared" si="131"/>
        <v/>
      </c>
      <c r="EZ17" s="518" t="str">
        <f t="shared" si="132"/>
        <v/>
      </c>
      <c r="FA17" s="518" t="str">
        <f t="shared" si="133"/>
        <v/>
      </c>
      <c r="FB17" s="518" t="str">
        <f t="shared" si="134"/>
        <v/>
      </c>
      <c r="FC17" s="518" t="str">
        <f t="shared" si="135"/>
        <v/>
      </c>
      <c r="FD17" s="518" t="str">
        <f t="shared" si="136"/>
        <v/>
      </c>
      <c r="FE17" s="518" t="str">
        <f t="shared" si="137"/>
        <v/>
      </c>
      <c r="FF17" s="518" t="str">
        <f t="shared" si="138"/>
        <v/>
      </c>
      <c r="FG17" s="518" t="str">
        <f t="shared" si="139"/>
        <v/>
      </c>
      <c r="FH17" s="518" t="str">
        <f t="shared" si="140"/>
        <v/>
      </c>
      <c r="FI17" s="518" t="str">
        <f t="shared" si="141"/>
        <v/>
      </c>
      <c r="FJ17" s="518" t="str">
        <f t="shared" si="142"/>
        <v/>
      </c>
      <c r="FK17" s="518" t="str">
        <f t="shared" si="143"/>
        <v/>
      </c>
      <c r="FL17" s="518" t="str">
        <f t="shared" si="144"/>
        <v/>
      </c>
      <c r="FM17" s="518" t="str">
        <f t="shared" si="145"/>
        <v/>
      </c>
      <c r="FN17" s="518" t="str">
        <f t="shared" si="146"/>
        <v/>
      </c>
      <c r="FO17" s="518" t="str">
        <f t="shared" si="147"/>
        <v/>
      </c>
      <c r="FP17" s="518" t="str">
        <f t="shared" si="148"/>
        <v/>
      </c>
      <c r="FQ17" s="518" t="str">
        <f t="shared" si="149"/>
        <v/>
      </c>
      <c r="FR17" s="518" t="str">
        <f t="shared" si="150"/>
        <v/>
      </c>
      <c r="FS17" s="518" t="str">
        <f t="shared" si="151"/>
        <v/>
      </c>
      <c r="FT17" s="518" t="str">
        <f t="shared" si="152"/>
        <v/>
      </c>
      <c r="FU17" s="518" t="str">
        <f t="shared" si="153"/>
        <v/>
      </c>
      <c r="FV17" s="518" t="str">
        <f t="shared" si="154"/>
        <v/>
      </c>
      <c r="FW17" s="518" t="str">
        <f t="shared" si="155"/>
        <v/>
      </c>
      <c r="FX17" s="518" t="str">
        <f t="shared" si="156"/>
        <v/>
      </c>
      <c r="FY17" s="518" t="str">
        <f t="shared" si="157"/>
        <v/>
      </c>
      <c r="FZ17" s="518" t="str">
        <f t="shared" si="158"/>
        <v/>
      </c>
      <c r="GA17" s="518" t="str">
        <f t="shared" si="159"/>
        <v/>
      </c>
      <c r="GB17" s="518" t="str">
        <f t="shared" si="160"/>
        <v/>
      </c>
      <c r="GC17" s="518" t="str">
        <f t="shared" si="161"/>
        <v/>
      </c>
      <c r="GD17" s="518" t="str">
        <f t="shared" si="162"/>
        <v/>
      </c>
      <c r="GE17" s="518" t="str">
        <f t="shared" si="163"/>
        <v/>
      </c>
      <c r="GF17" s="518" t="str">
        <f t="shared" si="164"/>
        <v/>
      </c>
      <c r="GG17" s="518" t="str">
        <f t="shared" si="165"/>
        <v/>
      </c>
      <c r="GH17" s="518" t="str">
        <f t="shared" si="166"/>
        <v/>
      </c>
      <c r="GI17" s="518" t="str">
        <f t="shared" si="167"/>
        <v/>
      </c>
      <c r="GJ17" s="518" t="str">
        <f t="shared" si="168"/>
        <v/>
      </c>
      <c r="GK17" s="518" t="str">
        <f t="shared" si="169"/>
        <v/>
      </c>
      <c r="GL17" s="518" t="str">
        <f t="shared" si="170"/>
        <v/>
      </c>
      <c r="GM17" s="518" t="str">
        <f t="shared" si="171"/>
        <v/>
      </c>
      <c r="GN17" s="518" t="str">
        <f t="shared" si="172"/>
        <v/>
      </c>
      <c r="GO17" s="518" t="str">
        <f t="shared" si="173"/>
        <v/>
      </c>
      <c r="GP17" s="518" t="str">
        <f t="shared" si="174"/>
        <v/>
      </c>
      <c r="GQ17" s="518" t="str">
        <f t="shared" si="175"/>
        <v/>
      </c>
      <c r="GR17" s="518" t="str">
        <f t="shared" si="176"/>
        <v/>
      </c>
      <c r="GS17" s="518" t="str">
        <f t="shared" si="177"/>
        <v/>
      </c>
      <c r="GT17" s="518" t="str">
        <f t="shared" si="178"/>
        <v/>
      </c>
      <c r="GU17" s="518" t="str">
        <f t="shared" si="179"/>
        <v/>
      </c>
      <c r="GV17" s="518" t="str">
        <f t="shared" si="180"/>
        <v/>
      </c>
      <c r="GW17" s="518" t="str">
        <f t="shared" si="181"/>
        <v/>
      </c>
      <c r="GX17" s="518" t="str">
        <f t="shared" si="182"/>
        <v/>
      </c>
      <c r="GY17" s="518" t="str">
        <f t="shared" si="183"/>
        <v/>
      </c>
      <c r="GZ17" s="518" t="str">
        <f t="shared" si="184"/>
        <v/>
      </c>
      <c r="HA17" s="518" t="str">
        <f t="shared" si="185"/>
        <v/>
      </c>
      <c r="HB17" s="518" t="str">
        <f t="shared" si="186"/>
        <v/>
      </c>
      <c r="HC17" s="518" t="str">
        <f t="shared" si="187"/>
        <v/>
      </c>
      <c r="HD17" s="518" t="str">
        <f t="shared" si="188"/>
        <v/>
      </c>
      <c r="HE17" s="518" t="str">
        <f t="shared" si="189"/>
        <v/>
      </c>
      <c r="HF17" s="518" t="str">
        <f t="shared" si="190"/>
        <v/>
      </c>
      <c r="HG17" s="518" t="str">
        <f t="shared" si="191"/>
        <v/>
      </c>
      <c r="HH17" s="518" t="str">
        <f t="shared" si="192"/>
        <v/>
      </c>
      <c r="HI17" s="518" t="str">
        <f t="shared" si="193"/>
        <v/>
      </c>
      <c r="HJ17" s="518" t="str">
        <f t="shared" si="194"/>
        <v/>
      </c>
      <c r="HK17" s="518" t="str">
        <f t="shared" si="195"/>
        <v/>
      </c>
      <c r="HL17" s="518" t="str">
        <f t="shared" si="196"/>
        <v/>
      </c>
      <c r="HM17" s="518" t="str">
        <f t="shared" si="197"/>
        <v/>
      </c>
      <c r="HN17" s="518" t="str">
        <f t="shared" si="198"/>
        <v/>
      </c>
      <c r="HO17" s="518" t="str">
        <f t="shared" si="199"/>
        <v/>
      </c>
      <c r="HP17" s="518" t="str">
        <f t="shared" si="200"/>
        <v/>
      </c>
      <c r="HQ17" s="518" t="str">
        <f t="shared" si="201"/>
        <v/>
      </c>
      <c r="HR17" s="518" t="str">
        <f t="shared" si="202"/>
        <v/>
      </c>
      <c r="HS17" s="518" t="str">
        <f t="shared" si="203"/>
        <v/>
      </c>
      <c r="HT17" s="518" t="str">
        <f t="shared" si="204"/>
        <v/>
      </c>
      <c r="HU17" s="518" t="str">
        <f t="shared" si="205"/>
        <v/>
      </c>
      <c r="HV17" s="518" t="str">
        <f t="shared" si="206"/>
        <v/>
      </c>
      <c r="HW17" s="518" t="str">
        <f t="shared" si="207"/>
        <v/>
      </c>
      <c r="HX17" s="518" t="str">
        <f t="shared" si="208"/>
        <v/>
      </c>
      <c r="HY17" s="518" t="str">
        <f t="shared" si="209"/>
        <v/>
      </c>
      <c r="HZ17" s="518" t="str">
        <f t="shared" si="210"/>
        <v/>
      </c>
      <c r="IA17" s="518" t="str">
        <f t="shared" si="211"/>
        <v/>
      </c>
      <c r="IB17" s="518" t="str">
        <f t="shared" si="212"/>
        <v/>
      </c>
      <c r="IC17" s="519" t="str">
        <f t="shared" si="213"/>
        <v/>
      </c>
      <c r="ID17" s="519" t="str">
        <f t="shared" si="214"/>
        <v/>
      </c>
      <c r="IE17" s="519" t="str">
        <f t="shared" si="215"/>
        <v/>
      </c>
      <c r="IF17" s="519" t="str">
        <f t="shared" si="216"/>
        <v/>
      </c>
      <c r="IG17" s="519" t="str">
        <f t="shared" si="217"/>
        <v/>
      </c>
      <c r="IH17" s="508" t="str">
        <f t="shared" si="218"/>
        <v/>
      </c>
      <c r="II17" s="508" t="str">
        <f t="shared" si="219"/>
        <v/>
      </c>
      <c r="IJ17" s="508" t="str">
        <f t="shared" si="220"/>
        <v/>
      </c>
      <c r="IK17" s="508" t="str">
        <f t="shared" si="221"/>
        <v/>
      </c>
      <c r="IL17" s="508" t="str">
        <f t="shared" si="222"/>
        <v/>
      </c>
      <c r="IM17" s="508" t="str">
        <f t="shared" si="223"/>
        <v/>
      </c>
      <c r="IN17" s="508" t="str">
        <f t="shared" si="224"/>
        <v/>
      </c>
      <c r="IO17" s="508" t="str">
        <f t="shared" si="225"/>
        <v/>
      </c>
      <c r="IP17" s="508" t="str">
        <f t="shared" si="226"/>
        <v/>
      </c>
      <c r="IQ17" s="508" t="str">
        <f t="shared" si="227"/>
        <v/>
      </c>
      <c r="IR17" s="508" t="str">
        <f t="shared" si="228"/>
        <v/>
      </c>
      <c r="IS17" s="508" t="str">
        <f t="shared" si="229"/>
        <v/>
      </c>
      <c r="IT17" s="508" t="str">
        <f t="shared" si="230"/>
        <v/>
      </c>
      <c r="IU17" s="508" t="str">
        <f t="shared" si="231"/>
        <v/>
      </c>
      <c r="IV17" s="508" t="str">
        <f t="shared" si="232"/>
        <v/>
      </c>
      <c r="IW17" s="508" t="str">
        <f t="shared" si="233"/>
        <v/>
      </c>
      <c r="IX17" s="508" t="str">
        <f t="shared" si="234"/>
        <v/>
      </c>
      <c r="IY17" s="508" t="str">
        <f t="shared" si="235"/>
        <v/>
      </c>
      <c r="IZ17" s="508" t="str">
        <f t="shared" si="236"/>
        <v/>
      </c>
      <c r="JA17" s="508" t="str">
        <f t="shared" si="237"/>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67" t="s">
        <v>1859</v>
      </c>
      <c r="C18" s="2368"/>
      <c r="D18" s="2369"/>
      <c r="E18" s="2370"/>
      <c r="F18" s="2370"/>
      <c r="G18" s="2370"/>
      <c r="H18" s="2370"/>
      <c r="I18" s="2370"/>
      <c r="J18" s="2371"/>
      <c r="K18" s="861">
        <f t="shared" si="1"/>
        <v>0</v>
      </c>
      <c r="L18" s="861">
        <f t="shared" si="2"/>
        <v>0</v>
      </c>
      <c r="M18" s="2372"/>
      <c r="N18" s="2372"/>
      <c r="O18" s="2372"/>
      <c r="P18" s="2372"/>
      <c r="Q18" s="472" t="str">
        <f>IF(H18="","",P18/($O$6*VLOOKUP(C18,'DCA Underwriting Assumptions'!$J$118:$K$123,2,FALSE)))</f>
        <v/>
      </c>
      <c r="R18" s="547"/>
      <c r="S18" s="472"/>
      <c r="T18" s="2306"/>
      <c r="U18" s="2307"/>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238"/>
        <v/>
      </c>
      <c r="BU18" s="508" t="str">
        <f t="shared" si="239"/>
        <v/>
      </c>
      <c r="BV18" s="508" t="str">
        <f t="shared" si="240"/>
        <v/>
      </c>
      <c r="BW18" s="508" t="str">
        <f t="shared" si="241"/>
        <v/>
      </c>
      <c r="BX18" s="508" t="str">
        <f t="shared" si="242"/>
        <v/>
      </c>
      <c r="BY18" s="508" t="str">
        <f t="shared" si="53"/>
        <v/>
      </c>
      <c r="BZ18" s="508" t="str">
        <f t="shared" si="54"/>
        <v/>
      </c>
      <c r="CA18" s="508" t="str">
        <f t="shared" si="55"/>
        <v/>
      </c>
      <c r="CB18" s="508" t="str">
        <f t="shared" si="56"/>
        <v/>
      </c>
      <c r="CC18" s="508" t="str">
        <f t="shared" si="57"/>
        <v/>
      </c>
      <c r="CD18" s="508" t="str">
        <f t="shared" si="58"/>
        <v/>
      </c>
      <c r="CE18" s="508" t="str">
        <f t="shared" si="59"/>
        <v/>
      </c>
      <c r="CF18" s="508" t="str">
        <f t="shared" si="60"/>
        <v/>
      </c>
      <c r="CG18" s="508" t="str">
        <f t="shared" si="61"/>
        <v/>
      </c>
      <c r="CH18" s="508" t="str">
        <f t="shared" si="62"/>
        <v/>
      </c>
      <c r="CI18" s="508" t="str">
        <f t="shared" si="63"/>
        <v/>
      </c>
      <c r="CJ18" s="508" t="str">
        <f t="shared" si="64"/>
        <v/>
      </c>
      <c r="CK18" s="508" t="str">
        <f t="shared" si="65"/>
        <v/>
      </c>
      <c r="CL18" s="508" t="str">
        <f t="shared" si="66"/>
        <v/>
      </c>
      <c r="CM18" s="508" t="str">
        <f t="shared" si="67"/>
        <v/>
      </c>
      <c r="CN18" s="508" t="str">
        <f t="shared" si="68"/>
        <v/>
      </c>
      <c r="CO18" s="508" t="str">
        <f t="shared" si="69"/>
        <v/>
      </c>
      <c r="CP18" s="508" t="str">
        <f t="shared" si="70"/>
        <v/>
      </c>
      <c r="CQ18" s="508" t="str">
        <f t="shared" si="71"/>
        <v/>
      </c>
      <c r="CR18" s="508" t="str">
        <f t="shared" si="72"/>
        <v/>
      </c>
      <c r="CS18" s="508" t="str">
        <f t="shared" si="73"/>
        <v/>
      </c>
      <c r="CT18" s="508" t="str">
        <f t="shared" si="74"/>
        <v/>
      </c>
      <c r="CU18" s="508" t="str">
        <f t="shared" si="75"/>
        <v/>
      </c>
      <c r="CV18" s="508" t="str">
        <f t="shared" si="76"/>
        <v/>
      </c>
      <c r="CW18" s="508" t="str">
        <f t="shared" si="77"/>
        <v/>
      </c>
      <c r="CX18" s="508" t="str">
        <f t="shared" si="78"/>
        <v/>
      </c>
      <c r="CY18" s="508" t="str">
        <f t="shared" si="79"/>
        <v/>
      </c>
      <c r="CZ18" s="508" t="str">
        <f t="shared" si="80"/>
        <v/>
      </c>
      <c r="DA18" s="508" t="str">
        <f t="shared" si="81"/>
        <v/>
      </c>
      <c r="DB18" s="508" t="str">
        <f t="shared" si="82"/>
        <v/>
      </c>
      <c r="DC18" s="508" t="str">
        <f t="shared" si="83"/>
        <v/>
      </c>
      <c r="DD18" s="508" t="str">
        <f t="shared" si="84"/>
        <v/>
      </c>
      <c r="DE18" s="508" t="str">
        <f t="shared" si="85"/>
        <v/>
      </c>
      <c r="DF18" s="508" t="str">
        <f t="shared" si="86"/>
        <v/>
      </c>
      <c r="DG18" s="508" t="str">
        <f t="shared" si="87"/>
        <v/>
      </c>
      <c r="DH18" s="508" t="str">
        <f t="shared" si="88"/>
        <v/>
      </c>
      <c r="DI18" s="508" t="str">
        <f t="shared" si="89"/>
        <v/>
      </c>
      <c r="DJ18" s="508" t="str">
        <f t="shared" si="90"/>
        <v/>
      </c>
      <c r="DK18" s="508" t="str">
        <f t="shared" si="91"/>
        <v/>
      </c>
      <c r="DL18" s="508" t="str">
        <f t="shared" si="92"/>
        <v/>
      </c>
      <c r="DM18" s="508" t="str">
        <f t="shared" si="93"/>
        <v/>
      </c>
      <c r="DN18" s="508" t="str">
        <f t="shared" si="94"/>
        <v/>
      </c>
      <c r="DO18" s="508" t="str">
        <f t="shared" si="95"/>
        <v/>
      </c>
      <c r="DP18" s="508" t="str">
        <f t="shared" si="96"/>
        <v/>
      </c>
      <c r="DQ18" s="508" t="str">
        <f t="shared" si="97"/>
        <v/>
      </c>
      <c r="DR18" s="508" t="str">
        <f t="shared" si="98"/>
        <v/>
      </c>
      <c r="DS18" s="508" t="str">
        <f t="shared" si="99"/>
        <v/>
      </c>
      <c r="DT18" s="508" t="str">
        <f t="shared" si="100"/>
        <v/>
      </c>
      <c r="DU18" s="508" t="str">
        <f t="shared" si="101"/>
        <v/>
      </c>
      <c r="DV18" s="508" t="str">
        <f t="shared" si="102"/>
        <v/>
      </c>
      <c r="DW18" s="508" t="str">
        <f t="shared" si="103"/>
        <v/>
      </c>
      <c r="DX18" s="508" t="str">
        <f t="shared" si="104"/>
        <v/>
      </c>
      <c r="DY18" s="508" t="str">
        <f t="shared" si="105"/>
        <v/>
      </c>
      <c r="DZ18" s="508" t="str">
        <f t="shared" si="106"/>
        <v/>
      </c>
      <c r="EA18" s="508" t="str">
        <f t="shared" si="107"/>
        <v/>
      </c>
      <c r="EB18" s="508" t="str">
        <f t="shared" si="108"/>
        <v/>
      </c>
      <c r="EC18" s="508" t="str">
        <f t="shared" si="109"/>
        <v/>
      </c>
      <c r="ED18" s="508" t="str">
        <f t="shared" si="110"/>
        <v/>
      </c>
      <c r="EE18" s="508" t="str">
        <f t="shared" si="111"/>
        <v/>
      </c>
      <c r="EF18" s="508" t="str">
        <f t="shared" si="112"/>
        <v/>
      </c>
      <c r="EG18" s="508" t="str">
        <f t="shared" si="113"/>
        <v/>
      </c>
      <c r="EH18" s="508" t="str">
        <f t="shared" si="114"/>
        <v/>
      </c>
      <c r="EI18" s="508" t="str">
        <f t="shared" si="115"/>
        <v/>
      </c>
      <c r="EJ18" s="508" t="str">
        <f t="shared" si="116"/>
        <v/>
      </c>
      <c r="EK18" s="508" t="str">
        <f t="shared" si="117"/>
        <v/>
      </c>
      <c r="EL18" s="508" t="str">
        <f t="shared" si="118"/>
        <v/>
      </c>
      <c r="EM18" s="508" t="str">
        <f t="shared" si="119"/>
        <v/>
      </c>
      <c r="EN18" s="508" t="str">
        <f t="shared" si="120"/>
        <v/>
      </c>
      <c r="EO18" s="508" t="str">
        <f t="shared" si="121"/>
        <v/>
      </c>
      <c r="EP18" s="508" t="str">
        <f t="shared" si="122"/>
        <v/>
      </c>
      <c r="EQ18" s="508" t="str">
        <f t="shared" si="123"/>
        <v/>
      </c>
      <c r="ER18" s="508" t="str">
        <f t="shared" si="124"/>
        <v/>
      </c>
      <c r="ES18" s="508" t="str">
        <f t="shared" si="125"/>
        <v/>
      </c>
      <c r="ET18" s="508" t="str">
        <f t="shared" si="126"/>
        <v/>
      </c>
      <c r="EU18" s="508" t="str">
        <f t="shared" si="127"/>
        <v/>
      </c>
      <c r="EV18" s="518" t="str">
        <f t="shared" si="128"/>
        <v/>
      </c>
      <c r="EW18" s="518" t="str">
        <f t="shared" si="129"/>
        <v/>
      </c>
      <c r="EX18" s="518" t="str">
        <f t="shared" si="130"/>
        <v/>
      </c>
      <c r="EY18" s="518" t="str">
        <f t="shared" si="131"/>
        <v/>
      </c>
      <c r="EZ18" s="518" t="str">
        <f t="shared" si="132"/>
        <v/>
      </c>
      <c r="FA18" s="518" t="str">
        <f t="shared" si="133"/>
        <v/>
      </c>
      <c r="FB18" s="518" t="str">
        <f t="shared" si="134"/>
        <v/>
      </c>
      <c r="FC18" s="518" t="str">
        <f t="shared" si="135"/>
        <v/>
      </c>
      <c r="FD18" s="518" t="str">
        <f t="shared" si="136"/>
        <v/>
      </c>
      <c r="FE18" s="518" t="str">
        <f t="shared" si="137"/>
        <v/>
      </c>
      <c r="FF18" s="518" t="str">
        <f t="shared" si="138"/>
        <v/>
      </c>
      <c r="FG18" s="518" t="str">
        <f t="shared" si="139"/>
        <v/>
      </c>
      <c r="FH18" s="518" t="str">
        <f t="shared" si="140"/>
        <v/>
      </c>
      <c r="FI18" s="518" t="str">
        <f t="shared" si="141"/>
        <v/>
      </c>
      <c r="FJ18" s="518" t="str">
        <f t="shared" si="142"/>
        <v/>
      </c>
      <c r="FK18" s="518" t="str">
        <f t="shared" si="143"/>
        <v/>
      </c>
      <c r="FL18" s="518" t="str">
        <f t="shared" si="144"/>
        <v/>
      </c>
      <c r="FM18" s="518" t="str">
        <f t="shared" si="145"/>
        <v/>
      </c>
      <c r="FN18" s="518" t="str">
        <f t="shared" si="146"/>
        <v/>
      </c>
      <c r="FO18" s="518" t="str">
        <f t="shared" si="147"/>
        <v/>
      </c>
      <c r="FP18" s="518" t="str">
        <f t="shared" si="148"/>
        <v/>
      </c>
      <c r="FQ18" s="518" t="str">
        <f t="shared" si="149"/>
        <v/>
      </c>
      <c r="FR18" s="518" t="str">
        <f t="shared" si="150"/>
        <v/>
      </c>
      <c r="FS18" s="518" t="str">
        <f t="shared" si="151"/>
        <v/>
      </c>
      <c r="FT18" s="518" t="str">
        <f t="shared" si="152"/>
        <v/>
      </c>
      <c r="FU18" s="518" t="str">
        <f t="shared" si="153"/>
        <v/>
      </c>
      <c r="FV18" s="518" t="str">
        <f t="shared" si="154"/>
        <v/>
      </c>
      <c r="FW18" s="518" t="str">
        <f t="shared" si="155"/>
        <v/>
      </c>
      <c r="FX18" s="518" t="str">
        <f t="shared" si="156"/>
        <v/>
      </c>
      <c r="FY18" s="518" t="str">
        <f t="shared" si="157"/>
        <v/>
      </c>
      <c r="FZ18" s="518" t="str">
        <f t="shared" si="158"/>
        <v/>
      </c>
      <c r="GA18" s="518" t="str">
        <f t="shared" si="159"/>
        <v/>
      </c>
      <c r="GB18" s="518" t="str">
        <f t="shared" si="160"/>
        <v/>
      </c>
      <c r="GC18" s="518" t="str">
        <f t="shared" si="161"/>
        <v/>
      </c>
      <c r="GD18" s="518" t="str">
        <f t="shared" si="162"/>
        <v/>
      </c>
      <c r="GE18" s="518" t="str">
        <f t="shared" si="163"/>
        <v/>
      </c>
      <c r="GF18" s="518" t="str">
        <f t="shared" si="164"/>
        <v/>
      </c>
      <c r="GG18" s="518" t="str">
        <f t="shared" si="165"/>
        <v/>
      </c>
      <c r="GH18" s="518" t="str">
        <f t="shared" si="166"/>
        <v/>
      </c>
      <c r="GI18" s="518" t="str">
        <f t="shared" si="167"/>
        <v/>
      </c>
      <c r="GJ18" s="518" t="str">
        <f t="shared" si="168"/>
        <v/>
      </c>
      <c r="GK18" s="518" t="str">
        <f t="shared" si="169"/>
        <v/>
      </c>
      <c r="GL18" s="518" t="str">
        <f t="shared" si="170"/>
        <v/>
      </c>
      <c r="GM18" s="518" t="str">
        <f t="shared" si="171"/>
        <v/>
      </c>
      <c r="GN18" s="518" t="str">
        <f t="shared" si="172"/>
        <v/>
      </c>
      <c r="GO18" s="518" t="str">
        <f t="shared" si="173"/>
        <v/>
      </c>
      <c r="GP18" s="518" t="str">
        <f t="shared" si="174"/>
        <v/>
      </c>
      <c r="GQ18" s="518" t="str">
        <f t="shared" si="175"/>
        <v/>
      </c>
      <c r="GR18" s="518" t="str">
        <f t="shared" si="176"/>
        <v/>
      </c>
      <c r="GS18" s="518" t="str">
        <f t="shared" si="177"/>
        <v/>
      </c>
      <c r="GT18" s="518" t="str">
        <f t="shared" si="178"/>
        <v/>
      </c>
      <c r="GU18" s="518" t="str">
        <f t="shared" si="179"/>
        <v/>
      </c>
      <c r="GV18" s="518" t="str">
        <f t="shared" si="180"/>
        <v/>
      </c>
      <c r="GW18" s="518" t="str">
        <f t="shared" si="181"/>
        <v/>
      </c>
      <c r="GX18" s="518" t="str">
        <f t="shared" si="182"/>
        <v/>
      </c>
      <c r="GY18" s="518" t="str">
        <f t="shared" si="183"/>
        <v/>
      </c>
      <c r="GZ18" s="518" t="str">
        <f t="shared" si="184"/>
        <v/>
      </c>
      <c r="HA18" s="518" t="str">
        <f t="shared" si="185"/>
        <v/>
      </c>
      <c r="HB18" s="518" t="str">
        <f t="shared" si="186"/>
        <v/>
      </c>
      <c r="HC18" s="518" t="str">
        <f t="shared" si="187"/>
        <v/>
      </c>
      <c r="HD18" s="518" t="str">
        <f t="shared" si="188"/>
        <v/>
      </c>
      <c r="HE18" s="518" t="str">
        <f t="shared" si="189"/>
        <v/>
      </c>
      <c r="HF18" s="518" t="str">
        <f t="shared" si="190"/>
        <v/>
      </c>
      <c r="HG18" s="518" t="str">
        <f t="shared" si="191"/>
        <v/>
      </c>
      <c r="HH18" s="518" t="str">
        <f t="shared" si="192"/>
        <v/>
      </c>
      <c r="HI18" s="518" t="str">
        <f t="shared" si="193"/>
        <v/>
      </c>
      <c r="HJ18" s="518" t="str">
        <f t="shared" si="194"/>
        <v/>
      </c>
      <c r="HK18" s="518" t="str">
        <f t="shared" si="195"/>
        <v/>
      </c>
      <c r="HL18" s="518" t="str">
        <f t="shared" si="196"/>
        <v/>
      </c>
      <c r="HM18" s="518" t="str">
        <f t="shared" si="197"/>
        <v/>
      </c>
      <c r="HN18" s="518" t="str">
        <f t="shared" si="198"/>
        <v/>
      </c>
      <c r="HO18" s="518" t="str">
        <f t="shared" si="199"/>
        <v/>
      </c>
      <c r="HP18" s="518" t="str">
        <f t="shared" si="200"/>
        <v/>
      </c>
      <c r="HQ18" s="518" t="str">
        <f t="shared" si="201"/>
        <v/>
      </c>
      <c r="HR18" s="518" t="str">
        <f t="shared" si="202"/>
        <v/>
      </c>
      <c r="HS18" s="518" t="str">
        <f t="shared" si="203"/>
        <v/>
      </c>
      <c r="HT18" s="518" t="str">
        <f t="shared" si="204"/>
        <v/>
      </c>
      <c r="HU18" s="518" t="str">
        <f t="shared" si="205"/>
        <v/>
      </c>
      <c r="HV18" s="518" t="str">
        <f t="shared" si="206"/>
        <v/>
      </c>
      <c r="HW18" s="518" t="str">
        <f t="shared" si="207"/>
        <v/>
      </c>
      <c r="HX18" s="518" t="str">
        <f t="shared" si="208"/>
        <v/>
      </c>
      <c r="HY18" s="518" t="str">
        <f t="shared" si="209"/>
        <v/>
      </c>
      <c r="HZ18" s="518" t="str">
        <f t="shared" si="210"/>
        <v/>
      </c>
      <c r="IA18" s="518" t="str">
        <f t="shared" si="211"/>
        <v/>
      </c>
      <c r="IB18" s="518" t="str">
        <f t="shared" si="212"/>
        <v/>
      </c>
      <c r="IC18" s="519" t="str">
        <f t="shared" si="213"/>
        <v/>
      </c>
      <c r="ID18" s="519" t="str">
        <f t="shared" si="214"/>
        <v/>
      </c>
      <c r="IE18" s="519" t="str">
        <f t="shared" si="215"/>
        <v/>
      </c>
      <c r="IF18" s="519" t="str">
        <f t="shared" si="216"/>
        <v/>
      </c>
      <c r="IG18" s="519" t="str">
        <f t="shared" si="217"/>
        <v/>
      </c>
      <c r="IH18" s="508" t="str">
        <f t="shared" si="218"/>
        <v/>
      </c>
      <c r="II18" s="508" t="str">
        <f t="shared" si="219"/>
        <v/>
      </c>
      <c r="IJ18" s="508" t="str">
        <f t="shared" si="220"/>
        <v/>
      </c>
      <c r="IK18" s="508" t="str">
        <f t="shared" si="221"/>
        <v/>
      </c>
      <c r="IL18" s="508" t="str">
        <f t="shared" si="222"/>
        <v/>
      </c>
      <c r="IM18" s="508" t="str">
        <f t="shared" si="223"/>
        <v/>
      </c>
      <c r="IN18" s="508" t="str">
        <f t="shared" si="224"/>
        <v/>
      </c>
      <c r="IO18" s="508" t="str">
        <f t="shared" si="225"/>
        <v/>
      </c>
      <c r="IP18" s="508" t="str">
        <f t="shared" si="226"/>
        <v/>
      </c>
      <c r="IQ18" s="508" t="str">
        <f t="shared" si="227"/>
        <v/>
      </c>
      <c r="IR18" s="508" t="str">
        <f t="shared" si="228"/>
        <v/>
      </c>
      <c r="IS18" s="508" t="str">
        <f t="shared" si="229"/>
        <v/>
      </c>
      <c r="IT18" s="508" t="str">
        <f t="shared" si="230"/>
        <v/>
      </c>
      <c r="IU18" s="508" t="str">
        <f t="shared" si="231"/>
        <v/>
      </c>
      <c r="IV18" s="508" t="str">
        <f t="shared" si="232"/>
        <v/>
      </c>
      <c r="IW18" s="508" t="str">
        <f t="shared" si="233"/>
        <v/>
      </c>
      <c r="IX18" s="508" t="str">
        <f t="shared" si="234"/>
        <v/>
      </c>
      <c r="IY18" s="508" t="str">
        <f t="shared" si="235"/>
        <v/>
      </c>
      <c r="IZ18" s="508" t="str">
        <f t="shared" si="236"/>
        <v/>
      </c>
      <c r="JA18" s="508" t="str">
        <f t="shared" si="237"/>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67" t="s">
        <v>1859</v>
      </c>
      <c r="C19" s="2368"/>
      <c r="D19" s="2369"/>
      <c r="E19" s="2370"/>
      <c r="F19" s="2370"/>
      <c r="G19" s="2370"/>
      <c r="H19" s="2370"/>
      <c r="I19" s="2370"/>
      <c r="J19" s="2371"/>
      <c r="K19" s="861">
        <f t="shared" si="1"/>
        <v>0</v>
      </c>
      <c r="L19" s="861">
        <f t="shared" si="2"/>
        <v>0</v>
      </c>
      <c r="M19" s="2372"/>
      <c r="N19" s="2372"/>
      <c r="O19" s="2372"/>
      <c r="P19" s="2372"/>
      <c r="Q19" s="472" t="str">
        <f>IF(H19="","",P19/($O$6*VLOOKUP(C19,'DCA Underwriting Assumptions'!$J$118:$K$123,2,FALSE)))</f>
        <v/>
      </c>
      <c r="R19" s="547"/>
      <c r="S19" s="472"/>
      <c r="T19" s="2306"/>
      <c r="U19" s="2307"/>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238"/>
        <v/>
      </c>
      <c r="BU19" s="508" t="str">
        <f t="shared" si="239"/>
        <v/>
      </c>
      <c r="BV19" s="508" t="str">
        <f t="shared" si="240"/>
        <v/>
      </c>
      <c r="BW19" s="508" t="str">
        <f t="shared" si="241"/>
        <v/>
      </c>
      <c r="BX19" s="508" t="str">
        <f t="shared" si="242"/>
        <v/>
      </c>
      <c r="BY19" s="508" t="str">
        <f t="shared" si="53"/>
        <v/>
      </c>
      <c r="BZ19" s="508" t="str">
        <f t="shared" si="54"/>
        <v/>
      </c>
      <c r="CA19" s="508" t="str">
        <f t="shared" si="55"/>
        <v/>
      </c>
      <c r="CB19" s="508" t="str">
        <f t="shared" si="56"/>
        <v/>
      </c>
      <c r="CC19" s="508" t="str">
        <f t="shared" si="57"/>
        <v/>
      </c>
      <c r="CD19" s="508" t="str">
        <f t="shared" si="58"/>
        <v/>
      </c>
      <c r="CE19" s="508" t="str">
        <f t="shared" si="59"/>
        <v/>
      </c>
      <c r="CF19" s="508" t="str">
        <f t="shared" si="60"/>
        <v/>
      </c>
      <c r="CG19" s="508" t="str">
        <f t="shared" si="61"/>
        <v/>
      </c>
      <c r="CH19" s="508" t="str">
        <f t="shared" si="62"/>
        <v/>
      </c>
      <c r="CI19" s="508" t="str">
        <f t="shared" si="63"/>
        <v/>
      </c>
      <c r="CJ19" s="508" t="str">
        <f t="shared" si="64"/>
        <v/>
      </c>
      <c r="CK19" s="508" t="str">
        <f t="shared" si="65"/>
        <v/>
      </c>
      <c r="CL19" s="508" t="str">
        <f t="shared" si="66"/>
        <v/>
      </c>
      <c r="CM19" s="508" t="str">
        <f t="shared" si="67"/>
        <v/>
      </c>
      <c r="CN19" s="508" t="str">
        <f t="shared" si="68"/>
        <v/>
      </c>
      <c r="CO19" s="508" t="str">
        <f t="shared" si="69"/>
        <v/>
      </c>
      <c r="CP19" s="508" t="str">
        <f t="shared" si="70"/>
        <v/>
      </c>
      <c r="CQ19" s="508" t="str">
        <f t="shared" si="71"/>
        <v/>
      </c>
      <c r="CR19" s="508" t="str">
        <f t="shared" si="72"/>
        <v/>
      </c>
      <c r="CS19" s="508" t="str">
        <f t="shared" si="73"/>
        <v/>
      </c>
      <c r="CT19" s="508" t="str">
        <f t="shared" si="74"/>
        <v/>
      </c>
      <c r="CU19" s="508" t="str">
        <f t="shared" si="75"/>
        <v/>
      </c>
      <c r="CV19" s="508" t="str">
        <f t="shared" si="76"/>
        <v/>
      </c>
      <c r="CW19" s="508" t="str">
        <f t="shared" si="77"/>
        <v/>
      </c>
      <c r="CX19" s="508" t="str">
        <f t="shared" si="78"/>
        <v/>
      </c>
      <c r="CY19" s="508" t="str">
        <f t="shared" si="79"/>
        <v/>
      </c>
      <c r="CZ19" s="508" t="str">
        <f t="shared" si="80"/>
        <v/>
      </c>
      <c r="DA19" s="508" t="str">
        <f t="shared" si="81"/>
        <v/>
      </c>
      <c r="DB19" s="508" t="str">
        <f t="shared" si="82"/>
        <v/>
      </c>
      <c r="DC19" s="508" t="str">
        <f t="shared" si="83"/>
        <v/>
      </c>
      <c r="DD19" s="508" t="str">
        <f t="shared" si="84"/>
        <v/>
      </c>
      <c r="DE19" s="508" t="str">
        <f t="shared" si="85"/>
        <v/>
      </c>
      <c r="DF19" s="508" t="str">
        <f t="shared" si="86"/>
        <v/>
      </c>
      <c r="DG19" s="508" t="str">
        <f t="shared" si="87"/>
        <v/>
      </c>
      <c r="DH19" s="508" t="str">
        <f t="shared" si="88"/>
        <v/>
      </c>
      <c r="DI19" s="508" t="str">
        <f t="shared" si="89"/>
        <v/>
      </c>
      <c r="DJ19" s="508" t="str">
        <f t="shared" si="90"/>
        <v/>
      </c>
      <c r="DK19" s="508" t="str">
        <f t="shared" si="91"/>
        <v/>
      </c>
      <c r="DL19" s="508" t="str">
        <f t="shared" si="92"/>
        <v/>
      </c>
      <c r="DM19" s="508" t="str">
        <f t="shared" si="93"/>
        <v/>
      </c>
      <c r="DN19" s="508" t="str">
        <f t="shared" si="94"/>
        <v/>
      </c>
      <c r="DO19" s="508" t="str">
        <f t="shared" si="95"/>
        <v/>
      </c>
      <c r="DP19" s="508" t="str">
        <f t="shared" si="96"/>
        <v/>
      </c>
      <c r="DQ19" s="508" t="str">
        <f t="shared" si="97"/>
        <v/>
      </c>
      <c r="DR19" s="508" t="str">
        <f t="shared" si="98"/>
        <v/>
      </c>
      <c r="DS19" s="508" t="str">
        <f t="shared" si="99"/>
        <v/>
      </c>
      <c r="DT19" s="508" t="str">
        <f t="shared" si="100"/>
        <v/>
      </c>
      <c r="DU19" s="508" t="str">
        <f t="shared" si="101"/>
        <v/>
      </c>
      <c r="DV19" s="508" t="str">
        <f t="shared" si="102"/>
        <v/>
      </c>
      <c r="DW19" s="508" t="str">
        <f t="shared" si="103"/>
        <v/>
      </c>
      <c r="DX19" s="508" t="str">
        <f t="shared" si="104"/>
        <v/>
      </c>
      <c r="DY19" s="508" t="str">
        <f t="shared" si="105"/>
        <v/>
      </c>
      <c r="DZ19" s="508" t="str">
        <f t="shared" si="106"/>
        <v/>
      </c>
      <c r="EA19" s="508" t="str">
        <f t="shared" si="107"/>
        <v/>
      </c>
      <c r="EB19" s="508" t="str">
        <f t="shared" si="108"/>
        <v/>
      </c>
      <c r="EC19" s="508" t="str">
        <f t="shared" si="109"/>
        <v/>
      </c>
      <c r="ED19" s="508" t="str">
        <f t="shared" si="110"/>
        <v/>
      </c>
      <c r="EE19" s="508" t="str">
        <f t="shared" si="111"/>
        <v/>
      </c>
      <c r="EF19" s="508" t="str">
        <f t="shared" si="112"/>
        <v/>
      </c>
      <c r="EG19" s="508" t="str">
        <f t="shared" si="113"/>
        <v/>
      </c>
      <c r="EH19" s="508" t="str">
        <f t="shared" si="114"/>
        <v/>
      </c>
      <c r="EI19" s="508" t="str">
        <f t="shared" si="115"/>
        <v/>
      </c>
      <c r="EJ19" s="508" t="str">
        <f t="shared" si="116"/>
        <v/>
      </c>
      <c r="EK19" s="508" t="str">
        <f t="shared" si="117"/>
        <v/>
      </c>
      <c r="EL19" s="508" t="str">
        <f t="shared" si="118"/>
        <v/>
      </c>
      <c r="EM19" s="508" t="str">
        <f t="shared" si="119"/>
        <v/>
      </c>
      <c r="EN19" s="508" t="str">
        <f t="shared" si="120"/>
        <v/>
      </c>
      <c r="EO19" s="508" t="str">
        <f t="shared" si="121"/>
        <v/>
      </c>
      <c r="EP19" s="508" t="str">
        <f t="shared" si="122"/>
        <v/>
      </c>
      <c r="EQ19" s="508" t="str">
        <f t="shared" si="123"/>
        <v/>
      </c>
      <c r="ER19" s="508" t="str">
        <f t="shared" si="124"/>
        <v/>
      </c>
      <c r="ES19" s="508" t="str">
        <f t="shared" si="125"/>
        <v/>
      </c>
      <c r="ET19" s="508" t="str">
        <f t="shared" si="126"/>
        <v/>
      </c>
      <c r="EU19" s="508" t="str">
        <f t="shared" si="127"/>
        <v/>
      </c>
      <c r="EV19" s="518" t="str">
        <f t="shared" si="128"/>
        <v/>
      </c>
      <c r="EW19" s="518" t="str">
        <f t="shared" si="129"/>
        <v/>
      </c>
      <c r="EX19" s="518" t="str">
        <f t="shared" si="130"/>
        <v/>
      </c>
      <c r="EY19" s="518" t="str">
        <f t="shared" si="131"/>
        <v/>
      </c>
      <c r="EZ19" s="518" t="str">
        <f t="shared" si="132"/>
        <v/>
      </c>
      <c r="FA19" s="518" t="str">
        <f t="shared" si="133"/>
        <v/>
      </c>
      <c r="FB19" s="518" t="str">
        <f t="shared" si="134"/>
        <v/>
      </c>
      <c r="FC19" s="518" t="str">
        <f t="shared" si="135"/>
        <v/>
      </c>
      <c r="FD19" s="518" t="str">
        <f t="shared" si="136"/>
        <v/>
      </c>
      <c r="FE19" s="518" t="str">
        <f t="shared" si="137"/>
        <v/>
      </c>
      <c r="FF19" s="518" t="str">
        <f t="shared" si="138"/>
        <v/>
      </c>
      <c r="FG19" s="518" t="str">
        <f t="shared" si="139"/>
        <v/>
      </c>
      <c r="FH19" s="518" t="str">
        <f t="shared" si="140"/>
        <v/>
      </c>
      <c r="FI19" s="518" t="str">
        <f t="shared" si="141"/>
        <v/>
      </c>
      <c r="FJ19" s="518" t="str">
        <f t="shared" si="142"/>
        <v/>
      </c>
      <c r="FK19" s="518" t="str">
        <f t="shared" si="143"/>
        <v/>
      </c>
      <c r="FL19" s="518" t="str">
        <f t="shared" si="144"/>
        <v/>
      </c>
      <c r="FM19" s="518" t="str">
        <f t="shared" si="145"/>
        <v/>
      </c>
      <c r="FN19" s="518" t="str">
        <f t="shared" si="146"/>
        <v/>
      </c>
      <c r="FO19" s="518" t="str">
        <f t="shared" si="147"/>
        <v/>
      </c>
      <c r="FP19" s="518" t="str">
        <f t="shared" si="148"/>
        <v/>
      </c>
      <c r="FQ19" s="518" t="str">
        <f t="shared" si="149"/>
        <v/>
      </c>
      <c r="FR19" s="518" t="str">
        <f t="shared" si="150"/>
        <v/>
      </c>
      <c r="FS19" s="518" t="str">
        <f t="shared" si="151"/>
        <v/>
      </c>
      <c r="FT19" s="518" t="str">
        <f t="shared" si="152"/>
        <v/>
      </c>
      <c r="FU19" s="518" t="str">
        <f t="shared" si="153"/>
        <v/>
      </c>
      <c r="FV19" s="518" t="str">
        <f t="shared" si="154"/>
        <v/>
      </c>
      <c r="FW19" s="518" t="str">
        <f t="shared" si="155"/>
        <v/>
      </c>
      <c r="FX19" s="518" t="str">
        <f t="shared" si="156"/>
        <v/>
      </c>
      <c r="FY19" s="518" t="str">
        <f t="shared" si="157"/>
        <v/>
      </c>
      <c r="FZ19" s="518" t="str">
        <f t="shared" si="158"/>
        <v/>
      </c>
      <c r="GA19" s="518" t="str">
        <f t="shared" si="159"/>
        <v/>
      </c>
      <c r="GB19" s="518" t="str">
        <f t="shared" si="160"/>
        <v/>
      </c>
      <c r="GC19" s="518" t="str">
        <f t="shared" si="161"/>
        <v/>
      </c>
      <c r="GD19" s="518" t="str">
        <f t="shared" si="162"/>
        <v/>
      </c>
      <c r="GE19" s="518" t="str">
        <f t="shared" si="163"/>
        <v/>
      </c>
      <c r="GF19" s="518" t="str">
        <f t="shared" si="164"/>
        <v/>
      </c>
      <c r="GG19" s="518" t="str">
        <f t="shared" si="165"/>
        <v/>
      </c>
      <c r="GH19" s="518" t="str">
        <f t="shared" si="166"/>
        <v/>
      </c>
      <c r="GI19" s="518" t="str">
        <f t="shared" si="167"/>
        <v/>
      </c>
      <c r="GJ19" s="518" t="str">
        <f t="shared" si="168"/>
        <v/>
      </c>
      <c r="GK19" s="518" t="str">
        <f t="shared" si="169"/>
        <v/>
      </c>
      <c r="GL19" s="518" t="str">
        <f t="shared" si="170"/>
        <v/>
      </c>
      <c r="GM19" s="518" t="str">
        <f t="shared" si="171"/>
        <v/>
      </c>
      <c r="GN19" s="518" t="str">
        <f t="shared" si="172"/>
        <v/>
      </c>
      <c r="GO19" s="518" t="str">
        <f t="shared" si="173"/>
        <v/>
      </c>
      <c r="GP19" s="518" t="str">
        <f t="shared" si="174"/>
        <v/>
      </c>
      <c r="GQ19" s="518" t="str">
        <f t="shared" si="175"/>
        <v/>
      </c>
      <c r="GR19" s="518" t="str">
        <f t="shared" si="176"/>
        <v/>
      </c>
      <c r="GS19" s="518" t="str">
        <f t="shared" si="177"/>
        <v/>
      </c>
      <c r="GT19" s="518" t="str">
        <f t="shared" si="178"/>
        <v/>
      </c>
      <c r="GU19" s="518" t="str">
        <f t="shared" si="179"/>
        <v/>
      </c>
      <c r="GV19" s="518" t="str">
        <f t="shared" si="180"/>
        <v/>
      </c>
      <c r="GW19" s="518" t="str">
        <f t="shared" si="181"/>
        <v/>
      </c>
      <c r="GX19" s="518" t="str">
        <f t="shared" si="182"/>
        <v/>
      </c>
      <c r="GY19" s="518" t="str">
        <f t="shared" si="183"/>
        <v/>
      </c>
      <c r="GZ19" s="518" t="str">
        <f t="shared" si="184"/>
        <v/>
      </c>
      <c r="HA19" s="518" t="str">
        <f t="shared" si="185"/>
        <v/>
      </c>
      <c r="HB19" s="518" t="str">
        <f t="shared" si="186"/>
        <v/>
      </c>
      <c r="HC19" s="518" t="str">
        <f t="shared" si="187"/>
        <v/>
      </c>
      <c r="HD19" s="518" t="str">
        <f t="shared" si="188"/>
        <v/>
      </c>
      <c r="HE19" s="518" t="str">
        <f t="shared" si="189"/>
        <v/>
      </c>
      <c r="HF19" s="518" t="str">
        <f t="shared" si="190"/>
        <v/>
      </c>
      <c r="HG19" s="518" t="str">
        <f t="shared" si="191"/>
        <v/>
      </c>
      <c r="HH19" s="518" t="str">
        <f t="shared" si="192"/>
        <v/>
      </c>
      <c r="HI19" s="518" t="str">
        <f t="shared" si="193"/>
        <v/>
      </c>
      <c r="HJ19" s="518" t="str">
        <f t="shared" si="194"/>
        <v/>
      </c>
      <c r="HK19" s="518" t="str">
        <f t="shared" si="195"/>
        <v/>
      </c>
      <c r="HL19" s="518" t="str">
        <f t="shared" si="196"/>
        <v/>
      </c>
      <c r="HM19" s="518" t="str">
        <f t="shared" si="197"/>
        <v/>
      </c>
      <c r="HN19" s="518" t="str">
        <f t="shared" si="198"/>
        <v/>
      </c>
      <c r="HO19" s="518" t="str">
        <f t="shared" si="199"/>
        <v/>
      </c>
      <c r="HP19" s="518" t="str">
        <f t="shared" si="200"/>
        <v/>
      </c>
      <c r="HQ19" s="518" t="str">
        <f t="shared" si="201"/>
        <v/>
      </c>
      <c r="HR19" s="518" t="str">
        <f t="shared" si="202"/>
        <v/>
      </c>
      <c r="HS19" s="518" t="str">
        <f t="shared" si="203"/>
        <v/>
      </c>
      <c r="HT19" s="518" t="str">
        <f t="shared" si="204"/>
        <v/>
      </c>
      <c r="HU19" s="518" t="str">
        <f t="shared" si="205"/>
        <v/>
      </c>
      <c r="HV19" s="518" t="str">
        <f t="shared" si="206"/>
        <v/>
      </c>
      <c r="HW19" s="518" t="str">
        <f t="shared" si="207"/>
        <v/>
      </c>
      <c r="HX19" s="518" t="str">
        <f t="shared" si="208"/>
        <v/>
      </c>
      <c r="HY19" s="518" t="str">
        <f t="shared" si="209"/>
        <v/>
      </c>
      <c r="HZ19" s="518" t="str">
        <f t="shared" si="210"/>
        <v/>
      </c>
      <c r="IA19" s="518" t="str">
        <f t="shared" si="211"/>
        <v/>
      </c>
      <c r="IB19" s="518" t="str">
        <f t="shared" si="212"/>
        <v/>
      </c>
      <c r="IC19" s="519" t="str">
        <f t="shared" si="213"/>
        <v/>
      </c>
      <c r="ID19" s="519" t="str">
        <f t="shared" si="214"/>
        <v/>
      </c>
      <c r="IE19" s="519" t="str">
        <f t="shared" si="215"/>
        <v/>
      </c>
      <c r="IF19" s="519" t="str">
        <f t="shared" si="216"/>
        <v/>
      </c>
      <c r="IG19" s="519" t="str">
        <f t="shared" si="217"/>
        <v/>
      </c>
      <c r="IH19" s="508" t="str">
        <f t="shared" si="218"/>
        <v/>
      </c>
      <c r="II19" s="508" t="str">
        <f t="shared" si="219"/>
        <v/>
      </c>
      <c r="IJ19" s="508" t="str">
        <f t="shared" si="220"/>
        <v/>
      </c>
      <c r="IK19" s="508" t="str">
        <f t="shared" si="221"/>
        <v/>
      </c>
      <c r="IL19" s="508" t="str">
        <f t="shared" si="222"/>
        <v/>
      </c>
      <c r="IM19" s="508" t="str">
        <f t="shared" si="223"/>
        <v/>
      </c>
      <c r="IN19" s="508" t="str">
        <f t="shared" si="224"/>
        <v/>
      </c>
      <c r="IO19" s="508" t="str">
        <f t="shared" si="225"/>
        <v/>
      </c>
      <c r="IP19" s="508" t="str">
        <f t="shared" si="226"/>
        <v/>
      </c>
      <c r="IQ19" s="508" t="str">
        <f t="shared" si="227"/>
        <v/>
      </c>
      <c r="IR19" s="508" t="str">
        <f t="shared" si="228"/>
        <v/>
      </c>
      <c r="IS19" s="508" t="str">
        <f t="shared" si="229"/>
        <v/>
      </c>
      <c r="IT19" s="508" t="str">
        <f t="shared" si="230"/>
        <v/>
      </c>
      <c r="IU19" s="508" t="str">
        <f t="shared" si="231"/>
        <v/>
      </c>
      <c r="IV19" s="508" t="str">
        <f t="shared" si="232"/>
        <v/>
      </c>
      <c r="IW19" s="508" t="str">
        <f t="shared" si="233"/>
        <v/>
      </c>
      <c r="IX19" s="508" t="str">
        <f t="shared" si="234"/>
        <v/>
      </c>
      <c r="IY19" s="508" t="str">
        <f t="shared" si="235"/>
        <v/>
      </c>
      <c r="IZ19" s="508" t="str">
        <f t="shared" si="236"/>
        <v/>
      </c>
      <c r="JA19" s="508" t="str">
        <f t="shared" si="237"/>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67" t="s">
        <v>1859</v>
      </c>
      <c r="C20" s="2368"/>
      <c r="D20" s="2369"/>
      <c r="E20" s="2370"/>
      <c r="F20" s="2370"/>
      <c r="G20" s="2370"/>
      <c r="H20" s="2370"/>
      <c r="I20" s="2370"/>
      <c r="J20" s="2371"/>
      <c r="K20" s="861">
        <f t="shared" si="1"/>
        <v>0</v>
      </c>
      <c r="L20" s="861">
        <f t="shared" si="2"/>
        <v>0</v>
      </c>
      <c r="M20" s="2372"/>
      <c r="N20" s="2372"/>
      <c r="O20" s="2372"/>
      <c r="P20" s="2372"/>
      <c r="Q20" s="472" t="str">
        <f>IF(H20="","",P20/($O$6*VLOOKUP(C20,'DCA Underwriting Assumptions'!$J$118:$K$123,2,FALSE)))</f>
        <v/>
      </c>
      <c r="R20" s="547"/>
      <c r="S20" s="472"/>
      <c r="T20" s="2306"/>
      <c r="U20" s="2307"/>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238"/>
        <v/>
      </c>
      <c r="BU20" s="508" t="str">
        <f t="shared" si="239"/>
        <v/>
      </c>
      <c r="BV20" s="508" t="str">
        <f t="shared" si="240"/>
        <v/>
      </c>
      <c r="BW20" s="508" t="str">
        <f t="shared" si="241"/>
        <v/>
      </c>
      <c r="BX20" s="508" t="str">
        <f t="shared" si="242"/>
        <v/>
      </c>
      <c r="BY20" s="508" t="str">
        <f t="shared" si="53"/>
        <v/>
      </c>
      <c r="BZ20" s="508" t="str">
        <f t="shared" si="54"/>
        <v/>
      </c>
      <c r="CA20" s="508" t="str">
        <f t="shared" si="55"/>
        <v/>
      </c>
      <c r="CB20" s="508" t="str">
        <f t="shared" si="56"/>
        <v/>
      </c>
      <c r="CC20" s="508" t="str">
        <f t="shared" si="57"/>
        <v/>
      </c>
      <c r="CD20" s="508" t="str">
        <f t="shared" si="58"/>
        <v/>
      </c>
      <c r="CE20" s="508" t="str">
        <f t="shared" si="59"/>
        <v/>
      </c>
      <c r="CF20" s="508" t="str">
        <f t="shared" si="60"/>
        <v/>
      </c>
      <c r="CG20" s="508" t="str">
        <f t="shared" si="61"/>
        <v/>
      </c>
      <c r="CH20" s="508" t="str">
        <f t="shared" si="62"/>
        <v/>
      </c>
      <c r="CI20" s="508" t="str">
        <f t="shared" si="63"/>
        <v/>
      </c>
      <c r="CJ20" s="508" t="str">
        <f t="shared" si="64"/>
        <v/>
      </c>
      <c r="CK20" s="508" t="str">
        <f t="shared" si="65"/>
        <v/>
      </c>
      <c r="CL20" s="508" t="str">
        <f t="shared" si="66"/>
        <v/>
      </c>
      <c r="CM20" s="508" t="str">
        <f t="shared" si="67"/>
        <v/>
      </c>
      <c r="CN20" s="508" t="str">
        <f t="shared" si="68"/>
        <v/>
      </c>
      <c r="CO20" s="508" t="str">
        <f t="shared" si="69"/>
        <v/>
      </c>
      <c r="CP20" s="508" t="str">
        <f t="shared" si="70"/>
        <v/>
      </c>
      <c r="CQ20" s="508" t="str">
        <f t="shared" si="71"/>
        <v/>
      </c>
      <c r="CR20" s="508" t="str">
        <f t="shared" si="72"/>
        <v/>
      </c>
      <c r="CS20" s="508" t="str">
        <f t="shared" si="73"/>
        <v/>
      </c>
      <c r="CT20" s="508" t="str">
        <f t="shared" si="74"/>
        <v/>
      </c>
      <c r="CU20" s="508" t="str">
        <f t="shared" si="75"/>
        <v/>
      </c>
      <c r="CV20" s="508" t="str">
        <f t="shared" si="76"/>
        <v/>
      </c>
      <c r="CW20" s="508" t="str">
        <f t="shared" si="77"/>
        <v/>
      </c>
      <c r="CX20" s="508" t="str">
        <f t="shared" si="78"/>
        <v/>
      </c>
      <c r="CY20" s="508" t="str">
        <f t="shared" si="79"/>
        <v/>
      </c>
      <c r="CZ20" s="508" t="str">
        <f t="shared" si="80"/>
        <v/>
      </c>
      <c r="DA20" s="508" t="str">
        <f t="shared" si="81"/>
        <v/>
      </c>
      <c r="DB20" s="508" t="str">
        <f t="shared" si="82"/>
        <v/>
      </c>
      <c r="DC20" s="508" t="str">
        <f t="shared" si="83"/>
        <v/>
      </c>
      <c r="DD20" s="508" t="str">
        <f t="shared" si="84"/>
        <v/>
      </c>
      <c r="DE20" s="508" t="str">
        <f t="shared" si="85"/>
        <v/>
      </c>
      <c r="DF20" s="508" t="str">
        <f t="shared" si="86"/>
        <v/>
      </c>
      <c r="DG20" s="508" t="str">
        <f t="shared" si="87"/>
        <v/>
      </c>
      <c r="DH20" s="508" t="str">
        <f t="shared" si="88"/>
        <v/>
      </c>
      <c r="DI20" s="508" t="str">
        <f t="shared" si="89"/>
        <v/>
      </c>
      <c r="DJ20" s="508" t="str">
        <f t="shared" si="90"/>
        <v/>
      </c>
      <c r="DK20" s="508" t="str">
        <f t="shared" si="91"/>
        <v/>
      </c>
      <c r="DL20" s="508" t="str">
        <f t="shared" si="92"/>
        <v/>
      </c>
      <c r="DM20" s="508" t="str">
        <f t="shared" si="93"/>
        <v/>
      </c>
      <c r="DN20" s="508" t="str">
        <f t="shared" si="94"/>
        <v/>
      </c>
      <c r="DO20" s="508" t="str">
        <f t="shared" si="95"/>
        <v/>
      </c>
      <c r="DP20" s="508" t="str">
        <f t="shared" si="96"/>
        <v/>
      </c>
      <c r="DQ20" s="508" t="str">
        <f t="shared" si="97"/>
        <v/>
      </c>
      <c r="DR20" s="508" t="str">
        <f t="shared" si="98"/>
        <v/>
      </c>
      <c r="DS20" s="508" t="str">
        <f t="shared" si="99"/>
        <v/>
      </c>
      <c r="DT20" s="508" t="str">
        <f t="shared" si="100"/>
        <v/>
      </c>
      <c r="DU20" s="508" t="str">
        <f t="shared" si="101"/>
        <v/>
      </c>
      <c r="DV20" s="508" t="str">
        <f t="shared" si="102"/>
        <v/>
      </c>
      <c r="DW20" s="508" t="str">
        <f t="shared" si="103"/>
        <v/>
      </c>
      <c r="DX20" s="508" t="str">
        <f t="shared" si="104"/>
        <v/>
      </c>
      <c r="DY20" s="508" t="str">
        <f t="shared" si="105"/>
        <v/>
      </c>
      <c r="DZ20" s="508" t="str">
        <f t="shared" si="106"/>
        <v/>
      </c>
      <c r="EA20" s="508" t="str">
        <f t="shared" si="107"/>
        <v/>
      </c>
      <c r="EB20" s="508" t="str">
        <f t="shared" si="108"/>
        <v/>
      </c>
      <c r="EC20" s="508" t="str">
        <f t="shared" si="109"/>
        <v/>
      </c>
      <c r="ED20" s="508" t="str">
        <f t="shared" si="110"/>
        <v/>
      </c>
      <c r="EE20" s="508" t="str">
        <f t="shared" si="111"/>
        <v/>
      </c>
      <c r="EF20" s="508" t="str">
        <f t="shared" si="112"/>
        <v/>
      </c>
      <c r="EG20" s="508" t="str">
        <f t="shared" si="113"/>
        <v/>
      </c>
      <c r="EH20" s="508" t="str">
        <f t="shared" si="114"/>
        <v/>
      </c>
      <c r="EI20" s="508" t="str">
        <f t="shared" si="115"/>
        <v/>
      </c>
      <c r="EJ20" s="508" t="str">
        <f t="shared" si="116"/>
        <v/>
      </c>
      <c r="EK20" s="508" t="str">
        <f t="shared" si="117"/>
        <v/>
      </c>
      <c r="EL20" s="508" t="str">
        <f t="shared" si="118"/>
        <v/>
      </c>
      <c r="EM20" s="508" t="str">
        <f t="shared" si="119"/>
        <v/>
      </c>
      <c r="EN20" s="508" t="str">
        <f t="shared" si="120"/>
        <v/>
      </c>
      <c r="EO20" s="508" t="str">
        <f t="shared" si="121"/>
        <v/>
      </c>
      <c r="EP20" s="508" t="str">
        <f t="shared" si="122"/>
        <v/>
      </c>
      <c r="EQ20" s="508" t="str">
        <f t="shared" si="123"/>
        <v/>
      </c>
      <c r="ER20" s="508" t="str">
        <f t="shared" si="124"/>
        <v/>
      </c>
      <c r="ES20" s="508" t="str">
        <f t="shared" si="125"/>
        <v/>
      </c>
      <c r="ET20" s="508" t="str">
        <f t="shared" si="126"/>
        <v/>
      </c>
      <c r="EU20" s="508" t="str">
        <f t="shared" si="127"/>
        <v/>
      </c>
      <c r="EV20" s="518" t="str">
        <f t="shared" si="128"/>
        <v/>
      </c>
      <c r="EW20" s="518" t="str">
        <f t="shared" si="129"/>
        <v/>
      </c>
      <c r="EX20" s="518" t="str">
        <f t="shared" si="130"/>
        <v/>
      </c>
      <c r="EY20" s="518" t="str">
        <f t="shared" si="131"/>
        <v/>
      </c>
      <c r="EZ20" s="518" t="str">
        <f t="shared" si="132"/>
        <v/>
      </c>
      <c r="FA20" s="518" t="str">
        <f t="shared" si="133"/>
        <v/>
      </c>
      <c r="FB20" s="518" t="str">
        <f t="shared" si="134"/>
        <v/>
      </c>
      <c r="FC20" s="518" t="str">
        <f t="shared" si="135"/>
        <v/>
      </c>
      <c r="FD20" s="518" t="str">
        <f t="shared" si="136"/>
        <v/>
      </c>
      <c r="FE20" s="518" t="str">
        <f t="shared" si="137"/>
        <v/>
      </c>
      <c r="FF20" s="518" t="str">
        <f t="shared" si="138"/>
        <v/>
      </c>
      <c r="FG20" s="518" t="str">
        <f t="shared" si="139"/>
        <v/>
      </c>
      <c r="FH20" s="518" t="str">
        <f t="shared" si="140"/>
        <v/>
      </c>
      <c r="FI20" s="518" t="str">
        <f t="shared" si="141"/>
        <v/>
      </c>
      <c r="FJ20" s="518" t="str">
        <f t="shared" si="142"/>
        <v/>
      </c>
      <c r="FK20" s="518" t="str">
        <f t="shared" si="143"/>
        <v/>
      </c>
      <c r="FL20" s="518" t="str">
        <f t="shared" si="144"/>
        <v/>
      </c>
      <c r="FM20" s="518" t="str">
        <f t="shared" si="145"/>
        <v/>
      </c>
      <c r="FN20" s="518" t="str">
        <f t="shared" si="146"/>
        <v/>
      </c>
      <c r="FO20" s="518" t="str">
        <f t="shared" si="147"/>
        <v/>
      </c>
      <c r="FP20" s="518" t="str">
        <f t="shared" si="148"/>
        <v/>
      </c>
      <c r="FQ20" s="518" t="str">
        <f t="shared" si="149"/>
        <v/>
      </c>
      <c r="FR20" s="518" t="str">
        <f t="shared" si="150"/>
        <v/>
      </c>
      <c r="FS20" s="518" t="str">
        <f t="shared" si="151"/>
        <v/>
      </c>
      <c r="FT20" s="518" t="str">
        <f t="shared" si="152"/>
        <v/>
      </c>
      <c r="FU20" s="518" t="str">
        <f t="shared" si="153"/>
        <v/>
      </c>
      <c r="FV20" s="518" t="str">
        <f t="shared" si="154"/>
        <v/>
      </c>
      <c r="FW20" s="518" t="str">
        <f t="shared" si="155"/>
        <v/>
      </c>
      <c r="FX20" s="518" t="str">
        <f t="shared" si="156"/>
        <v/>
      </c>
      <c r="FY20" s="518" t="str">
        <f t="shared" si="157"/>
        <v/>
      </c>
      <c r="FZ20" s="518" t="str">
        <f t="shared" si="158"/>
        <v/>
      </c>
      <c r="GA20" s="518" t="str">
        <f t="shared" si="159"/>
        <v/>
      </c>
      <c r="GB20" s="518" t="str">
        <f t="shared" si="160"/>
        <v/>
      </c>
      <c r="GC20" s="518" t="str">
        <f t="shared" si="161"/>
        <v/>
      </c>
      <c r="GD20" s="518" t="str">
        <f t="shared" si="162"/>
        <v/>
      </c>
      <c r="GE20" s="518" t="str">
        <f t="shared" si="163"/>
        <v/>
      </c>
      <c r="GF20" s="518" t="str">
        <f t="shared" si="164"/>
        <v/>
      </c>
      <c r="GG20" s="518" t="str">
        <f t="shared" si="165"/>
        <v/>
      </c>
      <c r="GH20" s="518" t="str">
        <f t="shared" si="166"/>
        <v/>
      </c>
      <c r="GI20" s="518" t="str">
        <f t="shared" si="167"/>
        <v/>
      </c>
      <c r="GJ20" s="518" t="str">
        <f t="shared" si="168"/>
        <v/>
      </c>
      <c r="GK20" s="518" t="str">
        <f t="shared" si="169"/>
        <v/>
      </c>
      <c r="GL20" s="518" t="str">
        <f t="shared" si="170"/>
        <v/>
      </c>
      <c r="GM20" s="518" t="str">
        <f t="shared" si="171"/>
        <v/>
      </c>
      <c r="GN20" s="518" t="str">
        <f t="shared" si="172"/>
        <v/>
      </c>
      <c r="GO20" s="518" t="str">
        <f t="shared" si="173"/>
        <v/>
      </c>
      <c r="GP20" s="518" t="str">
        <f t="shared" si="174"/>
        <v/>
      </c>
      <c r="GQ20" s="518" t="str">
        <f t="shared" si="175"/>
        <v/>
      </c>
      <c r="GR20" s="518" t="str">
        <f t="shared" si="176"/>
        <v/>
      </c>
      <c r="GS20" s="518" t="str">
        <f t="shared" si="177"/>
        <v/>
      </c>
      <c r="GT20" s="518" t="str">
        <f t="shared" si="178"/>
        <v/>
      </c>
      <c r="GU20" s="518" t="str">
        <f t="shared" si="179"/>
        <v/>
      </c>
      <c r="GV20" s="518" t="str">
        <f t="shared" si="180"/>
        <v/>
      </c>
      <c r="GW20" s="518" t="str">
        <f t="shared" si="181"/>
        <v/>
      </c>
      <c r="GX20" s="518" t="str">
        <f t="shared" si="182"/>
        <v/>
      </c>
      <c r="GY20" s="518" t="str">
        <f t="shared" si="183"/>
        <v/>
      </c>
      <c r="GZ20" s="518" t="str">
        <f t="shared" si="184"/>
        <v/>
      </c>
      <c r="HA20" s="518" t="str">
        <f t="shared" si="185"/>
        <v/>
      </c>
      <c r="HB20" s="518" t="str">
        <f t="shared" si="186"/>
        <v/>
      </c>
      <c r="HC20" s="518" t="str">
        <f t="shared" si="187"/>
        <v/>
      </c>
      <c r="HD20" s="518" t="str">
        <f t="shared" si="188"/>
        <v/>
      </c>
      <c r="HE20" s="518" t="str">
        <f t="shared" si="189"/>
        <v/>
      </c>
      <c r="HF20" s="518" t="str">
        <f t="shared" si="190"/>
        <v/>
      </c>
      <c r="HG20" s="518" t="str">
        <f t="shared" si="191"/>
        <v/>
      </c>
      <c r="HH20" s="518" t="str">
        <f t="shared" si="192"/>
        <v/>
      </c>
      <c r="HI20" s="518" t="str">
        <f t="shared" si="193"/>
        <v/>
      </c>
      <c r="HJ20" s="518" t="str">
        <f t="shared" si="194"/>
        <v/>
      </c>
      <c r="HK20" s="518" t="str">
        <f t="shared" si="195"/>
        <v/>
      </c>
      <c r="HL20" s="518" t="str">
        <f t="shared" si="196"/>
        <v/>
      </c>
      <c r="HM20" s="518" t="str">
        <f t="shared" si="197"/>
        <v/>
      </c>
      <c r="HN20" s="518" t="str">
        <f t="shared" si="198"/>
        <v/>
      </c>
      <c r="HO20" s="518" t="str">
        <f t="shared" si="199"/>
        <v/>
      </c>
      <c r="HP20" s="518" t="str">
        <f t="shared" si="200"/>
        <v/>
      </c>
      <c r="HQ20" s="518" t="str">
        <f t="shared" si="201"/>
        <v/>
      </c>
      <c r="HR20" s="518" t="str">
        <f t="shared" si="202"/>
        <v/>
      </c>
      <c r="HS20" s="518" t="str">
        <f t="shared" si="203"/>
        <v/>
      </c>
      <c r="HT20" s="518" t="str">
        <f t="shared" si="204"/>
        <v/>
      </c>
      <c r="HU20" s="518" t="str">
        <f t="shared" si="205"/>
        <v/>
      </c>
      <c r="HV20" s="518" t="str">
        <f t="shared" si="206"/>
        <v/>
      </c>
      <c r="HW20" s="518" t="str">
        <f t="shared" si="207"/>
        <v/>
      </c>
      <c r="HX20" s="518" t="str">
        <f t="shared" si="208"/>
        <v/>
      </c>
      <c r="HY20" s="518" t="str">
        <f t="shared" si="209"/>
        <v/>
      </c>
      <c r="HZ20" s="518" t="str">
        <f t="shared" si="210"/>
        <v/>
      </c>
      <c r="IA20" s="518" t="str">
        <f t="shared" si="211"/>
        <v/>
      </c>
      <c r="IB20" s="518" t="str">
        <f t="shared" si="212"/>
        <v/>
      </c>
      <c r="IC20" s="519" t="str">
        <f t="shared" si="213"/>
        <v/>
      </c>
      <c r="ID20" s="519" t="str">
        <f t="shared" si="214"/>
        <v/>
      </c>
      <c r="IE20" s="519" t="str">
        <f t="shared" si="215"/>
        <v/>
      </c>
      <c r="IF20" s="519" t="str">
        <f t="shared" si="216"/>
        <v/>
      </c>
      <c r="IG20" s="519" t="str">
        <f t="shared" si="217"/>
        <v/>
      </c>
      <c r="IH20" s="508" t="str">
        <f t="shared" si="218"/>
        <v/>
      </c>
      <c r="II20" s="508" t="str">
        <f t="shared" si="219"/>
        <v/>
      </c>
      <c r="IJ20" s="508" t="str">
        <f t="shared" si="220"/>
        <v/>
      </c>
      <c r="IK20" s="508" t="str">
        <f t="shared" si="221"/>
        <v/>
      </c>
      <c r="IL20" s="508" t="str">
        <f t="shared" si="222"/>
        <v/>
      </c>
      <c r="IM20" s="508" t="str">
        <f t="shared" si="223"/>
        <v/>
      </c>
      <c r="IN20" s="508" t="str">
        <f t="shared" si="224"/>
        <v/>
      </c>
      <c r="IO20" s="508" t="str">
        <f t="shared" si="225"/>
        <v/>
      </c>
      <c r="IP20" s="508" t="str">
        <f t="shared" si="226"/>
        <v/>
      </c>
      <c r="IQ20" s="508" t="str">
        <f t="shared" si="227"/>
        <v/>
      </c>
      <c r="IR20" s="508" t="str">
        <f t="shared" si="228"/>
        <v/>
      </c>
      <c r="IS20" s="508" t="str">
        <f t="shared" si="229"/>
        <v/>
      </c>
      <c r="IT20" s="508" t="str">
        <f t="shared" si="230"/>
        <v/>
      </c>
      <c r="IU20" s="508" t="str">
        <f t="shared" si="231"/>
        <v/>
      </c>
      <c r="IV20" s="508" t="str">
        <f t="shared" si="232"/>
        <v/>
      </c>
      <c r="IW20" s="508" t="str">
        <f t="shared" si="233"/>
        <v/>
      </c>
      <c r="IX20" s="508" t="str">
        <f t="shared" si="234"/>
        <v/>
      </c>
      <c r="IY20" s="508" t="str">
        <f t="shared" si="235"/>
        <v/>
      </c>
      <c r="IZ20" s="508" t="str">
        <f t="shared" si="236"/>
        <v/>
      </c>
      <c r="JA20" s="508" t="str">
        <f t="shared" si="237"/>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67" t="s">
        <v>1859</v>
      </c>
      <c r="C21" s="2368"/>
      <c r="D21" s="2369"/>
      <c r="E21" s="2370"/>
      <c r="F21" s="2370"/>
      <c r="G21" s="2370"/>
      <c r="H21" s="2370"/>
      <c r="I21" s="2370"/>
      <c r="J21" s="2371"/>
      <c r="K21" s="861">
        <f t="shared" si="1"/>
        <v>0</v>
      </c>
      <c r="L21" s="861">
        <f t="shared" si="2"/>
        <v>0</v>
      </c>
      <c r="M21" s="2372"/>
      <c r="N21" s="2372"/>
      <c r="O21" s="2372"/>
      <c r="P21" s="2372"/>
      <c r="Q21" s="472" t="str">
        <f>IF(H21="","",P21/($O$6*VLOOKUP(C21,'DCA Underwriting Assumptions'!$J$118:$K$123,2,FALSE)))</f>
        <v/>
      </c>
      <c r="R21" s="547"/>
      <c r="S21" s="472"/>
      <c r="T21" s="2306"/>
      <c r="U21" s="2307"/>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238"/>
        <v/>
      </c>
      <c r="BU21" s="508" t="str">
        <f t="shared" si="239"/>
        <v/>
      </c>
      <c r="BV21" s="508" t="str">
        <f t="shared" si="240"/>
        <v/>
      </c>
      <c r="BW21" s="508" t="str">
        <f t="shared" si="241"/>
        <v/>
      </c>
      <c r="BX21" s="508" t="str">
        <f t="shared" si="242"/>
        <v/>
      </c>
      <c r="BY21" s="508" t="str">
        <f t="shared" si="53"/>
        <v/>
      </c>
      <c r="BZ21" s="508" t="str">
        <f t="shared" si="54"/>
        <v/>
      </c>
      <c r="CA21" s="508" t="str">
        <f t="shared" si="55"/>
        <v/>
      </c>
      <c r="CB21" s="508" t="str">
        <f t="shared" si="56"/>
        <v/>
      </c>
      <c r="CC21" s="508" t="str">
        <f t="shared" si="57"/>
        <v/>
      </c>
      <c r="CD21" s="508" t="str">
        <f t="shared" si="58"/>
        <v/>
      </c>
      <c r="CE21" s="508" t="str">
        <f t="shared" si="59"/>
        <v/>
      </c>
      <c r="CF21" s="508" t="str">
        <f t="shared" si="60"/>
        <v/>
      </c>
      <c r="CG21" s="508" t="str">
        <f t="shared" si="61"/>
        <v/>
      </c>
      <c r="CH21" s="508" t="str">
        <f t="shared" si="62"/>
        <v/>
      </c>
      <c r="CI21" s="508" t="str">
        <f t="shared" si="63"/>
        <v/>
      </c>
      <c r="CJ21" s="508" t="str">
        <f t="shared" si="64"/>
        <v/>
      </c>
      <c r="CK21" s="508" t="str">
        <f t="shared" si="65"/>
        <v/>
      </c>
      <c r="CL21" s="508" t="str">
        <f t="shared" si="66"/>
        <v/>
      </c>
      <c r="CM21" s="508" t="str">
        <f t="shared" si="67"/>
        <v/>
      </c>
      <c r="CN21" s="508" t="str">
        <f t="shared" si="68"/>
        <v/>
      </c>
      <c r="CO21" s="508" t="str">
        <f t="shared" si="69"/>
        <v/>
      </c>
      <c r="CP21" s="508" t="str">
        <f t="shared" si="70"/>
        <v/>
      </c>
      <c r="CQ21" s="508" t="str">
        <f t="shared" si="71"/>
        <v/>
      </c>
      <c r="CR21" s="508" t="str">
        <f t="shared" si="72"/>
        <v/>
      </c>
      <c r="CS21" s="508" t="str">
        <f t="shared" si="73"/>
        <v/>
      </c>
      <c r="CT21" s="508" t="str">
        <f t="shared" si="74"/>
        <v/>
      </c>
      <c r="CU21" s="508" t="str">
        <f t="shared" si="75"/>
        <v/>
      </c>
      <c r="CV21" s="508" t="str">
        <f t="shared" si="76"/>
        <v/>
      </c>
      <c r="CW21" s="508" t="str">
        <f t="shared" si="77"/>
        <v/>
      </c>
      <c r="CX21" s="508" t="str">
        <f t="shared" si="78"/>
        <v/>
      </c>
      <c r="CY21" s="508" t="str">
        <f t="shared" si="79"/>
        <v/>
      </c>
      <c r="CZ21" s="508" t="str">
        <f t="shared" si="80"/>
        <v/>
      </c>
      <c r="DA21" s="508" t="str">
        <f t="shared" si="81"/>
        <v/>
      </c>
      <c r="DB21" s="508" t="str">
        <f t="shared" si="82"/>
        <v/>
      </c>
      <c r="DC21" s="508" t="str">
        <f t="shared" si="83"/>
        <v/>
      </c>
      <c r="DD21" s="508" t="str">
        <f t="shared" si="84"/>
        <v/>
      </c>
      <c r="DE21" s="508" t="str">
        <f t="shared" si="85"/>
        <v/>
      </c>
      <c r="DF21" s="508" t="str">
        <f t="shared" si="86"/>
        <v/>
      </c>
      <c r="DG21" s="508" t="str">
        <f t="shared" si="87"/>
        <v/>
      </c>
      <c r="DH21" s="508" t="str">
        <f t="shared" si="88"/>
        <v/>
      </c>
      <c r="DI21" s="508" t="str">
        <f t="shared" si="89"/>
        <v/>
      </c>
      <c r="DJ21" s="508" t="str">
        <f t="shared" si="90"/>
        <v/>
      </c>
      <c r="DK21" s="508" t="str">
        <f t="shared" si="91"/>
        <v/>
      </c>
      <c r="DL21" s="508" t="str">
        <f t="shared" si="92"/>
        <v/>
      </c>
      <c r="DM21" s="508" t="str">
        <f t="shared" si="93"/>
        <v/>
      </c>
      <c r="DN21" s="508" t="str">
        <f t="shared" si="94"/>
        <v/>
      </c>
      <c r="DO21" s="508" t="str">
        <f t="shared" si="95"/>
        <v/>
      </c>
      <c r="DP21" s="508" t="str">
        <f t="shared" si="96"/>
        <v/>
      </c>
      <c r="DQ21" s="508" t="str">
        <f t="shared" si="97"/>
        <v/>
      </c>
      <c r="DR21" s="508" t="str">
        <f t="shared" si="98"/>
        <v/>
      </c>
      <c r="DS21" s="508" t="str">
        <f t="shared" si="99"/>
        <v/>
      </c>
      <c r="DT21" s="508" t="str">
        <f t="shared" si="100"/>
        <v/>
      </c>
      <c r="DU21" s="508" t="str">
        <f t="shared" si="101"/>
        <v/>
      </c>
      <c r="DV21" s="508" t="str">
        <f t="shared" si="102"/>
        <v/>
      </c>
      <c r="DW21" s="508" t="str">
        <f t="shared" si="103"/>
        <v/>
      </c>
      <c r="DX21" s="508" t="str">
        <f t="shared" si="104"/>
        <v/>
      </c>
      <c r="DY21" s="508" t="str">
        <f t="shared" si="105"/>
        <v/>
      </c>
      <c r="DZ21" s="508" t="str">
        <f t="shared" si="106"/>
        <v/>
      </c>
      <c r="EA21" s="508" t="str">
        <f t="shared" si="107"/>
        <v/>
      </c>
      <c r="EB21" s="508" t="str">
        <f t="shared" si="108"/>
        <v/>
      </c>
      <c r="EC21" s="508" t="str">
        <f t="shared" si="109"/>
        <v/>
      </c>
      <c r="ED21" s="508" t="str">
        <f t="shared" si="110"/>
        <v/>
      </c>
      <c r="EE21" s="508" t="str">
        <f t="shared" si="111"/>
        <v/>
      </c>
      <c r="EF21" s="508" t="str">
        <f t="shared" si="112"/>
        <v/>
      </c>
      <c r="EG21" s="508" t="str">
        <f t="shared" si="113"/>
        <v/>
      </c>
      <c r="EH21" s="508" t="str">
        <f t="shared" si="114"/>
        <v/>
      </c>
      <c r="EI21" s="508" t="str">
        <f t="shared" si="115"/>
        <v/>
      </c>
      <c r="EJ21" s="508" t="str">
        <f t="shared" si="116"/>
        <v/>
      </c>
      <c r="EK21" s="508" t="str">
        <f t="shared" si="117"/>
        <v/>
      </c>
      <c r="EL21" s="508" t="str">
        <f t="shared" si="118"/>
        <v/>
      </c>
      <c r="EM21" s="508" t="str">
        <f t="shared" si="119"/>
        <v/>
      </c>
      <c r="EN21" s="508" t="str">
        <f t="shared" si="120"/>
        <v/>
      </c>
      <c r="EO21" s="508" t="str">
        <f t="shared" si="121"/>
        <v/>
      </c>
      <c r="EP21" s="508" t="str">
        <f t="shared" si="122"/>
        <v/>
      </c>
      <c r="EQ21" s="508" t="str">
        <f t="shared" si="123"/>
        <v/>
      </c>
      <c r="ER21" s="508" t="str">
        <f t="shared" si="124"/>
        <v/>
      </c>
      <c r="ES21" s="508" t="str">
        <f t="shared" si="125"/>
        <v/>
      </c>
      <c r="ET21" s="508" t="str">
        <f t="shared" si="126"/>
        <v/>
      </c>
      <c r="EU21" s="508" t="str">
        <f t="shared" si="127"/>
        <v/>
      </c>
      <c r="EV21" s="518" t="str">
        <f t="shared" si="128"/>
        <v/>
      </c>
      <c r="EW21" s="518" t="str">
        <f t="shared" si="129"/>
        <v/>
      </c>
      <c r="EX21" s="518" t="str">
        <f t="shared" si="130"/>
        <v/>
      </c>
      <c r="EY21" s="518" t="str">
        <f t="shared" si="131"/>
        <v/>
      </c>
      <c r="EZ21" s="518" t="str">
        <f t="shared" si="132"/>
        <v/>
      </c>
      <c r="FA21" s="518" t="str">
        <f t="shared" si="133"/>
        <v/>
      </c>
      <c r="FB21" s="518" t="str">
        <f t="shared" si="134"/>
        <v/>
      </c>
      <c r="FC21" s="518" t="str">
        <f t="shared" si="135"/>
        <v/>
      </c>
      <c r="FD21" s="518" t="str">
        <f t="shared" si="136"/>
        <v/>
      </c>
      <c r="FE21" s="518" t="str">
        <f t="shared" si="137"/>
        <v/>
      </c>
      <c r="FF21" s="518" t="str">
        <f t="shared" si="138"/>
        <v/>
      </c>
      <c r="FG21" s="518" t="str">
        <f t="shared" si="139"/>
        <v/>
      </c>
      <c r="FH21" s="518" t="str">
        <f t="shared" si="140"/>
        <v/>
      </c>
      <c r="FI21" s="518" t="str">
        <f t="shared" si="141"/>
        <v/>
      </c>
      <c r="FJ21" s="518" t="str">
        <f t="shared" si="142"/>
        <v/>
      </c>
      <c r="FK21" s="518" t="str">
        <f t="shared" si="143"/>
        <v/>
      </c>
      <c r="FL21" s="518" t="str">
        <f t="shared" si="144"/>
        <v/>
      </c>
      <c r="FM21" s="518" t="str">
        <f t="shared" si="145"/>
        <v/>
      </c>
      <c r="FN21" s="518" t="str">
        <f t="shared" si="146"/>
        <v/>
      </c>
      <c r="FO21" s="518" t="str">
        <f t="shared" si="147"/>
        <v/>
      </c>
      <c r="FP21" s="518" t="str">
        <f t="shared" si="148"/>
        <v/>
      </c>
      <c r="FQ21" s="518" t="str">
        <f t="shared" si="149"/>
        <v/>
      </c>
      <c r="FR21" s="518" t="str">
        <f t="shared" si="150"/>
        <v/>
      </c>
      <c r="FS21" s="518" t="str">
        <f t="shared" si="151"/>
        <v/>
      </c>
      <c r="FT21" s="518" t="str">
        <f t="shared" si="152"/>
        <v/>
      </c>
      <c r="FU21" s="518" t="str">
        <f t="shared" si="153"/>
        <v/>
      </c>
      <c r="FV21" s="518" t="str">
        <f t="shared" si="154"/>
        <v/>
      </c>
      <c r="FW21" s="518" t="str">
        <f t="shared" si="155"/>
        <v/>
      </c>
      <c r="FX21" s="518" t="str">
        <f t="shared" si="156"/>
        <v/>
      </c>
      <c r="FY21" s="518" t="str">
        <f t="shared" si="157"/>
        <v/>
      </c>
      <c r="FZ21" s="518" t="str">
        <f t="shared" si="158"/>
        <v/>
      </c>
      <c r="GA21" s="518" t="str">
        <f t="shared" si="159"/>
        <v/>
      </c>
      <c r="GB21" s="518" t="str">
        <f t="shared" si="160"/>
        <v/>
      </c>
      <c r="GC21" s="518" t="str">
        <f t="shared" si="161"/>
        <v/>
      </c>
      <c r="GD21" s="518" t="str">
        <f t="shared" si="162"/>
        <v/>
      </c>
      <c r="GE21" s="518" t="str">
        <f t="shared" si="163"/>
        <v/>
      </c>
      <c r="GF21" s="518" t="str">
        <f t="shared" si="164"/>
        <v/>
      </c>
      <c r="GG21" s="518" t="str">
        <f t="shared" si="165"/>
        <v/>
      </c>
      <c r="GH21" s="518" t="str">
        <f t="shared" si="166"/>
        <v/>
      </c>
      <c r="GI21" s="518" t="str">
        <f t="shared" si="167"/>
        <v/>
      </c>
      <c r="GJ21" s="518" t="str">
        <f t="shared" si="168"/>
        <v/>
      </c>
      <c r="GK21" s="518" t="str">
        <f t="shared" si="169"/>
        <v/>
      </c>
      <c r="GL21" s="518" t="str">
        <f t="shared" si="170"/>
        <v/>
      </c>
      <c r="GM21" s="518" t="str">
        <f t="shared" si="171"/>
        <v/>
      </c>
      <c r="GN21" s="518" t="str">
        <f t="shared" si="172"/>
        <v/>
      </c>
      <c r="GO21" s="518" t="str">
        <f t="shared" si="173"/>
        <v/>
      </c>
      <c r="GP21" s="518" t="str">
        <f t="shared" si="174"/>
        <v/>
      </c>
      <c r="GQ21" s="518" t="str">
        <f t="shared" si="175"/>
        <v/>
      </c>
      <c r="GR21" s="518" t="str">
        <f t="shared" si="176"/>
        <v/>
      </c>
      <c r="GS21" s="518" t="str">
        <f t="shared" si="177"/>
        <v/>
      </c>
      <c r="GT21" s="518" t="str">
        <f t="shared" si="178"/>
        <v/>
      </c>
      <c r="GU21" s="518" t="str">
        <f t="shared" si="179"/>
        <v/>
      </c>
      <c r="GV21" s="518" t="str">
        <f t="shared" si="180"/>
        <v/>
      </c>
      <c r="GW21" s="518" t="str">
        <f t="shared" si="181"/>
        <v/>
      </c>
      <c r="GX21" s="518" t="str">
        <f t="shared" si="182"/>
        <v/>
      </c>
      <c r="GY21" s="518" t="str">
        <f t="shared" si="183"/>
        <v/>
      </c>
      <c r="GZ21" s="518" t="str">
        <f t="shared" si="184"/>
        <v/>
      </c>
      <c r="HA21" s="518" t="str">
        <f t="shared" si="185"/>
        <v/>
      </c>
      <c r="HB21" s="518" t="str">
        <f t="shared" si="186"/>
        <v/>
      </c>
      <c r="HC21" s="518" t="str">
        <f t="shared" si="187"/>
        <v/>
      </c>
      <c r="HD21" s="518" t="str">
        <f t="shared" si="188"/>
        <v/>
      </c>
      <c r="HE21" s="518" t="str">
        <f t="shared" si="189"/>
        <v/>
      </c>
      <c r="HF21" s="518" t="str">
        <f t="shared" si="190"/>
        <v/>
      </c>
      <c r="HG21" s="518" t="str">
        <f t="shared" si="191"/>
        <v/>
      </c>
      <c r="HH21" s="518" t="str">
        <f t="shared" si="192"/>
        <v/>
      </c>
      <c r="HI21" s="518" t="str">
        <f t="shared" si="193"/>
        <v/>
      </c>
      <c r="HJ21" s="518" t="str">
        <f t="shared" si="194"/>
        <v/>
      </c>
      <c r="HK21" s="518" t="str">
        <f t="shared" si="195"/>
        <v/>
      </c>
      <c r="HL21" s="518" t="str">
        <f t="shared" si="196"/>
        <v/>
      </c>
      <c r="HM21" s="518" t="str">
        <f t="shared" si="197"/>
        <v/>
      </c>
      <c r="HN21" s="518" t="str">
        <f t="shared" si="198"/>
        <v/>
      </c>
      <c r="HO21" s="518" t="str">
        <f t="shared" si="199"/>
        <v/>
      </c>
      <c r="HP21" s="518" t="str">
        <f t="shared" si="200"/>
        <v/>
      </c>
      <c r="HQ21" s="518" t="str">
        <f t="shared" si="201"/>
        <v/>
      </c>
      <c r="HR21" s="518" t="str">
        <f t="shared" si="202"/>
        <v/>
      </c>
      <c r="HS21" s="518" t="str">
        <f t="shared" si="203"/>
        <v/>
      </c>
      <c r="HT21" s="518" t="str">
        <f t="shared" si="204"/>
        <v/>
      </c>
      <c r="HU21" s="518" t="str">
        <f t="shared" si="205"/>
        <v/>
      </c>
      <c r="HV21" s="518" t="str">
        <f t="shared" si="206"/>
        <v/>
      </c>
      <c r="HW21" s="518" t="str">
        <f t="shared" si="207"/>
        <v/>
      </c>
      <c r="HX21" s="518" t="str">
        <f t="shared" si="208"/>
        <v/>
      </c>
      <c r="HY21" s="518" t="str">
        <f t="shared" si="209"/>
        <v/>
      </c>
      <c r="HZ21" s="518" t="str">
        <f t="shared" si="210"/>
        <v/>
      </c>
      <c r="IA21" s="518" t="str">
        <f t="shared" si="211"/>
        <v/>
      </c>
      <c r="IB21" s="518" t="str">
        <f t="shared" si="212"/>
        <v/>
      </c>
      <c r="IC21" s="519" t="str">
        <f t="shared" si="213"/>
        <v/>
      </c>
      <c r="ID21" s="519" t="str">
        <f t="shared" si="214"/>
        <v/>
      </c>
      <c r="IE21" s="519" t="str">
        <f t="shared" si="215"/>
        <v/>
      </c>
      <c r="IF21" s="519" t="str">
        <f t="shared" si="216"/>
        <v/>
      </c>
      <c r="IG21" s="519" t="str">
        <f t="shared" si="217"/>
        <v/>
      </c>
      <c r="IH21" s="508" t="str">
        <f t="shared" si="218"/>
        <v/>
      </c>
      <c r="II21" s="508" t="str">
        <f t="shared" si="219"/>
        <v/>
      </c>
      <c r="IJ21" s="508" t="str">
        <f t="shared" si="220"/>
        <v/>
      </c>
      <c r="IK21" s="508" t="str">
        <f t="shared" si="221"/>
        <v/>
      </c>
      <c r="IL21" s="508" t="str">
        <f t="shared" si="222"/>
        <v/>
      </c>
      <c r="IM21" s="508" t="str">
        <f t="shared" si="223"/>
        <v/>
      </c>
      <c r="IN21" s="508" t="str">
        <f t="shared" si="224"/>
        <v/>
      </c>
      <c r="IO21" s="508" t="str">
        <f t="shared" si="225"/>
        <v/>
      </c>
      <c r="IP21" s="508" t="str">
        <f t="shared" si="226"/>
        <v/>
      </c>
      <c r="IQ21" s="508" t="str">
        <f t="shared" si="227"/>
        <v/>
      </c>
      <c r="IR21" s="508" t="str">
        <f t="shared" si="228"/>
        <v/>
      </c>
      <c r="IS21" s="508" t="str">
        <f t="shared" si="229"/>
        <v/>
      </c>
      <c r="IT21" s="508" t="str">
        <f t="shared" si="230"/>
        <v/>
      </c>
      <c r="IU21" s="508" t="str">
        <f t="shared" si="231"/>
        <v/>
      </c>
      <c r="IV21" s="508" t="str">
        <f t="shared" si="232"/>
        <v/>
      </c>
      <c r="IW21" s="508" t="str">
        <f t="shared" si="233"/>
        <v/>
      </c>
      <c r="IX21" s="508" t="str">
        <f t="shared" si="234"/>
        <v/>
      </c>
      <c r="IY21" s="508" t="str">
        <f t="shared" si="235"/>
        <v/>
      </c>
      <c r="IZ21" s="508" t="str">
        <f t="shared" si="236"/>
        <v/>
      </c>
      <c r="JA21" s="508" t="str">
        <f t="shared" si="237"/>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67" t="s">
        <v>1859</v>
      </c>
      <c r="C22" s="2368"/>
      <c r="D22" s="2369"/>
      <c r="E22" s="2370"/>
      <c r="F22" s="2370"/>
      <c r="G22" s="2370"/>
      <c r="H22" s="2370"/>
      <c r="I22" s="2370"/>
      <c r="J22" s="2371"/>
      <c r="K22" s="861">
        <f t="shared" si="1"/>
        <v>0</v>
      </c>
      <c r="L22" s="861">
        <f t="shared" si="2"/>
        <v>0</v>
      </c>
      <c r="M22" s="2372"/>
      <c r="N22" s="2372"/>
      <c r="O22" s="2372"/>
      <c r="P22" s="2372"/>
      <c r="Q22" s="472" t="str">
        <f>IF(H22="","",P22/($O$6*VLOOKUP(C22,'DCA Underwriting Assumptions'!$J$118:$K$123,2,FALSE)))</f>
        <v/>
      </c>
      <c r="R22" s="547"/>
      <c r="S22" s="472"/>
      <c r="T22" s="2306"/>
      <c r="U22" s="2307"/>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238"/>
        <v/>
      </c>
      <c r="BU22" s="508" t="str">
        <f t="shared" si="239"/>
        <v/>
      </c>
      <c r="BV22" s="508" t="str">
        <f t="shared" si="240"/>
        <v/>
      </c>
      <c r="BW22" s="508" t="str">
        <f t="shared" si="241"/>
        <v/>
      </c>
      <c r="BX22" s="508" t="str">
        <f t="shared" si="242"/>
        <v/>
      </c>
      <c r="BY22" s="508" t="str">
        <f t="shared" si="53"/>
        <v/>
      </c>
      <c r="BZ22" s="508" t="str">
        <f t="shared" si="54"/>
        <v/>
      </c>
      <c r="CA22" s="508" t="str">
        <f t="shared" si="55"/>
        <v/>
      </c>
      <c r="CB22" s="508" t="str">
        <f t="shared" si="56"/>
        <v/>
      </c>
      <c r="CC22" s="508" t="str">
        <f t="shared" si="57"/>
        <v/>
      </c>
      <c r="CD22" s="508" t="str">
        <f t="shared" si="58"/>
        <v/>
      </c>
      <c r="CE22" s="508" t="str">
        <f t="shared" si="59"/>
        <v/>
      </c>
      <c r="CF22" s="508" t="str">
        <f t="shared" si="60"/>
        <v/>
      </c>
      <c r="CG22" s="508" t="str">
        <f t="shared" si="61"/>
        <v/>
      </c>
      <c r="CH22" s="508" t="str">
        <f t="shared" si="62"/>
        <v/>
      </c>
      <c r="CI22" s="508" t="str">
        <f t="shared" si="63"/>
        <v/>
      </c>
      <c r="CJ22" s="508" t="str">
        <f t="shared" si="64"/>
        <v/>
      </c>
      <c r="CK22" s="508" t="str">
        <f t="shared" si="65"/>
        <v/>
      </c>
      <c r="CL22" s="508" t="str">
        <f t="shared" si="66"/>
        <v/>
      </c>
      <c r="CM22" s="508" t="str">
        <f t="shared" si="67"/>
        <v/>
      </c>
      <c r="CN22" s="508" t="str">
        <f t="shared" si="68"/>
        <v/>
      </c>
      <c r="CO22" s="508" t="str">
        <f t="shared" si="69"/>
        <v/>
      </c>
      <c r="CP22" s="508" t="str">
        <f t="shared" si="70"/>
        <v/>
      </c>
      <c r="CQ22" s="508" t="str">
        <f t="shared" si="71"/>
        <v/>
      </c>
      <c r="CR22" s="508" t="str">
        <f t="shared" si="72"/>
        <v/>
      </c>
      <c r="CS22" s="508" t="str">
        <f t="shared" si="73"/>
        <v/>
      </c>
      <c r="CT22" s="508" t="str">
        <f t="shared" si="74"/>
        <v/>
      </c>
      <c r="CU22" s="508" t="str">
        <f t="shared" si="75"/>
        <v/>
      </c>
      <c r="CV22" s="508" t="str">
        <f t="shared" si="76"/>
        <v/>
      </c>
      <c r="CW22" s="508" t="str">
        <f t="shared" si="77"/>
        <v/>
      </c>
      <c r="CX22" s="508" t="str">
        <f t="shared" si="78"/>
        <v/>
      </c>
      <c r="CY22" s="508" t="str">
        <f t="shared" si="79"/>
        <v/>
      </c>
      <c r="CZ22" s="508" t="str">
        <f t="shared" si="80"/>
        <v/>
      </c>
      <c r="DA22" s="508" t="str">
        <f t="shared" si="81"/>
        <v/>
      </c>
      <c r="DB22" s="508" t="str">
        <f t="shared" si="82"/>
        <v/>
      </c>
      <c r="DC22" s="508" t="str">
        <f t="shared" si="83"/>
        <v/>
      </c>
      <c r="DD22" s="508" t="str">
        <f t="shared" si="84"/>
        <v/>
      </c>
      <c r="DE22" s="508" t="str">
        <f t="shared" si="85"/>
        <v/>
      </c>
      <c r="DF22" s="508" t="str">
        <f t="shared" si="86"/>
        <v/>
      </c>
      <c r="DG22" s="508" t="str">
        <f t="shared" si="87"/>
        <v/>
      </c>
      <c r="DH22" s="508" t="str">
        <f t="shared" si="88"/>
        <v/>
      </c>
      <c r="DI22" s="508" t="str">
        <f t="shared" si="89"/>
        <v/>
      </c>
      <c r="DJ22" s="508" t="str">
        <f t="shared" si="90"/>
        <v/>
      </c>
      <c r="DK22" s="508" t="str">
        <f t="shared" si="91"/>
        <v/>
      </c>
      <c r="DL22" s="508" t="str">
        <f t="shared" si="92"/>
        <v/>
      </c>
      <c r="DM22" s="508" t="str">
        <f t="shared" si="93"/>
        <v/>
      </c>
      <c r="DN22" s="508" t="str">
        <f t="shared" si="94"/>
        <v/>
      </c>
      <c r="DO22" s="508" t="str">
        <f t="shared" si="95"/>
        <v/>
      </c>
      <c r="DP22" s="508" t="str">
        <f t="shared" si="96"/>
        <v/>
      </c>
      <c r="DQ22" s="508" t="str">
        <f t="shared" si="97"/>
        <v/>
      </c>
      <c r="DR22" s="508" t="str">
        <f t="shared" si="98"/>
        <v/>
      </c>
      <c r="DS22" s="508" t="str">
        <f t="shared" si="99"/>
        <v/>
      </c>
      <c r="DT22" s="508" t="str">
        <f t="shared" si="100"/>
        <v/>
      </c>
      <c r="DU22" s="508" t="str">
        <f t="shared" si="101"/>
        <v/>
      </c>
      <c r="DV22" s="508" t="str">
        <f t="shared" si="102"/>
        <v/>
      </c>
      <c r="DW22" s="508" t="str">
        <f t="shared" si="103"/>
        <v/>
      </c>
      <c r="DX22" s="508" t="str">
        <f t="shared" si="104"/>
        <v/>
      </c>
      <c r="DY22" s="508" t="str">
        <f t="shared" si="105"/>
        <v/>
      </c>
      <c r="DZ22" s="508" t="str">
        <f t="shared" si="106"/>
        <v/>
      </c>
      <c r="EA22" s="508" t="str">
        <f t="shared" si="107"/>
        <v/>
      </c>
      <c r="EB22" s="508" t="str">
        <f t="shared" si="108"/>
        <v/>
      </c>
      <c r="EC22" s="508" t="str">
        <f t="shared" si="109"/>
        <v/>
      </c>
      <c r="ED22" s="508" t="str">
        <f t="shared" si="110"/>
        <v/>
      </c>
      <c r="EE22" s="508" t="str">
        <f t="shared" si="111"/>
        <v/>
      </c>
      <c r="EF22" s="508" t="str">
        <f t="shared" si="112"/>
        <v/>
      </c>
      <c r="EG22" s="508" t="str">
        <f t="shared" si="113"/>
        <v/>
      </c>
      <c r="EH22" s="508" t="str">
        <f t="shared" si="114"/>
        <v/>
      </c>
      <c r="EI22" s="508" t="str">
        <f t="shared" si="115"/>
        <v/>
      </c>
      <c r="EJ22" s="508" t="str">
        <f t="shared" si="116"/>
        <v/>
      </c>
      <c r="EK22" s="508" t="str">
        <f t="shared" si="117"/>
        <v/>
      </c>
      <c r="EL22" s="508" t="str">
        <f t="shared" si="118"/>
        <v/>
      </c>
      <c r="EM22" s="508" t="str">
        <f t="shared" si="119"/>
        <v/>
      </c>
      <c r="EN22" s="508" t="str">
        <f t="shared" si="120"/>
        <v/>
      </c>
      <c r="EO22" s="508" t="str">
        <f t="shared" si="121"/>
        <v/>
      </c>
      <c r="EP22" s="508" t="str">
        <f t="shared" si="122"/>
        <v/>
      </c>
      <c r="EQ22" s="508" t="str">
        <f t="shared" si="123"/>
        <v/>
      </c>
      <c r="ER22" s="508" t="str">
        <f t="shared" si="124"/>
        <v/>
      </c>
      <c r="ES22" s="508" t="str">
        <f t="shared" si="125"/>
        <v/>
      </c>
      <c r="ET22" s="508" t="str">
        <f t="shared" si="126"/>
        <v/>
      </c>
      <c r="EU22" s="508" t="str">
        <f t="shared" si="127"/>
        <v/>
      </c>
      <c r="EV22" s="518" t="str">
        <f t="shared" si="128"/>
        <v/>
      </c>
      <c r="EW22" s="518" t="str">
        <f t="shared" si="129"/>
        <v/>
      </c>
      <c r="EX22" s="518" t="str">
        <f t="shared" si="130"/>
        <v/>
      </c>
      <c r="EY22" s="518" t="str">
        <f t="shared" si="131"/>
        <v/>
      </c>
      <c r="EZ22" s="518" t="str">
        <f t="shared" si="132"/>
        <v/>
      </c>
      <c r="FA22" s="518" t="str">
        <f t="shared" si="133"/>
        <v/>
      </c>
      <c r="FB22" s="518" t="str">
        <f t="shared" si="134"/>
        <v/>
      </c>
      <c r="FC22" s="518" t="str">
        <f t="shared" si="135"/>
        <v/>
      </c>
      <c r="FD22" s="518" t="str">
        <f t="shared" si="136"/>
        <v/>
      </c>
      <c r="FE22" s="518" t="str">
        <f t="shared" si="137"/>
        <v/>
      </c>
      <c r="FF22" s="518" t="str">
        <f t="shared" si="138"/>
        <v/>
      </c>
      <c r="FG22" s="518" t="str">
        <f t="shared" si="139"/>
        <v/>
      </c>
      <c r="FH22" s="518" t="str">
        <f t="shared" si="140"/>
        <v/>
      </c>
      <c r="FI22" s="518" t="str">
        <f t="shared" si="141"/>
        <v/>
      </c>
      <c r="FJ22" s="518" t="str">
        <f t="shared" si="142"/>
        <v/>
      </c>
      <c r="FK22" s="518" t="str">
        <f t="shared" si="143"/>
        <v/>
      </c>
      <c r="FL22" s="518" t="str">
        <f t="shared" si="144"/>
        <v/>
      </c>
      <c r="FM22" s="518" t="str">
        <f t="shared" si="145"/>
        <v/>
      </c>
      <c r="FN22" s="518" t="str">
        <f t="shared" si="146"/>
        <v/>
      </c>
      <c r="FO22" s="518" t="str">
        <f t="shared" si="147"/>
        <v/>
      </c>
      <c r="FP22" s="518" t="str">
        <f t="shared" si="148"/>
        <v/>
      </c>
      <c r="FQ22" s="518" t="str">
        <f t="shared" si="149"/>
        <v/>
      </c>
      <c r="FR22" s="518" t="str">
        <f t="shared" si="150"/>
        <v/>
      </c>
      <c r="FS22" s="518" t="str">
        <f t="shared" si="151"/>
        <v/>
      </c>
      <c r="FT22" s="518" t="str">
        <f t="shared" si="152"/>
        <v/>
      </c>
      <c r="FU22" s="518" t="str">
        <f t="shared" si="153"/>
        <v/>
      </c>
      <c r="FV22" s="518" t="str">
        <f t="shared" si="154"/>
        <v/>
      </c>
      <c r="FW22" s="518" t="str">
        <f t="shared" si="155"/>
        <v/>
      </c>
      <c r="FX22" s="518" t="str">
        <f t="shared" si="156"/>
        <v/>
      </c>
      <c r="FY22" s="518" t="str">
        <f t="shared" si="157"/>
        <v/>
      </c>
      <c r="FZ22" s="518" t="str">
        <f t="shared" si="158"/>
        <v/>
      </c>
      <c r="GA22" s="518" t="str">
        <f t="shared" si="159"/>
        <v/>
      </c>
      <c r="GB22" s="518" t="str">
        <f t="shared" si="160"/>
        <v/>
      </c>
      <c r="GC22" s="518" t="str">
        <f t="shared" si="161"/>
        <v/>
      </c>
      <c r="GD22" s="518" t="str">
        <f t="shared" si="162"/>
        <v/>
      </c>
      <c r="GE22" s="518" t="str">
        <f t="shared" si="163"/>
        <v/>
      </c>
      <c r="GF22" s="518" t="str">
        <f t="shared" si="164"/>
        <v/>
      </c>
      <c r="GG22" s="518" t="str">
        <f t="shared" si="165"/>
        <v/>
      </c>
      <c r="GH22" s="518" t="str">
        <f t="shared" si="166"/>
        <v/>
      </c>
      <c r="GI22" s="518" t="str">
        <f t="shared" si="167"/>
        <v/>
      </c>
      <c r="GJ22" s="518" t="str">
        <f t="shared" si="168"/>
        <v/>
      </c>
      <c r="GK22" s="518" t="str">
        <f t="shared" si="169"/>
        <v/>
      </c>
      <c r="GL22" s="518" t="str">
        <f t="shared" si="170"/>
        <v/>
      </c>
      <c r="GM22" s="518" t="str">
        <f t="shared" si="171"/>
        <v/>
      </c>
      <c r="GN22" s="518" t="str">
        <f t="shared" si="172"/>
        <v/>
      </c>
      <c r="GO22" s="518" t="str">
        <f t="shared" si="173"/>
        <v/>
      </c>
      <c r="GP22" s="518" t="str">
        <f t="shared" si="174"/>
        <v/>
      </c>
      <c r="GQ22" s="518" t="str">
        <f t="shared" si="175"/>
        <v/>
      </c>
      <c r="GR22" s="518" t="str">
        <f t="shared" si="176"/>
        <v/>
      </c>
      <c r="GS22" s="518" t="str">
        <f t="shared" si="177"/>
        <v/>
      </c>
      <c r="GT22" s="518" t="str">
        <f t="shared" si="178"/>
        <v/>
      </c>
      <c r="GU22" s="518" t="str">
        <f t="shared" si="179"/>
        <v/>
      </c>
      <c r="GV22" s="518" t="str">
        <f t="shared" si="180"/>
        <v/>
      </c>
      <c r="GW22" s="518" t="str">
        <f t="shared" si="181"/>
        <v/>
      </c>
      <c r="GX22" s="518" t="str">
        <f t="shared" si="182"/>
        <v/>
      </c>
      <c r="GY22" s="518" t="str">
        <f t="shared" si="183"/>
        <v/>
      </c>
      <c r="GZ22" s="518" t="str">
        <f t="shared" si="184"/>
        <v/>
      </c>
      <c r="HA22" s="518" t="str">
        <f t="shared" si="185"/>
        <v/>
      </c>
      <c r="HB22" s="518" t="str">
        <f t="shared" si="186"/>
        <v/>
      </c>
      <c r="HC22" s="518" t="str">
        <f t="shared" si="187"/>
        <v/>
      </c>
      <c r="HD22" s="518" t="str">
        <f t="shared" si="188"/>
        <v/>
      </c>
      <c r="HE22" s="518" t="str">
        <f t="shared" si="189"/>
        <v/>
      </c>
      <c r="HF22" s="518" t="str">
        <f t="shared" si="190"/>
        <v/>
      </c>
      <c r="HG22" s="518" t="str">
        <f t="shared" si="191"/>
        <v/>
      </c>
      <c r="HH22" s="518" t="str">
        <f t="shared" si="192"/>
        <v/>
      </c>
      <c r="HI22" s="518" t="str">
        <f t="shared" si="193"/>
        <v/>
      </c>
      <c r="HJ22" s="518" t="str">
        <f t="shared" si="194"/>
        <v/>
      </c>
      <c r="HK22" s="518" t="str">
        <f t="shared" si="195"/>
        <v/>
      </c>
      <c r="HL22" s="518" t="str">
        <f t="shared" si="196"/>
        <v/>
      </c>
      <c r="HM22" s="518" t="str">
        <f t="shared" si="197"/>
        <v/>
      </c>
      <c r="HN22" s="518" t="str">
        <f t="shared" si="198"/>
        <v/>
      </c>
      <c r="HO22" s="518" t="str">
        <f t="shared" si="199"/>
        <v/>
      </c>
      <c r="HP22" s="518" t="str">
        <f t="shared" si="200"/>
        <v/>
      </c>
      <c r="HQ22" s="518" t="str">
        <f t="shared" si="201"/>
        <v/>
      </c>
      <c r="HR22" s="518" t="str">
        <f t="shared" si="202"/>
        <v/>
      </c>
      <c r="HS22" s="518" t="str">
        <f t="shared" si="203"/>
        <v/>
      </c>
      <c r="HT22" s="518" t="str">
        <f t="shared" si="204"/>
        <v/>
      </c>
      <c r="HU22" s="518" t="str">
        <f t="shared" si="205"/>
        <v/>
      </c>
      <c r="HV22" s="518" t="str">
        <f t="shared" si="206"/>
        <v/>
      </c>
      <c r="HW22" s="518" t="str">
        <f t="shared" si="207"/>
        <v/>
      </c>
      <c r="HX22" s="518" t="str">
        <f t="shared" si="208"/>
        <v/>
      </c>
      <c r="HY22" s="518" t="str">
        <f t="shared" si="209"/>
        <v/>
      </c>
      <c r="HZ22" s="518" t="str">
        <f t="shared" si="210"/>
        <v/>
      </c>
      <c r="IA22" s="518" t="str">
        <f t="shared" si="211"/>
        <v/>
      </c>
      <c r="IB22" s="518" t="str">
        <f t="shared" si="212"/>
        <v/>
      </c>
      <c r="IC22" s="519" t="str">
        <f t="shared" si="213"/>
        <v/>
      </c>
      <c r="ID22" s="519" t="str">
        <f t="shared" si="214"/>
        <v/>
      </c>
      <c r="IE22" s="519" t="str">
        <f t="shared" si="215"/>
        <v/>
      </c>
      <c r="IF22" s="519" t="str">
        <f t="shared" si="216"/>
        <v/>
      </c>
      <c r="IG22" s="519" t="str">
        <f t="shared" si="217"/>
        <v/>
      </c>
      <c r="IH22" s="508" t="str">
        <f t="shared" si="218"/>
        <v/>
      </c>
      <c r="II22" s="508" t="str">
        <f t="shared" si="219"/>
        <v/>
      </c>
      <c r="IJ22" s="508" t="str">
        <f t="shared" si="220"/>
        <v/>
      </c>
      <c r="IK22" s="508" t="str">
        <f t="shared" si="221"/>
        <v/>
      </c>
      <c r="IL22" s="508" t="str">
        <f t="shared" si="222"/>
        <v/>
      </c>
      <c r="IM22" s="508" t="str">
        <f t="shared" si="223"/>
        <v/>
      </c>
      <c r="IN22" s="508" t="str">
        <f t="shared" si="224"/>
        <v/>
      </c>
      <c r="IO22" s="508" t="str">
        <f t="shared" si="225"/>
        <v/>
      </c>
      <c r="IP22" s="508" t="str">
        <f t="shared" si="226"/>
        <v/>
      </c>
      <c r="IQ22" s="508" t="str">
        <f t="shared" si="227"/>
        <v/>
      </c>
      <c r="IR22" s="508" t="str">
        <f t="shared" si="228"/>
        <v/>
      </c>
      <c r="IS22" s="508" t="str">
        <f t="shared" si="229"/>
        <v/>
      </c>
      <c r="IT22" s="508" t="str">
        <f t="shared" si="230"/>
        <v/>
      </c>
      <c r="IU22" s="508" t="str">
        <f t="shared" si="231"/>
        <v/>
      </c>
      <c r="IV22" s="508" t="str">
        <f t="shared" si="232"/>
        <v/>
      </c>
      <c r="IW22" s="508" t="str">
        <f t="shared" si="233"/>
        <v/>
      </c>
      <c r="IX22" s="508" t="str">
        <f t="shared" si="234"/>
        <v/>
      </c>
      <c r="IY22" s="508" t="str">
        <f t="shared" si="235"/>
        <v/>
      </c>
      <c r="IZ22" s="508" t="str">
        <f t="shared" si="236"/>
        <v/>
      </c>
      <c r="JA22" s="508" t="str">
        <f t="shared" si="237"/>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67" t="s">
        <v>1859</v>
      </c>
      <c r="C23" s="2368"/>
      <c r="D23" s="2369"/>
      <c r="E23" s="2370"/>
      <c r="F23" s="2370"/>
      <c r="G23" s="2370"/>
      <c r="H23" s="2370"/>
      <c r="I23" s="2370"/>
      <c r="J23" s="2371"/>
      <c r="K23" s="861">
        <f t="shared" si="1"/>
        <v>0</v>
      </c>
      <c r="L23" s="861">
        <f t="shared" si="2"/>
        <v>0</v>
      </c>
      <c r="M23" s="2372"/>
      <c r="N23" s="2372"/>
      <c r="O23" s="2372"/>
      <c r="P23" s="2372"/>
      <c r="Q23" s="472" t="str">
        <f>IF(H23="","",P23/($O$6*VLOOKUP(C23,'DCA Underwriting Assumptions'!$J$118:$K$123,2,FALSE)))</f>
        <v/>
      </c>
      <c r="R23" s="547"/>
      <c r="S23" s="472"/>
      <c r="T23" s="2306"/>
      <c r="U23" s="2307"/>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238"/>
        <v/>
      </c>
      <c r="BU23" s="508" t="str">
        <f t="shared" si="239"/>
        <v/>
      </c>
      <c r="BV23" s="508" t="str">
        <f t="shared" si="240"/>
        <v/>
      </c>
      <c r="BW23" s="508" t="str">
        <f t="shared" si="241"/>
        <v/>
      </c>
      <c r="BX23" s="508" t="str">
        <f t="shared" si="242"/>
        <v/>
      </c>
      <c r="BY23" s="508" t="str">
        <f t="shared" si="53"/>
        <v/>
      </c>
      <c r="BZ23" s="508" t="str">
        <f t="shared" si="54"/>
        <v/>
      </c>
      <c r="CA23" s="508" t="str">
        <f t="shared" si="55"/>
        <v/>
      </c>
      <c r="CB23" s="508" t="str">
        <f t="shared" si="56"/>
        <v/>
      </c>
      <c r="CC23" s="508" t="str">
        <f t="shared" si="57"/>
        <v/>
      </c>
      <c r="CD23" s="508" t="str">
        <f t="shared" si="58"/>
        <v/>
      </c>
      <c r="CE23" s="508" t="str">
        <f t="shared" si="59"/>
        <v/>
      </c>
      <c r="CF23" s="508" t="str">
        <f t="shared" si="60"/>
        <v/>
      </c>
      <c r="CG23" s="508" t="str">
        <f t="shared" si="61"/>
        <v/>
      </c>
      <c r="CH23" s="508" t="str">
        <f t="shared" si="62"/>
        <v/>
      </c>
      <c r="CI23" s="508" t="str">
        <f t="shared" si="63"/>
        <v/>
      </c>
      <c r="CJ23" s="508" t="str">
        <f t="shared" si="64"/>
        <v/>
      </c>
      <c r="CK23" s="508" t="str">
        <f t="shared" si="65"/>
        <v/>
      </c>
      <c r="CL23" s="508" t="str">
        <f t="shared" si="66"/>
        <v/>
      </c>
      <c r="CM23" s="508" t="str">
        <f t="shared" si="67"/>
        <v/>
      </c>
      <c r="CN23" s="508" t="str">
        <f t="shared" si="68"/>
        <v/>
      </c>
      <c r="CO23" s="508" t="str">
        <f t="shared" si="69"/>
        <v/>
      </c>
      <c r="CP23" s="508" t="str">
        <f t="shared" si="70"/>
        <v/>
      </c>
      <c r="CQ23" s="508" t="str">
        <f t="shared" si="71"/>
        <v/>
      </c>
      <c r="CR23" s="508" t="str">
        <f t="shared" si="72"/>
        <v/>
      </c>
      <c r="CS23" s="508" t="str">
        <f t="shared" si="73"/>
        <v/>
      </c>
      <c r="CT23" s="508" t="str">
        <f t="shared" si="74"/>
        <v/>
      </c>
      <c r="CU23" s="508" t="str">
        <f t="shared" si="75"/>
        <v/>
      </c>
      <c r="CV23" s="508" t="str">
        <f t="shared" si="76"/>
        <v/>
      </c>
      <c r="CW23" s="508" t="str">
        <f t="shared" si="77"/>
        <v/>
      </c>
      <c r="CX23" s="508" t="str">
        <f t="shared" si="78"/>
        <v/>
      </c>
      <c r="CY23" s="508" t="str">
        <f t="shared" si="79"/>
        <v/>
      </c>
      <c r="CZ23" s="508" t="str">
        <f t="shared" si="80"/>
        <v/>
      </c>
      <c r="DA23" s="508" t="str">
        <f t="shared" si="81"/>
        <v/>
      </c>
      <c r="DB23" s="508" t="str">
        <f t="shared" si="82"/>
        <v/>
      </c>
      <c r="DC23" s="508" t="str">
        <f t="shared" si="83"/>
        <v/>
      </c>
      <c r="DD23" s="508" t="str">
        <f t="shared" si="84"/>
        <v/>
      </c>
      <c r="DE23" s="508" t="str">
        <f t="shared" si="85"/>
        <v/>
      </c>
      <c r="DF23" s="508" t="str">
        <f t="shared" si="86"/>
        <v/>
      </c>
      <c r="DG23" s="508" t="str">
        <f t="shared" si="87"/>
        <v/>
      </c>
      <c r="DH23" s="508" t="str">
        <f t="shared" si="88"/>
        <v/>
      </c>
      <c r="DI23" s="508" t="str">
        <f t="shared" si="89"/>
        <v/>
      </c>
      <c r="DJ23" s="508" t="str">
        <f t="shared" si="90"/>
        <v/>
      </c>
      <c r="DK23" s="508" t="str">
        <f t="shared" si="91"/>
        <v/>
      </c>
      <c r="DL23" s="508" t="str">
        <f t="shared" si="92"/>
        <v/>
      </c>
      <c r="DM23" s="508" t="str">
        <f t="shared" si="93"/>
        <v/>
      </c>
      <c r="DN23" s="508" t="str">
        <f t="shared" si="94"/>
        <v/>
      </c>
      <c r="DO23" s="508" t="str">
        <f t="shared" si="95"/>
        <v/>
      </c>
      <c r="DP23" s="508" t="str">
        <f t="shared" si="96"/>
        <v/>
      </c>
      <c r="DQ23" s="508" t="str">
        <f t="shared" si="97"/>
        <v/>
      </c>
      <c r="DR23" s="508" t="str">
        <f t="shared" si="98"/>
        <v/>
      </c>
      <c r="DS23" s="508" t="str">
        <f t="shared" si="99"/>
        <v/>
      </c>
      <c r="DT23" s="508" t="str">
        <f t="shared" si="100"/>
        <v/>
      </c>
      <c r="DU23" s="508" t="str">
        <f t="shared" si="101"/>
        <v/>
      </c>
      <c r="DV23" s="508" t="str">
        <f t="shared" si="102"/>
        <v/>
      </c>
      <c r="DW23" s="508" t="str">
        <f t="shared" si="103"/>
        <v/>
      </c>
      <c r="DX23" s="508" t="str">
        <f t="shared" si="104"/>
        <v/>
      </c>
      <c r="DY23" s="508" t="str">
        <f t="shared" si="105"/>
        <v/>
      </c>
      <c r="DZ23" s="508" t="str">
        <f t="shared" si="106"/>
        <v/>
      </c>
      <c r="EA23" s="508" t="str">
        <f t="shared" si="107"/>
        <v/>
      </c>
      <c r="EB23" s="508" t="str">
        <f t="shared" si="108"/>
        <v/>
      </c>
      <c r="EC23" s="508" t="str">
        <f t="shared" si="109"/>
        <v/>
      </c>
      <c r="ED23" s="508" t="str">
        <f t="shared" si="110"/>
        <v/>
      </c>
      <c r="EE23" s="508" t="str">
        <f t="shared" si="111"/>
        <v/>
      </c>
      <c r="EF23" s="508" t="str">
        <f t="shared" si="112"/>
        <v/>
      </c>
      <c r="EG23" s="508" t="str">
        <f t="shared" si="113"/>
        <v/>
      </c>
      <c r="EH23" s="508" t="str">
        <f t="shared" si="114"/>
        <v/>
      </c>
      <c r="EI23" s="508" t="str">
        <f t="shared" si="115"/>
        <v/>
      </c>
      <c r="EJ23" s="508" t="str">
        <f t="shared" si="116"/>
        <v/>
      </c>
      <c r="EK23" s="508" t="str">
        <f t="shared" si="117"/>
        <v/>
      </c>
      <c r="EL23" s="508" t="str">
        <f t="shared" si="118"/>
        <v/>
      </c>
      <c r="EM23" s="508" t="str">
        <f t="shared" si="119"/>
        <v/>
      </c>
      <c r="EN23" s="508" t="str">
        <f t="shared" si="120"/>
        <v/>
      </c>
      <c r="EO23" s="508" t="str">
        <f t="shared" si="121"/>
        <v/>
      </c>
      <c r="EP23" s="508" t="str">
        <f t="shared" si="122"/>
        <v/>
      </c>
      <c r="EQ23" s="508" t="str">
        <f t="shared" si="123"/>
        <v/>
      </c>
      <c r="ER23" s="508" t="str">
        <f t="shared" si="124"/>
        <v/>
      </c>
      <c r="ES23" s="508" t="str">
        <f t="shared" si="125"/>
        <v/>
      </c>
      <c r="ET23" s="508" t="str">
        <f t="shared" si="126"/>
        <v/>
      </c>
      <c r="EU23" s="508" t="str">
        <f t="shared" si="127"/>
        <v/>
      </c>
      <c r="EV23" s="518" t="str">
        <f t="shared" si="128"/>
        <v/>
      </c>
      <c r="EW23" s="518" t="str">
        <f t="shared" si="129"/>
        <v/>
      </c>
      <c r="EX23" s="518" t="str">
        <f t="shared" si="130"/>
        <v/>
      </c>
      <c r="EY23" s="518" t="str">
        <f t="shared" si="131"/>
        <v/>
      </c>
      <c r="EZ23" s="518" t="str">
        <f t="shared" si="132"/>
        <v/>
      </c>
      <c r="FA23" s="518" t="str">
        <f t="shared" si="133"/>
        <v/>
      </c>
      <c r="FB23" s="518" t="str">
        <f t="shared" si="134"/>
        <v/>
      </c>
      <c r="FC23" s="518" t="str">
        <f t="shared" si="135"/>
        <v/>
      </c>
      <c r="FD23" s="518" t="str">
        <f t="shared" si="136"/>
        <v/>
      </c>
      <c r="FE23" s="518" t="str">
        <f t="shared" si="137"/>
        <v/>
      </c>
      <c r="FF23" s="518" t="str">
        <f t="shared" si="138"/>
        <v/>
      </c>
      <c r="FG23" s="518" t="str">
        <f t="shared" si="139"/>
        <v/>
      </c>
      <c r="FH23" s="518" t="str">
        <f t="shared" si="140"/>
        <v/>
      </c>
      <c r="FI23" s="518" t="str">
        <f t="shared" si="141"/>
        <v/>
      </c>
      <c r="FJ23" s="518" t="str">
        <f t="shared" si="142"/>
        <v/>
      </c>
      <c r="FK23" s="518" t="str">
        <f t="shared" si="143"/>
        <v/>
      </c>
      <c r="FL23" s="518" t="str">
        <f t="shared" si="144"/>
        <v/>
      </c>
      <c r="FM23" s="518" t="str">
        <f t="shared" si="145"/>
        <v/>
      </c>
      <c r="FN23" s="518" t="str">
        <f t="shared" si="146"/>
        <v/>
      </c>
      <c r="FO23" s="518" t="str">
        <f t="shared" si="147"/>
        <v/>
      </c>
      <c r="FP23" s="518" t="str">
        <f t="shared" si="148"/>
        <v/>
      </c>
      <c r="FQ23" s="518" t="str">
        <f t="shared" si="149"/>
        <v/>
      </c>
      <c r="FR23" s="518" t="str">
        <f t="shared" si="150"/>
        <v/>
      </c>
      <c r="FS23" s="518" t="str">
        <f t="shared" si="151"/>
        <v/>
      </c>
      <c r="FT23" s="518" t="str">
        <f t="shared" si="152"/>
        <v/>
      </c>
      <c r="FU23" s="518" t="str">
        <f t="shared" si="153"/>
        <v/>
      </c>
      <c r="FV23" s="518" t="str">
        <f t="shared" si="154"/>
        <v/>
      </c>
      <c r="FW23" s="518" t="str">
        <f t="shared" si="155"/>
        <v/>
      </c>
      <c r="FX23" s="518" t="str">
        <f t="shared" si="156"/>
        <v/>
      </c>
      <c r="FY23" s="518" t="str">
        <f t="shared" si="157"/>
        <v/>
      </c>
      <c r="FZ23" s="518" t="str">
        <f t="shared" si="158"/>
        <v/>
      </c>
      <c r="GA23" s="518" t="str">
        <f t="shared" si="159"/>
        <v/>
      </c>
      <c r="GB23" s="518" t="str">
        <f t="shared" si="160"/>
        <v/>
      </c>
      <c r="GC23" s="518" t="str">
        <f t="shared" si="161"/>
        <v/>
      </c>
      <c r="GD23" s="518" t="str">
        <f t="shared" si="162"/>
        <v/>
      </c>
      <c r="GE23" s="518" t="str">
        <f t="shared" si="163"/>
        <v/>
      </c>
      <c r="GF23" s="518" t="str">
        <f t="shared" si="164"/>
        <v/>
      </c>
      <c r="GG23" s="518" t="str">
        <f t="shared" si="165"/>
        <v/>
      </c>
      <c r="GH23" s="518" t="str">
        <f t="shared" si="166"/>
        <v/>
      </c>
      <c r="GI23" s="518" t="str">
        <f t="shared" si="167"/>
        <v/>
      </c>
      <c r="GJ23" s="518" t="str">
        <f t="shared" si="168"/>
        <v/>
      </c>
      <c r="GK23" s="518" t="str">
        <f t="shared" si="169"/>
        <v/>
      </c>
      <c r="GL23" s="518" t="str">
        <f t="shared" si="170"/>
        <v/>
      </c>
      <c r="GM23" s="518" t="str">
        <f t="shared" si="171"/>
        <v/>
      </c>
      <c r="GN23" s="518" t="str">
        <f t="shared" si="172"/>
        <v/>
      </c>
      <c r="GO23" s="518" t="str">
        <f t="shared" si="173"/>
        <v/>
      </c>
      <c r="GP23" s="518" t="str">
        <f t="shared" si="174"/>
        <v/>
      </c>
      <c r="GQ23" s="518" t="str">
        <f t="shared" si="175"/>
        <v/>
      </c>
      <c r="GR23" s="518" t="str">
        <f t="shared" si="176"/>
        <v/>
      </c>
      <c r="GS23" s="518" t="str">
        <f t="shared" si="177"/>
        <v/>
      </c>
      <c r="GT23" s="518" t="str">
        <f t="shared" si="178"/>
        <v/>
      </c>
      <c r="GU23" s="518" t="str">
        <f t="shared" si="179"/>
        <v/>
      </c>
      <c r="GV23" s="518" t="str">
        <f t="shared" si="180"/>
        <v/>
      </c>
      <c r="GW23" s="518" t="str">
        <f t="shared" si="181"/>
        <v/>
      </c>
      <c r="GX23" s="518" t="str">
        <f t="shared" si="182"/>
        <v/>
      </c>
      <c r="GY23" s="518" t="str">
        <f t="shared" si="183"/>
        <v/>
      </c>
      <c r="GZ23" s="518" t="str">
        <f t="shared" si="184"/>
        <v/>
      </c>
      <c r="HA23" s="518" t="str">
        <f t="shared" si="185"/>
        <v/>
      </c>
      <c r="HB23" s="518" t="str">
        <f t="shared" si="186"/>
        <v/>
      </c>
      <c r="HC23" s="518" t="str">
        <f t="shared" si="187"/>
        <v/>
      </c>
      <c r="HD23" s="518" t="str">
        <f t="shared" si="188"/>
        <v/>
      </c>
      <c r="HE23" s="518" t="str">
        <f t="shared" si="189"/>
        <v/>
      </c>
      <c r="HF23" s="518" t="str">
        <f t="shared" si="190"/>
        <v/>
      </c>
      <c r="HG23" s="518" t="str">
        <f t="shared" si="191"/>
        <v/>
      </c>
      <c r="HH23" s="518" t="str">
        <f t="shared" si="192"/>
        <v/>
      </c>
      <c r="HI23" s="518" t="str">
        <f t="shared" si="193"/>
        <v/>
      </c>
      <c r="HJ23" s="518" t="str">
        <f t="shared" si="194"/>
        <v/>
      </c>
      <c r="HK23" s="518" t="str">
        <f t="shared" si="195"/>
        <v/>
      </c>
      <c r="HL23" s="518" t="str">
        <f t="shared" si="196"/>
        <v/>
      </c>
      <c r="HM23" s="518" t="str">
        <f t="shared" si="197"/>
        <v/>
      </c>
      <c r="HN23" s="518" t="str">
        <f t="shared" si="198"/>
        <v/>
      </c>
      <c r="HO23" s="518" t="str">
        <f t="shared" si="199"/>
        <v/>
      </c>
      <c r="HP23" s="518" t="str">
        <f t="shared" si="200"/>
        <v/>
      </c>
      <c r="HQ23" s="518" t="str">
        <f t="shared" si="201"/>
        <v/>
      </c>
      <c r="HR23" s="518" t="str">
        <f t="shared" si="202"/>
        <v/>
      </c>
      <c r="HS23" s="518" t="str">
        <f t="shared" si="203"/>
        <v/>
      </c>
      <c r="HT23" s="518" t="str">
        <f t="shared" si="204"/>
        <v/>
      </c>
      <c r="HU23" s="518" t="str">
        <f t="shared" si="205"/>
        <v/>
      </c>
      <c r="HV23" s="518" t="str">
        <f t="shared" si="206"/>
        <v/>
      </c>
      <c r="HW23" s="518" t="str">
        <f t="shared" si="207"/>
        <v/>
      </c>
      <c r="HX23" s="518" t="str">
        <f t="shared" si="208"/>
        <v/>
      </c>
      <c r="HY23" s="518" t="str">
        <f t="shared" si="209"/>
        <v/>
      </c>
      <c r="HZ23" s="518" t="str">
        <f t="shared" si="210"/>
        <v/>
      </c>
      <c r="IA23" s="518" t="str">
        <f t="shared" si="211"/>
        <v/>
      </c>
      <c r="IB23" s="518" t="str">
        <f t="shared" si="212"/>
        <v/>
      </c>
      <c r="IC23" s="519" t="str">
        <f t="shared" si="213"/>
        <v/>
      </c>
      <c r="ID23" s="519" t="str">
        <f t="shared" si="214"/>
        <v/>
      </c>
      <c r="IE23" s="519" t="str">
        <f t="shared" si="215"/>
        <v/>
      </c>
      <c r="IF23" s="519" t="str">
        <f t="shared" si="216"/>
        <v/>
      </c>
      <c r="IG23" s="519" t="str">
        <f t="shared" si="217"/>
        <v/>
      </c>
      <c r="IH23" s="508" t="str">
        <f t="shared" si="218"/>
        <v/>
      </c>
      <c r="II23" s="508" t="str">
        <f t="shared" si="219"/>
        <v/>
      </c>
      <c r="IJ23" s="508" t="str">
        <f t="shared" si="220"/>
        <v/>
      </c>
      <c r="IK23" s="508" t="str">
        <f t="shared" si="221"/>
        <v/>
      </c>
      <c r="IL23" s="508" t="str">
        <f t="shared" si="222"/>
        <v/>
      </c>
      <c r="IM23" s="508" t="str">
        <f t="shared" si="223"/>
        <v/>
      </c>
      <c r="IN23" s="508" t="str">
        <f t="shared" si="224"/>
        <v/>
      </c>
      <c r="IO23" s="508" t="str">
        <f t="shared" si="225"/>
        <v/>
      </c>
      <c r="IP23" s="508" t="str">
        <f t="shared" si="226"/>
        <v/>
      </c>
      <c r="IQ23" s="508" t="str">
        <f t="shared" si="227"/>
        <v/>
      </c>
      <c r="IR23" s="508" t="str">
        <f t="shared" si="228"/>
        <v/>
      </c>
      <c r="IS23" s="508" t="str">
        <f t="shared" si="229"/>
        <v/>
      </c>
      <c r="IT23" s="508" t="str">
        <f t="shared" si="230"/>
        <v/>
      </c>
      <c r="IU23" s="508" t="str">
        <f t="shared" si="231"/>
        <v/>
      </c>
      <c r="IV23" s="508" t="str">
        <f t="shared" si="232"/>
        <v/>
      </c>
      <c r="IW23" s="508" t="str">
        <f t="shared" si="233"/>
        <v/>
      </c>
      <c r="IX23" s="508" t="str">
        <f t="shared" si="234"/>
        <v/>
      </c>
      <c r="IY23" s="508" t="str">
        <f t="shared" si="235"/>
        <v/>
      </c>
      <c r="IZ23" s="508" t="str">
        <f t="shared" si="236"/>
        <v/>
      </c>
      <c r="JA23" s="508" t="str">
        <f t="shared" si="237"/>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67" t="s">
        <v>1859</v>
      </c>
      <c r="C24" s="2368"/>
      <c r="D24" s="2369"/>
      <c r="E24" s="2370"/>
      <c r="F24" s="2370"/>
      <c r="G24" s="2370"/>
      <c r="H24" s="2370"/>
      <c r="I24" s="2370"/>
      <c r="J24" s="2371"/>
      <c r="K24" s="861">
        <f t="shared" si="1"/>
        <v>0</v>
      </c>
      <c r="L24" s="861">
        <f t="shared" si="2"/>
        <v>0</v>
      </c>
      <c r="M24" s="2372"/>
      <c r="N24" s="2372"/>
      <c r="O24" s="2372"/>
      <c r="P24" s="2372"/>
      <c r="Q24" s="472" t="str">
        <f>IF(H24="","",P24/($O$6*VLOOKUP(C24,'DCA Underwriting Assumptions'!$J$118:$K$123,2,FALSE)))</f>
        <v/>
      </c>
      <c r="R24" s="547"/>
      <c r="S24" s="472"/>
      <c r="T24" s="2306"/>
      <c r="U24" s="2307"/>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238"/>
        <v/>
      </c>
      <c r="BU24" s="508" t="str">
        <f t="shared" si="239"/>
        <v/>
      </c>
      <c r="BV24" s="508" t="str">
        <f t="shared" si="240"/>
        <v/>
      </c>
      <c r="BW24" s="508" t="str">
        <f t="shared" si="241"/>
        <v/>
      </c>
      <c r="BX24" s="508" t="str">
        <f t="shared" si="242"/>
        <v/>
      </c>
      <c r="BY24" s="508" t="str">
        <f t="shared" si="53"/>
        <v/>
      </c>
      <c r="BZ24" s="508" t="str">
        <f t="shared" si="54"/>
        <v/>
      </c>
      <c r="CA24" s="508" t="str">
        <f t="shared" si="55"/>
        <v/>
      </c>
      <c r="CB24" s="508" t="str">
        <f t="shared" si="56"/>
        <v/>
      </c>
      <c r="CC24" s="508" t="str">
        <f t="shared" si="57"/>
        <v/>
      </c>
      <c r="CD24" s="508" t="str">
        <f t="shared" si="58"/>
        <v/>
      </c>
      <c r="CE24" s="508" t="str">
        <f t="shared" si="59"/>
        <v/>
      </c>
      <c r="CF24" s="508" t="str">
        <f t="shared" si="60"/>
        <v/>
      </c>
      <c r="CG24" s="508" t="str">
        <f t="shared" si="61"/>
        <v/>
      </c>
      <c r="CH24" s="508" t="str">
        <f t="shared" si="62"/>
        <v/>
      </c>
      <c r="CI24" s="508" t="str">
        <f t="shared" si="63"/>
        <v/>
      </c>
      <c r="CJ24" s="508" t="str">
        <f t="shared" si="64"/>
        <v/>
      </c>
      <c r="CK24" s="508" t="str">
        <f t="shared" si="65"/>
        <v/>
      </c>
      <c r="CL24" s="508" t="str">
        <f t="shared" si="66"/>
        <v/>
      </c>
      <c r="CM24" s="508" t="str">
        <f t="shared" si="67"/>
        <v/>
      </c>
      <c r="CN24" s="508" t="str">
        <f t="shared" si="68"/>
        <v/>
      </c>
      <c r="CO24" s="508" t="str">
        <f t="shared" si="69"/>
        <v/>
      </c>
      <c r="CP24" s="508" t="str">
        <f t="shared" si="70"/>
        <v/>
      </c>
      <c r="CQ24" s="508" t="str">
        <f t="shared" si="71"/>
        <v/>
      </c>
      <c r="CR24" s="508" t="str">
        <f t="shared" si="72"/>
        <v/>
      </c>
      <c r="CS24" s="508" t="str">
        <f t="shared" si="73"/>
        <v/>
      </c>
      <c r="CT24" s="508" t="str">
        <f t="shared" si="74"/>
        <v/>
      </c>
      <c r="CU24" s="508" t="str">
        <f t="shared" si="75"/>
        <v/>
      </c>
      <c r="CV24" s="508" t="str">
        <f t="shared" si="76"/>
        <v/>
      </c>
      <c r="CW24" s="508" t="str">
        <f t="shared" si="77"/>
        <v/>
      </c>
      <c r="CX24" s="508" t="str">
        <f t="shared" si="78"/>
        <v/>
      </c>
      <c r="CY24" s="508" t="str">
        <f t="shared" si="79"/>
        <v/>
      </c>
      <c r="CZ24" s="508" t="str">
        <f t="shared" si="80"/>
        <v/>
      </c>
      <c r="DA24" s="508" t="str">
        <f t="shared" si="81"/>
        <v/>
      </c>
      <c r="DB24" s="508" t="str">
        <f t="shared" si="82"/>
        <v/>
      </c>
      <c r="DC24" s="508" t="str">
        <f t="shared" si="83"/>
        <v/>
      </c>
      <c r="DD24" s="508" t="str">
        <f t="shared" si="84"/>
        <v/>
      </c>
      <c r="DE24" s="508" t="str">
        <f t="shared" si="85"/>
        <v/>
      </c>
      <c r="DF24" s="508" t="str">
        <f t="shared" si="86"/>
        <v/>
      </c>
      <c r="DG24" s="508" t="str">
        <f t="shared" si="87"/>
        <v/>
      </c>
      <c r="DH24" s="508" t="str">
        <f t="shared" si="88"/>
        <v/>
      </c>
      <c r="DI24" s="508" t="str">
        <f t="shared" si="89"/>
        <v/>
      </c>
      <c r="DJ24" s="508" t="str">
        <f t="shared" si="90"/>
        <v/>
      </c>
      <c r="DK24" s="508" t="str">
        <f t="shared" si="91"/>
        <v/>
      </c>
      <c r="DL24" s="508" t="str">
        <f t="shared" si="92"/>
        <v/>
      </c>
      <c r="DM24" s="508" t="str">
        <f t="shared" si="93"/>
        <v/>
      </c>
      <c r="DN24" s="508" t="str">
        <f t="shared" si="94"/>
        <v/>
      </c>
      <c r="DO24" s="508" t="str">
        <f t="shared" si="95"/>
        <v/>
      </c>
      <c r="DP24" s="508" t="str">
        <f t="shared" si="96"/>
        <v/>
      </c>
      <c r="DQ24" s="508" t="str">
        <f t="shared" si="97"/>
        <v/>
      </c>
      <c r="DR24" s="508" t="str">
        <f t="shared" si="98"/>
        <v/>
      </c>
      <c r="DS24" s="508" t="str">
        <f t="shared" si="99"/>
        <v/>
      </c>
      <c r="DT24" s="508" t="str">
        <f t="shared" si="100"/>
        <v/>
      </c>
      <c r="DU24" s="508" t="str">
        <f t="shared" si="101"/>
        <v/>
      </c>
      <c r="DV24" s="508" t="str">
        <f t="shared" si="102"/>
        <v/>
      </c>
      <c r="DW24" s="508" t="str">
        <f t="shared" si="103"/>
        <v/>
      </c>
      <c r="DX24" s="508" t="str">
        <f t="shared" si="104"/>
        <v/>
      </c>
      <c r="DY24" s="508" t="str">
        <f t="shared" si="105"/>
        <v/>
      </c>
      <c r="DZ24" s="508" t="str">
        <f t="shared" si="106"/>
        <v/>
      </c>
      <c r="EA24" s="508" t="str">
        <f t="shared" si="107"/>
        <v/>
      </c>
      <c r="EB24" s="508" t="str">
        <f t="shared" si="108"/>
        <v/>
      </c>
      <c r="EC24" s="508" t="str">
        <f t="shared" si="109"/>
        <v/>
      </c>
      <c r="ED24" s="508" t="str">
        <f t="shared" si="110"/>
        <v/>
      </c>
      <c r="EE24" s="508" t="str">
        <f t="shared" si="111"/>
        <v/>
      </c>
      <c r="EF24" s="508" t="str">
        <f t="shared" si="112"/>
        <v/>
      </c>
      <c r="EG24" s="508" t="str">
        <f t="shared" si="113"/>
        <v/>
      </c>
      <c r="EH24" s="508" t="str">
        <f t="shared" si="114"/>
        <v/>
      </c>
      <c r="EI24" s="508" t="str">
        <f t="shared" si="115"/>
        <v/>
      </c>
      <c r="EJ24" s="508" t="str">
        <f t="shared" si="116"/>
        <v/>
      </c>
      <c r="EK24" s="508" t="str">
        <f t="shared" si="117"/>
        <v/>
      </c>
      <c r="EL24" s="508" t="str">
        <f t="shared" si="118"/>
        <v/>
      </c>
      <c r="EM24" s="508" t="str">
        <f t="shared" si="119"/>
        <v/>
      </c>
      <c r="EN24" s="508" t="str">
        <f t="shared" si="120"/>
        <v/>
      </c>
      <c r="EO24" s="508" t="str">
        <f t="shared" si="121"/>
        <v/>
      </c>
      <c r="EP24" s="508" t="str">
        <f t="shared" si="122"/>
        <v/>
      </c>
      <c r="EQ24" s="508" t="str">
        <f t="shared" si="123"/>
        <v/>
      </c>
      <c r="ER24" s="508" t="str">
        <f t="shared" si="124"/>
        <v/>
      </c>
      <c r="ES24" s="508" t="str">
        <f t="shared" si="125"/>
        <v/>
      </c>
      <c r="ET24" s="508" t="str">
        <f t="shared" si="126"/>
        <v/>
      </c>
      <c r="EU24" s="508" t="str">
        <f t="shared" si="127"/>
        <v/>
      </c>
      <c r="EV24" s="518" t="str">
        <f t="shared" si="128"/>
        <v/>
      </c>
      <c r="EW24" s="518" t="str">
        <f t="shared" si="129"/>
        <v/>
      </c>
      <c r="EX24" s="518" t="str">
        <f t="shared" si="130"/>
        <v/>
      </c>
      <c r="EY24" s="518" t="str">
        <f t="shared" si="131"/>
        <v/>
      </c>
      <c r="EZ24" s="518" t="str">
        <f t="shared" si="132"/>
        <v/>
      </c>
      <c r="FA24" s="518" t="str">
        <f t="shared" si="133"/>
        <v/>
      </c>
      <c r="FB24" s="518" t="str">
        <f t="shared" si="134"/>
        <v/>
      </c>
      <c r="FC24" s="518" t="str">
        <f t="shared" si="135"/>
        <v/>
      </c>
      <c r="FD24" s="518" t="str">
        <f t="shared" si="136"/>
        <v/>
      </c>
      <c r="FE24" s="518" t="str">
        <f t="shared" si="137"/>
        <v/>
      </c>
      <c r="FF24" s="518" t="str">
        <f t="shared" si="138"/>
        <v/>
      </c>
      <c r="FG24" s="518" t="str">
        <f t="shared" si="139"/>
        <v/>
      </c>
      <c r="FH24" s="518" t="str">
        <f t="shared" si="140"/>
        <v/>
      </c>
      <c r="FI24" s="518" t="str">
        <f t="shared" si="141"/>
        <v/>
      </c>
      <c r="FJ24" s="518" t="str">
        <f t="shared" si="142"/>
        <v/>
      </c>
      <c r="FK24" s="518" t="str">
        <f t="shared" si="143"/>
        <v/>
      </c>
      <c r="FL24" s="518" t="str">
        <f t="shared" si="144"/>
        <v/>
      </c>
      <c r="FM24" s="518" t="str">
        <f t="shared" si="145"/>
        <v/>
      </c>
      <c r="FN24" s="518" t="str">
        <f t="shared" si="146"/>
        <v/>
      </c>
      <c r="FO24" s="518" t="str">
        <f t="shared" si="147"/>
        <v/>
      </c>
      <c r="FP24" s="518" t="str">
        <f t="shared" si="148"/>
        <v/>
      </c>
      <c r="FQ24" s="518" t="str">
        <f t="shared" si="149"/>
        <v/>
      </c>
      <c r="FR24" s="518" t="str">
        <f t="shared" si="150"/>
        <v/>
      </c>
      <c r="FS24" s="518" t="str">
        <f t="shared" si="151"/>
        <v/>
      </c>
      <c r="FT24" s="518" t="str">
        <f t="shared" si="152"/>
        <v/>
      </c>
      <c r="FU24" s="518" t="str">
        <f t="shared" si="153"/>
        <v/>
      </c>
      <c r="FV24" s="518" t="str">
        <f t="shared" si="154"/>
        <v/>
      </c>
      <c r="FW24" s="518" t="str">
        <f t="shared" si="155"/>
        <v/>
      </c>
      <c r="FX24" s="518" t="str">
        <f t="shared" si="156"/>
        <v/>
      </c>
      <c r="FY24" s="518" t="str">
        <f t="shared" si="157"/>
        <v/>
      </c>
      <c r="FZ24" s="518" t="str">
        <f t="shared" si="158"/>
        <v/>
      </c>
      <c r="GA24" s="518" t="str">
        <f t="shared" si="159"/>
        <v/>
      </c>
      <c r="GB24" s="518" t="str">
        <f t="shared" si="160"/>
        <v/>
      </c>
      <c r="GC24" s="518" t="str">
        <f t="shared" si="161"/>
        <v/>
      </c>
      <c r="GD24" s="518" t="str">
        <f t="shared" si="162"/>
        <v/>
      </c>
      <c r="GE24" s="518" t="str">
        <f t="shared" si="163"/>
        <v/>
      </c>
      <c r="GF24" s="518" t="str">
        <f t="shared" si="164"/>
        <v/>
      </c>
      <c r="GG24" s="518" t="str">
        <f t="shared" si="165"/>
        <v/>
      </c>
      <c r="GH24" s="518" t="str">
        <f t="shared" si="166"/>
        <v/>
      </c>
      <c r="GI24" s="518" t="str">
        <f t="shared" si="167"/>
        <v/>
      </c>
      <c r="GJ24" s="518" t="str">
        <f t="shared" si="168"/>
        <v/>
      </c>
      <c r="GK24" s="518" t="str">
        <f t="shared" si="169"/>
        <v/>
      </c>
      <c r="GL24" s="518" t="str">
        <f t="shared" si="170"/>
        <v/>
      </c>
      <c r="GM24" s="518" t="str">
        <f t="shared" si="171"/>
        <v/>
      </c>
      <c r="GN24" s="518" t="str">
        <f t="shared" si="172"/>
        <v/>
      </c>
      <c r="GO24" s="518" t="str">
        <f t="shared" si="173"/>
        <v/>
      </c>
      <c r="GP24" s="518" t="str">
        <f t="shared" si="174"/>
        <v/>
      </c>
      <c r="GQ24" s="518" t="str">
        <f t="shared" si="175"/>
        <v/>
      </c>
      <c r="GR24" s="518" t="str">
        <f t="shared" si="176"/>
        <v/>
      </c>
      <c r="GS24" s="518" t="str">
        <f t="shared" si="177"/>
        <v/>
      </c>
      <c r="GT24" s="518" t="str">
        <f t="shared" si="178"/>
        <v/>
      </c>
      <c r="GU24" s="518" t="str">
        <f t="shared" si="179"/>
        <v/>
      </c>
      <c r="GV24" s="518" t="str">
        <f t="shared" si="180"/>
        <v/>
      </c>
      <c r="GW24" s="518" t="str">
        <f t="shared" si="181"/>
        <v/>
      </c>
      <c r="GX24" s="518" t="str">
        <f t="shared" si="182"/>
        <v/>
      </c>
      <c r="GY24" s="518" t="str">
        <f t="shared" si="183"/>
        <v/>
      </c>
      <c r="GZ24" s="518" t="str">
        <f t="shared" si="184"/>
        <v/>
      </c>
      <c r="HA24" s="518" t="str">
        <f t="shared" si="185"/>
        <v/>
      </c>
      <c r="HB24" s="518" t="str">
        <f t="shared" si="186"/>
        <v/>
      </c>
      <c r="HC24" s="518" t="str">
        <f t="shared" si="187"/>
        <v/>
      </c>
      <c r="HD24" s="518" t="str">
        <f t="shared" si="188"/>
        <v/>
      </c>
      <c r="HE24" s="518" t="str">
        <f t="shared" si="189"/>
        <v/>
      </c>
      <c r="HF24" s="518" t="str">
        <f t="shared" si="190"/>
        <v/>
      </c>
      <c r="HG24" s="518" t="str">
        <f t="shared" si="191"/>
        <v/>
      </c>
      <c r="HH24" s="518" t="str">
        <f t="shared" si="192"/>
        <v/>
      </c>
      <c r="HI24" s="518" t="str">
        <f t="shared" si="193"/>
        <v/>
      </c>
      <c r="HJ24" s="518" t="str">
        <f t="shared" si="194"/>
        <v/>
      </c>
      <c r="HK24" s="518" t="str">
        <f t="shared" si="195"/>
        <v/>
      </c>
      <c r="HL24" s="518" t="str">
        <f t="shared" si="196"/>
        <v/>
      </c>
      <c r="HM24" s="518" t="str">
        <f t="shared" si="197"/>
        <v/>
      </c>
      <c r="HN24" s="518" t="str">
        <f t="shared" si="198"/>
        <v/>
      </c>
      <c r="HO24" s="518" t="str">
        <f t="shared" si="199"/>
        <v/>
      </c>
      <c r="HP24" s="518" t="str">
        <f t="shared" si="200"/>
        <v/>
      </c>
      <c r="HQ24" s="518" t="str">
        <f t="shared" si="201"/>
        <v/>
      </c>
      <c r="HR24" s="518" t="str">
        <f t="shared" si="202"/>
        <v/>
      </c>
      <c r="HS24" s="518" t="str">
        <f t="shared" si="203"/>
        <v/>
      </c>
      <c r="HT24" s="518" t="str">
        <f t="shared" si="204"/>
        <v/>
      </c>
      <c r="HU24" s="518" t="str">
        <f t="shared" si="205"/>
        <v/>
      </c>
      <c r="HV24" s="518" t="str">
        <f t="shared" si="206"/>
        <v/>
      </c>
      <c r="HW24" s="518" t="str">
        <f t="shared" si="207"/>
        <v/>
      </c>
      <c r="HX24" s="518" t="str">
        <f t="shared" si="208"/>
        <v/>
      </c>
      <c r="HY24" s="518" t="str">
        <f t="shared" si="209"/>
        <v/>
      </c>
      <c r="HZ24" s="518" t="str">
        <f t="shared" si="210"/>
        <v/>
      </c>
      <c r="IA24" s="518" t="str">
        <f t="shared" si="211"/>
        <v/>
      </c>
      <c r="IB24" s="518" t="str">
        <f t="shared" si="212"/>
        <v/>
      </c>
      <c r="IC24" s="519" t="str">
        <f t="shared" si="213"/>
        <v/>
      </c>
      <c r="ID24" s="519" t="str">
        <f t="shared" si="214"/>
        <v/>
      </c>
      <c r="IE24" s="519" t="str">
        <f t="shared" si="215"/>
        <v/>
      </c>
      <c r="IF24" s="519" t="str">
        <f t="shared" si="216"/>
        <v/>
      </c>
      <c r="IG24" s="519" t="str">
        <f t="shared" si="217"/>
        <v/>
      </c>
      <c r="IH24" s="508" t="str">
        <f t="shared" si="218"/>
        <v/>
      </c>
      <c r="II24" s="508" t="str">
        <f t="shared" si="219"/>
        <v/>
      </c>
      <c r="IJ24" s="508" t="str">
        <f t="shared" si="220"/>
        <v/>
      </c>
      <c r="IK24" s="508" t="str">
        <f t="shared" si="221"/>
        <v/>
      </c>
      <c r="IL24" s="508" t="str">
        <f t="shared" si="222"/>
        <v/>
      </c>
      <c r="IM24" s="508" t="str">
        <f t="shared" si="223"/>
        <v/>
      </c>
      <c r="IN24" s="508" t="str">
        <f t="shared" si="224"/>
        <v/>
      </c>
      <c r="IO24" s="508" t="str">
        <f t="shared" si="225"/>
        <v/>
      </c>
      <c r="IP24" s="508" t="str">
        <f t="shared" si="226"/>
        <v/>
      </c>
      <c r="IQ24" s="508" t="str">
        <f t="shared" si="227"/>
        <v/>
      </c>
      <c r="IR24" s="508" t="str">
        <f t="shared" si="228"/>
        <v/>
      </c>
      <c r="IS24" s="508" t="str">
        <f t="shared" si="229"/>
        <v/>
      </c>
      <c r="IT24" s="508" t="str">
        <f t="shared" si="230"/>
        <v/>
      </c>
      <c r="IU24" s="508" t="str">
        <f t="shared" si="231"/>
        <v/>
      </c>
      <c r="IV24" s="508" t="str">
        <f t="shared" si="232"/>
        <v/>
      </c>
      <c r="IW24" s="508" t="str">
        <f t="shared" si="233"/>
        <v/>
      </c>
      <c r="IX24" s="508" t="str">
        <f t="shared" si="234"/>
        <v/>
      </c>
      <c r="IY24" s="508" t="str">
        <f t="shared" si="235"/>
        <v/>
      </c>
      <c r="IZ24" s="508" t="str">
        <f t="shared" si="236"/>
        <v/>
      </c>
      <c r="JA24" s="508" t="str">
        <f t="shared" si="237"/>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67" t="s">
        <v>1859</v>
      </c>
      <c r="C25" s="2368"/>
      <c r="D25" s="2369"/>
      <c r="E25" s="2370"/>
      <c r="F25" s="2370"/>
      <c r="G25" s="2370"/>
      <c r="H25" s="2370"/>
      <c r="I25" s="2370"/>
      <c r="J25" s="2371"/>
      <c r="K25" s="861">
        <f t="shared" si="1"/>
        <v>0</v>
      </c>
      <c r="L25" s="861">
        <f t="shared" si="2"/>
        <v>0</v>
      </c>
      <c r="M25" s="2372"/>
      <c r="N25" s="2372"/>
      <c r="O25" s="2372"/>
      <c r="P25" s="2372"/>
      <c r="Q25" s="472" t="str">
        <f>IF(H25="","",P25/($O$6*VLOOKUP(C25,'DCA Underwriting Assumptions'!$J$118:$K$123,2,FALSE)))</f>
        <v/>
      </c>
      <c r="R25" s="547"/>
      <c r="S25" s="472"/>
      <c r="T25" s="2306"/>
      <c r="U25" s="2307"/>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238"/>
        <v/>
      </c>
      <c r="BU25" s="508" t="str">
        <f t="shared" si="239"/>
        <v/>
      </c>
      <c r="BV25" s="508" t="str">
        <f t="shared" si="240"/>
        <v/>
      </c>
      <c r="BW25" s="508" t="str">
        <f t="shared" si="241"/>
        <v/>
      </c>
      <c r="BX25" s="508" t="str">
        <f t="shared" si="242"/>
        <v/>
      </c>
      <c r="BY25" s="508" t="str">
        <f t="shared" si="53"/>
        <v/>
      </c>
      <c r="BZ25" s="508" t="str">
        <f t="shared" si="54"/>
        <v/>
      </c>
      <c r="CA25" s="508" t="str">
        <f t="shared" si="55"/>
        <v/>
      </c>
      <c r="CB25" s="508" t="str">
        <f t="shared" si="56"/>
        <v/>
      </c>
      <c r="CC25" s="508" t="str">
        <f t="shared" si="57"/>
        <v/>
      </c>
      <c r="CD25" s="508" t="str">
        <f t="shared" si="58"/>
        <v/>
      </c>
      <c r="CE25" s="508" t="str">
        <f t="shared" si="59"/>
        <v/>
      </c>
      <c r="CF25" s="508" t="str">
        <f t="shared" si="60"/>
        <v/>
      </c>
      <c r="CG25" s="508" t="str">
        <f t="shared" si="61"/>
        <v/>
      </c>
      <c r="CH25" s="508" t="str">
        <f t="shared" si="62"/>
        <v/>
      </c>
      <c r="CI25" s="508" t="str">
        <f t="shared" si="63"/>
        <v/>
      </c>
      <c r="CJ25" s="508" t="str">
        <f t="shared" si="64"/>
        <v/>
      </c>
      <c r="CK25" s="508" t="str">
        <f t="shared" si="65"/>
        <v/>
      </c>
      <c r="CL25" s="508" t="str">
        <f t="shared" si="66"/>
        <v/>
      </c>
      <c r="CM25" s="508" t="str">
        <f t="shared" si="67"/>
        <v/>
      </c>
      <c r="CN25" s="508" t="str">
        <f t="shared" si="68"/>
        <v/>
      </c>
      <c r="CO25" s="508" t="str">
        <f t="shared" si="69"/>
        <v/>
      </c>
      <c r="CP25" s="508" t="str">
        <f t="shared" si="70"/>
        <v/>
      </c>
      <c r="CQ25" s="508" t="str">
        <f t="shared" si="71"/>
        <v/>
      </c>
      <c r="CR25" s="508" t="str">
        <f t="shared" si="72"/>
        <v/>
      </c>
      <c r="CS25" s="508" t="str">
        <f t="shared" si="73"/>
        <v/>
      </c>
      <c r="CT25" s="508" t="str">
        <f t="shared" si="74"/>
        <v/>
      </c>
      <c r="CU25" s="508" t="str">
        <f t="shared" si="75"/>
        <v/>
      </c>
      <c r="CV25" s="508" t="str">
        <f t="shared" si="76"/>
        <v/>
      </c>
      <c r="CW25" s="508" t="str">
        <f t="shared" si="77"/>
        <v/>
      </c>
      <c r="CX25" s="508" t="str">
        <f t="shared" si="78"/>
        <v/>
      </c>
      <c r="CY25" s="508" t="str">
        <f t="shared" si="79"/>
        <v/>
      </c>
      <c r="CZ25" s="508" t="str">
        <f t="shared" si="80"/>
        <v/>
      </c>
      <c r="DA25" s="508" t="str">
        <f t="shared" si="81"/>
        <v/>
      </c>
      <c r="DB25" s="508" t="str">
        <f t="shared" si="82"/>
        <v/>
      </c>
      <c r="DC25" s="508" t="str">
        <f t="shared" si="83"/>
        <v/>
      </c>
      <c r="DD25" s="508" t="str">
        <f t="shared" si="84"/>
        <v/>
      </c>
      <c r="DE25" s="508" t="str">
        <f t="shared" si="85"/>
        <v/>
      </c>
      <c r="DF25" s="508" t="str">
        <f t="shared" si="86"/>
        <v/>
      </c>
      <c r="DG25" s="508" t="str">
        <f t="shared" si="87"/>
        <v/>
      </c>
      <c r="DH25" s="508" t="str">
        <f t="shared" si="88"/>
        <v/>
      </c>
      <c r="DI25" s="508" t="str">
        <f t="shared" si="89"/>
        <v/>
      </c>
      <c r="DJ25" s="508" t="str">
        <f t="shared" si="90"/>
        <v/>
      </c>
      <c r="DK25" s="508" t="str">
        <f t="shared" si="91"/>
        <v/>
      </c>
      <c r="DL25" s="508" t="str">
        <f t="shared" si="92"/>
        <v/>
      </c>
      <c r="DM25" s="508" t="str">
        <f t="shared" si="93"/>
        <v/>
      </c>
      <c r="DN25" s="508" t="str">
        <f t="shared" si="94"/>
        <v/>
      </c>
      <c r="DO25" s="508" t="str">
        <f t="shared" si="95"/>
        <v/>
      </c>
      <c r="DP25" s="508" t="str">
        <f t="shared" si="96"/>
        <v/>
      </c>
      <c r="DQ25" s="508" t="str">
        <f t="shared" si="97"/>
        <v/>
      </c>
      <c r="DR25" s="508" t="str">
        <f t="shared" si="98"/>
        <v/>
      </c>
      <c r="DS25" s="508" t="str">
        <f t="shared" si="99"/>
        <v/>
      </c>
      <c r="DT25" s="508" t="str">
        <f t="shared" si="100"/>
        <v/>
      </c>
      <c r="DU25" s="508" t="str">
        <f t="shared" si="101"/>
        <v/>
      </c>
      <c r="DV25" s="508" t="str">
        <f t="shared" si="102"/>
        <v/>
      </c>
      <c r="DW25" s="508" t="str">
        <f t="shared" si="103"/>
        <v/>
      </c>
      <c r="DX25" s="508" t="str">
        <f t="shared" si="104"/>
        <v/>
      </c>
      <c r="DY25" s="508" t="str">
        <f t="shared" si="105"/>
        <v/>
      </c>
      <c r="DZ25" s="508" t="str">
        <f t="shared" si="106"/>
        <v/>
      </c>
      <c r="EA25" s="508" t="str">
        <f t="shared" si="107"/>
        <v/>
      </c>
      <c r="EB25" s="508" t="str">
        <f t="shared" si="108"/>
        <v/>
      </c>
      <c r="EC25" s="508" t="str">
        <f t="shared" si="109"/>
        <v/>
      </c>
      <c r="ED25" s="508" t="str">
        <f t="shared" si="110"/>
        <v/>
      </c>
      <c r="EE25" s="508" t="str">
        <f t="shared" si="111"/>
        <v/>
      </c>
      <c r="EF25" s="508" t="str">
        <f t="shared" si="112"/>
        <v/>
      </c>
      <c r="EG25" s="508" t="str">
        <f t="shared" si="113"/>
        <v/>
      </c>
      <c r="EH25" s="508" t="str">
        <f t="shared" si="114"/>
        <v/>
      </c>
      <c r="EI25" s="508" t="str">
        <f t="shared" si="115"/>
        <v/>
      </c>
      <c r="EJ25" s="508" t="str">
        <f t="shared" si="116"/>
        <v/>
      </c>
      <c r="EK25" s="508" t="str">
        <f t="shared" si="117"/>
        <v/>
      </c>
      <c r="EL25" s="508" t="str">
        <f t="shared" si="118"/>
        <v/>
      </c>
      <c r="EM25" s="508" t="str">
        <f t="shared" si="119"/>
        <v/>
      </c>
      <c r="EN25" s="508" t="str">
        <f t="shared" si="120"/>
        <v/>
      </c>
      <c r="EO25" s="508" t="str">
        <f t="shared" si="121"/>
        <v/>
      </c>
      <c r="EP25" s="508" t="str">
        <f t="shared" si="122"/>
        <v/>
      </c>
      <c r="EQ25" s="508" t="str">
        <f t="shared" si="123"/>
        <v/>
      </c>
      <c r="ER25" s="508" t="str">
        <f t="shared" si="124"/>
        <v/>
      </c>
      <c r="ES25" s="508" t="str">
        <f t="shared" si="125"/>
        <v/>
      </c>
      <c r="ET25" s="508" t="str">
        <f t="shared" si="126"/>
        <v/>
      </c>
      <c r="EU25" s="508" t="str">
        <f t="shared" si="127"/>
        <v/>
      </c>
      <c r="EV25" s="518" t="str">
        <f t="shared" si="128"/>
        <v/>
      </c>
      <c r="EW25" s="518" t="str">
        <f t="shared" si="129"/>
        <v/>
      </c>
      <c r="EX25" s="518" t="str">
        <f t="shared" si="130"/>
        <v/>
      </c>
      <c r="EY25" s="518" t="str">
        <f t="shared" si="131"/>
        <v/>
      </c>
      <c r="EZ25" s="518" t="str">
        <f t="shared" si="132"/>
        <v/>
      </c>
      <c r="FA25" s="518" t="str">
        <f t="shared" si="133"/>
        <v/>
      </c>
      <c r="FB25" s="518" t="str">
        <f t="shared" si="134"/>
        <v/>
      </c>
      <c r="FC25" s="518" t="str">
        <f t="shared" si="135"/>
        <v/>
      </c>
      <c r="FD25" s="518" t="str">
        <f t="shared" si="136"/>
        <v/>
      </c>
      <c r="FE25" s="518" t="str">
        <f t="shared" si="137"/>
        <v/>
      </c>
      <c r="FF25" s="518" t="str">
        <f t="shared" si="138"/>
        <v/>
      </c>
      <c r="FG25" s="518" t="str">
        <f t="shared" si="139"/>
        <v/>
      </c>
      <c r="FH25" s="518" t="str">
        <f t="shared" si="140"/>
        <v/>
      </c>
      <c r="FI25" s="518" t="str">
        <f t="shared" si="141"/>
        <v/>
      </c>
      <c r="FJ25" s="518" t="str">
        <f t="shared" si="142"/>
        <v/>
      </c>
      <c r="FK25" s="518" t="str">
        <f t="shared" si="143"/>
        <v/>
      </c>
      <c r="FL25" s="518" t="str">
        <f t="shared" si="144"/>
        <v/>
      </c>
      <c r="FM25" s="518" t="str">
        <f t="shared" si="145"/>
        <v/>
      </c>
      <c r="FN25" s="518" t="str">
        <f t="shared" si="146"/>
        <v/>
      </c>
      <c r="FO25" s="518" t="str">
        <f t="shared" si="147"/>
        <v/>
      </c>
      <c r="FP25" s="518" t="str">
        <f t="shared" si="148"/>
        <v/>
      </c>
      <c r="FQ25" s="518" t="str">
        <f t="shared" si="149"/>
        <v/>
      </c>
      <c r="FR25" s="518" t="str">
        <f t="shared" si="150"/>
        <v/>
      </c>
      <c r="FS25" s="518" t="str">
        <f t="shared" si="151"/>
        <v/>
      </c>
      <c r="FT25" s="518" t="str">
        <f t="shared" si="152"/>
        <v/>
      </c>
      <c r="FU25" s="518" t="str">
        <f t="shared" si="153"/>
        <v/>
      </c>
      <c r="FV25" s="518" t="str">
        <f t="shared" si="154"/>
        <v/>
      </c>
      <c r="FW25" s="518" t="str">
        <f t="shared" si="155"/>
        <v/>
      </c>
      <c r="FX25" s="518" t="str">
        <f t="shared" si="156"/>
        <v/>
      </c>
      <c r="FY25" s="518" t="str">
        <f t="shared" si="157"/>
        <v/>
      </c>
      <c r="FZ25" s="518" t="str">
        <f t="shared" si="158"/>
        <v/>
      </c>
      <c r="GA25" s="518" t="str">
        <f t="shared" si="159"/>
        <v/>
      </c>
      <c r="GB25" s="518" t="str">
        <f t="shared" si="160"/>
        <v/>
      </c>
      <c r="GC25" s="518" t="str">
        <f t="shared" si="161"/>
        <v/>
      </c>
      <c r="GD25" s="518" t="str">
        <f t="shared" si="162"/>
        <v/>
      </c>
      <c r="GE25" s="518" t="str">
        <f t="shared" si="163"/>
        <v/>
      </c>
      <c r="GF25" s="518" t="str">
        <f t="shared" si="164"/>
        <v/>
      </c>
      <c r="GG25" s="518" t="str">
        <f t="shared" si="165"/>
        <v/>
      </c>
      <c r="GH25" s="518" t="str">
        <f t="shared" si="166"/>
        <v/>
      </c>
      <c r="GI25" s="518" t="str">
        <f t="shared" si="167"/>
        <v/>
      </c>
      <c r="GJ25" s="518" t="str">
        <f t="shared" si="168"/>
        <v/>
      </c>
      <c r="GK25" s="518" t="str">
        <f t="shared" si="169"/>
        <v/>
      </c>
      <c r="GL25" s="518" t="str">
        <f t="shared" si="170"/>
        <v/>
      </c>
      <c r="GM25" s="518" t="str">
        <f t="shared" si="171"/>
        <v/>
      </c>
      <c r="GN25" s="518" t="str">
        <f t="shared" si="172"/>
        <v/>
      </c>
      <c r="GO25" s="518" t="str">
        <f t="shared" si="173"/>
        <v/>
      </c>
      <c r="GP25" s="518" t="str">
        <f t="shared" si="174"/>
        <v/>
      </c>
      <c r="GQ25" s="518" t="str">
        <f t="shared" si="175"/>
        <v/>
      </c>
      <c r="GR25" s="518" t="str">
        <f t="shared" si="176"/>
        <v/>
      </c>
      <c r="GS25" s="518" t="str">
        <f t="shared" si="177"/>
        <v/>
      </c>
      <c r="GT25" s="518" t="str">
        <f t="shared" si="178"/>
        <v/>
      </c>
      <c r="GU25" s="518" t="str">
        <f t="shared" si="179"/>
        <v/>
      </c>
      <c r="GV25" s="518" t="str">
        <f t="shared" si="180"/>
        <v/>
      </c>
      <c r="GW25" s="518" t="str">
        <f t="shared" si="181"/>
        <v/>
      </c>
      <c r="GX25" s="518" t="str">
        <f t="shared" si="182"/>
        <v/>
      </c>
      <c r="GY25" s="518" t="str">
        <f t="shared" si="183"/>
        <v/>
      </c>
      <c r="GZ25" s="518" t="str">
        <f t="shared" si="184"/>
        <v/>
      </c>
      <c r="HA25" s="518" t="str">
        <f t="shared" si="185"/>
        <v/>
      </c>
      <c r="HB25" s="518" t="str">
        <f t="shared" si="186"/>
        <v/>
      </c>
      <c r="HC25" s="518" t="str">
        <f t="shared" si="187"/>
        <v/>
      </c>
      <c r="HD25" s="518" t="str">
        <f t="shared" si="188"/>
        <v/>
      </c>
      <c r="HE25" s="518" t="str">
        <f t="shared" si="189"/>
        <v/>
      </c>
      <c r="HF25" s="518" t="str">
        <f t="shared" si="190"/>
        <v/>
      </c>
      <c r="HG25" s="518" t="str">
        <f t="shared" si="191"/>
        <v/>
      </c>
      <c r="HH25" s="518" t="str">
        <f t="shared" si="192"/>
        <v/>
      </c>
      <c r="HI25" s="518" t="str">
        <f t="shared" si="193"/>
        <v/>
      </c>
      <c r="HJ25" s="518" t="str">
        <f t="shared" si="194"/>
        <v/>
      </c>
      <c r="HK25" s="518" t="str">
        <f t="shared" si="195"/>
        <v/>
      </c>
      <c r="HL25" s="518" t="str">
        <f t="shared" si="196"/>
        <v/>
      </c>
      <c r="HM25" s="518" t="str">
        <f t="shared" si="197"/>
        <v/>
      </c>
      <c r="HN25" s="518" t="str">
        <f t="shared" si="198"/>
        <v/>
      </c>
      <c r="HO25" s="518" t="str">
        <f t="shared" si="199"/>
        <v/>
      </c>
      <c r="HP25" s="518" t="str">
        <f t="shared" si="200"/>
        <v/>
      </c>
      <c r="HQ25" s="518" t="str">
        <f t="shared" si="201"/>
        <v/>
      </c>
      <c r="HR25" s="518" t="str">
        <f t="shared" si="202"/>
        <v/>
      </c>
      <c r="HS25" s="518" t="str">
        <f t="shared" si="203"/>
        <v/>
      </c>
      <c r="HT25" s="518" t="str">
        <f t="shared" si="204"/>
        <v/>
      </c>
      <c r="HU25" s="518" t="str">
        <f t="shared" si="205"/>
        <v/>
      </c>
      <c r="HV25" s="518" t="str">
        <f t="shared" si="206"/>
        <v/>
      </c>
      <c r="HW25" s="518" t="str">
        <f t="shared" si="207"/>
        <v/>
      </c>
      <c r="HX25" s="518" t="str">
        <f t="shared" si="208"/>
        <v/>
      </c>
      <c r="HY25" s="518" t="str">
        <f t="shared" si="209"/>
        <v/>
      </c>
      <c r="HZ25" s="518" t="str">
        <f t="shared" si="210"/>
        <v/>
      </c>
      <c r="IA25" s="518" t="str">
        <f t="shared" si="211"/>
        <v/>
      </c>
      <c r="IB25" s="518" t="str">
        <f t="shared" si="212"/>
        <v/>
      </c>
      <c r="IC25" s="519" t="str">
        <f t="shared" si="213"/>
        <v/>
      </c>
      <c r="ID25" s="519" t="str">
        <f t="shared" si="214"/>
        <v/>
      </c>
      <c r="IE25" s="519" t="str">
        <f t="shared" si="215"/>
        <v/>
      </c>
      <c r="IF25" s="519" t="str">
        <f t="shared" si="216"/>
        <v/>
      </c>
      <c r="IG25" s="519" t="str">
        <f t="shared" si="217"/>
        <v/>
      </c>
      <c r="IH25" s="508" t="str">
        <f t="shared" si="218"/>
        <v/>
      </c>
      <c r="II25" s="508" t="str">
        <f t="shared" si="219"/>
        <v/>
      </c>
      <c r="IJ25" s="508" t="str">
        <f t="shared" si="220"/>
        <v/>
      </c>
      <c r="IK25" s="508" t="str">
        <f t="shared" si="221"/>
        <v/>
      </c>
      <c r="IL25" s="508" t="str">
        <f t="shared" si="222"/>
        <v/>
      </c>
      <c r="IM25" s="508" t="str">
        <f t="shared" si="223"/>
        <v/>
      </c>
      <c r="IN25" s="508" t="str">
        <f t="shared" si="224"/>
        <v/>
      </c>
      <c r="IO25" s="508" t="str">
        <f t="shared" si="225"/>
        <v/>
      </c>
      <c r="IP25" s="508" t="str">
        <f t="shared" si="226"/>
        <v/>
      </c>
      <c r="IQ25" s="508" t="str">
        <f t="shared" si="227"/>
        <v/>
      </c>
      <c r="IR25" s="508" t="str">
        <f t="shared" si="228"/>
        <v/>
      </c>
      <c r="IS25" s="508" t="str">
        <f t="shared" si="229"/>
        <v/>
      </c>
      <c r="IT25" s="508" t="str">
        <f t="shared" si="230"/>
        <v/>
      </c>
      <c r="IU25" s="508" t="str">
        <f t="shared" si="231"/>
        <v/>
      </c>
      <c r="IV25" s="508" t="str">
        <f t="shared" si="232"/>
        <v/>
      </c>
      <c r="IW25" s="508" t="str">
        <f t="shared" si="233"/>
        <v/>
      </c>
      <c r="IX25" s="508" t="str">
        <f t="shared" si="234"/>
        <v/>
      </c>
      <c r="IY25" s="508" t="str">
        <f t="shared" si="235"/>
        <v/>
      </c>
      <c r="IZ25" s="508" t="str">
        <f t="shared" si="236"/>
        <v/>
      </c>
      <c r="JA25" s="508" t="str">
        <f t="shared" si="237"/>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67" t="s">
        <v>1859</v>
      </c>
      <c r="C26" s="2368"/>
      <c r="D26" s="2369"/>
      <c r="E26" s="2370"/>
      <c r="F26" s="2370"/>
      <c r="G26" s="2370"/>
      <c r="H26" s="2370"/>
      <c r="I26" s="2370"/>
      <c r="J26" s="2371"/>
      <c r="K26" s="861">
        <f t="shared" si="1"/>
        <v>0</v>
      </c>
      <c r="L26" s="861">
        <f t="shared" si="2"/>
        <v>0</v>
      </c>
      <c r="M26" s="2372"/>
      <c r="N26" s="2372"/>
      <c r="O26" s="2372"/>
      <c r="P26" s="2372"/>
      <c r="Q26" s="472" t="str">
        <f>IF(H26="","",P26/($O$6*VLOOKUP(C26,'DCA Underwriting Assumptions'!$J$118:$K$123,2,FALSE)))</f>
        <v/>
      </c>
      <c r="R26" s="547"/>
      <c r="S26" s="472"/>
      <c r="T26" s="2306"/>
      <c r="U26" s="2307"/>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238"/>
        <v/>
      </c>
      <c r="BU26" s="508" t="str">
        <f t="shared" si="239"/>
        <v/>
      </c>
      <c r="BV26" s="508" t="str">
        <f t="shared" si="240"/>
        <v/>
      </c>
      <c r="BW26" s="508" t="str">
        <f t="shared" si="241"/>
        <v/>
      </c>
      <c r="BX26" s="508" t="str">
        <f t="shared" si="242"/>
        <v/>
      </c>
      <c r="BY26" s="508" t="str">
        <f t="shared" si="53"/>
        <v/>
      </c>
      <c r="BZ26" s="508" t="str">
        <f t="shared" si="54"/>
        <v/>
      </c>
      <c r="CA26" s="508" t="str">
        <f t="shared" si="55"/>
        <v/>
      </c>
      <c r="CB26" s="508" t="str">
        <f t="shared" si="56"/>
        <v/>
      </c>
      <c r="CC26" s="508" t="str">
        <f t="shared" si="57"/>
        <v/>
      </c>
      <c r="CD26" s="508" t="str">
        <f t="shared" si="58"/>
        <v/>
      </c>
      <c r="CE26" s="508" t="str">
        <f t="shared" si="59"/>
        <v/>
      </c>
      <c r="CF26" s="508" t="str">
        <f t="shared" si="60"/>
        <v/>
      </c>
      <c r="CG26" s="508" t="str">
        <f t="shared" si="61"/>
        <v/>
      </c>
      <c r="CH26" s="508" t="str">
        <f t="shared" si="62"/>
        <v/>
      </c>
      <c r="CI26" s="508" t="str">
        <f t="shared" si="63"/>
        <v/>
      </c>
      <c r="CJ26" s="508" t="str">
        <f t="shared" si="64"/>
        <v/>
      </c>
      <c r="CK26" s="508" t="str">
        <f t="shared" si="65"/>
        <v/>
      </c>
      <c r="CL26" s="508" t="str">
        <f t="shared" si="66"/>
        <v/>
      </c>
      <c r="CM26" s="508" t="str">
        <f t="shared" si="67"/>
        <v/>
      </c>
      <c r="CN26" s="508" t="str">
        <f t="shared" si="68"/>
        <v/>
      </c>
      <c r="CO26" s="508" t="str">
        <f t="shared" si="69"/>
        <v/>
      </c>
      <c r="CP26" s="508" t="str">
        <f t="shared" si="70"/>
        <v/>
      </c>
      <c r="CQ26" s="508" t="str">
        <f t="shared" si="71"/>
        <v/>
      </c>
      <c r="CR26" s="508" t="str">
        <f t="shared" si="72"/>
        <v/>
      </c>
      <c r="CS26" s="508" t="str">
        <f t="shared" si="73"/>
        <v/>
      </c>
      <c r="CT26" s="508" t="str">
        <f t="shared" si="74"/>
        <v/>
      </c>
      <c r="CU26" s="508" t="str">
        <f t="shared" si="75"/>
        <v/>
      </c>
      <c r="CV26" s="508" t="str">
        <f t="shared" si="76"/>
        <v/>
      </c>
      <c r="CW26" s="508" t="str">
        <f t="shared" si="77"/>
        <v/>
      </c>
      <c r="CX26" s="508" t="str">
        <f t="shared" si="78"/>
        <v/>
      </c>
      <c r="CY26" s="508" t="str">
        <f t="shared" si="79"/>
        <v/>
      </c>
      <c r="CZ26" s="508" t="str">
        <f t="shared" si="80"/>
        <v/>
      </c>
      <c r="DA26" s="508" t="str">
        <f t="shared" si="81"/>
        <v/>
      </c>
      <c r="DB26" s="508" t="str">
        <f t="shared" si="82"/>
        <v/>
      </c>
      <c r="DC26" s="508" t="str">
        <f t="shared" si="83"/>
        <v/>
      </c>
      <c r="DD26" s="508" t="str">
        <f t="shared" si="84"/>
        <v/>
      </c>
      <c r="DE26" s="508" t="str">
        <f t="shared" si="85"/>
        <v/>
      </c>
      <c r="DF26" s="508" t="str">
        <f t="shared" si="86"/>
        <v/>
      </c>
      <c r="DG26" s="508" t="str">
        <f t="shared" si="87"/>
        <v/>
      </c>
      <c r="DH26" s="508" t="str">
        <f t="shared" si="88"/>
        <v/>
      </c>
      <c r="DI26" s="508" t="str">
        <f t="shared" si="89"/>
        <v/>
      </c>
      <c r="DJ26" s="508" t="str">
        <f t="shared" si="90"/>
        <v/>
      </c>
      <c r="DK26" s="508" t="str">
        <f t="shared" si="91"/>
        <v/>
      </c>
      <c r="DL26" s="508" t="str">
        <f t="shared" si="92"/>
        <v/>
      </c>
      <c r="DM26" s="508" t="str">
        <f t="shared" si="93"/>
        <v/>
      </c>
      <c r="DN26" s="508" t="str">
        <f t="shared" si="94"/>
        <v/>
      </c>
      <c r="DO26" s="508" t="str">
        <f t="shared" si="95"/>
        <v/>
      </c>
      <c r="DP26" s="508" t="str">
        <f t="shared" si="96"/>
        <v/>
      </c>
      <c r="DQ26" s="508" t="str">
        <f t="shared" si="97"/>
        <v/>
      </c>
      <c r="DR26" s="508" t="str">
        <f t="shared" si="98"/>
        <v/>
      </c>
      <c r="DS26" s="508" t="str">
        <f t="shared" si="99"/>
        <v/>
      </c>
      <c r="DT26" s="508" t="str">
        <f t="shared" si="100"/>
        <v/>
      </c>
      <c r="DU26" s="508" t="str">
        <f t="shared" si="101"/>
        <v/>
      </c>
      <c r="DV26" s="508" t="str">
        <f t="shared" si="102"/>
        <v/>
      </c>
      <c r="DW26" s="508" t="str">
        <f t="shared" si="103"/>
        <v/>
      </c>
      <c r="DX26" s="508" t="str">
        <f t="shared" si="104"/>
        <v/>
      </c>
      <c r="DY26" s="508" t="str">
        <f t="shared" si="105"/>
        <v/>
      </c>
      <c r="DZ26" s="508" t="str">
        <f t="shared" si="106"/>
        <v/>
      </c>
      <c r="EA26" s="508" t="str">
        <f t="shared" si="107"/>
        <v/>
      </c>
      <c r="EB26" s="508" t="str">
        <f t="shared" si="108"/>
        <v/>
      </c>
      <c r="EC26" s="508" t="str">
        <f t="shared" si="109"/>
        <v/>
      </c>
      <c r="ED26" s="508" t="str">
        <f t="shared" si="110"/>
        <v/>
      </c>
      <c r="EE26" s="508" t="str">
        <f t="shared" si="111"/>
        <v/>
      </c>
      <c r="EF26" s="508" t="str">
        <f t="shared" si="112"/>
        <v/>
      </c>
      <c r="EG26" s="508" t="str">
        <f t="shared" si="113"/>
        <v/>
      </c>
      <c r="EH26" s="508" t="str">
        <f t="shared" si="114"/>
        <v/>
      </c>
      <c r="EI26" s="508" t="str">
        <f t="shared" si="115"/>
        <v/>
      </c>
      <c r="EJ26" s="508" t="str">
        <f t="shared" si="116"/>
        <v/>
      </c>
      <c r="EK26" s="508" t="str">
        <f t="shared" si="117"/>
        <v/>
      </c>
      <c r="EL26" s="508" t="str">
        <f t="shared" si="118"/>
        <v/>
      </c>
      <c r="EM26" s="508" t="str">
        <f t="shared" si="119"/>
        <v/>
      </c>
      <c r="EN26" s="508" t="str">
        <f t="shared" si="120"/>
        <v/>
      </c>
      <c r="EO26" s="508" t="str">
        <f t="shared" si="121"/>
        <v/>
      </c>
      <c r="EP26" s="508" t="str">
        <f t="shared" si="122"/>
        <v/>
      </c>
      <c r="EQ26" s="508" t="str">
        <f t="shared" si="123"/>
        <v/>
      </c>
      <c r="ER26" s="508" t="str">
        <f t="shared" si="124"/>
        <v/>
      </c>
      <c r="ES26" s="508" t="str">
        <f t="shared" si="125"/>
        <v/>
      </c>
      <c r="ET26" s="508" t="str">
        <f t="shared" si="126"/>
        <v/>
      </c>
      <c r="EU26" s="508" t="str">
        <f t="shared" si="127"/>
        <v/>
      </c>
      <c r="EV26" s="518" t="str">
        <f t="shared" si="128"/>
        <v/>
      </c>
      <c r="EW26" s="518" t="str">
        <f t="shared" si="129"/>
        <v/>
      </c>
      <c r="EX26" s="518" t="str">
        <f t="shared" si="130"/>
        <v/>
      </c>
      <c r="EY26" s="518" t="str">
        <f t="shared" si="131"/>
        <v/>
      </c>
      <c r="EZ26" s="518" t="str">
        <f t="shared" si="132"/>
        <v/>
      </c>
      <c r="FA26" s="518" t="str">
        <f t="shared" si="133"/>
        <v/>
      </c>
      <c r="FB26" s="518" t="str">
        <f t="shared" si="134"/>
        <v/>
      </c>
      <c r="FC26" s="518" t="str">
        <f t="shared" si="135"/>
        <v/>
      </c>
      <c r="FD26" s="518" t="str">
        <f t="shared" si="136"/>
        <v/>
      </c>
      <c r="FE26" s="518" t="str">
        <f t="shared" si="137"/>
        <v/>
      </c>
      <c r="FF26" s="518" t="str">
        <f t="shared" si="138"/>
        <v/>
      </c>
      <c r="FG26" s="518" t="str">
        <f t="shared" si="139"/>
        <v/>
      </c>
      <c r="FH26" s="518" t="str">
        <f t="shared" si="140"/>
        <v/>
      </c>
      <c r="FI26" s="518" t="str">
        <f t="shared" si="141"/>
        <v/>
      </c>
      <c r="FJ26" s="518" t="str">
        <f t="shared" si="142"/>
        <v/>
      </c>
      <c r="FK26" s="518" t="str">
        <f t="shared" si="143"/>
        <v/>
      </c>
      <c r="FL26" s="518" t="str">
        <f t="shared" si="144"/>
        <v/>
      </c>
      <c r="FM26" s="518" t="str">
        <f t="shared" si="145"/>
        <v/>
      </c>
      <c r="FN26" s="518" t="str">
        <f t="shared" si="146"/>
        <v/>
      </c>
      <c r="FO26" s="518" t="str">
        <f t="shared" si="147"/>
        <v/>
      </c>
      <c r="FP26" s="518" t="str">
        <f t="shared" si="148"/>
        <v/>
      </c>
      <c r="FQ26" s="518" t="str">
        <f t="shared" si="149"/>
        <v/>
      </c>
      <c r="FR26" s="518" t="str">
        <f t="shared" si="150"/>
        <v/>
      </c>
      <c r="FS26" s="518" t="str">
        <f t="shared" si="151"/>
        <v/>
      </c>
      <c r="FT26" s="518" t="str">
        <f t="shared" si="152"/>
        <v/>
      </c>
      <c r="FU26" s="518" t="str">
        <f t="shared" si="153"/>
        <v/>
      </c>
      <c r="FV26" s="518" t="str">
        <f t="shared" si="154"/>
        <v/>
      </c>
      <c r="FW26" s="518" t="str">
        <f t="shared" si="155"/>
        <v/>
      </c>
      <c r="FX26" s="518" t="str">
        <f t="shared" si="156"/>
        <v/>
      </c>
      <c r="FY26" s="518" t="str">
        <f t="shared" si="157"/>
        <v/>
      </c>
      <c r="FZ26" s="518" t="str">
        <f t="shared" si="158"/>
        <v/>
      </c>
      <c r="GA26" s="518" t="str">
        <f t="shared" si="159"/>
        <v/>
      </c>
      <c r="GB26" s="518" t="str">
        <f t="shared" si="160"/>
        <v/>
      </c>
      <c r="GC26" s="518" t="str">
        <f t="shared" si="161"/>
        <v/>
      </c>
      <c r="GD26" s="518" t="str">
        <f t="shared" si="162"/>
        <v/>
      </c>
      <c r="GE26" s="518" t="str">
        <f t="shared" si="163"/>
        <v/>
      </c>
      <c r="GF26" s="518" t="str">
        <f t="shared" si="164"/>
        <v/>
      </c>
      <c r="GG26" s="518" t="str">
        <f t="shared" si="165"/>
        <v/>
      </c>
      <c r="GH26" s="518" t="str">
        <f t="shared" si="166"/>
        <v/>
      </c>
      <c r="GI26" s="518" t="str">
        <f t="shared" si="167"/>
        <v/>
      </c>
      <c r="GJ26" s="518" t="str">
        <f t="shared" si="168"/>
        <v/>
      </c>
      <c r="GK26" s="518" t="str">
        <f t="shared" si="169"/>
        <v/>
      </c>
      <c r="GL26" s="518" t="str">
        <f t="shared" si="170"/>
        <v/>
      </c>
      <c r="GM26" s="518" t="str">
        <f t="shared" si="171"/>
        <v/>
      </c>
      <c r="GN26" s="518" t="str">
        <f t="shared" si="172"/>
        <v/>
      </c>
      <c r="GO26" s="518" t="str">
        <f t="shared" si="173"/>
        <v/>
      </c>
      <c r="GP26" s="518" t="str">
        <f t="shared" si="174"/>
        <v/>
      </c>
      <c r="GQ26" s="518" t="str">
        <f t="shared" si="175"/>
        <v/>
      </c>
      <c r="GR26" s="518" t="str">
        <f t="shared" si="176"/>
        <v/>
      </c>
      <c r="GS26" s="518" t="str">
        <f t="shared" si="177"/>
        <v/>
      </c>
      <c r="GT26" s="518" t="str">
        <f t="shared" si="178"/>
        <v/>
      </c>
      <c r="GU26" s="518" t="str">
        <f t="shared" si="179"/>
        <v/>
      </c>
      <c r="GV26" s="518" t="str">
        <f t="shared" si="180"/>
        <v/>
      </c>
      <c r="GW26" s="518" t="str">
        <f t="shared" si="181"/>
        <v/>
      </c>
      <c r="GX26" s="518" t="str">
        <f t="shared" si="182"/>
        <v/>
      </c>
      <c r="GY26" s="518" t="str">
        <f t="shared" si="183"/>
        <v/>
      </c>
      <c r="GZ26" s="518" t="str">
        <f t="shared" si="184"/>
        <v/>
      </c>
      <c r="HA26" s="518" t="str">
        <f t="shared" si="185"/>
        <v/>
      </c>
      <c r="HB26" s="518" t="str">
        <f t="shared" si="186"/>
        <v/>
      </c>
      <c r="HC26" s="518" t="str">
        <f t="shared" si="187"/>
        <v/>
      </c>
      <c r="HD26" s="518" t="str">
        <f t="shared" si="188"/>
        <v/>
      </c>
      <c r="HE26" s="518" t="str">
        <f t="shared" si="189"/>
        <v/>
      </c>
      <c r="HF26" s="518" t="str">
        <f t="shared" si="190"/>
        <v/>
      </c>
      <c r="HG26" s="518" t="str">
        <f t="shared" si="191"/>
        <v/>
      </c>
      <c r="HH26" s="518" t="str">
        <f t="shared" si="192"/>
        <v/>
      </c>
      <c r="HI26" s="518" t="str">
        <f t="shared" si="193"/>
        <v/>
      </c>
      <c r="HJ26" s="518" t="str">
        <f t="shared" si="194"/>
        <v/>
      </c>
      <c r="HK26" s="518" t="str">
        <f t="shared" si="195"/>
        <v/>
      </c>
      <c r="HL26" s="518" t="str">
        <f t="shared" si="196"/>
        <v/>
      </c>
      <c r="HM26" s="518" t="str">
        <f t="shared" si="197"/>
        <v/>
      </c>
      <c r="HN26" s="518" t="str">
        <f t="shared" si="198"/>
        <v/>
      </c>
      <c r="HO26" s="518" t="str">
        <f t="shared" si="199"/>
        <v/>
      </c>
      <c r="HP26" s="518" t="str">
        <f t="shared" si="200"/>
        <v/>
      </c>
      <c r="HQ26" s="518" t="str">
        <f t="shared" si="201"/>
        <v/>
      </c>
      <c r="HR26" s="518" t="str">
        <f t="shared" si="202"/>
        <v/>
      </c>
      <c r="HS26" s="518" t="str">
        <f t="shared" si="203"/>
        <v/>
      </c>
      <c r="HT26" s="518" t="str">
        <f t="shared" si="204"/>
        <v/>
      </c>
      <c r="HU26" s="518" t="str">
        <f t="shared" si="205"/>
        <v/>
      </c>
      <c r="HV26" s="518" t="str">
        <f t="shared" si="206"/>
        <v/>
      </c>
      <c r="HW26" s="518" t="str">
        <f t="shared" si="207"/>
        <v/>
      </c>
      <c r="HX26" s="518" t="str">
        <f t="shared" si="208"/>
        <v/>
      </c>
      <c r="HY26" s="518" t="str">
        <f t="shared" si="209"/>
        <v/>
      </c>
      <c r="HZ26" s="518" t="str">
        <f t="shared" si="210"/>
        <v/>
      </c>
      <c r="IA26" s="518" t="str">
        <f t="shared" si="211"/>
        <v/>
      </c>
      <c r="IB26" s="518" t="str">
        <f t="shared" si="212"/>
        <v/>
      </c>
      <c r="IC26" s="519" t="str">
        <f t="shared" si="213"/>
        <v/>
      </c>
      <c r="ID26" s="519" t="str">
        <f t="shared" si="214"/>
        <v/>
      </c>
      <c r="IE26" s="519" t="str">
        <f t="shared" si="215"/>
        <v/>
      </c>
      <c r="IF26" s="519" t="str">
        <f t="shared" si="216"/>
        <v/>
      </c>
      <c r="IG26" s="519" t="str">
        <f t="shared" si="217"/>
        <v/>
      </c>
      <c r="IH26" s="508" t="str">
        <f t="shared" si="218"/>
        <v/>
      </c>
      <c r="II26" s="508" t="str">
        <f t="shared" si="219"/>
        <v/>
      </c>
      <c r="IJ26" s="508" t="str">
        <f t="shared" si="220"/>
        <v/>
      </c>
      <c r="IK26" s="508" t="str">
        <f t="shared" si="221"/>
        <v/>
      </c>
      <c r="IL26" s="508" t="str">
        <f t="shared" si="222"/>
        <v/>
      </c>
      <c r="IM26" s="508" t="str">
        <f t="shared" si="223"/>
        <v/>
      </c>
      <c r="IN26" s="508" t="str">
        <f t="shared" si="224"/>
        <v/>
      </c>
      <c r="IO26" s="508" t="str">
        <f t="shared" si="225"/>
        <v/>
      </c>
      <c r="IP26" s="508" t="str">
        <f t="shared" si="226"/>
        <v/>
      </c>
      <c r="IQ26" s="508" t="str">
        <f t="shared" si="227"/>
        <v/>
      </c>
      <c r="IR26" s="508" t="str">
        <f t="shared" si="228"/>
        <v/>
      </c>
      <c r="IS26" s="508" t="str">
        <f t="shared" si="229"/>
        <v/>
      </c>
      <c r="IT26" s="508" t="str">
        <f t="shared" si="230"/>
        <v/>
      </c>
      <c r="IU26" s="508" t="str">
        <f t="shared" si="231"/>
        <v/>
      </c>
      <c r="IV26" s="508" t="str">
        <f t="shared" si="232"/>
        <v/>
      </c>
      <c r="IW26" s="508" t="str">
        <f t="shared" si="233"/>
        <v/>
      </c>
      <c r="IX26" s="508" t="str">
        <f t="shared" si="234"/>
        <v/>
      </c>
      <c r="IY26" s="508" t="str">
        <f t="shared" si="235"/>
        <v/>
      </c>
      <c r="IZ26" s="508" t="str">
        <f t="shared" si="236"/>
        <v/>
      </c>
      <c r="JA26" s="508" t="str">
        <f t="shared" si="237"/>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67" t="s">
        <v>1859</v>
      </c>
      <c r="C27" s="2368"/>
      <c r="D27" s="2369"/>
      <c r="E27" s="2370"/>
      <c r="F27" s="2370"/>
      <c r="G27" s="2370"/>
      <c r="H27" s="2370"/>
      <c r="I27" s="2370"/>
      <c r="J27" s="2371"/>
      <c r="K27" s="861">
        <f t="shared" si="1"/>
        <v>0</v>
      </c>
      <c r="L27" s="861">
        <f t="shared" si="2"/>
        <v>0</v>
      </c>
      <c r="M27" s="2372"/>
      <c r="N27" s="2372"/>
      <c r="O27" s="2372"/>
      <c r="P27" s="2372"/>
      <c r="Q27" s="472" t="str">
        <f>IF(H27="","",P27/($O$6*VLOOKUP(C27,'DCA Underwriting Assumptions'!$J$118:$K$123,2,FALSE)))</f>
        <v/>
      </c>
      <c r="R27" s="547"/>
      <c r="S27" s="472"/>
      <c r="T27" s="2306"/>
      <c r="U27" s="2307"/>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238"/>
        <v/>
      </c>
      <c r="BU27" s="508" t="str">
        <f t="shared" si="239"/>
        <v/>
      </c>
      <c r="BV27" s="508" t="str">
        <f t="shared" si="240"/>
        <v/>
      </c>
      <c r="BW27" s="508" t="str">
        <f t="shared" si="241"/>
        <v/>
      </c>
      <c r="BX27" s="508" t="str">
        <f t="shared" si="242"/>
        <v/>
      </c>
      <c r="BY27" s="508" t="str">
        <f t="shared" si="53"/>
        <v/>
      </c>
      <c r="BZ27" s="508" t="str">
        <f t="shared" si="54"/>
        <v/>
      </c>
      <c r="CA27" s="508" t="str">
        <f t="shared" si="55"/>
        <v/>
      </c>
      <c r="CB27" s="508" t="str">
        <f t="shared" si="56"/>
        <v/>
      </c>
      <c r="CC27" s="508" t="str">
        <f t="shared" si="57"/>
        <v/>
      </c>
      <c r="CD27" s="508" t="str">
        <f t="shared" si="58"/>
        <v/>
      </c>
      <c r="CE27" s="508" t="str">
        <f t="shared" si="59"/>
        <v/>
      </c>
      <c r="CF27" s="508" t="str">
        <f t="shared" si="60"/>
        <v/>
      </c>
      <c r="CG27" s="508" t="str">
        <f t="shared" si="61"/>
        <v/>
      </c>
      <c r="CH27" s="508" t="str">
        <f t="shared" si="62"/>
        <v/>
      </c>
      <c r="CI27" s="508" t="str">
        <f t="shared" si="63"/>
        <v/>
      </c>
      <c r="CJ27" s="508" t="str">
        <f t="shared" si="64"/>
        <v/>
      </c>
      <c r="CK27" s="508" t="str">
        <f t="shared" si="65"/>
        <v/>
      </c>
      <c r="CL27" s="508" t="str">
        <f t="shared" si="66"/>
        <v/>
      </c>
      <c r="CM27" s="508" t="str">
        <f t="shared" si="67"/>
        <v/>
      </c>
      <c r="CN27" s="508" t="str">
        <f t="shared" si="68"/>
        <v/>
      </c>
      <c r="CO27" s="508" t="str">
        <f t="shared" si="69"/>
        <v/>
      </c>
      <c r="CP27" s="508" t="str">
        <f t="shared" si="70"/>
        <v/>
      </c>
      <c r="CQ27" s="508" t="str">
        <f t="shared" si="71"/>
        <v/>
      </c>
      <c r="CR27" s="508" t="str">
        <f t="shared" si="72"/>
        <v/>
      </c>
      <c r="CS27" s="508" t="str">
        <f t="shared" si="73"/>
        <v/>
      </c>
      <c r="CT27" s="508" t="str">
        <f t="shared" si="74"/>
        <v/>
      </c>
      <c r="CU27" s="508" t="str">
        <f t="shared" si="75"/>
        <v/>
      </c>
      <c r="CV27" s="508" t="str">
        <f t="shared" si="76"/>
        <v/>
      </c>
      <c r="CW27" s="508" t="str">
        <f t="shared" si="77"/>
        <v/>
      </c>
      <c r="CX27" s="508" t="str">
        <f t="shared" si="78"/>
        <v/>
      </c>
      <c r="CY27" s="508" t="str">
        <f t="shared" si="79"/>
        <v/>
      </c>
      <c r="CZ27" s="508" t="str">
        <f t="shared" si="80"/>
        <v/>
      </c>
      <c r="DA27" s="508" t="str">
        <f t="shared" si="81"/>
        <v/>
      </c>
      <c r="DB27" s="508" t="str">
        <f t="shared" si="82"/>
        <v/>
      </c>
      <c r="DC27" s="508" t="str">
        <f t="shared" si="83"/>
        <v/>
      </c>
      <c r="DD27" s="508" t="str">
        <f t="shared" si="84"/>
        <v/>
      </c>
      <c r="DE27" s="508" t="str">
        <f t="shared" si="85"/>
        <v/>
      </c>
      <c r="DF27" s="508" t="str">
        <f t="shared" si="86"/>
        <v/>
      </c>
      <c r="DG27" s="508" t="str">
        <f t="shared" si="87"/>
        <v/>
      </c>
      <c r="DH27" s="508" t="str">
        <f t="shared" si="88"/>
        <v/>
      </c>
      <c r="DI27" s="508" t="str">
        <f t="shared" si="89"/>
        <v/>
      </c>
      <c r="DJ27" s="508" t="str">
        <f t="shared" si="90"/>
        <v/>
      </c>
      <c r="DK27" s="508" t="str">
        <f t="shared" si="91"/>
        <v/>
      </c>
      <c r="DL27" s="508" t="str">
        <f t="shared" si="92"/>
        <v/>
      </c>
      <c r="DM27" s="508" t="str">
        <f t="shared" si="93"/>
        <v/>
      </c>
      <c r="DN27" s="508" t="str">
        <f t="shared" si="94"/>
        <v/>
      </c>
      <c r="DO27" s="508" t="str">
        <f t="shared" si="95"/>
        <v/>
      </c>
      <c r="DP27" s="508" t="str">
        <f t="shared" si="96"/>
        <v/>
      </c>
      <c r="DQ27" s="508" t="str">
        <f t="shared" si="97"/>
        <v/>
      </c>
      <c r="DR27" s="508" t="str">
        <f t="shared" si="98"/>
        <v/>
      </c>
      <c r="DS27" s="508" t="str">
        <f t="shared" si="99"/>
        <v/>
      </c>
      <c r="DT27" s="508" t="str">
        <f t="shared" si="100"/>
        <v/>
      </c>
      <c r="DU27" s="508" t="str">
        <f t="shared" si="101"/>
        <v/>
      </c>
      <c r="DV27" s="508" t="str">
        <f t="shared" si="102"/>
        <v/>
      </c>
      <c r="DW27" s="508" t="str">
        <f t="shared" si="103"/>
        <v/>
      </c>
      <c r="DX27" s="508" t="str">
        <f t="shared" si="104"/>
        <v/>
      </c>
      <c r="DY27" s="508" t="str">
        <f t="shared" si="105"/>
        <v/>
      </c>
      <c r="DZ27" s="508" t="str">
        <f t="shared" si="106"/>
        <v/>
      </c>
      <c r="EA27" s="508" t="str">
        <f t="shared" si="107"/>
        <v/>
      </c>
      <c r="EB27" s="508" t="str">
        <f t="shared" si="108"/>
        <v/>
      </c>
      <c r="EC27" s="508" t="str">
        <f t="shared" si="109"/>
        <v/>
      </c>
      <c r="ED27" s="508" t="str">
        <f t="shared" si="110"/>
        <v/>
      </c>
      <c r="EE27" s="508" t="str">
        <f t="shared" si="111"/>
        <v/>
      </c>
      <c r="EF27" s="508" t="str">
        <f t="shared" si="112"/>
        <v/>
      </c>
      <c r="EG27" s="508" t="str">
        <f t="shared" si="113"/>
        <v/>
      </c>
      <c r="EH27" s="508" t="str">
        <f t="shared" si="114"/>
        <v/>
      </c>
      <c r="EI27" s="508" t="str">
        <f t="shared" si="115"/>
        <v/>
      </c>
      <c r="EJ27" s="508" t="str">
        <f t="shared" si="116"/>
        <v/>
      </c>
      <c r="EK27" s="508" t="str">
        <f t="shared" si="117"/>
        <v/>
      </c>
      <c r="EL27" s="508" t="str">
        <f t="shared" si="118"/>
        <v/>
      </c>
      <c r="EM27" s="508" t="str">
        <f t="shared" si="119"/>
        <v/>
      </c>
      <c r="EN27" s="508" t="str">
        <f t="shared" si="120"/>
        <v/>
      </c>
      <c r="EO27" s="508" t="str">
        <f t="shared" si="121"/>
        <v/>
      </c>
      <c r="EP27" s="508" t="str">
        <f t="shared" si="122"/>
        <v/>
      </c>
      <c r="EQ27" s="508" t="str">
        <f t="shared" si="123"/>
        <v/>
      </c>
      <c r="ER27" s="508" t="str">
        <f t="shared" si="124"/>
        <v/>
      </c>
      <c r="ES27" s="508" t="str">
        <f t="shared" si="125"/>
        <v/>
      </c>
      <c r="ET27" s="508" t="str">
        <f t="shared" si="126"/>
        <v/>
      </c>
      <c r="EU27" s="508" t="str">
        <f t="shared" si="127"/>
        <v/>
      </c>
      <c r="EV27" s="518" t="str">
        <f t="shared" si="128"/>
        <v/>
      </c>
      <c r="EW27" s="518" t="str">
        <f t="shared" si="129"/>
        <v/>
      </c>
      <c r="EX27" s="518" t="str">
        <f t="shared" si="130"/>
        <v/>
      </c>
      <c r="EY27" s="518" t="str">
        <f t="shared" si="131"/>
        <v/>
      </c>
      <c r="EZ27" s="518" t="str">
        <f t="shared" si="132"/>
        <v/>
      </c>
      <c r="FA27" s="518" t="str">
        <f t="shared" si="133"/>
        <v/>
      </c>
      <c r="FB27" s="518" t="str">
        <f t="shared" si="134"/>
        <v/>
      </c>
      <c r="FC27" s="518" t="str">
        <f t="shared" si="135"/>
        <v/>
      </c>
      <c r="FD27" s="518" t="str">
        <f t="shared" si="136"/>
        <v/>
      </c>
      <c r="FE27" s="518" t="str">
        <f t="shared" si="137"/>
        <v/>
      </c>
      <c r="FF27" s="518" t="str">
        <f t="shared" si="138"/>
        <v/>
      </c>
      <c r="FG27" s="518" t="str">
        <f t="shared" si="139"/>
        <v/>
      </c>
      <c r="FH27" s="518" t="str">
        <f t="shared" si="140"/>
        <v/>
      </c>
      <c r="FI27" s="518" t="str">
        <f t="shared" si="141"/>
        <v/>
      </c>
      <c r="FJ27" s="518" t="str">
        <f t="shared" si="142"/>
        <v/>
      </c>
      <c r="FK27" s="518" t="str">
        <f t="shared" si="143"/>
        <v/>
      </c>
      <c r="FL27" s="518" t="str">
        <f t="shared" si="144"/>
        <v/>
      </c>
      <c r="FM27" s="518" t="str">
        <f t="shared" si="145"/>
        <v/>
      </c>
      <c r="FN27" s="518" t="str">
        <f t="shared" si="146"/>
        <v/>
      </c>
      <c r="FO27" s="518" t="str">
        <f t="shared" si="147"/>
        <v/>
      </c>
      <c r="FP27" s="518" t="str">
        <f t="shared" si="148"/>
        <v/>
      </c>
      <c r="FQ27" s="518" t="str">
        <f t="shared" si="149"/>
        <v/>
      </c>
      <c r="FR27" s="518" t="str">
        <f t="shared" si="150"/>
        <v/>
      </c>
      <c r="FS27" s="518" t="str">
        <f t="shared" si="151"/>
        <v/>
      </c>
      <c r="FT27" s="518" t="str">
        <f t="shared" si="152"/>
        <v/>
      </c>
      <c r="FU27" s="518" t="str">
        <f t="shared" si="153"/>
        <v/>
      </c>
      <c r="FV27" s="518" t="str">
        <f t="shared" si="154"/>
        <v/>
      </c>
      <c r="FW27" s="518" t="str">
        <f t="shared" si="155"/>
        <v/>
      </c>
      <c r="FX27" s="518" t="str">
        <f t="shared" si="156"/>
        <v/>
      </c>
      <c r="FY27" s="518" t="str">
        <f t="shared" si="157"/>
        <v/>
      </c>
      <c r="FZ27" s="518" t="str">
        <f t="shared" si="158"/>
        <v/>
      </c>
      <c r="GA27" s="518" t="str">
        <f t="shared" si="159"/>
        <v/>
      </c>
      <c r="GB27" s="518" t="str">
        <f t="shared" si="160"/>
        <v/>
      </c>
      <c r="GC27" s="518" t="str">
        <f t="shared" si="161"/>
        <v/>
      </c>
      <c r="GD27" s="518" t="str">
        <f t="shared" si="162"/>
        <v/>
      </c>
      <c r="GE27" s="518" t="str">
        <f t="shared" si="163"/>
        <v/>
      </c>
      <c r="GF27" s="518" t="str">
        <f t="shared" si="164"/>
        <v/>
      </c>
      <c r="GG27" s="518" t="str">
        <f t="shared" si="165"/>
        <v/>
      </c>
      <c r="GH27" s="518" t="str">
        <f t="shared" si="166"/>
        <v/>
      </c>
      <c r="GI27" s="518" t="str">
        <f t="shared" si="167"/>
        <v/>
      </c>
      <c r="GJ27" s="518" t="str">
        <f t="shared" si="168"/>
        <v/>
      </c>
      <c r="GK27" s="518" t="str">
        <f t="shared" si="169"/>
        <v/>
      </c>
      <c r="GL27" s="518" t="str">
        <f t="shared" si="170"/>
        <v/>
      </c>
      <c r="GM27" s="518" t="str">
        <f t="shared" si="171"/>
        <v/>
      </c>
      <c r="GN27" s="518" t="str">
        <f t="shared" si="172"/>
        <v/>
      </c>
      <c r="GO27" s="518" t="str">
        <f t="shared" si="173"/>
        <v/>
      </c>
      <c r="GP27" s="518" t="str">
        <f t="shared" si="174"/>
        <v/>
      </c>
      <c r="GQ27" s="518" t="str">
        <f t="shared" si="175"/>
        <v/>
      </c>
      <c r="GR27" s="518" t="str">
        <f t="shared" si="176"/>
        <v/>
      </c>
      <c r="GS27" s="518" t="str">
        <f t="shared" si="177"/>
        <v/>
      </c>
      <c r="GT27" s="518" t="str">
        <f t="shared" si="178"/>
        <v/>
      </c>
      <c r="GU27" s="518" t="str">
        <f t="shared" si="179"/>
        <v/>
      </c>
      <c r="GV27" s="518" t="str">
        <f t="shared" si="180"/>
        <v/>
      </c>
      <c r="GW27" s="518" t="str">
        <f t="shared" si="181"/>
        <v/>
      </c>
      <c r="GX27" s="518" t="str">
        <f t="shared" si="182"/>
        <v/>
      </c>
      <c r="GY27" s="518" t="str">
        <f t="shared" si="183"/>
        <v/>
      </c>
      <c r="GZ27" s="518" t="str">
        <f t="shared" si="184"/>
        <v/>
      </c>
      <c r="HA27" s="518" t="str">
        <f t="shared" si="185"/>
        <v/>
      </c>
      <c r="HB27" s="518" t="str">
        <f t="shared" si="186"/>
        <v/>
      </c>
      <c r="HC27" s="518" t="str">
        <f t="shared" si="187"/>
        <v/>
      </c>
      <c r="HD27" s="518" t="str">
        <f t="shared" si="188"/>
        <v/>
      </c>
      <c r="HE27" s="518" t="str">
        <f t="shared" si="189"/>
        <v/>
      </c>
      <c r="HF27" s="518" t="str">
        <f t="shared" si="190"/>
        <v/>
      </c>
      <c r="HG27" s="518" t="str">
        <f t="shared" si="191"/>
        <v/>
      </c>
      <c r="HH27" s="518" t="str">
        <f t="shared" si="192"/>
        <v/>
      </c>
      <c r="HI27" s="518" t="str">
        <f t="shared" si="193"/>
        <v/>
      </c>
      <c r="HJ27" s="518" t="str">
        <f t="shared" si="194"/>
        <v/>
      </c>
      <c r="HK27" s="518" t="str">
        <f t="shared" si="195"/>
        <v/>
      </c>
      <c r="HL27" s="518" t="str">
        <f t="shared" si="196"/>
        <v/>
      </c>
      <c r="HM27" s="518" t="str">
        <f t="shared" si="197"/>
        <v/>
      </c>
      <c r="HN27" s="518" t="str">
        <f t="shared" si="198"/>
        <v/>
      </c>
      <c r="HO27" s="518" t="str">
        <f t="shared" si="199"/>
        <v/>
      </c>
      <c r="HP27" s="518" t="str">
        <f t="shared" si="200"/>
        <v/>
      </c>
      <c r="HQ27" s="518" t="str">
        <f t="shared" si="201"/>
        <v/>
      </c>
      <c r="HR27" s="518" t="str">
        <f t="shared" si="202"/>
        <v/>
      </c>
      <c r="HS27" s="518" t="str">
        <f t="shared" si="203"/>
        <v/>
      </c>
      <c r="HT27" s="518" t="str">
        <f t="shared" si="204"/>
        <v/>
      </c>
      <c r="HU27" s="518" t="str">
        <f t="shared" si="205"/>
        <v/>
      </c>
      <c r="HV27" s="518" t="str">
        <f t="shared" si="206"/>
        <v/>
      </c>
      <c r="HW27" s="518" t="str">
        <f t="shared" si="207"/>
        <v/>
      </c>
      <c r="HX27" s="518" t="str">
        <f t="shared" si="208"/>
        <v/>
      </c>
      <c r="HY27" s="518" t="str">
        <f t="shared" si="209"/>
        <v/>
      </c>
      <c r="HZ27" s="518" t="str">
        <f t="shared" si="210"/>
        <v/>
      </c>
      <c r="IA27" s="518" t="str">
        <f t="shared" si="211"/>
        <v/>
      </c>
      <c r="IB27" s="518" t="str">
        <f t="shared" si="212"/>
        <v/>
      </c>
      <c r="IC27" s="519" t="str">
        <f t="shared" si="213"/>
        <v/>
      </c>
      <c r="ID27" s="519" t="str">
        <f t="shared" si="214"/>
        <v/>
      </c>
      <c r="IE27" s="519" t="str">
        <f t="shared" si="215"/>
        <v/>
      </c>
      <c r="IF27" s="519" t="str">
        <f t="shared" si="216"/>
        <v/>
      </c>
      <c r="IG27" s="519" t="str">
        <f t="shared" si="217"/>
        <v/>
      </c>
      <c r="IH27" s="508" t="str">
        <f t="shared" si="218"/>
        <v/>
      </c>
      <c r="II27" s="508" t="str">
        <f t="shared" si="219"/>
        <v/>
      </c>
      <c r="IJ27" s="508" t="str">
        <f t="shared" si="220"/>
        <v/>
      </c>
      <c r="IK27" s="508" t="str">
        <f t="shared" si="221"/>
        <v/>
      </c>
      <c r="IL27" s="508" t="str">
        <f t="shared" si="222"/>
        <v/>
      </c>
      <c r="IM27" s="508" t="str">
        <f t="shared" si="223"/>
        <v/>
      </c>
      <c r="IN27" s="508" t="str">
        <f t="shared" si="224"/>
        <v/>
      </c>
      <c r="IO27" s="508" t="str">
        <f t="shared" si="225"/>
        <v/>
      </c>
      <c r="IP27" s="508" t="str">
        <f t="shared" si="226"/>
        <v/>
      </c>
      <c r="IQ27" s="508" t="str">
        <f t="shared" si="227"/>
        <v/>
      </c>
      <c r="IR27" s="508" t="str">
        <f t="shared" si="228"/>
        <v/>
      </c>
      <c r="IS27" s="508" t="str">
        <f t="shared" si="229"/>
        <v/>
      </c>
      <c r="IT27" s="508" t="str">
        <f t="shared" si="230"/>
        <v/>
      </c>
      <c r="IU27" s="508" t="str">
        <f t="shared" si="231"/>
        <v/>
      </c>
      <c r="IV27" s="508" t="str">
        <f t="shared" si="232"/>
        <v/>
      </c>
      <c r="IW27" s="508" t="str">
        <f t="shared" si="233"/>
        <v/>
      </c>
      <c r="IX27" s="508" t="str">
        <f t="shared" si="234"/>
        <v/>
      </c>
      <c r="IY27" s="508" t="str">
        <f t="shared" si="235"/>
        <v/>
      </c>
      <c r="IZ27" s="508" t="str">
        <f t="shared" si="236"/>
        <v/>
      </c>
      <c r="JA27" s="508" t="str">
        <f t="shared" si="237"/>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67" t="s">
        <v>1859</v>
      </c>
      <c r="C28" s="2368"/>
      <c r="D28" s="2369"/>
      <c r="E28" s="2370"/>
      <c r="F28" s="2370"/>
      <c r="G28" s="2370"/>
      <c r="H28" s="2370"/>
      <c r="I28" s="2370"/>
      <c r="J28" s="2371"/>
      <c r="K28" s="861">
        <f t="shared" si="1"/>
        <v>0</v>
      </c>
      <c r="L28" s="861">
        <f t="shared" si="2"/>
        <v>0</v>
      </c>
      <c r="M28" s="2372"/>
      <c r="N28" s="2372"/>
      <c r="O28" s="2372"/>
      <c r="P28" s="2372"/>
      <c r="Q28" s="472" t="str">
        <f>IF(H28="","",P28/($O$6*VLOOKUP(C28,'DCA Underwriting Assumptions'!$J$118:$K$123,2,FALSE)))</f>
        <v/>
      </c>
      <c r="R28" s="547"/>
      <c r="S28" s="472"/>
      <c r="T28" s="2306"/>
      <c r="U28" s="2307"/>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238"/>
        <v/>
      </c>
      <c r="BU28" s="508" t="str">
        <f t="shared" si="239"/>
        <v/>
      </c>
      <c r="BV28" s="508" t="str">
        <f t="shared" si="240"/>
        <v/>
      </c>
      <c r="BW28" s="508" t="str">
        <f t="shared" si="241"/>
        <v/>
      </c>
      <c r="BX28" s="508" t="str">
        <f t="shared" si="242"/>
        <v/>
      </c>
      <c r="BY28" s="508" t="str">
        <f t="shared" si="53"/>
        <v/>
      </c>
      <c r="BZ28" s="508" t="str">
        <f t="shared" si="54"/>
        <v/>
      </c>
      <c r="CA28" s="508" t="str">
        <f t="shared" si="55"/>
        <v/>
      </c>
      <c r="CB28" s="508" t="str">
        <f t="shared" si="56"/>
        <v/>
      </c>
      <c r="CC28" s="508" t="str">
        <f t="shared" si="57"/>
        <v/>
      </c>
      <c r="CD28" s="508" t="str">
        <f t="shared" si="58"/>
        <v/>
      </c>
      <c r="CE28" s="508" t="str">
        <f t="shared" si="59"/>
        <v/>
      </c>
      <c r="CF28" s="508" t="str">
        <f t="shared" si="60"/>
        <v/>
      </c>
      <c r="CG28" s="508" t="str">
        <f t="shared" si="61"/>
        <v/>
      </c>
      <c r="CH28" s="508" t="str">
        <f t="shared" si="62"/>
        <v/>
      </c>
      <c r="CI28" s="508" t="str">
        <f t="shared" si="63"/>
        <v/>
      </c>
      <c r="CJ28" s="508" t="str">
        <f t="shared" si="64"/>
        <v/>
      </c>
      <c r="CK28" s="508" t="str">
        <f t="shared" si="65"/>
        <v/>
      </c>
      <c r="CL28" s="508" t="str">
        <f t="shared" si="66"/>
        <v/>
      </c>
      <c r="CM28" s="508" t="str">
        <f t="shared" si="67"/>
        <v/>
      </c>
      <c r="CN28" s="508" t="str">
        <f t="shared" si="68"/>
        <v/>
      </c>
      <c r="CO28" s="508" t="str">
        <f t="shared" si="69"/>
        <v/>
      </c>
      <c r="CP28" s="508" t="str">
        <f t="shared" si="70"/>
        <v/>
      </c>
      <c r="CQ28" s="508" t="str">
        <f t="shared" si="71"/>
        <v/>
      </c>
      <c r="CR28" s="508" t="str">
        <f t="shared" si="72"/>
        <v/>
      </c>
      <c r="CS28" s="508" t="str">
        <f t="shared" si="73"/>
        <v/>
      </c>
      <c r="CT28" s="508" t="str">
        <f t="shared" si="74"/>
        <v/>
      </c>
      <c r="CU28" s="508" t="str">
        <f t="shared" si="75"/>
        <v/>
      </c>
      <c r="CV28" s="508" t="str">
        <f t="shared" si="76"/>
        <v/>
      </c>
      <c r="CW28" s="508" t="str">
        <f t="shared" si="77"/>
        <v/>
      </c>
      <c r="CX28" s="508" t="str">
        <f t="shared" si="78"/>
        <v/>
      </c>
      <c r="CY28" s="508" t="str">
        <f t="shared" si="79"/>
        <v/>
      </c>
      <c r="CZ28" s="508" t="str">
        <f t="shared" si="80"/>
        <v/>
      </c>
      <c r="DA28" s="508" t="str">
        <f t="shared" si="81"/>
        <v/>
      </c>
      <c r="DB28" s="508" t="str">
        <f t="shared" si="82"/>
        <v/>
      </c>
      <c r="DC28" s="508" t="str">
        <f t="shared" si="83"/>
        <v/>
      </c>
      <c r="DD28" s="508" t="str">
        <f t="shared" si="84"/>
        <v/>
      </c>
      <c r="DE28" s="508" t="str">
        <f t="shared" si="85"/>
        <v/>
      </c>
      <c r="DF28" s="508" t="str">
        <f t="shared" si="86"/>
        <v/>
      </c>
      <c r="DG28" s="508" t="str">
        <f t="shared" si="87"/>
        <v/>
      </c>
      <c r="DH28" s="508" t="str">
        <f t="shared" si="88"/>
        <v/>
      </c>
      <c r="DI28" s="508" t="str">
        <f t="shared" si="89"/>
        <v/>
      </c>
      <c r="DJ28" s="508" t="str">
        <f t="shared" si="90"/>
        <v/>
      </c>
      <c r="DK28" s="508" t="str">
        <f t="shared" si="91"/>
        <v/>
      </c>
      <c r="DL28" s="508" t="str">
        <f t="shared" si="92"/>
        <v/>
      </c>
      <c r="DM28" s="508" t="str">
        <f t="shared" si="93"/>
        <v/>
      </c>
      <c r="DN28" s="508" t="str">
        <f t="shared" si="94"/>
        <v/>
      </c>
      <c r="DO28" s="508" t="str">
        <f t="shared" si="95"/>
        <v/>
      </c>
      <c r="DP28" s="508" t="str">
        <f t="shared" si="96"/>
        <v/>
      </c>
      <c r="DQ28" s="508" t="str">
        <f t="shared" si="97"/>
        <v/>
      </c>
      <c r="DR28" s="508" t="str">
        <f t="shared" si="98"/>
        <v/>
      </c>
      <c r="DS28" s="508" t="str">
        <f t="shared" si="99"/>
        <v/>
      </c>
      <c r="DT28" s="508" t="str">
        <f t="shared" si="100"/>
        <v/>
      </c>
      <c r="DU28" s="508" t="str">
        <f t="shared" si="101"/>
        <v/>
      </c>
      <c r="DV28" s="508" t="str">
        <f t="shared" si="102"/>
        <v/>
      </c>
      <c r="DW28" s="508" t="str">
        <f t="shared" si="103"/>
        <v/>
      </c>
      <c r="DX28" s="508" t="str">
        <f t="shared" si="104"/>
        <v/>
      </c>
      <c r="DY28" s="508" t="str">
        <f t="shared" si="105"/>
        <v/>
      </c>
      <c r="DZ28" s="508" t="str">
        <f t="shared" si="106"/>
        <v/>
      </c>
      <c r="EA28" s="508" t="str">
        <f t="shared" si="107"/>
        <v/>
      </c>
      <c r="EB28" s="508" t="str">
        <f t="shared" si="108"/>
        <v/>
      </c>
      <c r="EC28" s="508" t="str">
        <f t="shared" si="109"/>
        <v/>
      </c>
      <c r="ED28" s="508" t="str">
        <f t="shared" si="110"/>
        <v/>
      </c>
      <c r="EE28" s="508" t="str">
        <f t="shared" si="111"/>
        <v/>
      </c>
      <c r="EF28" s="508" t="str">
        <f t="shared" si="112"/>
        <v/>
      </c>
      <c r="EG28" s="508" t="str">
        <f t="shared" si="113"/>
        <v/>
      </c>
      <c r="EH28" s="508" t="str">
        <f t="shared" si="114"/>
        <v/>
      </c>
      <c r="EI28" s="508" t="str">
        <f t="shared" si="115"/>
        <v/>
      </c>
      <c r="EJ28" s="508" t="str">
        <f t="shared" si="116"/>
        <v/>
      </c>
      <c r="EK28" s="508" t="str">
        <f t="shared" si="117"/>
        <v/>
      </c>
      <c r="EL28" s="508" t="str">
        <f t="shared" si="118"/>
        <v/>
      </c>
      <c r="EM28" s="508" t="str">
        <f t="shared" si="119"/>
        <v/>
      </c>
      <c r="EN28" s="508" t="str">
        <f t="shared" si="120"/>
        <v/>
      </c>
      <c r="EO28" s="508" t="str">
        <f t="shared" si="121"/>
        <v/>
      </c>
      <c r="EP28" s="508" t="str">
        <f t="shared" si="122"/>
        <v/>
      </c>
      <c r="EQ28" s="508" t="str">
        <f t="shared" si="123"/>
        <v/>
      </c>
      <c r="ER28" s="508" t="str">
        <f t="shared" si="124"/>
        <v/>
      </c>
      <c r="ES28" s="508" t="str">
        <f t="shared" si="125"/>
        <v/>
      </c>
      <c r="ET28" s="508" t="str">
        <f t="shared" si="126"/>
        <v/>
      </c>
      <c r="EU28" s="508" t="str">
        <f t="shared" si="127"/>
        <v/>
      </c>
      <c r="EV28" s="518" t="str">
        <f t="shared" si="128"/>
        <v/>
      </c>
      <c r="EW28" s="518" t="str">
        <f t="shared" si="129"/>
        <v/>
      </c>
      <c r="EX28" s="518" t="str">
        <f t="shared" si="130"/>
        <v/>
      </c>
      <c r="EY28" s="518" t="str">
        <f t="shared" si="131"/>
        <v/>
      </c>
      <c r="EZ28" s="518" t="str">
        <f t="shared" si="132"/>
        <v/>
      </c>
      <c r="FA28" s="518" t="str">
        <f t="shared" si="133"/>
        <v/>
      </c>
      <c r="FB28" s="518" t="str">
        <f t="shared" si="134"/>
        <v/>
      </c>
      <c r="FC28" s="518" t="str">
        <f t="shared" si="135"/>
        <v/>
      </c>
      <c r="FD28" s="518" t="str">
        <f t="shared" si="136"/>
        <v/>
      </c>
      <c r="FE28" s="518" t="str">
        <f t="shared" si="137"/>
        <v/>
      </c>
      <c r="FF28" s="518" t="str">
        <f t="shared" si="138"/>
        <v/>
      </c>
      <c r="FG28" s="518" t="str">
        <f t="shared" si="139"/>
        <v/>
      </c>
      <c r="FH28" s="518" t="str">
        <f t="shared" si="140"/>
        <v/>
      </c>
      <c r="FI28" s="518" t="str">
        <f t="shared" si="141"/>
        <v/>
      </c>
      <c r="FJ28" s="518" t="str">
        <f t="shared" si="142"/>
        <v/>
      </c>
      <c r="FK28" s="518" t="str">
        <f t="shared" si="143"/>
        <v/>
      </c>
      <c r="FL28" s="518" t="str">
        <f t="shared" si="144"/>
        <v/>
      </c>
      <c r="FM28" s="518" t="str">
        <f t="shared" si="145"/>
        <v/>
      </c>
      <c r="FN28" s="518" t="str">
        <f t="shared" si="146"/>
        <v/>
      </c>
      <c r="FO28" s="518" t="str">
        <f t="shared" si="147"/>
        <v/>
      </c>
      <c r="FP28" s="518" t="str">
        <f t="shared" si="148"/>
        <v/>
      </c>
      <c r="FQ28" s="518" t="str">
        <f t="shared" si="149"/>
        <v/>
      </c>
      <c r="FR28" s="518" t="str">
        <f t="shared" si="150"/>
        <v/>
      </c>
      <c r="FS28" s="518" t="str">
        <f t="shared" si="151"/>
        <v/>
      </c>
      <c r="FT28" s="518" t="str">
        <f t="shared" si="152"/>
        <v/>
      </c>
      <c r="FU28" s="518" t="str">
        <f t="shared" si="153"/>
        <v/>
      </c>
      <c r="FV28" s="518" t="str">
        <f t="shared" si="154"/>
        <v/>
      </c>
      <c r="FW28" s="518" t="str">
        <f t="shared" si="155"/>
        <v/>
      </c>
      <c r="FX28" s="518" t="str">
        <f t="shared" si="156"/>
        <v/>
      </c>
      <c r="FY28" s="518" t="str">
        <f t="shared" si="157"/>
        <v/>
      </c>
      <c r="FZ28" s="518" t="str">
        <f t="shared" si="158"/>
        <v/>
      </c>
      <c r="GA28" s="518" t="str">
        <f t="shared" si="159"/>
        <v/>
      </c>
      <c r="GB28" s="518" t="str">
        <f t="shared" si="160"/>
        <v/>
      </c>
      <c r="GC28" s="518" t="str">
        <f t="shared" si="161"/>
        <v/>
      </c>
      <c r="GD28" s="518" t="str">
        <f t="shared" si="162"/>
        <v/>
      </c>
      <c r="GE28" s="518" t="str">
        <f t="shared" si="163"/>
        <v/>
      </c>
      <c r="GF28" s="518" t="str">
        <f t="shared" si="164"/>
        <v/>
      </c>
      <c r="GG28" s="518" t="str">
        <f t="shared" si="165"/>
        <v/>
      </c>
      <c r="GH28" s="518" t="str">
        <f t="shared" si="166"/>
        <v/>
      </c>
      <c r="GI28" s="518" t="str">
        <f t="shared" si="167"/>
        <v/>
      </c>
      <c r="GJ28" s="518" t="str">
        <f t="shared" si="168"/>
        <v/>
      </c>
      <c r="GK28" s="518" t="str">
        <f t="shared" si="169"/>
        <v/>
      </c>
      <c r="GL28" s="518" t="str">
        <f t="shared" si="170"/>
        <v/>
      </c>
      <c r="GM28" s="518" t="str">
        <f t="shared" si="171"/>
        <v/>
      </c>
      <c r="GN28" s="518" t="str">
        <f t="shared" si="172"/>
        <v/>
      </c>
      <c r="GO28" s="518" t="str">
        <f t="shared" si="173"/>
        <v/>
      </c>
      <c r="GP28" s="518" t="str">
        <f t="shared" si="174"/>
        <v/>
      </c>
      <c r="GQ28" s="518" t="str">
        <f t="shared" si="175"/>
        <v/>
      </c>
      <c r="GR28" s="518" t="str">
        <f t="shared" si="176"/>
        <v/>
      </c>
      <c r="GS28" s="518" t="str">
        <f t="shared" si="177"/>
        <v/>
      </c>
      <c r="GT28" s="518" t="str">
        <f t="shared" si="178"/>
        <v/>
      </c>
      <c r="GU28" s="518" t="str">
        <f t="shared" si="179"/>
        <v/>
      </c>
      <c r="GV28" s="518" t="str">
        <f t="shared" si="180"/>
        <v/>
      </c>
      <c r="GW28" s="518" t="str">
        <f t="shared" si="181"/>
        <v/>
      </c>
      <c r="GX28" s="518" t="str">
        <f t="shared" si="182"/>
        <v/>
      </c>
      <c r="GY28" s="518" t="str">
        <f t="shared" si="183"/>
        <v/>
      </c>
      <c r="GZ28" s="518" t="str">
        <f t="shared" si="184"/>
        <v/>
      </c>
      <c r="HA28" s="518" t="str">
        <f t="shared" si="185"/>
        <v/>
      </c>
      <c r="HB28" s="518" t="str">
        <f t="shared" si="186"/>
        <v/>
      </c>
      <c r="HC28" s="518" t="str">
        <f t="shared" si="187"/>
        <v/>
      </c>
      <c r="HD28" s="518" t="str">
        <f t="shared" si="188"/>
        <v/>
      </c>
      <c r="HE28" s="518" t="str">
        <f t="shared" si="189"/>
        <v/>
      </c>
      <c r="HF28" s="518" t="str">
        <f t="shared" si="190"/>
        <v/>
      </c>
      <c r="HG28" s="518" t="str">
        <f t="shared" si="191"/>
        <v/>
      </c>
      <c r="HH28" s="518" t="str">
        <f t="shared" si="192"/>
        <v/>
      </c>
      <c r="HI28" s="518" t="str">
        <f t="shared" si="193"/>
        <v/>
      </c>
      <c r="HJ28" s="518" t="str">
        <f t="shared" si="194"/>
        <v/>
      </c>
      <c r="HK28" s="518" t="str">
        <f t="shared" si="195"/>
        <v/>
      </c>
      <c r="HL28" s="518" t="str">
        <f t="shared" si="196"/>
        <v/>
      </c>
      <c r="HM28" s="518" t="str">
        <f t="shared" si="197"/>
        <v/>
      </c>
      <c r="HN28" s="518" t="str">
        <f t="shared" si="198"/>
        <v/>
      </c>
      <c r="HO28" s="518" t="str">
        <f t="shared" si="199"/>
        <v/>
      </c>
      <c r="HP28" s="518" t="str">
        <f t="shared" si="200"/>
        <v/>
      </c>
      <c r="HQ28" s="518" t="str">
        <f t="shared" si="201"/>
        <v/>
      </c>
      <c r="HR28" s="518" t="str">
        <f t="shared" si="202"/>
        <v/>
      </c>
      <c r="HS28" s="518" t="str">
        <f t="shared" si="203"/>
        <v/>
      </c>
      <c r="HT28" s="518" t="str">
        <f t="shared" si="204"/>
        <v/>
      </c>
      <c r="HU28" s="518" t="str">
        <f t="shared" si="205"/>
        <v/>
      </c>
      <c r="HV28" s="518" t="str">
        <f t="shared" si="206"/>
        <v/>
      </c>
      <c r="HW28" s="518" t="str">
        <f t="shared" si="207"/>
        <v/>
      </c>
      <c r="HX28" s="518" t="str">
        <f t="shared" si="208"/>
        <v/>
      </c>
      <c r="HY28" s="518" t="str">
        <f t="shared" si="209"/>
        <v/>
      </c>
      <c r="HZ28" s="518" t="str">
        <f t="shared" si="210"/>
        <v/>
      </c>
      <c r="IA28" s="518" t="str">
        <f t="shared" si="211"/>
        <v/>
      </c>
      <c r="IB28" s="518" t="str">
        <f t="shared" si="212"/>
        <v/>
      </c>
      <c r="IC28" s="519" t="str">
        <f t="shared" si="213"/>
        <v/>
      </c>
      <c r="ID28" s="519" t="str">
        <f t="shared" si="214"/>
        <v/>
      </c>
      <c r="IE28" s="519" t="str">
        <f t="shared" si="215"/>
        <v/>
      </c>
      <c r="IF28" s="519" t="str">
        <f t="shared" si="216"/>
        <v/>
      </c>
      <c r="IG28" s="519" t="str">
        <f t="shared" si="217"/>
        <v/>
      </c>
      <c r="IH28" s="508" t="str">
        <f t="shared" si="218"/>
        <v/>
      </c>
      <c r="II28" s="508" t="str">
        <f t="shared" si="219"/>
        <v/>
      </c>
      <c r="IJ28" s="508" t="str">
        <f t="shared" si="220"/>
        <v/>
      </c>
      <c r="IK28" s="508" t="str">
        <f t="shared" si="221"/>
        <v/>
      </c>
      <c r="IL28" s="508" t="str">
        <f t="shared" si="222"/>
        <v/>
      </c>
      <c r="IM28" s="508" t="str">
        <f t="shared" si="223"/>
        <v/>
      </c>
      <c r="IN28" s="508" t="str">
        <f t="shared" si="224"/>
        <v/>
      </c>
      <c r="IO28" s="508" t="str">
        <f t="shared" si="225"/>
        <v/>
      </c>
      <c r="IP28" s="508" t="str">
        <f t="shared" si="226"/>
        <v/>
      </c>
      <c r="IQ28" s="508" t="str">
        <f t="shared" si="227"/>
        <v/>
      </c>
      <c r="IR28" s="508" t="str">
        <f t="shared" si="228"/>
        <v/>
      </c>
      <c r="IS28" s="508" t="str">
        <f t="shared" si="229"/>
        <v/>
      </c>
      <c r="IT28" s="508" t="str">
        <f t="shared" si="230"/>
        <v/>
      </c>
      <c r="IU28" s="508" t="str">
        <f t="shared" si="231"/>
        <v/>
      </c>
      <c r="IV28" s="508" t="str">
        <f t="shared" si="232"/>
        <v/>
      </c>
      <c r="IW28" s="508" t="str">
        <f t="shared" si="233"/>
        <v/>
      </c>
      <c r="IX28" s="508" t="str">
        <f t="shared" si="234"/>
        <v/>
      </c>
      <c r="IY28" s="508" t="str">
        <f t="shared" si="235"/>
        <v/>
      </c>
      <c r="IZ28" s="508" t="str">
        <f t="shared" si="236"/>
        <v/>
      </c>
      <c r="JA28" s="508" t="str">
        <f t="shared" si="237"/>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67" t="s">
        <v>1859</v>
      </c>
      <c r="C29" s="2368"/>
      <c r="D29" s="2369"/>
      <c r="E29" s="2370"/>
      <c r="F29" s="2370"/>
      <c r="G29" s="2370"/>
      <c r="H29" s="2370"/>
      <c r="I29" s="2370"/>
      <c r="J29" s="2371"/>
      <c r="K29" s="861">
        <f t="shared" si="1"/>
        <v>0</v>
      </c>
      <c r="L29" s="861">
        <f t="shared" si="2"/>
        <v>0</v>
      </c>
      <c r="M29" s="2372"/>
      <c r="N29" s="2372"/>
      <c r="O29" s="2372"/>
      <c r="P29" s="2372"/>
      <c r="Q29" s="472" t="str">
        <f>IF(H29="","",P29/($O$6*VLOOKUP(C29,'DCA Underwriting Assumptions'!$J$118:$K$123,2,FALSE)))</f>
        <v/>
      </c>
      <c r="R29" s="547"/>
      <c r="S29" s="472"/>
      <c r="T29" s="2306"/>
      <c r="U29" s="2307"/>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238"/>
        <v/>
      </c>
      <c r="BU29" s="508" t="str">
        <f t="shared" si="239"/>
        <v/>
      </c>
      <c r="BV29" s="508" t="str">
        <f t="shared" si="240"/>
        <v/>
      </c>
      <c r="BW29" s="508" t="str">
        <f t="shared" si="241"/>
        <v/>
      </c>
      <c r="BX29" s="508" t="str">
        <f t="shared" si="242"/>
        <v/>
      </c>
      <c r="BY29" s="508" t="str">
        <f t="shared" si="53"/>
        <v/>
      </c>
      <c r="BZ29" s="508" t="str">
        <f t="shared" si="54"/>
        <v/>
      </c>
      <c r="CA29" s="508" t="str">
        <f t="shared" si="55"/>
        <v/>
      </c>
      <c r="CB29" s="508" t="str">
        <f t="shared" si="56"/>
        <v/>
      </c>
      <c r="CC29" s="508" t="str">
        <f t="shared" si="57"/>
        <v/>
      </c>
      <c r="CD29" s="508" t="str">
        <f t="shared" si="58"/>
        <v/>
      </c>
      <c r="CE29" s="508" t="str">
        <f t="shared" si="59"/>
        <v/>
      </c>
      <c r="CF29" s="508" t="str">
        <f t="shared" si="60"/>
        <v/>
      </c>
      <c r="CG29" s="508" t="str">
        <f t="shared" si="61"/>
        <v/>
      </c>
      <c r="CH29" s="508" t="str">
        <f t="shared" si="62"/>
        <v/>
      </c>
      <c r="CI29" s="508" t="str">
        <f t="shared" si="63"/>
        <v/>
      </c>
      <c r="CJ29" s="508" t="str">
        <f t="shared" si="64"/>
        <v/>
      </c>
      <c r="CK29" s="508" t="str">
        <f t="shared" si="65"/>
        <v/>
      </c>
      <c r="CL29" s="508" t="str">
        <f t="shared" si="66"/>
        <v/>
      </c>
      <c r="CM29" s="508" t="str">
        <f t="shared" si="67"/>
        <v/>
      </c>
      <c r="CN29" s="508" t="str">
        <f t="shared" si="68"/>
        <v/>
      </c>
      <c r="CO29" s="508" t="str">
        <f t="shared" si="69"/>
        <v/>
      </c>
      <c r="CP29" s="508" t="str">
        <f t="shared" si="70"/>
        <v/>
      </c>
      <c r="CQ29" s="508" t="str">
        <f t="shared" si="71"/>
        <v/>
      </c>
      <c r="CR29" s="508" t="str">
        <f t="shared" si="72"/>
        <v/>
      </c>
      <c r="CS29" s="508" t="str">
        <f t="shared" si="73"/>
        <v/>
      </c>
      <c r="CT29" s="508" t="str">
        <f t="shared" si="74"/>
        <v/>
      </c>
      <c r="CU29" s="508" t="str">
        <f t="shared" si="75"/>
        <v/>
      </c>
      <c r="CV29" s="508" t="str">
        <f t="shared" si="76"/>
        <v/>
      </c>
      <c r="CW29" s="508" t="str">
        <f t="shared" si="77"/>
        <v/>
      </c>
      <c r="CX29" s="508" t="str">
        <f t="shared" si="78"/>
        <v/>
      </c>
      <c r="CY29" s="508" t="str">
        <f t="shared" si="79"/>
        <v/>
      </c>
      <c r="CZ29" s="508" t="str">
        <f t="shared" si="80"/>
        <v/>
      </c>
      <c r="DA29" s="508" t="str">
        <f t="shared" si="81"/>
        <v/>
      </c>
      <c r="DB29" s="508" t="str">
        <f t="shared" si="82"/>
        <v/>
      </c>
      <c r="DC29" s="508" t="str">
        <f t="shared" si="83"/>
        <v/>
      </c>
      <c r="DD29" s="508" t="str">
        <f t="shared" si="84"/>
        <v/>
      </c>
      <c r="DE29" s="508" t="str">
        <f t="shared" si="85"/>
        <v/>
      </c>
      <c r="DF29" s="508" t="str">
        <f t="shared" si="86"/>
        <v/>
      </c>
      <c r="DG29" s="508" t="str">
        <f t="shared" si="87"/>
        <v/>
      </c>
      <c r="DH29" s="508" t="str">
        <f t="shared" si="88"/>
        <v/>
      </c>
      <c r="DI29" s="508" t="str">
        <f t="shared" si="89"/>
        <v/>
      </c>
      <c r="DJ29" s="508" t="str">
        <f t="shared" si="90"/>
        <v/>
      </c>
      <c r="DK29" s="508" t="str">
        <f t="shared" si="91"/>
        <v/>
      </c>
      <c r="DL29" s="508" t="str">
        <f t="shared" si="92"/>
        <v/>
      </c>
      <c r="DM29" s="508" t="str">
        <f t="shared" si="93"/>
        <v/>
      </c>
      <c r="DN29" s="508" t="str">
        <f t="shared" si="94"/>
        <v/>
      </c>
      <c r="DO29" s="508" t="str">
        <f t="shared" si="95"/>
        <v/>
      </c>
      <c r="DP29" s="508" t="str">
        <f t="shared" si="96"/>
        <v/>
      </c>
      <c r="DQ29" s="508" t="str">
        <f t="shared" si="97"/>
        <v/>
      </c>
      <c r="DR29" s="508" t="str">
        <f t="shared" si="98"/>
        <v/>
      </c>
      <c r="DS29" s="508" t="str">
        <f t="shared" si="99"/>
        <v/>
      </c>
      <c r="DT29" s="508" t="str">
        <f t="shared" si="100"/>
        <v/>
      </c>
      <c r="DU29" s="508" t="str">
        <f t="shared" si="101"/>
        <v/>
      </c>
      <c r="DV29" s="508" t="str">
        <f t="shared" si="102"/>
        <v/>
      </c>
      <c r="DW29" s="508" t="str">
        <f t="shared" si="103"/>
        <v/>
      </c>
      <c r="DX29" s="508" t="str">
        <f t="shared" si="104"/>
        <v/>
      </c>
      <c r="DY29" s="508" t="str">
        <f t="shared" si="105"/>
        <v/>
      </c>
      <c r="DZ29" s="508" t="str">
        <f t="shared" si="106"/>
        <v/>
      </c>
      <c r="EA29" s="508" t="str">
        <f t="shared" si="107"/>
        <v/>
      </c>
      <c r="EB29" s="508" t="str">
        <f t="shared" si="108"/>
        <v/>
      </c>
      <c r="EC29" s="508" t="str">
        <f t="shared" si="109"/>
        <v/>
      </c>
      <c r="ED29" s="508" t="str">
        <f t="shared" si="110"/>
        <v/>
      </c>
      <c r="EE29" s="508" t="str">
        <f t="shared" si="111"/>
        <v/>
      </c>
      <c r="EF29" s="508" t="str">
        <f t="shared" si="112"/>
        <v/>
      </c>
      <c r="EG29" s="508" t="str">
        <f t="shared" si="113"/>
        <v/>
      </c>
      <c r="EH29" s="508" t="str">
        <f t="shared" si="114"/>
        <v/>
      </c>
      <c r="EI29" s="508" t="str">
        <f t="shared" si="115"/>
        <v/>
      </c>
      <c r="EJ29" s="508" t="str">
        <f t="shared" si="116"/>
        <v/>
      </c>
      <c r="EK29" s="508" t="str">
        <f t="shared" si="117"/>
        <v/>
      </c>
      <c r="EL29" s="508" t="str">
        <f t="shared" si="118"/>
        <v/>
      </c>
      <c r="EM29" s="508" t="str">
        <f t="shared" si="119"/>
        <v/>
      </c>
      <c r="EN29" s="508" t="str">
        <f t="shared" si="120"/>
        <v/>
      </c>
      <c r="EO29" s="508" t="str">
        <f t="shared" si="121"/>
        <v/>
      </c>
      <c r="EP29" s="508" t="str">
        <f t="shared" si="122"/>
        <v/>
      </c>
      <c r="EQ29" s="508" t="str">
        <f t="shared" si="123"/>
        <v/>
      </c>
      <c r="ER29" s="508" t="str">
        <f t="shared" si="124"/>
        <v/>
      </c>
      <c r="ES29" s="508" t="str">
        <f t="shared" si="125"/>
        <v/>
      </c>
      <c r="ET29" s="508" t="str">
        <f t="shared" si="126"/>
        <v/>
      </c>
      <c r="EU29" s="508" t="str">
        <f t="shared" si="127"/>
        <v/>
      </c>
      <c r="EV29" s="518" t="str">
        <f t="shared" si="128"/>
        <v/>
      </c>
      <c r="EW29" s="518" t="str">
        <f t="shared" si="129"/>
        <v/>
      </c>
      <c r="EX29" s="518" t="str">
        <f t="shared" si="130"/>
        <v/>
      </c>
      <c r="EY29" s="518" t="str">
        <f t="shared" si="131"/>
        <v/>
      </c>
      <c r="EZ29" s="518" t="str">
        <f t="shared" si="132"/>
        <v/>
      </c>
      <c r="FA29" s="518" t="str">
        <f t="shared" si="133"/>
        <v/>
      </c>
      <c r="FB29" s="518" t="str">
        <f t="shared" si="134"/>
        <v/>
      </c>
      <c r="FC29" s="518" t="str">
        <f t="shared" si="135"/>
        <v/>
      </c>
      <c r="FD29" s="518" t="str">
        <f t="shared" si="136"/>
        <v/>
      </c>
      <c r="FE29" s="518" t="str">
        <f t="shared" si="137"/>
        <v/>
      </c>
      <c r="FF29" s="518" t="str">
        <f t="shared" si="138"/>
        <v/>
      </c>
      <c r="FG29" s="518" t="str">
        <f t="shared" si="139"/>
        <v/>
      </c>
      <c r="FH29" s="518" t="str">
        <f t="shared" si="140"/>
        <v/>
      </c>
      <c r="FI29" s="518" t="str">
        <f t="shared" si="141"/>
        <v/>
      </c>
      <c r="FJ29" s="518" t="str">
        <f t="shared" si="142"/>
        <v/>
      </c>
      <c r="FK29" s="518" t="str">
        <f t="shared" si="143"/>
        <v/>
      </c>
      <c r="FL29" s="518" t="str">
        <f t="shared" si="144"/>
        <v/>
      </c>
      <c r="FM29" s="518" t="str">
        <f t="shared" si="145"/>
        <v/>
      </c>
      <c r="FN29" s="518" t="str">
        <f t="shared" si="146"/>
        <v/>
      </c>
      <c r="FO29" s="518" t="str">
        <f t="shared" si="147"/>
        <v/>
      </c>
      <c r="FP29" s="518" t="str">
        <f t="shared" si="148"/>
        <v/>
      </c>
      <c r="FQ29" s="518" t="str">
        <f t="shared" si="149"/>
        <v/>
      </c>
      <c r="FR29" s="518" t="str">
        <f t="shared" si="150"/>
        <v/>
      </c>
      <c r="FS29" s="518" t="str">
        <f t="shared" si="151"/>
        <v/>
      </c>
      <c r="FT29" s="518" t="str">
        <f t="shared" si="152"/>
        <v/>
      </c>
      <c r="FU29" s="518" t="str">
        <f t="shared" si="153"/>
        <v/>
      </c>
      <c r="FV29" s="518" t="str">
        <f t="shared" si="154"/>
        <v/>
      </c>
      <c r="FW29" s="518" t="str">
        <f t="shared" si="155"/>
        <v/>
      </c>
      <c r="FX29" s="518" t="str">
        <f t="shared" si="156"/>
        <v/>
      </c>
      <c r="FY29" s="518" t="str">
        <f t="shared" si="157"/>
        <v/>
      </c>
      <c r="FZ29" s="518" t="str">
        <f t="shared" si="158"/>
        <v/>
      </c>
      <c r="GA29" s="518" t="str">
        <f t="shared" si="159"/>
        <v/>
      </c>
      <c r="GB29" s="518" t="str">
        <f t="shared" si="160"/>
        <v/>
      </c>
      <c r="GC29" s="518" t="str">
        <f t="shared" si="161"/>
        <v/>
      </c>
      <c r="GD29" s="518" t="str">
        <f t="shared" si="162"/>
        <v/>
      </c>
      <c r="GE29" s="518" t="str">
        <f t="shared" si="163"/>
        <v/>
      </c>
      <c r="GF29" s="518" t="str">
        <f t="shared" si="164"/>
        <v/>
      </c>
      <c r="GG29" s="518" t="str">
        <f t="shared" si="165"/>
        <v/>
      </c>
      <c r="GH29" s="518" t="str">
        <f t="shared" si="166"/>
        <v/>
      </c>
      <c r="GI29" s="518" t="str">
        <f t="shared" si="167"/>
        <v/>
      </c>
      <c r="GJ29" s="518" t="str">
        <f t="shared" si="168"/>
        <v/>
      </c>
      <c r="GK29" s="518" t="str">
        <f t="shared" si="169"/>
        <v/>
      </c>
      <c r="GL29" s="518" t="str">
        <f t="shared" si="170"/>
        <v/>
      </c>
      <c r="GM29" s="518" t="str">
        <f t="shared" si="171"/>
        <v/>
      </c>
      <c r="GN29" s="518" t="str">
        <f t="shared" si="172"/>
        <v/>
      </c>
      <c r="GO29" s="518" t="str">
        <f t="shared" si="173"/>
        <v/>
      </c>
      <c r="GP29" s="518" t="str">
        <f t="shared" si="174"/>
        <v/>
      </c>
      <c r="GQ29" s="518" t="str">
        <f t="shared" si="175"/>
        <v/>
      </c>
      <c r="GR29" s="518" t="str">
        <f t="shared" si="176"/>
        <v/>
      </c>
      <c r="GS29" s="518" t="str">
        <f t="shared" si="177"/>
        <v/>
      </c>
      <c r="GT29" s="518" t="str">
        <f t="shared" si="178"/>
        <v/>
      </c>
      <c r="GU29" s="518" t="str">
        <f t="shared" si="179"/>
        <v/>
      </c>
      <c r="GV29" s="518" t="str">
        <f t="shared" si="180"/>
        <v/>
      </c>
      <c r="GW29" s="518" t="str">
        <f t="shared" si="181"/>
        <v/>
      </c>
      <c r="GX29" s="518" t="str">
        <f t="shared" si="182"/>
        <v/>
      </c>
      <c r="GY29" s="518" t="str">
        <f t="shared" si="183"/>
        <v/>
      </c>
      <c r="GZ29" s="518" t="str">
        <f t="shared" si="184"/>
        <v/>
      </c>
      <c r="HA29" s="518" t="str">
        <f t="shared" si="185"/>
        <v/>
      </c>
      <c r="HB29" s="518" t="str">
        <f t="shared" si="186"/>
        <v/>
      </c>
      <c r="HC29" s="518" t="str">
        <f t="shared" si="187"/>
        <v/>
      </c>
      <c r="HD29" s="518" t="str">
        <f t="shared" si="188"/>
        <v/>
      </c>
      <c r="HE29" s="518" t="str">
        <f t="shared" si="189"/>
        <v/>
      </c>
      <c r="HF29" s="518" t="str">
        <f t="shared" si="190"/>
        <v/>
      </c>
      <c r="HG29" s="518" t="str">
        <f t="shared" si="191"/>
        <v/>
      </c>
      <c r="HH29" s="518" t="str">
        <f t="shared" si="192"/>
        <v/>
      </c>
      <c r="HI29" s="518" t="str">
        <f t="shared" si="193"/>
        <v/>
      </c>
      <c r="HJ29" s="518" t="str">
        <f t="shared" si="194"/>
        <v/>
      </c>
      <c r="HK29" s="518" t="str">
        <f t="shared" si="195"/>
        <v/>
      </c>
      <c r="HL29" s="518" t="str">
        <f t="shared" si="196"/>
        <v/>
      </c>
      <c r="HM29" s="518" t="str">
        <f t="shared" si="197"/>
        <v/>
      </c>
      <c r="HN29" s="518" t="str">
        <f t="shared" si="198"/>
        <v/>
      </c>
      <c r="HO29" s="518" t="str">
        <f t="shared" si="199"/>
        <v/>
      </c>
      <c r="HP29" s="518" t="str">
        <f t="shared" si="200"/>
        <v/>
      </c>
      <c r="HQ29" s="518" t="str">
        <f t="shared" si="201"/>
        <v/>
      </c>
      <c r="HR29" s="518" t="str">
        <f t="shared" si="202"/>
        <v/>
      </c>
      <c r="HS29" s="518" t="str">
        <f t="shared" si="203"/>
        <v/>
      </c>
      <c r="HT29" s="518" t="str">
        <f t="shared" si="204"/>
        <v/>
      </c>
      <c r="HU29" s="518" t="str">
        <f t="shared" si="205"/>
        <v/>
      </c>
      <c r="HV29" s="518" t="str">
        <f t="shared" si="206"/>
        <v/>
      </c>
      <c r="HW29" s="518" t="str">
        <f t="shared" si="207"/>
        <v/>
      </c>
      <c r="HX29" s="518" t="str">
        <f t="shared" si="208"/>
        <v/>
      </c>
      <c r="HY29" s="518" t="str">
        <f t="shared" si="209"/>
        <v/>
      </c>
      <c r="HZ29" s="518" t="str">
        <f t="shared" si="210"/>
        <v/>
      </c>
      <c r="IA29" s="518" t="str">
        <f t="shared" si="211"/>
        <v/>
      </c>
      <c r="IB29" s="518" t="str">
        <f t="shared" si="212"/>
        <v/>
      </c>
      <c r="IC29" s="519" t="str">
        <f t="shared" si="213"/>
        <v/>
      </c>
      <c r="ID29" s="519" t="str">
        <f t="shared" si="214"/>
        <v/>
      </c>
      <c r="IE29" s="519" t="str">
        <f t="shared" si="215"/>
        <v/>
      </c>
      <c r="IF29" s="519" t="str">
        <f t="shared" si="216"/>
        <v/>
      </c>
      <c r="IG29" s="519" t="str">
        <f t="shared" si="217"/>
        <v/>
      </c>
      <c r="IH29" s="508" t="str">
        <f t="shared" si="218"/>
        <v/>
      </c>
      <c r="II29" s="508" t="str">
        <f t="shared" si="219"/>
        <v/>
      </c>
      <c r="IJ29" s="508" t="str">
        <f t="shared" si="220"/>
        <v/>
      </c>
      <c r="IK29" s="508" t="str">
        <f t="shared" si="221"/>
        <v/>
      </c>
      <c r="IL29" s="508" t="str">
        <f t="shared" si="222"/>
        <v/>
      </c>
      <c r="IM29" s="508" t="str">
        <f t="shared" si="223"/>
        <v/>
      </c>
      <c r="IN29" s="508" t="str">
        <f t="shared" si="224"/>
        <v/>
      </c>
      <c r="IO29" s="508" t="str">
        <f t="shared" si="225"/>
        <v/>
      </c>
      <c r="IP29" s="508" t="str">
        <f t="shared" si="226"/>
        <v/>
      </c>
      <c r="IQ29" s="508" t="str">
        <f t="shared" si="227"/>
        <v/>
      </c>
      <c r="IR29" s="508" t="str">
        <f t="shared" si="228"/>
        <v/>
      </c>
      <c r="IS29" s="508" t="str">
        <f t="shared" si="229"/>
        <v/>
      </c>
      <c r="IT29" s="508" t="str">
        <f t="shared" si="230"/>
        <v/>
      </c>
      <c r="IU29" s="508" t="str">
        <f t="shared" si="231"/>
        <v/>
      </c>
      <c r="IV29" s="508" t="str">
        <f t="shared" si="232"/>
        <v/>
      </c>
      <c r="IW29" s="508" t="str">
        <f t="shared" si="233"/>
        <v/>
      </c>
      <c r="IX29" s="508" t="str">
        <f t="shared" si="234"/>
        <v/>
      </c>
      <c r="IY29" s="508" t="str">
        <f t="shared" si="235"/>
        <v/>
      </c>
      <c r="IZ29" s="508" t="str">
        <f t="shared" si="236"/>
        <v/>
      </c>
      <c r="JA29" s="508" t="str">
        <f t="shared" si="237"/>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67" t="s">
        <v>1859</v>
      </c>
      <c r="C30" s="2368"/>
      <c r="D30" s="2369"/>
      <c r="E30" s="2370"/>
      <c r="F30" s="2370"/>
      <c r="G30" s="2370"/>
      <c r="H30" s="2370"/>
      <c r="I30" s="2370"/>
      <c r="J30" s="2371"/>
      <c r="K30" s="861">
        <f t="shared" si="1"/>
        <v>0</v>
      </c>
      <c r="L30" s="861">
        <f t="shared" si="2"/>
        <v>0</v>
      </c>
      <c r="M30" s="2372"/>
      <c r="N30" s="2372"/>
      <c r="O30" s="2372"/>
      <c r="P30" s="2372"/>
      <c r="Q30" s="472" t="str">
        <f>IF(H30="","",P30/($O$6*VLOOKUP(C30,'DCA Underwriting Assumptions'!$J$118:$K$123,2,FALSE)))</f>
        <v/>
      </c>
      <c r="R30" s="547"/>
      <c r="S30" s="472"/>
      <c r="T30" s="2306"/>
      <c r="U30" s="2307"/>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238"/>
        <v/>
      </c>
      <c r="BU30" s="508" t="str">
        <f t="shared" si="239"/>
        <v/>
      </c>
      <c r="BV30" s="508" t="str">
        <f t="shared" si="240"/>
        <v/>
      </c>
      <c r="BW30" s="508" t="str">
        <f t="shared" si="241"/>
        <v/>
      </c>
      <c r="BX30" s="508" t="str">
        <f t="shared" si="242"/>
        <v/>
      </c>
      <c r="BY30" s="508" t="str">
        <f t="shared" si="53"/>
        <v/>
      </c>
      <c r="BZ30" s="508" t="str">
        <f t="shared" si="54"/>
        <v/>
      </c>
      <c r="CA30" s="508" t="str">
        <f t="shared" si="55"/>
        <v/>
      </c>
      <c r="CB30" s="508" t="str">
        <f t="shared" si="56"/>
        <v/>
      </c>
      <c r="CC30" s="508" t="str">
        <f t="shared" si="57"/>
        <v/>
      </c>
      <c r="CD30" s="508" t="str">
        <f t="shared" si="58"/>
        <v/>
      </c>
      <c r="CE30" s="508" t="str">
        <f t="shared" si="59"/>
        <v/>
      </c>
      <c r="CF30" s="508" t="str">
        <f t="shared" si="60"/>
        <v/>
      </c>
      <c r="CG30" s="508" t="str">
        <f t="shared" si="61"/>
        <v/>
      </c>
      <c r="CH30" s="508" t="str">
        <f t="shared" si="62"/>
        <v/>
      </c>
      <c r="CI30" s="508" t="str">
        <f t="shared" si="63"/>
        <v/>
      </c>
      <c r="CJ30" s="508" t="str">
        <f t="shared" si="64"/>
        <v/>
      </c>
      <c r="CK30" s="508" t="str">
        <f t="shared" si="65"/>
        <v/>
      </c>
      <c r="CL30" s="508" t="str">
        <f t="shared" si="66"/>
        <v/>
      </c>
      <c r="CM30" s="508" t="str">
        <f t="shared" si="67"/>
        <v/>
      </c>
      <c r="CN30" s="508" t="str">
        <f t="shared" si="68"/>
        <v/>
      </c>
      <c r="CO30" s="508" t="str">
        <f t="shared" si="69"/>
        <v/>
      </c>
      <c r="CP30" s="508" t="str">
        <f t="shared" si="70"/>
        <v/>
      </c>
      <c r="CQ30" s="508" t="str">
        <f t="shared" si="71"/>
        <v/>
      </c>
      <c r="CR30" s="508" t="str">
        <f t="shared" si="72"/>
        <v/>
      </c>
      <c r="CS30" s="508" t="str">
        <f t="shared" si="73"/>
        <v/>
      </c>
      <c r="CT30" s="508" t="str">
        <f t="shared" si="74"/>
        <v/>
      </c>
      <c r="CU30" s="508" t="str">
        <f t="shared" si="75"/>
        <v/>
      </c>
      <c r="CV30" s="508" t="str">
        <f t="shared" si="76"/>
        <v/>
      </c>
      <c r="CW30" s="508" t="str">
        <f t="shared" si="77"/>
        <v/>
      </c>
      <c r="CX30" s="508" t="str">
        <f t="shared" si="78"/>
        <v/>
      </c>
      <c r="CY30" s="508" t="str">
        <f t="shared" si="79"/>
        <v/>
      </c>
      <c r="CZ30" s="508" t="str">
        <f t="shared" si="80"/>
        <v/>
      </c>
      <c r="DA30" s="508" t="str">
        <f t="shared" si="81"/>
        <v/>
      </c>
      <c r="DB30" s="508" t="str">
        <f t="shared" si="82"/>
        <v/>
      </c>
      <c r="DC30" s="508" t="str">
        <f t="shared" si="83"/>
        <v/>
      </c>
      <c r="DD30" s="508" t="str">
        <f t="shared" si="84"/>
        <v/>
      </c>
      <c r="DE30" s="508" t="str">
        <f t="shared" si="85"/>
        <v/>
      </c>
      <c r="DF30" s="508" t="str">
        <f t="shared" si="86"/>
        <v/>
      </c>
      <c r="DG30" s="508" t="str">
        <f t="shared" si="87"/>
        <v/>
      </c>
      <c r="DH30" s="508" t="str">
        <f t="shared" si="88"/>
        <v/>
      </c>
      <c r="DI30" s="508" t="str">
        <f t="shared" si="89"/>
        <v/>
      </c>
      <c r="DJ30" s="508" t="str">
        <f t="shared" si="90"/>
        <v/>
      </c>
      <c r="DK30" s="508" t="str">
        <f t="shared" si="91"/>
        <v/>
      </c>
      <c r="DL30" s="508" t="str">
        <f t="shared" si="92"/>
        <v/>
      </c>
      <c r="DM30" s="508" t="str">
        <f t="shared" si="93"/>
        <v/>
      </c>
      <c r="DN30" s="508" t="str">
        <f t="shared" si="94"/>
        <v/>
      </c>
      <c r="DO30" s="508" t="str">
        <f t="shared" si="95"/>
        <v/>
      </c>
      <c r="DP30" s="508" t="str">
        <f t="shared" si="96"/>
        <v/>
      </c>
      <c r="DQ30" s="508" t="str">
        <f t="shared" si="97"/>
        <v/>
      </c>
      <c r="DR30" s="508" t="str">
        <f t="shared" si="98"/>
        <v/>
      </c>
      <c r="DS30" s="508" t="str">
        <f t="shared" si="99"/>
        <v/>
      </c>
      <c r="DT30" s="508" t="str">
        <f t="shared" si="100"/>
        <v/>
      </c>
      <c r="DU30" s="508" t="str">
        <f t="shared" si="101"/>
        <v/>
      </c>
      <c r="DV30" s="508" t="str">
        <f t="shared" si="102"/>
        <v/>
      </c>
      <c r="DW30" s="508" t="str">
        <f t="shared" si="103"/>
        <v/>
      </c>
      <c r="DX30" s="508" t="str">
        <f t="shared" si="104"/>
        <v/>
      </c>
      <c r="DY30" s="508" t="str">
        <f t="shared" si="105"/>
        <v/>
      </c>
      <c r="DZ30" s="508" t="str">
        <f t="shared" si="106"/>
        <v/>
      </c>
      <c r="EA30" s="508" t="str">
        <f t="shared" si="107"/>
        <v/>
      </c>
      <c r="EB30" s="508" t="str">
        <f t="shared" si="108"/>
        <v/>
      </c>
      <c r="EC30" s="508" t="str">
        <f t="shared" si="109"/>
        <v/>
      </c>
      <c r="ED30" s="508" t="str">
        <f t="shared" si="110"/>
        <v/>
      </c>
      <c r="EE30" s="508" t="str">
        <f t="shared" si="111"/>
        <v/>
      </c>
      <c r="EF30" s="508" t="str">
        <f t="shared" si="112"/>
        <v/>
      </c>
      <c r="EG30" s="508" t="str">
        <f t="shared" si="113"/>
        <v/>
      </c>
      <c r="EH30" s="508" t="str">
        <f t="shared" si="114"/>
        <v/>
      </c>
      <c r="EI30" s="508" t="str">
        <f t="shared" si="115"/>
        <v/>
      </c>
      <c r="EJ30" s="508" t="str">
        <f t="shared" si="116"/>
        <v/>
      </c>
      <c r="EK30" s="508" t="str">
        <f t="shared" si="117"/>
        <v/>
      </c>
      <c r="EL30" s="508" t="str">
        <f t="shared" si="118"/>
        <v/>
      </c>
      <c r="EM30" s="508" t="str">
        <f t="shared" si="119"/>
        <v/>
      </c>
      <c r="EN30" s="508" t="str">
        <f t="shared" si="120"/>
        <v/>
      </c>
      <c r="EO30" s="508" t="str">
        <f t="shared" si="121"/>
        <v/>
      </c>
      <c r="EP30" s="508" t="str">
        <f t="shared" si="122"/>
        <v/>
      </c>
      <c r="EQ30" s="508" t="str">
        <f t="shared" si="123"/>
        <v/>
      </c>
      <c r="ER30" s="508" t="str">
        <f t="shared" si="124"/>
        <v/>
      </c>
      <c r="ES30" s="508" t="str">
        <f t="shared" si="125"/>
        <v/>
      </c>
      <c r="ET30" s="508" t="str">
        <f t="shared" si="126"/>
        <v/>
      </c>
      <c r="EU30" s="508" t="str">
        <f t="shared" si="127"/>
        <v/>
      </c>
      <c r="EV30" s="518" t="str">
        <f t="shared" si="128"/>
        <v/>
      </c>
      <c r="EW30" s="518" t="str">
        <f t="shared" si="129"/>
        <v/>
      </c>
      <c r="EX30" s="518" t="str">
        <f t="shared" si="130"/>
        <v/>
      </c>
      <c r="EY30" s="518" t="str">
        <f t="shared" si="131"/>
        <v/>
      </c>
      <c r="EZ30" s="518" t="str">
        <f t="shared" si="132"/>
        <v/>
      </c>
      <c r="FA30" s="518" t="str">
        <f t="shared" si="133"/>
        <v/>
      </c>
      <c r="FB30" s="518" t="str">
        <f t="shared" si="134"/>
        <v/>
      </c>
      <c r="FC30" s="518" t="str">
        <f t="shared" si="135"/>
        <v/>
      </c>
      <c r="FD30" s="518" t="str">
        <f t="shared" si="136"/>
        <v/>
      </c>
      <c r="FE30" s="518" t="str">
        <f t="shared" si="137"/>
        <v/>
      </c>
      <c r="FF30" s="518" t="str">
        <f t="shared" si="138"/>
        <v/>
      </c>
      <c r="FG30" s="518" t="str">
        <f t="shared" si="139"/>
        <v/>
      </c>
      <c r="FH30" s="518" t="str">
        <f t="shared" si="140"/>
        <v/>
      </c>
      <c r="FI30" s="518" t="str">
        <f t="shared" si="141"/>
        <v/>
      </c>
      <c r="FJ30" s="518" t="str">
        <f t="shared" si="142"/>
        <v/>
      </c>
      <c r="FK30" s="518" t="str">
        <f t="shared" si="143"/>
        <v/>
      </c>
      <c r="FL30" s="518" t="str">
        <f t="shared" si="144"/>
        <v/>
      </c>
      <c r="FM30" s="518" t="str">
        <f t="shared" si="145"/>
        <v/>
      </c>
      <c r="FN30" s="518" t="str">
        <f t="shared" si="146"/>
        <v/>
      </c>
      <c r="FO30" s="518" t="str">
        <f t="shared" si="147"/>
        <v/>
      </c>
      <c r="FP30" s="518" t="str">
        <f t="shared" si="148"/>
        <v/>
      </c>
      <c r="FQ30" s="518" t="str">
        <f t="shared" si="149"/>
        <v/>
      </c>
      <c r="FR30" s="518" t="str">
        <f t="shared" si="150"/>
        <v/>
      </c>
      <c r="FS30" s="518" t="str">
        <f t="shared" si="151"/>
        <v/>
      </c>
      <c r="FT30" s="518" t="str">
        <f t="shared" si="152"/>
        <v/>
      </c>
      <c r="FU30" s="518" t="str">
        <f t="shared" si="153"/>
        <v/>
      </c>
      <c r="FV30" s="518" t="str">
        <f t="shared" si="154"/>
        <v/>
      </c>
      <c r="FW30" s="518" t="str">
        <f t="shared" si="155"/>
        <v/>
      </c>
      <c r="FX30" s="518" t="str">
        <f t="shared" si="156"/>
        <v/>
      </c>
      <c r="FY30" s="518" t="str">
        <f t="shared" si="157"/>
        <v/>
      </c>
      <c r="FZ30" s="518" t="str">
        <f t="shared" si="158"/>
        <v/>
      </c>
      <c r="GA30" s="518" t="str">
        <f t="shared" si="159"/>
        <v/>
      </c>
      <c r="GB30" s="518" t="str">
        <f t="shared" si="160"/>
        <v/>
      </c>
      <c r="GC30" s="518" t="str">
        <f t="shared" si="161"/>
        <v/>
      </c>
      <c r="GD30" s="518" t="str">
        <f t="shared" si="162"/>
        <v/>
      </c>
      <c r="GE30" s="518" t="str">
        <f t="shared" si="163"/>
        <v/>
      </c>
      <c r="GF30" s="518" t="str">
        <f t="shared" si="164"/>
        <v/>
      </c>
      <c r="GG30" s="518" t="str">
        <f t="shared" si="165"/>
        <v/>
      </c>
      <c r="GH30" s="518" t="str">
        <f t="shared" si="166"/>
        <v/>
      </c>
      <c r="GI30" s="518" t="str">
        <f t="shared" si="167"/>
        <v/>
      </c>
      <c r="GJ30" s="518" t="str">
        <f t="shared" si="168"/>
        <v/>
      </c>
      <c r="GK30" s="518" t="str">
        <f t="shared" si="169"/>
        <v/>
      </c>
      <c r="GL30" s="518" t="str">
        <f t="shared" si="170"/>
        <v/>
      </c>
      <c r="GM30" s="518" t="str">
        <f t="shared" si="171"/>
        <v/>
      </c>
      <c r="GN30" s="518" t="str">
        <f t="shared" si="172"/>
        <v/>
      </c>
      <c r="GO30" s="518" t="str">
        <f t="shared" si="173"/>
        <v/>
      </c>
      <c r="GP30" s="518" t="str">
        <f t="shared" si="174"/>
        <v/>
      </c>
      <c r="GQ30" s="518" t="str">
        <f t="shared" si="175"/>
        <v/>
      </c>
      <c r="GR30" s="518" t="str">
        <f t="shared" si="176"/>
        <v/>
      </c>
      <c r="GS30" s="518" t="str">
        <f t="shared" si="177"/>
        <v/>
      </c>
      <c r="GT30" s="518" t="str">
        <f t="shared" si="178"/>
        <v/>
      </c>
      <c r="GU30" s="518" t="str">
        <f t="shared" si="179"/>
        <v/>
      </c>
      <c r="GV30" s="518" t="str">
        <f t="shared" si="180"/>
        <v/>
      </c>
      <c r="GW30" s="518" t="str">
        <f t="shared" si="181"/>
        <v/>
      </c>
      <c r="GX30" s="518" t="str">
        <f t="shared" si="182"/>
        <v/>
      </c>
      <c r="GY30" s="518" t="str">
        <f t="shared" si="183"/>
        <v/>
      </c>
      <c r="GZ30" s="518" t="str">
        <f t="shared" si="184"/>
        <v/>
      </c>
      <c r="HA30" s="518" t="str">
        <f t="shared" si="185"/>
        <v/>
      </c>
      <c r="HB30" s="518" t="str">
        <f t="shared" si="186"/>
        <v/>
      </c>
      <c r="HC30" s="518" t="str">
        <f t="shared" si="187"/>
        <v/>
      </c>
      <c r="HD30" s="518" t="str">
        <f t="shared" si="188"/>
        <v/>
      </c>
      <c r="HE30" s="518" t="str">
        <f t="shared" si="189"/>
        <v/>
      </c>
      <c r="HF30" s="518" t="str">
        <f t="shared" si="190"/>
        <v/>
      </c>
      <c r="HG30" s="518" t="str">
        <f t="shared" si="191"/>
        <v/>
      </c>
      <c r="HH30" s="518" t="str">
        <f t="shared" si="192"/>
        <v/>
      </c>
      <c r="HI30" s="518" t="str">
        <f t="shared" si="193"/>
        <v/>
      </c>
      <c r="HJ30" s="518" t="str">
        <f t="shared" si="194"/>
        <v/>
      </c>
      <c r="HK30" s="518" t="str">
        <f t="shared" si="195"/>
        <v/>
      </c>
      <c r="HL30" s="518" t="str">
        <f t="shared" si="196"/>
        <v/>
      </c>
      <c r="HM30" s="518" t="str">
        <f t="shared" si="197"/>
        <v/>
      </c>
      <c r="HN30" s="518" t="str">
        <f t="shared" si="198"/>
        <v/>
      </c>
      <c r="HO30" s="518" t="str">
        <f t="shared" si="199"/>
        <v/>
      </c>
      <c r="HP30" s="518" t="str">
        <f t="shared" si="200"/>
        <v/>
      </c>
      <c r="HQ30" s="518" t="str">
        <f t="shared" si="201"/>
        <v/>
      </c>
      <c r="HR30" s="518" t="str">
        <f t="shared" si="202"/>
        <v/>
      </c>
      <c r="HS30" s="518" t="str">
        <f t="shared" si="203"/>
        <v/>
      </c>
      <c r="HT30" s="518" t="str">
        <f t="shared" si="204"/>
        <v/>
      </c>
      <c r="HU30" s="518" t="str">
        <f t="shared" si="205"/>
        <v/>
      </c>
      <c r="HV30" s="518" t="str">
        <f t="shared" si="206"/>
        <v/>
      </c>
      <c r="HW30" s="518" t="str">
        <f t="shared" si="207"/>
        <v/>
      </c>
      <c r="HX30" s="518" t="str">
        <f t="shared" si="208"/>
        <v/>
      </c>
      <c r="HY30" s="518" t="str">
        <f t="shared" si="209"/>
        <v/>
      </c>
      <c r="HZ30" s="518" t="str">
        <f t="shared" si="210"/>
        <v/>
      </c>
      <c r="IA30" s="518" t="str">
        <f t="shared" si="211"/>
        <v/>
      </c>
      <c r="IB30" s="518" t="str">
        <f t="shared" si="212"/>
        <v/>
      </c>
      <c r="IC30" s="519" t="str">
        <f t="shared" si="213"/>
        <v/>
      </c>
      <c r="ID30" s="519" t="str">
        <f t="shared" si="214"/>
        <v/>
      </c>
      <c r="IE30" s="519" t="str">
        <f t="shared" si="215"/>
        <v/>
      </c>
      <c r="IF30" s="519" t="str">
        <f t="shared" si="216"/>
        <v/>
      </c>
      <c r="IG30" s="519" t="str">
        <f t="shared" si="217"/>
        <v/>
      </c>
      <c r="IH30" s="508" t="str">
        <f t="shared" si="218"/>
        <v/>
      </c>
      <c r="II30" s="508" t="str">
        <f t="shared" si="219"/>
        <v/>
      </c>
      <c r="IJ30" s="508" t="str">
        <f t="shared" si="220"/>
        <v/>
      </c>
      <c r="IK30" s="508" t="str">
        <f t="shared" si="221"/>
        <v/>
      </c>
      <c r="IL30" s="508" t="str">
        <f t="shared" si="222"/>
        <v/>
      </c>
      <c r="IM30" s="508" t="str">
        <f t="shared" si="223"/>
        <v/>
      </c>
      <c r="IN30" s="508" t="str">
        <f t="shared" si="224"/>
        <v/>
      </c>
      <c r="IO30" s="508" t="str">
        <f t="shared" si="225"/>
        <v/>
      </c>
      <c r="IP30" s="508" t="str">
        <f t="shared" si="226"/>
        <v/>
      </c>
      <c r="IQ30" s="508" t="str">
        <f t="shared" si="227"/>
        <v/>
      </c>
      <c r="IR30" s="508" t="str">
        <f t="shared" si="228"/>
        <v/>
      </c>
      <c r="IS30" s="508" t="str">
        <f t="shared" si="229"/>
        <v/>
      </c>
      <c r="IT30" s="508" t="str">
        <f t="shared" si="230"/>
        <v/>
      </c>
      <c r="IU30" s="508" t="str">
        <f t="shared" si="231"/>
        <v/>
      </c>
      <c r="IV30" s="508" t="str">
        <f t="shared" si="232"/>
        <v/>
      </c>
      <c r="IW30" s="508" t="str">
        <f t="shared" si="233"/>
        <v/>
      </c>
      <c r="IX30" s="508" t="str">
        <f t="shared" si="234"/>
        <v/>
      </c>
      <c r="IY30" s="508" t="str">
        <f t="shared" si="235"/>
        <v/>
      </c>
      <c r="IZ30" s="508" t="str">
        <f t="shared" si="236"/>
        <v/>
      </c>
      <c r="JA30" s="508" t="str">
        <f t="shared" si="237"/>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67" t="s">
        <v>1859</v>
      </c>
      <c r="C31" s="2368"/>
      <c r="D31" s="2369"/>
      <c r="E31" s="2370"/>
      <c r="F31" s="2370"/>
      <c r="G31" s="2370"/>
      <c r="H31" s="2370"/>
      <c r="I31" s="2370"/>
      <c r="J31" s="2371"/>
      <c r="K31" s="861">
        <f t="shared" si="1"/>
        <v>0</v>
      </c>
      <c r="L31" s="861">
        <f t="shared" si="2"/>
        <v>0</v>
      </c>
      <c r="M31" s="2372"/>
      <c r="N31" s="2372"/>
      <c r="O31" s="2372"/>
      <c r="P31" s="2372"/>
      <c r="Q31" s="472" t="str">
        <f>IF(H31="","",P31/($O$6*VLOOKUP(C31,'DCA Underwriting Assumptions'!$J$118:$K$123,2,FALSE)))</f>
        <v/>
      </c>
      <c r="R31" s="547"/>
      <c r="S31" s="472"/>
      <c r="T31" s="2306"/>
      <c r="U31" s="2307"/>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238"/>
        <v/>
      </c>
      <c r="BU31" s="508" t="str">
        <f t="shared" si="239"/>
        <v/>
      </c>
      <c r="BV31" s="508" t="str">
        <f t="shared" si="240"/>
        <v/>
      </c>
      <c r="BW31" s="508" t="str">
        <f t="shared" si="241"/>
        <v/>
      </c>
      <c r="BX31" s="508" t="str">
        <f t="shared" si="242"/>
        <v/>
      </c>
      <c r="BY31" s="508" t="str">
        <f t="shared" si="53"/>
        <v/>
      </c>
      <c r="BZ31" s="508" t="str">
        <f t="shared" si="54"/>
        <v/>
      </c>
      <c r="CA31" s="508" t="str">
        <f t="shared" si="55"/>
        <v/>
      </c>
      <c r="CB31" s="508" t="str">
        <f t="shared" si="56"/>
        <v/>
      </c>
      <c r="CC31" s="508" t="str">
        <f t="shared" si="57"/>
        <v/>
      </c>
      <c r="CD31" s="508" t="str">
        <f t="shared" si="58"/>
        <v/>
      </c>
      <c r="CE31" s="508" t="str">
        <f t="shared" si="59"/>
        <v/>
      </c>
      <c r="CF31" s="508" t="str">
        <f t="shared" si="60"/>
        <v/>
      </c>
      <c r="CG31" s="508" t="str">
        <f t="shared" si="61"/>
        <v/>
      </c>
      <c r="CH31" s="508" t="str">
        <f t="shared" si="62"/>
        <v/>
      </c>
      <c r="CI31" s="508" t="str">
        <f t="shared" si="63"/>
        <v/>
      </c>
      <c r="CJ31" s="508" t="str">
        <f t="shared" si="64"/>
        <v/>
      </c>
      <c r="CK31" s="508" t="str">
        <f t="shared" si="65"/>
        <v/>
      </c>
      <c r="CL31" s="508" t="str">
        <f t="shared" si="66"/>
        <v/>
      </c>
      <c r="CM31" s="508" t="str">
        <f t="shared" si="67"/>
        <v/>
      </c>
      <c r="CN31" s="508" t="str">
        <f t="shared" si="68"/>
        <v/>
      </c>
      <c r="CO31" s="508" t="str">
        <f t="shared" si="69"/>
        <v/>
      </c>
      <c r="CP31" s="508" t="str">
        <f t="shared" si="70"/>
        <v/>
      </c>
      <c r="CQ31" s="508" t="str">
        <f t="shared" si="71"/>
        <v/>
      </c>
      <c r="CR31" s="508" t="str">
        <f t="shared" si="72"/>
        <v/>
      </c>
      <c r="CS31" s="508" t="str">
        <f t="shared" si="73"/>
        <v/>
      </c>
      <c r="CT31" s="508" t="str">
        <f t="shared" si="74"/>
        <v/>
      </c>
      <c r="CU31" s="508" t="str">
        <f t="shared" si="75"/>
        <v/>
      </c>
      <c r="CV31" s="508" t="str">
        <f t="shared" si="76"/>
        <v/>
      </c>
      <c r="CW31" s="508" t="str">
        <f t="shared" si="77"/>
        <v/>
      </c>
      <c r="CX31" s="508" t="str">
        <f t="shared" si="78"/>
        <v/>
      </c>
      <c r="CY31" s="508" t="str">
        <f t="shared" si="79"/>
        <v/>
      </c>
      <c r="CZ31" s="508" t="str">
        <f t="shared" si="80"/>
        <v/>
      </c>
      <c r="DA31" s="508" t="str">
        <f t="shared" si="81"/>
        <v/>
      </c>
      <c r="DB31" s="508" t="str">
        <f t="shared" si="82"/>
        <v/>
      </c>
      <c r="DC31" s="508" t="str">
        <f t="shared" si="83"/>
        <v/>
      </c>
      <c r="DD31" s="508" t="str">
        <f t="shared" si="84"/>
        <v/>
      </c>
      <c r="DE31" s="508" t="str">
        <f t="shared" si="85"/>
        <v/>
      </c>
      <c r="DF31" s="508" t="str">
        <f t="shared" si="86"/>
        <v/>
      </c>
      <c r="DG31" s="508" t="str">
        <f t="shared" si="87"/>
        <v/>
      </c>
      <c r="DH31" s="508" t="str">
        <f t="shared" si="88"/>
        <v/>
      </c>
      <c r="DI31" s="508" t="str">
        <f t="shared" si="89"/>
        <v/>
      </c>
      <c r="DJ31" s="508" t="str">
        <f t="shared" si="90"/>
        <v/>
      </c>
      <c r="DK31" s="508" t="str">
        <f t="shared" si="91"/>
        <v/>
      </c>
      <c r="DL31" s="508" t="str">
        <f t="shared" si="92"/>
        <v/>
      </c>
      <c r="DM31" s="508" t="str">
        <f t="shared" si="93"/>
        <v/>
      </c>
      <c r="DN31" s="508" t="str">
        <f t="shared" si="94"/>
        <v/>
      </c>
      <c r="DO31" s="508" t="str">
        <f t="shared" si="95"/>
        <v/>
      </c>
      <c r="DP31" s="508" t="str">
        <f t="shared" si="96"/>
        <v/>
      </c>
      <c r="DQ31" s="508" t="str">
        <f t="shared" si="97"/>
        <v/>
      </c>
      <c r="DR31" s="508" t="str">
        <f t="shared" si="98"/>
        <v/>
      </c>
      <c r="DS31" s="508" t="str">
        <f t="shared" si="99"/>
        <v/>
      </c>
      <c r="DT31" s="508" t="str">
        <f t="shared" si="100"/>
        <v/>
      </c>
      <c r="DU31" s="508" t="str">
        <f t="shared" si="101"/>
        <v/>
      </c>
      <c r="DV31" s="508" t="str">
        <f t="shared" si="102"/>
        <v/>
      </c>
      <c r="DW31" s="508" t="str">
        <f t="shared" si="103"/>
        <v/>
      </c>
      <c r="DX31" s="508" t="str">
        <f t="shared" si="104"/>
        <v/>
      </c>
      <c r="DY31" s="508" t="str">
        <f t="shared" si="105"/>
        <v/>
      </c>
      <c r="DZ31" s="508" t="str">
        <f t="shared" si="106"/>
        <v/>
      </c>
      <c r="EA31" s="508" t="str">
        <f t="shared" si="107"/>
        <v/>
      </c>
      <c r="EB31" s="508" t="str">
        <f t="shared" si="108"/>
        <v/>
      </c>
      <c r="EC31" s="508" t="str">
        <f t="shared" si="109"/>
        <v/>
      </c>
      <c r="ED31" s="508" t="str">
        <f t="shared" si="110"/>
        <v/>
      </c>
      <c r="EE31" s="508" t="str">
        <f t="shared" si="111"/>
        <v/>
      </c>
      <c r="EF31" s="508" t="str">
        <f t="shared" si="112"/>
        <v/>
      </c>
      <c r="EG31" s="508" t="str">
        <f t="shared" si="113"/>
        <v/>
      </c>
      <c r="EH31" s="508" t="str">
        <f t="shared" si="114"/>
        <v/>
      </c>
      <c r="EI31" s="508" t="str">
        <f t="shared" si="115"/>
        <v/>
      </c>
      <c r="EJ31" s="508" t="str">
        <f t="shared" si="116"/>
        <v/>
      </c>
      <c r="EK31" s="508" t="str">
        <f t="shared" si="117"/>
        <v/>
      </c>
      <c r="EL31" s="508" t="str">
        <f t="shared" si="118"/>
        <v/>
      </c>
      <c r="EM31" s="508" t="str">
        <f t="shared" si="119"/>
        <v/>
      </c>
      <c r="EN31" s="508" t="str">
        <f t="shared" si="120"/>
        <v/>
      </c>
      <c r="EO31" s="508" t="str">
        <f t="shared" si="121"/>
        <v/>
      </c>
      <c r="EP31" s="508" t="str">
        <f t="shared" si="122"/>
        <v/>
      </c>
      <c r="EQ31" s="508" t="str">
        <f t="shared" si="123"/>
        <v/>
      </c>
      <c r="ER31" s="508" t="str">
        <f t="shared" si="124"/>
        <v/>
      </c>
      <c r="ES31" s="508" t="str">
        <f t="shared" si="125"/>
        <v/>
      </c>
      <c r="ET31" s="508" t="str">
        <f t="shared" si="126"/>
        <v/>
      </c>
      <c r="EU31" s="508" t="str">
        <f t="shared" si="127"/>
        <v/>
      </c>
      <c r="EV31" s="518" t="str">
        <f t="shared" si="128"/>
        <v/>
      </c>
      <c r="EW31" s="518" t="str">
        <f t="shared" si="129"/>
        <v/>
      </c>
      <c r="EX31" s="518" t="str">
        <f t="shared" si="130"/>
        <v/>
      </c>
      <c r="EY31" s="518" t="str">
        <f t="shared" si="131"/>
        <v/>
      </c>
      <c r="EZ31" s="518" t="str">
        <f t="shared" si="132"/>
        <v/>
      </c>
      <c r="FA31" s="518" t="str">
        <f t="shared" si="133"/>
        <v/>
      </c>
      <c r="FB31" s="518" t="str">
        <f t="shared" si="134"/>
        <v/>
      </c>
      <c r="FC31" s="518" t="str">
        <f t="shared" si="135"/>
        <v/>
      </c>
      <c r="FD31" s="518" t="str">
        <f t="shared" si="136"/>
        <v/>
      </c>
      <c r="FE31" s="518" t="str">
        <f t="shared" si="137"/>
        <v/>
      </c>
      <c r="FF31" s="518" t="str">
        <f t="shared" si="138"/>
        <v/>
      </c>
      <c r="FG31" s="518" t="str">
        <f t="shared" si="139"/>
        <v/>
      </c>
      <c r="FH31" s="518" t="str">
        <f t="shared" si="140"/>
        <v/>
      </c>
      <c r="FI31" s="518" t="str">
        <f t="shared" si="141"/>
        <v/>
      </c>
      <c r="FJ31" s="518" t="str">
        <f t="shared" si="142"/>
        <v/>
      </c>
      <c r="FK31" s="518" t="str">
        <f t="shared" si="143"/>
        <v/>
      </c>
      <c r="FL31" s="518" t="str">
        <f t="shared" si="144"/>
        <v/>
      </c>
      <c r="FM31" s="518" t="str">
        <f t="shared" si="145"/>
        <v/>
      </c>
      <c r="FN31" s="518" t="str">
        <f t="shared" si="146"/>
        <v/>
      </c>
      <c r="FO31" s="518" t="str">
        <f t="shared" si="147"/>
        <v/>
      </c>
      <c r="FP31" s="518" t="str">
        <f t="shared" si="148"/>
        <v/>
      </c>
      <c r="FQ31" s="518" t="str">
        <f t="shared" si="149"/>
        <v/>
      </c>
      <c r="FR31" s="518" t="str">
        <f t="shared" si="150"/>
        <v/>
      </c>
      <c r="FS31" s="518" t="str">
        <f t="shared" si="151"/>
        <v/>
      </c>
      <c r="FT31" s="518" t="str">
        <f t="shared" si="152"/>
        <v/>
      </c>
      <c r="FU31" s="518" t="str">
        <f t="shared" si="153"/>
        <v/>
      </c>
      <c r="FV31" s="518" t="str">
        <f t="shared" si="154"/>
        <v/>
      </c>
      <c r="FW31" s="518" t="str">
        <f t="shared" si="155"/>
        <v/>
      </c>
      <c r="FX31" s="518" t="str">
        <f t="shared" si="156"/>
        <v/>
      </c>
      <c r="FY31" s="518" t="str">
        <f t="shared" si="157"/>
        <v/>
      </c>
      <c r="FZ31" s="518" t="str">
        <f t="shared" si="158"/>
        <v/>
      </c>
      <c r="GA31" s="518" t="str">
        <f t="shared" si="159"/>
        <v/>
      </c>
      <c r="GB31" s="518" t="str">
        <f t="shared" si="160"/>
        <v/>
      </c>
      <c r="GC31" s="518" t="str">
        <f t="shared" si="161"/>
        <v/>
      </c>
      <c r="GD31" s="518" t="str">
        <f t="shared" si="162"/>
        <v/>
      </c>
      <c r="GE31" s="518" t="str">
        <f t="shared" si="163"/>
        <v/>
      </c>
      <c r="GF31" s="518" t="str">
        <f t="shared" si="164"/>
        <v/>
      </c>
      <c r="GG31" s="518" t="str">
        <f t="shared" si="165"/>
        <v/>
      </c>
      <c r="GH31" s="518" t="str">
        <f t="shared" si="166"/>
        <v/>
      </c>
      <c r="GI31" s="518" t="str">
        <f t="shared" si="167"/>
        <v/>
      </c>
      <c r="GJ31" s="518" t="str">
        <f t="shared" si="168"/>
        <v/>
      </c>
      <c r="GK31" s="518" t="str">
        <f t="shared" si="169"/>
        <v/>
      </c>
      <c r="GL31" s="518" t="str">
        <f t="shared" si="170"/>
        <v/>
      </c>
      <c r="GM31" s="518" t="str">
        <f t="shared" si="171"/>
        <v/>
      </c>
      <c r="GN31" s="518" t="str">
        <f t="shared" si="172"/>
        <v/>
      </c>
      <c r="GO31" s="518" t="str">
        <f t="shared" si="173"/>
        <v/>
      </c>
      <c r="GP31" s="518" t="str">
        <f t="shared" si="174"/>
        <v/>
      </c>
      <c r="GQ31" s="518" t="str">
        <f t="shared" si="175"/>
        <v/>
      </c>
      <c r="GR31" s="518" t="str">
        <f t="shared" si="176"/>
        <v/>
      </c>
      <c r="GS31" s="518" t="str">
        <f t="shared" si="177"/>
        <v/>
      </c>
      <c r="GT31" s="518" t="str">
        <f t="shared" si="178"/>
        <v/>
      </c>
      <c r="GU31" s="518" t="str">
        <f t="shared" si="179"/>
        <v/>
      </c>
      <c r="GV31" s="518" t="str">
        <f t="shared" si="180"/>
        <v/>
      </c>
      <c r="GW31" s="518" t="str">
        <f t="shared" si="181"/>
        <v/>
      </c>
      <c r="GX31" s="518" t="str">
        <f t="shared" si="182"/>
        <v/>
      </c>
      <c r="GY31" s="518" t="str">
        <f t="shared" si="183"/>
        <v/>
      </c>
      <c r="GZ31" s="518" t="str">
        <f t="shared" si="184"/>
        <v/>
      </c>
      <c r="HA31" s="518" t="str">
        <f t="shared" si="185"/>
        <v/>
      </c>
      <c r="HB31" s="518" t="str">
        <f t="shared" si="186"/>
        <v/>
      </c>
      <c r="HC31" s="518" t="str">
        <f t="shared" si="187"/>
        <v/>
      </c>
      <c r="HD31" s="518" t="str">
        <f t="shared" si="188"/>
        <v/>
      </c>
      <c r="HE31" s="518" t="str">
        <f t="shared" si="189"/>
        <v/>
      </c>
      <c r="HF31" s="518" t="str">
        <f t="shared" si="190"/>
        <v/>
      </c>
      <c r="HG31" s="518" t="str">
        <f t="shared" si="191"/>
        <v/>
      </c>
      <c r="HH31" s="518" t="str">
        <f t="shared" si="192"/>
        <v/>
      </c>
      <c r="HI31" s="518" t="str">
        <f t="shared" si="193"/>
        <v/>
      </c>
      <c r="HJ31" s="518" t="str">
        <f t="shared" si="194"/>
        <v/>
      </c>
      <c r="HK31" s="518" t="str">
        <f t="shared" si="195"/>
        <v/>
      </c>
      <c r="HL31" s="518" t="str">
        <f t="shared" si="196"/>
        <v/>
      </c>
      <c r="HM31" s="518" t="str">
        <f t="shared" si="197"/>
        <v/>
      </c>
      <c r="HN31" s="518" t="str">
        <f t="shared" si="198"/>
        <v/>
      </c>
      <c r="HO31" s="518" t="str">
        <f t="shared" si="199"/>
        <v/>
      </c>
      <c r="HP31" s="518" t="str">
        <f t="shared" si="200"/>
        <v/>
      </c>
      <c r="HQ31" s="518" t="str">
        <f t="shared" si="201"/>
        <v/>
      </c>
      <c r="HR31" s="518" t="str">
        <f t="shared" si="202"/>
        <v/>
      </c>
      <c r="HS31" s="518" t="str">
        <f t="shared" si="203"/>
        <v/>
      </c>
      <c r="HT31" s="518" t="str">
        <f t="shared" si="204"/>
        <v/>
      </c>
      <c r="HU31" s="518" t="str">
        <f t="shared" si="205"/>
        <v/>
      </c>
      <c r="HV31" s="518" t="str">
        <f t="shared" si="206"/>
        <v/>
      </c>
      <c r="HW31" s="518" t="str">
        <f t="shared" si="207"/>
        <v/>
      </c>
      <c r="HX31" s="518" t="str">
        <f t="shared" si="208"/>
        <v/>
      </c>
      <c r="HY31" s="518" t="str">
        <f t="shared" si="209"/>
        <v/>
      </c>
      <c r="HZ31" s="518" t="str">
        <f t="shared" si="210"/>
        <v/>
      </c>
      <c r="IA31" s="518" t="str">
        <f t="shared" si="211"/>
        <v/>
      </c>
      <c r="IB31" s="518" t="str">
        <f t="shared" si="212"/>
        <v/>
      </c>
      <c r="IC31" s="519" t="str">
        <f t="shared" si="213"/>
        <v/>
      </c>
      <c r="ID31" s="519" t="str">
        <f t="shared" si="214"/>
        <v/>
      </c>
      <c r="IE31" s="519" t="str">
        <f t="shared" si="215"/>
        <v/>
      </c>
      <c r="IF31" s="519" t="str">
        <f t="shared" si="216"/>
        <v/>
      </c>
      <c r="IG31" s="519" t="str">
        <f t="shared" si="217"/>
        <v/>
      </c>
      <c r="IH31" s="508" t="str">
        <f t="shared" si="218"/>
        <v/>
      </c>
      <c r="II31" s="508" t="str">
        <f t="shared" si="219"/>
        <v/>
      </c>
      <c r="IJ31" s="508" t="str">
        <f t="shared" si="220"/>
        <v/>
      </c>
      <c r="IK31" s="508" t="str">
        <f t="shared" si="221"/>
        <v/>
      </c>
      <c r="IL31" s="508" t="str">
        <f t="shared" si="222"/>
        <v/>
      </c>
      <c r="IM31" s="508" t="str">
        <f t="shared" si="223"/>
        <v/>
      </c>
      <c r="IN31" s="508" t="str">
        <f t="shared" si="224"/>
        <v/>
      </c>
      <c r="IO31" s="508" t="str">
        <f t="shared" si="225"/>
        <v/>
      </c>
      <c r="IP31" s="508" t="str">
        <f t="shared" si="226"/>
        <v/>
      </c>
      <c r="IQ31" s="508" t="str">
        <f t="shared" si="227"/>
        <v/>
      </c>
      <c r="IR31" s="508" t="str">
        <f t="shared" si="228"/>
        <v/>
      </c>
      <c r="IS31" s="508" t="str">
        <f t="shared" si="229"/>
        <v/>
      </c>
      <c r="IT31" s="508" t="str">
        <f t="shared" si="230"/>
        <v/>
      </c>
      <c r="IU31" s="508" t="str">
        <f t="shared" si="231"/>
        <v/>
      </c>
      <c r="IV31" s="508" t="str">
        <f t="shared" si="232"/>
        <v/>
      </c>
      <c r="IW31" s="508" t="str">
        <f t="shared" si="233"/>
        <v/>
      </c>
      <c r="IX31" s="508" t="str">
        <f t="shared" si="234"/>
        <v/>
      </c>
      <c r="IY31" s="508" t="str">
        <f t="shared" si="235"/>
        <v/>
      </c>
      <c r="IZ31" s="508" t="str">
        <f t="shared" si="236"/>
        <v/>
      </c>
      <c r="JA31" s="508" t="str">
        <f t="shared" si="237"/>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67" t="s">
        <v>1859</v>
      </c>
      <c r="C32" s="2368"/>
      <c r="D32" s="2369"/>
      <c r="E32" s="2370"/>
      <c r="F32" s="2370"/>
      <c r="G32" s="2370"/>
      <c r="H32" s="2370"/>
      <c r="I32" s="2370"/>
      <c r="J32" s="2371"/>
      <c r="K32" s="861">
        <f t="shared" si="1"/>
        <v>0</v>
      </c>
      <c r="L32" s="861">
        <f t="shared" si="2"/>
        <v>0</v>
      </c>
      <c r="M32" s="2372"/>
      <c r="N32" s="2372"/>
      <c r="O32" s="2372"/>
      <c r="P32" s="2372"/>
      <c r="Q32" s="472" t="str">
        <f>IF(H32="","",P32/($O$6*VLOOKUP(C32,'DCA Underwriting Assumptions'!$J$118:$K$123,2,FALSE)))</f>
        <v/>
      </c>
      <c r="R32" s="547"/>
      <c r="S32" s="472"/>
      <c r="T32" s="2306"/>
      <c r="U32" s="2307"/>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238"/>
        <v/>
      </c>
      <c r="BU32" s="508" t="str">
        <f t="shared" si="239"/>
        <v/>
      </c>
      <c r="BV32" s="508" t="str">
        <f t="shared" si="240"/>
        <v/>
      </c>
      <c r="BW32" s="508" t="str">
        <f t="shared" si="241"/>
        <v/>
      </c>
      <c r="BX32" s="508" t="str">
        <f t="shared" si="242"/>
        <v/>
      </c>
      <c r="BY32" s="508" t="str">
        <f t="shared" si="53"/>
        <v/>
      </c>
      <c r="BZ32" s="508" t="str">
        <f t="shared" si="54"/>
        <v/>
      </c>
      <c r="CA32" s="508" t="str">
        <f t="shared" si="55"/>
        <v/>
      </c>
      <c r="CB32" s="508" t="str">
        <f t="shared" si="56"/>
        <v/>
      </c>
      <c r="CC32" s="508" t="str">
        <f t="shared" si="57"/>
        <v/>
      </c>
      <c r="CD32" s="508" t="str">
        <f t="shared" si="58"/>
        <v/>
      </c>
      <c r="CE32" s="508" t="str">
        <f t="shared" si="59"/>
        <v/>
      </c>
      <c r="CF32" s="508" t="str">
        <f t="shared" si="60"/>
        <v/>
      </c>
      <c r="CG32" s="508" t="str">
        <f t="shared" si="61"/>
        <v/>
      </c>
      <c r="CH32" s="508" t="str">
        <f t="shared" si="62"/>
        <v/>
      </c>
      <c r="CI32" s="508" t="str">
        <f t="shared" si="63"/>
        <v/>
      </c>
      <c r="CJ32" s="508" t="str">
        <f t="shared" si="64"/>
        <v/>
      </c>
      <c r="CK32" s="508" t="str">
        <f t="shared" si="65"/>
        <v/>
      </c>
      <c r="CL32" s="508" t="str">
        <f t="shared" si="66"/>
        <v/>
      </c>
      <c r="CM32" s="508" t="str">
        <f t="shared" si="67"/>
        <v/>
      </c>
      <c r="CN32" s="508" t="str">
        <f t="shared" si="68"/>
        <v/>
      </c>
      <c r="CO32" s="508" t="str">
        <f t="shared" si="69"/>
        <v/>
      </c>
      <c r="CP32" s="508" t="str">
        <f t="shared" si="70"/>
        <v/>
      </c>
      <c r="CQ32" s="508" t="str">
        <f t="shared" si="71"/>
        <v/>
      </c>
      <c r="CR32" s="508" t="str">
        <f t="shared" si="72"/>
        <v/>
      </c>
      <c r="CS32" s="508" t="str">
        <f t="shared" si="73"/>
        <v/>
      </c>
      <c r="CT32" s="508" t="str">
        <f t="shared" si="74"/>
        <v/>
      </c>
      <c r="CU32" s="508" t="str">
        <f t="shared" si="75"/>
        <v/>
      </c>
      <c r="CV32" s="508" t="str">
        <f t="shared" si="76"/>
        <v/>
      </c>
      <c r="CW32" s="508" t="str">
        <f t="shared" si="77"/>
        <v/>
      </c>
      <c r="CX32" s="508" t="str">
        <f t="shared" si="78"/>
        <v/>
      </c>
      <c r="CY32" s="508" t="str">
        <f t="shared" si="79"/>
        <v/>
      </c>
      <c r="CZ32" s="508" t="str">
        <f t="shared" si="80"/>
        <v/>
      </c>
      <c r="DA32" s="508" t="str">
        <f t="shared" si="81"/>
        <v/>
      </c>
      <c r="DB32" s="508" t="str">
        <f t="shared" si="82"/>
        <v/>
      </c>
      <c r="DC32" s="508" t="str">
        <f t="shared" si="83"/>
        <v/>
      </c>
      <c r="DD32" s="508" t="str">
        <f t="shared" si="84"/>
        <v/>
      </c>
      <c r="DE32" s="508" t="str">
        <f t="shared" si="85"/>
        <v/>
      </c>
      <c r="DF32" s="508" t="str">
        <f t="shared" si="86"/>
        <v/>
      </c>
      <c r="DG32" s="508" t="str">
        <f t="shared" si="87"/>
        <v/>
      </c>
      <c r="DH32" s="508" t="str">
        <f t="shared" si="88"/>
        <v/>
      </c>
      <c r="DI32" s="508" t="str">
        <f t="shared" si="89"/>
        <v/>
      </c>
      <c r="DJ32" s="508" t="str">
        <f t="shared" si="90"/>
        <v/>
      </c>
      <c r="DK32" s="508" t="str">
        <f t="shared" si="91"/>
        <v/>
      </c>
      <c r="DL32" s="508" t="str">
        <f t="shared" si="92"/>
        <v/>
      </c>
      <c r="DM32" s="508" t="str">
        <f t="shared" si="93"/>
        <v/>
      </c>
      <c r="DN32" s="508" t="str">
        <f t="shared" si="94"/>
        <v/>
      </c>
      <c r="DO32" s="508" t="str">
        <f t="shared" si="95"/>
        <v/>
      </c>
      <c r="DP32" s="508" t="str">
        <f t="shared" si="96"/>
        <v/>
      </c>
      <c r="DQ32" s="508" t="str">
        <f t="shared" si="97"/>
        <v/>
      </c>
      <c r="DR32" s="508" t="str">
        <f t="shared" si="98"/>
        <v/>
      </c>
      <c r="DS32" s="508" t="str">
        <f t="shared" si="99"/>
        <v/>
      </c>
      <c r="DT32" s="508" t="str">
        <f t="shared" si="100"/>
        <v/>
      </c>
      <c r="DU32" s="508" t="str">
        <f t="shared" si="101"/>
        <v/>
      </c>
      <c r="DV32" s="508" t="str">
        <f t="shared" si="102"/>
        <v/>
      </c>
      <c r="DW32" s="508" t="str">
        <f t="shared" si="103"/>
        <v/>
      </c>
      <c r="DX32" s="508" t="str">
        <f t="shared" si="104"/>
        <v/>
      </c>
      <c r="DY32" s="508" t="str">
        <f t="shared" si="105"/>
        <v/>
      </c>
      <c r="DZ32" s="508" t="str">
        <f t="shared" si="106"/>
        <v/>
      </c>
      <c r="EA32" s="508" t="str">
        <f t="shared" si="107"/>
        <v/>
      </c>
      <c r="EB32" s="508" t="str">
        <f t="shared" si="108"/>
        <v/>
      </c>
      <c r="EC32" s="508" t="str">
        <f t="shared" si="109"/>
        <v/>
      </c>
      <c r="ED32" s="508" t="str">
        <f t="shared" si="110"/>
        <v/>
      </c>
      <c r="EE32" s="508" t="str">
        <f t="shared" si="111"/>
        <v/>
      </c>
      <c r="EF32" s="508" t="str">
        <f t="shared" si="112"/>
        <v/>
      </c>
      <c r="EG32" s="508" t="str">
        <f t="shared" si="113"/>
        <v/>
      </c>
      <c r="EH32" s="508" t="str">
        <f t="shared" si="114"/>
        <v/>
      </c>
      <c r="EI32" s="508" t="str">
        <f t="shared" si="115"/>
        <v/>
      </c>
      <c r="EJ32" s="508" t="str">
        <f t="shared" si="116"/>
        <v/>
      </c>
      <c r="EK32" s="508" t="str">
        <f t="shared" si="117"/>
        <v/>
      </c>
      <c r="EL32" s="508" t="str">
        <f t="shared" si="118"/>
        <v/>
      </c>
      <c r="EM32" s="508" t="str">
        <f t="shared" si="119"/>
        <v/>
      </c>
      <c r="EN32" s="508" t="str">
        <f t="shared" si="120"/>
        <v/>
      </c>
      <c r="EO32" s="508" t="str">
        <f t="shared" si="121"/>
        <v/>
      </c>
      <c r="EP32" s="508" t="str">
        <f t="shared" si="122"/>
        <v/>
      </c>
      <c r="EQ32" s="508" t="str">
        <f t="shared" si="123"/>
        <v/>
      </c>
      <c r="ER32" s="508" t="str">
        <f t="shared" si="124"/>
        <v/>
      </c>
      <c r="ES32" s="508" t="str">
        <f t="shared" si="125"/>
        <v/>
      </c>
      <c r="ET32" s="508" t="str">
        <f t="shared" si="126"/>
        <v/>
      </c>
      <c r="EU32" s="508" t="str">
        <f t="shared" si="127"/>
        <v/>
      </c>
      <c r="EV32" s="518" t="str">
        <f t="shared" si="128"/>
        <v/>
      </c>
      <c r="EW32" s="518" t="str">
        <f t="shared" si="129"/>
        <v/>
      </c>
      <c r="EX32" s="518" t="str">
        <f t="shared" si="130"/>
        <v/>
      </c>
      <c r="EY32" s="518" t="str">
        <f t="shared" si="131"/>
        <v/>
      </c>
      <c r="EZ32" s="518" t="str">
        <f t="shared" si="132"/>
        <v/>
      </c>
      <c r="FA32" s="518" t="str">
        <f t="shared" si="133"/>
        <v/>
      </c>
      <c r="FB32" s="518" t="str">
        <f t="shared" si="134"/>
        <v/>
      </c>
      <c r="FC32" s="518" t="str">
        <f t="shared" si="135"/>
        <v/>
      </c>
      <c r="FD32" s="518" t="str">
        <f t="shared" si="136"/>
        <v/>
      </c>
      <c r="FE32" s="518" t="str">
        <f t="shared" si="137"/>
        <v/>
      </c>
      <c r="FF32" s="518" t="str">
        <f t="shared" si="138"/>
        <v/>
      </c>
      <c r="FG32" s="518" t="str">
        <f t="shared" si="139"/>
        <v/>
      </c>
      <c r="FH32" s="518" t="str">
        <f t="shared" si="140"/>
        <v/>
      </c>
      <c r="FI32" s="518" t="str">
        <f t="shared" si="141"/>
        <v/>
      </c>
      <c r="FJ32" s="518" t="str">
        <f t="shared" si="142"/>
        <v/>
      </c>
      <c r="FK32" s="518" t="str">
        <f t="shared" si="143"/>
        <v/>
      </c>
      <c r="FL32" s="518" t="str">
        <f t="shared" si="144"/>
        <v/>
      </c>
      <c r="FM32" s="518" t="str">
        <f t="shared" si="145"/>
        <v/>
      </c>
      <c r="FN32" s="518" t="str">
        <f t="shared" si="146"/>
        <v/>
      </c>
      <c r="FO32" s="518" t="str">
        <f t="shared" si="147"/>
        <v/>
      </c>
      <c r="FP32" s="518" t="str">
        <f t="shared" si="148"/>
        <v/>
      </c>
      <c r="FQ32" s="518" t="str">
        <f t="shared" si="149"/>
        <v/>
      </c>
      <c r="FR32" s="518" t="str">
        <f t="shared" si="150"/>
        <v/>
      </c>
      <c r="FS32" s="518" t="str">
        <f t="shared" si="151"/>
        <v/>
      </c>
      <c r="FT32" s="518" t="str">
        <f t="shared" si="152"/>
        <v/>
      </c>
      <c r="FU32" s="518" t="str">
        <f t="shared" si="153"/>
        <v/>
      </c>
      <c r="FV32" s="518" t="str">
        <f t="shared" si="154"/>
        <v/>
      </c>
      <c r="FW32" s="518" t="str">
        <f t="shared" si="155"/>
        <v/>
      </c>
      <c r="FX32" s="518" t="str">
        <f t="shared" si="156"/>
        <v/>
      </c>
      <c r="FY32" s="518" t="str">
        <f t="shared" si="157"/>
        <v/>
      </c>
      <c r="FZ32" s="518" t="str">
        <f t="shared" si="158"/>
        <v/>
      </c>
      <c r="GA32" s="518" t="str">
        <f t="shared" si="159"/>
        <v/>
      </c>
      <c r="GB32" s="518" t="str">
        <f t="shared" si="160"/>
        <v/>
      </c>
      <c r="GC32" s="518" t="str">
        <f t="shared" si="161"/>
        <v/>
      </c>
      <c r="GD32" s="518" t="str">
        <f t="shared" si="162"/>
        <v/>
      </c>
      <c r="GE32" s="518" t="str">
        <f t="shared" si="163"/>
        <v/>
      </c>
      <c r="GF32" s="518" t="str">
        <f t="shared" si="164"/>
        <v/>
      </c>
      <c r="GG32" s="518" t="str">
        <f t="shared" si="165"/>
        <v/>
      </c>
      <c r="GH32" s="518" t="str">
        <f t="shared" si="166"/>
        <v/>
      </c>
      <c r="GI32" s="518" t="str">
        <f t="shared" si="167"/>
        <v/>
      </c>
      <c r="GJ32" s="518" t="str">
        <f t="shared" si="168"/>
        <v/>
      </c>
      <c r="GK32" s="518" t="str">
        <f t="shared" si="169"/>
        <v/>
      </c>
      <c r="GL32" s="518" t="str">
        <f t="shared" si="170"/>
        <v/>
      </c>
      <c r="GM32" s="518" t="str">
        <f t="shared" si="171"/>
        <v/>
      </c>
      <c r="GN32" s="518" t="str">
        <f t="shared" si="172"/>
        <v/>
      </c>
      <c r="GO32" s="518" t="str">
        <f t="shared" si="173"/>
        <v/>
      </c>
      <c r="GP32" s="518" t="str">
        <f t="shared" si="174"/>
        <v/>
      </c>
      <c r="GQ32" s="518" t="str">
        <f t="shared" si="175"/>
        <v/>
      </c>
      <c r="GR32" s="518" t="str">
        <f t="shared" si="176"/>
        <v/>
      </c>
      <c r="GS32" s="518" t="str">
        <f t="shared" si="177"/>
        <v/>
      </c>
      <c r="GT32" s="518" t="str">
        <f t="shared" si="178"/>
        <v/>
      </c>
      <c r="GU32" s="518" t="str">
        <f t="shared" si="179"/>
        <v/>
      </c>
      <c r="GV32" s="518" t="str">
        <f t="shared" si="180"/>
        <v/>
      </c>
      <c r="GW32" s="518" t="str">
        <f t="shared" si="181"/>
        <v/>
      </c>
      <c r="GX32" s="518" t="str">
        <f t="shared" si="182"/>
        <v/>
      </c>
      <c r="GY32" s="518" t="str">
        <f t="shared" si="183"/>
        <v/>
      </c>
      <c r="GZ32" s="518" t="str">
        <f t="shared" si="184"/>
        <v/>
      </c>
      <c r="HA32" s="518" t="str">
        <f t="shared" si="185"/>
        <v/>
      </c>
      <c r="HB32" s="518" t="str">
        <f t="shared" si="186"/>
        <v/>
      </c>
      <c r="HC32" s="518" t="str">
        <f t="shared" si="187"/>
        <v/>
      </c>
      <c r="HD32" s="518" t="str">
        <f t="shared" si="188"/>
        <v/>
      </c>
      <c r="HE32" s="518" t="str">
        <f t="shared" si="189"/>
        <v/>
      </c>
      <c r="HF32" s="518" t="str">
        <f t="shared" si="190"/>
        <v/>
      </c>
      <c r="HG32" s="518" t="str">
        <f t="shared" si="191"/>
        <v/>
      </c>
      <c r="HH32" s="518" t="str">
        <f t="shared" si="192"/>
        <v/>
      </c>
      <c r="HI32" s="518" t="str">
        <f t="shared" si="193"/>
        <v/>
      </c>
      <c r="HJ32" s="518" t="str">
        <f t="shared" si="194"/>
        <v/>
      </c>
      <c r="HK32" s="518" t="str">
        <f t="shared" si="195"/>
        <v/>
      </c>
      <c r="HL32" s="518" t="str">
        <f t="shared" si="196"/>
        <v/>
      </c>
      <c r="HM32" s="518" t="str">
        <f t="shared" si="197"/>
        <v/>
      </c>
      <c r="HN32" s="518" t="str">
        <f t="shared" si="198"/>
        <v/>
      </c>
      <c r="HO32" s="518" t="str">
        <f t="shared" si="199"/>
        <v/>
      </c>
      <c r="HP32" s="518" t="str">
        <f t="shared" si="200"/>
        <v/>
      </c>
      <c r="HQ32" s="518" t="str">
        <f t="shared" si="201"/>
        <v/>
      </c>
      <c r="HR32" s="518" t="str">
        <f t="shared" si="202"/>
        <v/>
      </c>
      <c r="HS32" s="518" t="str">
        <f t="shared" si="203"/>
        <v/>
      </c>
      <c r="HT32" s="518" t="str">
        <f t="shared" si="204"/>
        <v/>
      </c>
      <c r="HU32" s="518" t="str">
        <f t="shared" si="205"/>
        <v/>
      </c>
      <c r="HV32" s="518" t="str">
        <f t="shared" si="206"/>
        <v/>
      </c>
      <c r="HW32" s="518" t="str">
        <f t="shared" si="207"/>
        <v/>
      </c>
      <c r="HX32" s="518" t="str">
        <f t="shared" si="208"/>
        <v/>
      </c>
      <c r="HY32" s="518" t="str">
        <f t="shared" si="209"/>
        <v/>
      </c>
      <c r="HZ32" s="518" t="str">
        <f t="shared" si="210"/>
        <v/>
      </c>
      <c r="IA32" s="518" t="str">
        <f t="shared" si="211"/>
        <v/>
      </c>
      <c r="IB32" s="518" t="str">
        <f t="shared" si="212"/>
        <v/>
      </c>
      <c r="IC32" s="519" t="str">
        <f t="shared" si="213"/>
        <v/>
      </c>
      <c r="ID32" s="519" t="str">
        <f t="shared" si="214"/>
        <v/>
      </c>
      <c r="IE32" s="519" t="str">
        <f t="shared" si="215"/>
        <v/>
      </c>
      <c r="IF32" s="519" t="str">
        <f t="shared" si="216"/>
        <v/>
      </c>
      <c r="IG32" s="519" t="str">
        <f t="shared" si="217"/>
        <v/>
      </c>
      <c r="IH32" s="508" t="str">
        <f t="shared" si="218"/>
        <v/>
      </c>
      <c r="II32" s="508" t="str">
        <f t="shared" si="219"/>
        <v/>
      </c>
      <c r="IJ32" s="508" t="str">
        <f t="shared" si="220"/>
        <v/>
      </c>
      <c r="IK32" s="508" t="str">
        <f t="shared" si="221"/>
        <v/>
      </c>
      <c r="IL32" s="508" t="str">
        <f t="shared" si="222"/>
        <v/>
      </c>
      <c r="IM32" s="508" t="str">
        <f t="shared" si="223"/>
        <v/>
      </c>
      <c r="IN32" s="508" t="str">
        <f t="shared" si="224"/>
        <v/>
      </c>
      <c r="IO32" s="508" t="str">
        <f t="shared" si="225"/>
        <v/>
      </c>
      <c r="IP32" s="508" t="str">
        <f t="shared" si="226"/>
        <v/>
      </c>
      <c r="IQ32" s="508" t="str">
        <f t="shared" si="227"/>
        <v/>
      </c>
      <c r="IR32" s="508" t="str">
        <f t="shared" si="228"/>
        <v/>
      </c>
      <c r="IS32" s="508" t="str">
        <f t="shared" si="229"/>
        <v/>
      </c>
      <c r="IT32" s="508" t="str">
        <f t="shared" si="230"/>
        <v/>
      </c>
      <c r="IU32" s="508" t="str">
        <f t="shared" si="231"/>
        <v/>
      </c>
      <c r="IV32" s="508" t="str">
        <f t="shared" si="232"/>
        <v/>
      </c>
      <c r="IW32" s="508" t="str">
        <f t="shared" si="233"/>
        <v/>
      </c>
      <c r="IX32" s="508" t="str">
        <f t="shared" si="234"/>
        <v/>
      </c>
      <c r="IY32" s="508" t="str">
        <f t="shared" si="235"/>
        <v/>
      </c>
      <c r="IZ32" s="508" t="str">
        <f t="shared" si="236"/>
        <v/>
      </c>
      <c r="JA32" s="508" t="str">
        <f t="shared" si="237"/>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67" t="s">
        <v>1859</v>
      </c>
      <c r="C33" s="2368"/>
      <c r="D33" s="2369"/>
      <c r="E33" s="2370"/>
      <c r="F33" s="2370"/>
      <c r="G33" s="2370"/>
      <c r="H33" s="2370"/>
      <c r="I33" s="2370"/>
      <c r="J33" s="2371"/>
      <c r="K33" s="861">
        <f t="shared" si="1"/>
        <v>0</v>
      </c>
      <c r="L33" s="861">
        <f t="shared" si="2"/>
        <v>0</v>
      </c>
      <c r="M33" s="2372"/>
      <c r="N33" s="2372"/>
      <c r="O33" s="2372"/>
      <c r="P33" s="2372"/>
      <c r="Q33" s="472" t="str">
        <f>IF(H33="","",P33/($O$6*VLOOKUP(C33,'DCA Underwriting Assumptions'!$J$118:$K$123,2,FALSE)))</f>
        <v/>
      </c>
      <c r="R33" s="547"/>
      <c r="S33" s="472"/>
      <c r="T33" s="2306"/>
      <c r="U33" s="2307"/>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238"/>
        <v/>
      </c>
      <c r="BU33" s="508" t="str">
        <f t="shared" si="239"/>
        <v/>
      </c>
      <c r="BV33" s="508" t="str">
        <f t="shared" si="240"/>
        <v/>
      </c>
      <c r="BW33" s="508" t="str">
        <f t="shared" si="241"/>
        <v/>
      </c>
      <c r="BX33" s="508" t="str">
        <f t="shared" si="242"/>
        <v/>
      </c>
      <c r="BY33" s="508" t="str">
        <f t="shared" si="53"/>
        <v/>
      </c>
      <c r="BZ33" s="508" t="str">
        <f t="shared" si="54"/>
        <v/>
      </c>
      <c r="CA33" s="508" t="str">
        <f t="shared" si="55"/>
        <v/>
      </c>
      <c r="CB33" s="508" t="str">
        <f t="shared" si="56"/>
        <v/>
      </c>
      <c r="CC33" s="508" t="str">
        <f t="shared" si="57"/>
        <v/>
      </c>
      <c r="CD33" s="508" t="str">
        <f t="shared" si="58"/>
        <v/>
      </c>
      <c r="CE33" s="508" t="str">
        <f t="shared" si="59"/>
        <v/>
      </c>
      <c r="CF33" s="508" t="str">
        <f t="shared" si="60"/>
        <v/>
      </c>
      <c r="CG33" s="508" t="str">
        <f t="shared" si="61"/>
        <v/>
      </c>
      <c r="CH33" s="508" t="str">
        <f t="shared" si="62"/>
        <v/>
      </c>
      <c r="CI33" s="508" t="str">
        <f t="shared" si="63"/>
        <v/>
      </c>
      <c r="CJ33" s="508" t="str">
        <f t="shared" si="64"/>
        <v/>
      </c>
      <c r="CK33" s="508" t="str">
        <f t="shared" si="65"/>
        <v/>
      </c>
      <c r="CL33" s="508" t="str">
        <f t="shared" si="66"/>
        <v/>
      </c>
      <c r="CM33" s="508" t="str">
        <f t="shared" si="67"/>
        <v/>
      </c>
      <c r="CN33" s="508" t="str">
        <f t="shared" si="68"/>
        <v/>
      </c>
      <c r="CO33" s="508" t="str">
        <f t="shared" si="69"/>
        <v/>
      </c>
      <c r="CP33" s="508" t="str">
        <f t="shared" si="70"/>
        <v/>
      </c>
      <c r="CQ33" s="508" t="str">
        <f t="shared" si="71"/>
        <v/>
      </c>
      <c r="CR33" s="508" t="str">
        <f t="shared" si="72"/>
        <v/>
      </c>
      <c r="CS33" s="508" t="str">
        <f t="shared" si="73"/>
        <v/>
      </c>
      <c r="CT33" s="508" t="str">
        <f t="shared" si="74"/>
        <v/>
      </c>
      <c r="CU33" s="508" t="str">
        <f t="shared" si="75"/>
        <v/>
      </c>
      <c r="CV33" s="508" t="str">
        <f t="shared" si="76"/>
        <v/>
      </c>
      <c r="CW33" s="508" t="str">
        <f t="shared" si="77"/>
        <v/>
      </c>
      <c r="CX33" s="508" t="str">
        <f t="shared" si="78"/>
        <v/>
      </c>
      <c r="CY33" s="508" t="str">
        <f t="shared" si="79"/>
        <v/>
      </c>
      <c r="CZ33" s="508" t="str">
        <f t="shared" si="80"/>
        <v/>
      </c>
      <c r="DA33" s="508" t="str">
        <f t="shared" si="81"/>
        <v/>
      </c>
      <c r="DB33" s="508" t="str">
        <f t="shared" si="82"/>
        <v/>
      </c>
      <c r="DC33" s="508" t="str">
        <f t="shared" si="83"/>
        <v/>
      </c>
      <c r="DD33" s="508" t="str">
        <f t="shared" si="84"/>
        <v/>
      </c>
      <c r="DE33" s="508" t="str">
        <f t="shared" si="85"/>
        <v/>
      </c>
      <c r="DF33" s="508" t="str">
        <f t="shared" si="86"/>
        <v/>
      </c>
      <c r="DG33" s="508" t="str">
        <f t="shared" si="87"/>
        <v/>
      </c>
      <c r="DH33" s="508" t="str">
        <f t="shared" si="88"/>
        <v/>
      </c>
      <c r="DI33" s="508" t="str">
        <f t="shared" si="89"/>
        <v/>
      </c>
      <c r="DJ33" s="508" t="str">
        <f t="shared" si="90"/>
        <v/>
      </c>
      <c r="DK33" s="508" t="str">
        <f t="shared" si="91"/>
        <v/>
      </c>
      <c r="DL33" s="508" t="str">
        <f t="shared" si="92"/>
        <v/>
      </c>
      <c r="DM33" s="508" t="str">
        <f t="shared" si="93"/>
        <v/>
      </c>
      <c r="DN33" s="508" t="str">
        <f t="shared" si="94"/>
        <v/>
      </c>
      <c r="DO33" s="508" t="str">
        <f t="shared" si="95"/>
        <v/>
      </c>
      <c r="DP33" s="508" t="str">
        <f t="shared" si="96"/>
        <v/>
      </c>
      <c r="DQ33" s="508" t="str">
        <f t="shared" si="97"/>
        <v/>
      </c>
      <c r="DR33" s="508" t="str">
        <f t="shared" si="98"/>
        <v/>
      </c>
      <c r="DS33" s="508" t="str">
        <f t="shared" si="99"/>
        <v/>
      </c>
      <c r="DT33" s="508" t="str">
        <f t="shared" si="100"/>
        <v/>
      </c>
      <c r="DU33" s="508" t="str">
        <f t="shared" si="101"/>
        <v/>
      </c>
      <c r="DV33" s="508" t="str">
        <f t="shared" si="102"/>
        <v/>
      </c>
      <c r="DW33" s="508" t="str">
        <f t="shared" si="103"/>
        <v/>
      </c>
      <c r="DX33" s="508" t="str">
        <f t="shared" si="104"/>
        <v/>
      </c>
      <c r="DY33" s="508" t="str">
        <f t="shared" si="105"/>
        <v/>
      </c>
      <c r="DZ33" s="508" t="str">
        <f t="shared" si="106"/>
        <v/>
      </c>
      <c r="EA33" s="508" t="str">
        <f t="shared" si="107"/>
        <v/>
      </c>
      <c r="EB33" s="508" t="str">
        <f t="shared" si="108"/>
        <v/>
      </c>
      <c r="EC33" s="508" t="str">
        <f t="shared" si="109"/>
        <v/>
      </c>
      <c r="ED33" s="508" t="str">
        <f t="shared" si="110"/>
        <v/>
      </c>
      <c r="EE33" s="508" t="str">
        <f t="shared" si="111"/>
        <v/>
      </c>
      <c r="EF33" s="508" t="str">
        <f t="shared" si="112"/>
        <v/>
      </c>
      <c r="EG33" s="508" t="str">
        <f t="shared" si="113"/>
        <v/>
      </c>
      <c r="EH33" s="508" t="str">
        <f t="shared" si="114"/>
        <v/>
      </c>
      <c r="EI33" s="508" t="str">
        <f t="shared" si="115"/>
        <v/>
      </c>
      <c r="EJ33" s="508" t="str">
        <f t="shared" si="116"/>
        <v/>
      </c>
      <c r="EK33" s="508" t="str">
        <f t="shared" si="117"/>
        <v/>
      </c>
      <c r="EL33" s="508" t="str">
        <f t="shared" si="118"/>
        <v/>
      </c>
      <c r="EM33" s="508" t="str">
        <f t="shared" si="119"/>
        <v/>
      </c>
      <c r="EN33" s="508" t="str">
        <f t="shared" si="120"/>
        <v/>
      </c>
      <c r="EO33" s="508" t="str">
        <f t="shared" si="121"/>
        <v/>
      </c>
      <c r="EP33" s="508" t="str">
        <f t="shared" si="122"/>
        <v/>
      </c>
      <c r="EQ33" s="508" t="str">
        <f t="shared" si="123"/>
        <v/>
      </c>
      <c r="ER33" s="508" t="str">
        <f t="shared" si="124"/>
        <v/>
      </c>
      <c r="ES33" s="508" t="str">
        <f t="shared" si="125"/>
        <v/>
      </c>
      <c r="ET33" s="508" t="str">
        <f t="shared" si="126"/>
        <v/>
      </c>
      <c r="EU33" s="508" t="str">
        <f t="shared" si="127"/>
        <v/>
      </c>
      <c r="EV33" s="518" t="str">
        <f t="shared" si="128"/>
        <v/>
      </c>
      <c r="EW33" s="518" t="str">
        <f t="shared" si="129"/>
        <v/>
      </c>
      <c r="EX33" s="518" t="str">
        <f t="shared" si="130"/>
        <v/>
      </c>
      <c r="EY33" s="518" t="str">
        <f t="shared" si="131"/>
        <v/>
      </c>
      <c r="EZ33" s="518" t="str">
        <f t="shared" si="132"/>
        <v/>
      </c>
      <c r="FA33" s="518" t="str">
        <f t="shared" si="133"/>
        <v/>
      </c>
      <c r="FB33" s="518" t="str">
        <f t="shared" si="134"/>
        <v/>
      </c>
      <c r="FC33" s="518" t="str">
        <f t="shared" si="135"/>
        <v/>
      </c>
      <c r="FD33" s="518" t="str">
        <f t="shared" si="136"/>
        <v/>
      </c>
      <c r="FE33" s="518" t="str">
        <f t="shared" si="137"/>
        <v/>
      </c>
      <c r="FF33" s="518" t="str">
        <f t="shared" si="138"/>
        <v/>
      </c>
      <c r="FG33" s="518" t="str">
        <f t="shared" si="139"/>
        <v/>
      </c>
      <c r="FH33" s="518" t="str">
        <f t="shared" si="140"/>
        <v/>
      </c>
      <c r="FI33" s="518" t="str">
        <f t="shared" si="141"/>
        <v/>
      </c>
      <c r="FJ33" s="518" t="str">
        <f t="shared" si="142"/>
        <v/>
      </c>
      <c r="FK33" s="518" t="str">
        <f t="shared" si="143"/>
        <v/>
      </c>
      <c r="FL33" s="518" t="str">
        <f t="shared" si="144"/>
        <v/>
      </c>
      <c r="FM33" s="518" t="str">
        <f t="shared" si="145"/>
        <v/>
      </c>
      <c r="FN33" s="518" t="str">
        <f t="shared" si="146"/>
        <v/>
      </c>
      <c r="FO33" s="518" t="str">
        <f t="shared" si="147"/>
        <v/>
      </c>
      <c r="FP33" s="518" t="str">
        <f t="shared" si="148"/>
        <v/>
      </c>
      <c r="FQ33" s="518" t="str">
        <f t="shared" si="149"/>
        <v/>
      </c>
      <c r="FR33" s="518" t="str">
        <f t="shared" si="150"/>
        <v/>
      </c>
      <c r="FS33" s="518" t="str">
        <f t="shared" si="151"/>
        <v/>
      </c>
      <c r="FT33" s="518" t="str">
        <f t="shared" si="152"/>
        <v/>
      </c>
      <c r="FU33" s="518" t="str">
        <f t="shared" si="153"/>
        <v/>
      </c>
      <c r="FV33" s="518" t="str">
        <f t="shared" si="154"/>
        <v/>
      </c>
      <c r="FW33" s="518" t="str">
        <f t="shared" si="155"/>
        <v/>
      </c>
      <c r="FX33" s="518" t="str">
        <f t="shared" si="156"/>
        <v/>
      </c>
      <c r="FY33" s="518" t="str">
        <f t="shared" si="157"/>
        <v/>
      </c>
      <c r="FZ33" s="518" t="str">
        <f t="shared" si="158"/>
        <v/>
      </c>
      <c r="GA33" s="518" t="str">
        <f t="shared" si="159"/>
        <v/>
      </c>
      <c r="GB33" s="518" t="str">
        <f t="shared" si="160"/>
        <v/>
      </c>
      <c r="GC33" s="518" t="str">
        <f t="shared" si="161"/>
        <v/>
      </c>
      <c r="GD33" s="518" t="str">
        <f t="shared" si="162"/>
        <v/>
      </c>
      <c r="GE33" s="518" t="str">
        <f t="shared" si="163"/>
        <v/>
      </c>
      <c r="GF33" s="518" t="str">
        <f t="shared" si="164"/>
        <v/>
      </c>
      <c r="GG33" s="518" t="str">
        <f t="shared" si="165"/>
        <v/>
      </c>
      <c r="GH33" s="518" t="str">
        <f t="shared" si="166"/>
        <v/>
      </c>
      <c r="GI33" s="518" t="str">
        <f t="shared" si="167"/>
        <v/>
      </c>
      <c r="GJ33" s="518" t="str">
        <f t="shared" si="168"/>
        <v/>
      </c>
      <c r="GK33" s="518" t="str">
        <f t="shared" si="169"/>
        <v/>
      </c>
      <c r="GL33" s="518" t="str">
        <f t="shared" si="170"/>
        <v/>
      </c>
      <c r="GM33" s="518" t="str">
        <f t="shared" si="171"/>
        <v/>
      </c>
      <c r="GN33" s="518" t="str">
        <f t="shared" si="172"/>
        <v/>
      </c>
      <c r="GO33" s="518" t="str">
        <f t="shared" si="173"/>
        <v/>
      </c>
      <c r="GP33" s="518" t="str">
        <f t="shared" si="174"/>
        <v/>
      </c>
      <c r="GQ33" s="518" t="str">
        <f t="shared" si="175"/>
        <v/>
      </c>
      <c r="GR33" s="518" t="str">
        <f t="shared" si="176"/>
        <v/>
      </c>
      <c r="GS33" s="518" t="str">
        <f t="shared" si="177"/>
        <v/>
      </c>
      <c r="GT33" s="518" t="str">
        <f t="shared" si="178"/>
        <v/>
      </c>
      <c r="GU33" s="518" t="str">
        <f t="shared" si="179"/>
        <v/>
      </c>
      <c r="GV33" s="518" t="str">
        <f t="shared" si="180"/>
        <v/>
      </c>
      <c r="GW33" s="518" t="str">
        <f t="shared" si="181"/>
        <v/>
      </c>
      <c r="GX33" s="518" t="str">
        <f t="shared" si="182"/>
        <v/>
      </c>
      <c r="GY33" s="518" t="str">
        <f t="shared" si="183"/>
        <v/>
      </c>
      <c r="GZ33" s="518" t="str">
        <f t="shared" si="184"/>
        <v/>
      </c>
      <c r="HA33" s="518" t="str">
        <f t="shared" si="185"/>
        <v/>
      </c>
      <c r="HB33" s="518" t="str">
        <f t="shared" si="186"/>
        <v/>
      </c>
      <c r="HC33" s="518" t="str">
        <f t="shared" si="187"/>
        <v/>
      </c>
      <c r="HD33" s="518" t="str">
        <f t="shared" si="188"/>
        <v/>
      </c>
      <c r="HE33" s="518" t="str">
        <f t="shared" si="189"/>
        <v/>
      </c>
      <c r="HF33" s="518" t="str">
        <f t="shared" si="190"/>
        <v/>
      </c>
      <c r="HG33" s="518" t="str">
        <f t="shared" si="191"/>
        <v/>
      </c>
      <c r="HH33" s="518" t="str">
        <f t="shared" si="192"/>
        <v/>
      </c>
      <c r="HI33" s="518" t="str">
        <f t="shared" si="193"/>
        <v/>
      </c>
      <c r="HJ33" s="518" t="str">
        <f t="shared" si="194"/>
        <v/>
      </c>
      <c r="HK33" s="518" t="str">
        <f t="shared" si="195"/>
        <v/>
      </c>
      <c r="HL33" s="518" t="str">
        <f t="shared" si="196"/>
        <v/>
      </c>
      <c r="HM33" s="518" t="str">
        <f t="shared" si="197"/>
        <v/>
      </c>
      <c r="HN33" s="518" t="str">
        <f t="shared" si="198"/>
        <v/>
      </c>
      <c r="HO33" s="518" t="str">
        <f t="shared" si="199"/>
        <v/>
      </c>
      <c r="HP33" s="518" t="str">
        <f t="shared" si="200"/>
        <v/>
      </c>
      <c r="HQ33" s="518" t="str">
        <f t="shared" si="201"/>
        <v/>
      </c>
      <c r="HR33" s="518" t="str">
        <f t="shared" si="202"/>
        <v/>
      </c>
      <c r="HS33" s="518" t="str">
        <f t="shared" si="203"/>
        <v/>
      </c>
      <c r="HT33" s="518" t="str">
        <f t="shared" si="204"/>
        <v/>
      </c>
      <c r="HU33" s="518" t="str">
        <f t="shared" si="205"/>
        <v/>
      </c>
      <c r="HV33" s="518" t="str">
        <f t="shared" si="206"/>
        <v/>
      </c>
      <c r="HW33" s="518" t="str">
        <f t="shared" si="207"/>
        <v/>
      </c>
      <c r="HX33" s="518" t="str">
        <f t="shared" si="208"/>
        <v/>
      </c>
      <c r="HY33" s="518" t="str">
        <f t="shared" si="209"/>
        <v/>
      </c>
      <c r="HZ33" s="518" t="str">
        <f t="shared" si="210"/>
        <v/>
      </c>
      <c r="IA33" s="518" t="str">
        <f t="shared" si="211"/>
        <v/>
      </c>
      <c r="IB33" s="518" t="str">
        <f t="shared" si="212"/>
        <v/>
      </c>
      <c r="IC33" s="519" t="str">
        <f t="shared" si="213"/>
        <v/>
      </c>
      <c r="ID33" s="519" t="str">
        <f t="shared" si="214"/>
        <v/>
      </c>
      <c r="IE33" s="519" t="str">
        <f t="shared" si="215"/>
        <v/>
      </c>
      <c r="IF33" s="519" t="str">
        <f t="shared" si="216"/>
        <v/>
      </c>
      <c r="IG33" s="519" t="str">
        <f t="shared" si="217"/>
        <v/>
      </c>
      <c r="IH33" s="508" t="str">
        <f t="shared" si="218"/>
        <v/>
      </c>
      <c r="II33" s="508" t="str">
        <f t="shared" si="219"/>
        <v/>
      </c>
      <c r="IJ33" s="508" t="str">
        <f t="shared" si="220"/>
        <v/>
      </c>
      <c r="IK33" s="508" t="str">
        <f t="shared" si="221"/>
        <v/>
      </c>
      <c r="IL33" s="508" t="str">
        <f t="shared" si="222"/>
        <v/>
      </c>
      <c r="IM33" s="508" t="str">
        <f t="shared" si="223"/>
        <v/>
      </c>
      <c r="IN33" s="508" t="str">
        <f t="shared" si="224"/>
        <v/>
      </c>
      <c r="IO33" s="508" t="str">
        <f t="shared" si="225"/>
        <v/>
      </c>
      <c r="IP33" s="508" t="str">
        <f t="shared" si="226"/>
        <v/>
      </c>
      <c r="IQ33" s="508" t="str">
        <f t="shared" si="227"/>
        <v/>
      </c>
      <c r="IR33" s="508" t="str">
        <f t="shared" si="228"/>
        <v/>
      </c>
      <c r="IS33" s="508" t="str">
        <f t="shared" si="229"/>
        <v/>
      </c>
      <c r="IT33" s="508" t="str">
        <f t="shared" si="230"/>
        <v/>
      </c>
      <c r="IU33" s="508" t="str">
        <f t="shared" si="231"/>
        <v/>
      </c>
      <c r="IV33" s="508" t="str">
        <f t="shared" si="232"/>
        <v/>
      </c>
      <c r="IW33" s="508" t="str">
        <f t="shared" si="233"/>
        <v/>
      </c>
      <c r="IX33" s="508" t="str">
        <f t="shared" si="234"/>
        <v/>
      </c>
      <c r="IY33" s="508" t="str">
        <f t="shared" si="235"/>
        <v/>
      </c>
      <c r="IZ33" s="508" t="str">
        <f t="shared" si="236"/>
        <v/>
      </c>
      <c r="JA33" s="508" t="str">
        <f t="shared" si="237"/>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67" t="s">
        <v>1859</v>
      </c>
      <c r="C34" s="2368"/>
      <c r="D34" s="2369"/>
      <c r="E34" s="2370"/>
      <c r="F34" s="2370"/>
      <c r="G34" s="2370"/>
      <c r="H34" s="2370"/>
      <c r="I34" s="2370"/>
      <c r="J34" s="2371"/>
      <c r="K34" s="861">
        <f t="shared" si="1"/>
        <v>0</v>
      </c>
      <c r="L34" s="861">
        <f t="shared" si="2"/>
        <v>0</v>
      </c>
      <c r="M34" s="2372"/>
      <c r="N34" s="2372"/>
      <c r="O34" s="2372"/>
      <c r="P34" s="2372"/>
      <c r="Q34" s="472" t="str">
        <f>IF(H34="","",P34/($O$6*VLOOKUP(C34,'DCA Underwriting Assumptions'!$J$118:$K$123,2,FALSE)))</f>
        <v/>
      </c>
      <c r="R34" s="547"/>
      <c r="S34" s="472"/>
      <c r="T34" s="2306"/>
      <c r="U34" s="2307"/>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238"/>
        <v/>
      </c>
      <c r="BU34" s="508" t="str">
        <f t="shared" si="239"/>
        <v/>
      </c>
      <c r="BV34" s="508" t="str">
        <f t="shared" si="240"/>
        <v/>
      </c>
      <c r="BW34" s="508" t="str">
        <f t="shared" si="241"/>
        <v/>
      </c>
      <c r="BX34" s="508" t="str">
        <f t="shared" si="242"/>
        <v/>
      </c>
      <c r="BY34" s="508" t="str">
        <f t="shared" si="53"/>
        <v/>
      </c>
      <c r="BZ34" s="508" t="str">
        <f t="shared" si="54"/>
        <v/>
      </c>
      <c r="CA34" s="508" t="str">
        <f t="shared" si="55"/>
        <v/>
      </c>
      <c r="CB34" s="508" t="str">
        <f t="shared" si="56"/>
        <v/>
      </c>
      <c r="CC34" s="508" t="str">
        <f t="shared" si="57"/>
        <v/>
      </c>
      <c r="CD34" s="508" t="str">
        <f t="shared" si="58"/>
        <v/>
      </c>
      <c r="CE34" s="508" t="str">
        <f t="shared" si="59"/>
        <v/>
      </c>
      <c r="CF34" s="508" t="str">
        <f t="shared" si="60"/>
        <v/>
      </c>
      <c r="CG34" s="508" t="str">
        <f t="shared" si="61"/>
        <v/>
      </c>
      <c r="CH34" s="508" t="str">
        <f t="shared" si="62"/>
        <v/>
      </c>
      <c r="CI34" s="508" t="str">
        <f t="shared" si="63"/>
        <v/>
      </c>
      <c r="CJ34" s="508" t="str">
        <f t="shared" si="64"/>
        <v/>
      </c>
      <c r="CK34" s="508" t="str">
        <f t="shared" si="65"/>
        <v/>
      </c>
      <c r="CL34" s="508" t="str">
        <f t="shared" si="66"/>
        <v/>
      </c>
      <c r="CM34" s="508" t="str">
        <f t="shared" si="67"/>
        <v/>
      </c>
      <c r="CN34" s="508" t="str">
        <f t="shared" si="68"/>
        <v/>
      </c>
      <c r="CO34" s="508" t="str">
        <f t="shared" si="69"/>
        <v/>
      </c>
      <c r="CP34" s="508" t="str">
        <f t="shared" si="70"/>
        <v/>
      </c>
      <c r="CQ34" s="508" t="str">
        <f t="shared" si="71"/>
        <v/>
      </c>
      <c r="CR34" s="508" t="str">
        <f t="shared" si="72"/>
        <v/>
      </c>
      <c r="CS34" s="508" t="str">
        <f t="shared" si="73"/>
        <v/>
      </c>
      <c r="CT34" s="508" t="str">
        <f t="shared" si="74"/>
        <v/>
      </c>
      <c r="CU34" s="508" t="str">
        <f t="shared" si="75"/>
        <v/>
      </c>
      <c r="CV34" s="508" t="str">
        <f t="shared" si="76"/>
        <v/>
      </c>
      <c r="CW34" s="508" t="str">
        <f t="shared" si="77"/>
        <v/>
      </c>
      <c r="CX34" s="508" t="str">
        <f t="shared" si="78"/>
        <v/>
      </c>
      <c r="CY34" s="508" t="str">
        <f t="shared" si="79"/>
        <v/>
      </c>
      <c r="CZ34" s="508" t="str">
        <f t="shared" si="80"/>
        <v/>
      </c>
      <c r="DA34" s="508" t="str">
        <f t="shared" si="81"/>
        <v/>
      </c>
      <c r="DB34" s="508" t="str">
        <f t="shared" si="82"/>
        <v/>
      </c>
      <c r="DC34" s="508" t="str">
        <f t="shared" si="83"/>
        <v/>
      </c>
      <c r="DD34" s="508" t="str">
        <f t="shared" si="84"/>
        <v/>
      </c>
      <c r="DE34" s="508" t="str">
        <f t="shared" si="85"/>
        <v/>
      </c>
      <c r="DF34" s="508" t="str">
        <f t="shared" si="86"/>
        <v/>
      </c>
      <c r="DG34" s="508" t="str">
        <f t="shared" si="87"/>
        <v/>
      </c>
      <c r="DH34" s="508" t="str">
        <f t="shared" si="88"/>
        <v/>
      </c>
      <c r="DI34" s="508" t="str">
        <f t="shared" si="89"/>
        <v/>
      </c>
      <c r="DJ34" s="508" t="str">
        <f t="shared" si="90"/>
        <v/>
      </c>
      <c r="DK34" s="508" t="str">
        <f t="shared" si="91"/>
        <v/>
      </c>
      <c r="DL34" s="508" t="str">
        <f t="shared" si="92"/>
        <v/>
      </c>
      <c r="DM34" s="508" t="str">
        <f t="shared" si="93"/>
        <v/>
      </c>
      <c r="DN34" s="508" t="str">
        <f t="shared" si="94"/>
        <v/>
      </c>
      <c r="DO34" s="508" t="str">
        <f t="shared" si="95"/>
        <v/>
      </c>
      <c r="DP34" s="508" t="str">
        <f t="shared" si="96"/>
        <v/>
      </c>
      <c r="DQ34" s="508" t="str">
        <f t="shared" si="97"/>
        <v/>
      </c>
      <c r="DR34" s="508" t="str">
        <f t="shared" si="98"/>
        <v/>
      </c>
      <c r="DS34" s="508" t="str">
        <f t="shared" si="99"/>
        <v/>
      </c>
      <c r="DT34" s="508" t="str">
        <f t="shared" si="100"/>
        <v/>
      </c>
      <c r="DU34" s="508" t="str">
        <f t="shared" si="101"/>
        <v/>
      </c>
      <c r="DV34" s="508" t="str">
        <f t="shared" si="102"/>
        <v/>
      </c>
      <c r="DW34" s="508" t="str">
        <f t="shared" si="103"/>
        <v/>
      </c>
      <c r="DX34" s="508" t="str">
        <f t="shared" si="104"/>
        <v/>
      </c>
      <c r="DY34" s="508" t="str">
        <f t="shared" si="105"/>
        <v/>
      </c>
      <c r="DZ34" s="508" t="str">
        <f t="shared" si="106"/>
        <v/>
      </c>
      <c r="EA34" s="508" t="str">
        <f t="shared" si="107"/>
        <v/>
      </c>
      <c r="EB34" s="508" t="str">
        <f t="shared" si="108"/>
        <v/>
      </c>
      <c r="EC34" s="508" t="str">
        <f t="shared" si="109"/>
        <v/>
      </c>
      <c r="ED34" s="508" t="str">
        <f t="shared" si="110"/>
        <v/>
      </c>
      <c r="EE34" s="508" t="str">
        <f t="shared" si="111"/>
        <v/>
      </c>
      <c r="EF34" s="508" t="str">
        <f t="shared" si="112"/>
        <v/>
      </c>
      <c r="EG34" s="508" t="str">
        <f t="shared" si="113"/>
        <v/>
      </c>
      <c r="EH34" s="508" t="str">
        <f t="shared" si="114"/>
        <v/>
      </c>
      <c r="EI34" s="508" t="str">
        <f t="shared" si="115"/>
        <v/>
      </c>
      <c r="EJ34" s="508" t="str">
        <f t="shared" si="116"/>
        <v/>
      </c>
      <c r="EK34" s="508" t="str">
        <f t="shared" si="117"/>
        <v/>
      </c>
      <c r="EL34" s="508" t="str">
        <f t="shared" si="118"/>
        <v/>
      </c>
      <c r="EM34" s="508" t="str">
        <f t="shared" si="119"/>
        <v/>
      </c>
      <c r="EN34" s="508" t="str">
        <f t="shared" si="120"/>
        <v/>
      </c>
      <c r="EO34" s="508" t="str">
        <f t="shared" si="121"/>
        <v/>
      </c>
      <c r="EP34" s="508" t="str">
        <f t="shared" si="122"/>
        <v/>
      </c>
      <c r="EQ34" s="508" t="str">
        <f t="shared" si="123"/>
        <v/>
      </c>
      <c r="ER34" s="508" t="str">
        <f t="shared" si="124"/>
        <v/>
      </c>
      <c r="ES34" s="508" t="str">
        <f t="shared" si="125"/>
        <v/>
      </c>
      <c r="ET34" s="508" t="str">
        <f t="shared" si="126"/>
        <v/>
      </c>
      <c r="EU34" s="508" t="str">
        <f t="shared" si="127"/>
        <v/>
      </c>
      <c r="EV34" s="518" t="str">
        <f t="shared" si="128"/>
        <v/>
      </c>
      <c r="EW34" s="518" t="str">
        <f t="shared" si="129"/>
        <v/>
      </c>
      <c r="EX34" s="518" t="str">
        <f t="shared" si="130"/>
        <v/>
      </c>
      <c r="EY34" s="518" t="str">
        <f t="shared" si="131"/>
        <v/>
      </c>
      <c r="EZ34" s="518" t="str">
        <f t="shared" si="132"/>
        <v/>
      </c>
      <c r="FA34" s="518" t="str">
        <f t="shared" si="133"/>
        <v/>
      </c>
      <c r="FB34" s="518" t="str">
        <f t="shared" si="134"/>
        <v/>
      </c>
      <c r="FC34" s="518" t="str">
        <f t="shared" si="135"/>
        <v/>
      </c>
      <c r="FD34" s="518" t="str">
        <f t="shared" si="136"/>
        <v/>
      </c>
      <c r="FE34" s="518" t="str">
        <f t="shared" si="137"/>
        <v/>
      </c>
      <c r="FF34" s="518" t="str">
        <f t="shared" si="138"/>
        <v/>
      </c>
      <c r="FG34" s="518" t="str">
        <f t="shared" si="139"/>
        <v/>
      </c>
      <c r="FH34" s="518" t="str">
        <f t="shared" si="140"/>
        <v/>
      </c>
      <c r="FI34" s="518" t="str">
        <f t="shared" si="141"/>
        <v/>
      </c>
      <c r="FJ34" s="518" t="str">
        <f t="shared" si="142"/>
        <v/>
      </c>
      <c r="FK34" s="518" t="str">
        <f t="shared" si="143"/>
        <v/>
      </c>
      <c r="FL34" s="518" t="str">
        <f t="shared" si="144"/>
        <v/>
      </c>
      <c r="FM34" s="518" t="str">
        <f t="shared" si="145"/>
        <v/>
      </c>
      <c r="FN34" s="518" t="str">
        <f t="shared" si="146"/>
        <v/>
      </c>
      <c r="FO34" s="518" t="str">
        <f t="shared" si="147"/>
        <v/>
      </c>
      <c r="FP34" s="518" t="str">
        <f t="shared" si="148"/>
        <v/>
      </c>
      <c r="FQ34" s="518" t="str">
        <f t="shared" si="149"/>
        <v/>
      </c>
      <c r="FR34" s="518" t="str">
        <f t="shared" si="150"/>
        <v/>
      </c>
      <c r="FS34" s="518" t="str">
        <f t="shared" si="151"/>
        <v/>
      </c>
      <c r="FT34" s="518" t="str">
        <f t="shared" si="152"/>
        <v/>
      </c>
      <c r="FU34" s="518" t="str">
        <f t="shared" si="153"/>
        <v/>
      </c>
      <c r="FV34" s="518" t="str">
        <f t="shared" si="154"/>
        <v/>
      </c>
      <c r="FW34" s="518" t="str">
        <f t="shared" si="155"/>
        <v/>
      </c>
      <c r="FX34" s="518" t="str">
        <f t="shared" si="156"/>
        <v/>
      </c>
      <c r="FY34" s="518" t="str">
        <f t="shared" si="157"/>
        <v/>
      </c>
      <c r="FZ34" s="518" t="str">
        <f t="shared" si="158"/>
        <v/>
      </c>
      <c r="GA34" s="518" t="str">
        <f t="shared" si="159"/>
        <v/>
      </c>
      <c r="GB34" s="518" t="str">
        <f t="shared" si="160"/>
        <v/>
      </c>
      <c r="GC34" s="518" t="str">
        <f t="shared" si="161"/>
        <v/>
      </c>
      <c r="GD34" s="518" t="str">
        <f t="shared" si="162"/>
        <v/>
      </c>
      <c r="GE34" s="518" t="str">
        <f t="shared" si="163"/>
        <v/>
      </c>
      <c r="GF34" s="518" t="str">
        <f t="shared" si="164"/>
        <v/>
      </c>
      <c r="GG34" s="518" t="str">
        <f t="shared" si="165"/>
        <v/>
      </c>
      <c r="GH34" s="518" t="str">
        <f t="shared" si="166"/>
        <v/>
      </c>
      <c r="GI34" s="518" t="str">
        <f t="shared" si="167"/>
        <v/>
      </c>
      <c r="GJ34" s="518" t="str">
        <f t="shared" si="168"/>
        <v/>
      </c>
      <c r="GK34" s="518" t="str">
        <f t="shared" si="169"/>
        <v/>
      </c>
      <c r="GL34" s="518" t="str">
        <f t="shared" si="170"/>
        <v/>
      </c>
      <c r="GM34" s="518" t="str">
        <f t="shared" si="171"/>
        <v/>
      </c>
      <c r="GN34" s="518" t="str">
        <f t="shared" si="172"/>
        <v/>
      </c>
      <c r="GO34" s="518" t="str">
        <f t="shared" si="173"/>
        <v/>
      </c>
      <c r="GP34" s="518" t="str">
        <f t="shared" si="174"/>
        <v/>
      </c>
      <c r="GQ34" s="518" t="str">
        <f t="shared" si="175"/>
        <v/>
      </c>
      <c r="GR34" s="518" t="str">
        <f t="shared" si="176"/>
        <v/>
      </c>
      <c r="GS34" s="518" t="str">
        <f t="shared" si="177"/>
        <v/>
      </c>
      <c r="GT34" s="518" t="str">
        <f t="shared" si="178"/>
        <v/>
      </c>
      <c r="GU34" s="518" t="str">
        <f t="shared" si="179"/>
        <v/>
      </c>
      <c r="GV34" s="518" t="str">
        <f t="shared" si="180"/>
        <v/>
      </c>
      <c r="GW34" s="518" t="str">
        <f t="shared" si="181"/>
        <v/>
      </c>
      <c r="GX34" s="518" t="str">
        <f t="shared" si="182"/>
        <v/>
      </c>
      <c r="GY34" s="518" t="str">
        <f t="shared" si="183"/>
        <v/>
      </c>
      <c r="GZ34" s="518" t="str">
        <f t="shared" si="184"/>
        <v/>
      </c>
      <c r="HA34" s="518" t="str">
        <f t="shared" si="185"/>
        <v/>
      </c>
      <c r="HB34" s="518" t="str">
        <f t="shared" si="186"/>
        <v/>
      </c>
      <c r="HC34" s="518" t="str">
        <f t="shared" si="187"/>
        <v/>
      </c>
      <c r="HD34" s="518" t="str">
        <f t="shared" si="188"/>
        <v/>
      </c>
      <c r="HE34" s="518" t="str">
        <f t="shared" si="189"/>
        <v/>
      </c>
      <c r="HF34" s="518" t="str">
        <f t="shared" si="190"/>
        <v/>
      </c>
      <c r="HG34" s="518" t="str">
        <f t="shared" si="191"/>
        <v/>
      </c>
      <c r="HH34" s="518" t="str">
        <f t="shared" si="192"/>
        <v/>
      </c>
      <c r="HI34" s="518" t="str">
        <f t="shared" si="193"/>
        <v/>
      </c>
      <c r="HJ34" s="518" t="str">
        <f t="shared" si="194"/>
        <v/>
      </c>
      <c r="HK34" s="518" t="str">
        <f t="shared" si="195"/>
        <v/>
      </c>
      <c r="HL34" s="518" t="str">
        <f t="shared" si="196"/>
        <v/>
      </c>
      <c r="HM34" s="518" t="str">
        <f t="shared" si="197"/>
        <v/>
      </c>
      <c r="HN34" s="518" t="str">
        <f t="shared" si="198"/>
        <v/>
      </c>
      <c r="HO34" s="518" t="str">
        <f t="shared" si="199"/>
        <v/>
      </c>
      <c r="HP34" s="518" t="str">
        <f t="shared" si="200"/>
        <v/>
      </c>
      <c r="HQ34" s="518" t="str">
        <f t="shared" si="201"/>
        <v/>
      </c>
      <c r="HR34" s="518" t="str">
        <f t="shared" si="202"/>
        <v/>
      </c>
      <c r="HS34" s="518" t="str">
        <f t="shared" si="203"/>
        <v/>
      </c>
      <c r="HT34" s="518" t="str">
        <f t="shared" si="204"/>
        <v/>
      </c>
      <c r="HU34" s="518" t="str">
        <f t="shared" si="205"/>
        <v/>
      </c>
      <c r="HV34" s="518" t="str">
        <f t="shared" si="206"/>
        <v/>
      </c>
      <c r="HW34" s="518" t="str">
        <f t="shared" si="207"/>
        <v/>
      </c>
      <c r="HX34" s="518" t="str">
        <f t="shared" si="208"/>
        <v/>
      </c>
      <c r="HY34" s="518" t="str">
        <f t="shared" si="209"/>
        <v/>
      </c>
      <c r="HZ34" s="518" t="str">
        <f t="shared" si="210"/>
        <v/>
      </c>
      <c r="IA34" s="518" t="str">
        <f t="shared" si="211"/>
        <v/>
      </c>
      <c r="IB34" s="518" t="str">
        <f t="shared" si="212"/>
        <v/>
      </c>
      <c r="IC34" s="519" t="str">
        <f t="shared" si="213"/>
        <v/>
      </c>
      <c r="ID34" s="519" t="str">
        <f t="shared" si="214"/>
        <v/>
      </c>
      <c r="IE34" s="519" t="str">
        <f t="shared" si="215"/>
        <v/>
      </c>
      <c r="IF34" s="519" t="str">
        <f t="shared" si="216"/>
        <v/>
      </c>
      <c r="IG34" s="519" t="str">
        <f t="shared" si="217"/>
        <v/>
      </c>
      <c r="IH34" s="508" t="str">
        <f t="shared" si="218"/>
        <v/>
      </c>
      <c r="II34" s="508" t="str">
        <f t="shared" si="219"/>
        <v/>
      </c>
      <c r="IJ34" s="508" t="str">
        <f t="shared" si="220"/>
        <v/>
      </c>
      <c r="IK34" s="508" t="str">
        <f t="shared" si="221"/>
        <v/>
      </c>
      <c r="IL34" s="508" t="str">
        <f t="shared" si="222"/>
        <v/>
      </c>
      <c r="IM34" s="508" t="str">
        <f t="shared" si="223"/>
        <v/>
      </c>
      <c r="IN34" s="508" t="str">
        <f t="shared" si="224"/>
        <v/>
      </c>
      <c r="IO34" s="508" t="str">
        <f t="shared" si="225"/>
        <v/>
      </c>
      <c r="IP34" s="508" t="str">
        <f t="shared" si="226"/>
        <v/>
      </c>
      <c r="IQ34" s="508" t="str">
        <f t="shared" si="227"/>
        <v/>
      </c>
      <c r="IR34" s="508" t="str">
        <f t="shared" si="228"/>
        <v/>
      </c>
      <c r="IS34" s="508" t="str">
        <f t="shared" si="229"/>
        <v/>
      </c>
      <c r="IT34" s="508" t="str">
        <f t="shared" si="230"/>
        <v/>
      </c>
      <c r="IU34" s="508" t="str">
        <f t="shared" si="231"/>
        <v/>
      </c>
      <c r="IV34" s="508" t="str">
        <f t="shared" si="232"/>
        <v/>
      </c>
      <c r="IW34" s="508" t="str">
        <f t="shared" si="233"/>
        <v/>
      </c>
      <c r="IX34" s="508" t="str">
        <f t="shared" si="234"/>
        <v/>
      </c>
      <c r="IY34" s="508" t="str">
        <f t="shared" si="235"/>
        <v/>
      </c>
      <c r="IZ34" s="508" t="str">
        <f t="shared" si="236"/>
        <v/>
      </c>
      <c r="JA34" s="508" t="str">
        <f t="shared" si="237"/>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67" t="s">
        <v>1859</v>
      </c>
      <c r="C35" s="2368"/>
      <c r="D35" s="2369"/>
      <c r="E35" s="2370"/>
      <c r="F35" s="2370"/>
      <c r="G35" s="2370"/>
      <c r="H35" s="2370"/>
      <c r="I35" s="2370"/>
      <c r="J35" s="2371"/>
      <c r="K35" s="861">
        <f t="shared" si="1"/>
        <v>0</v>
      </c>
      <c r="L35" s="861">
        <f t="shared" si="2"/>
        <v>0</v>
      </c>
      <c r="M35" s="2372"/>
      <c r="N35" s="2372"/>
      <c r="O35" s="2372"/>
      <c r="P35" s="2372"/>
      <c r="Q35" s="472" t="str">
        <f>IF(H35="","",P35/($O$6*VLOOKUP(C35,'DCA Underwriting Assumptions'!$J$118:$K$123,2,FALSE)))</f>
        <v/>
      </c>
      <c r="R35" s="547"/>
      <c r="S35" s="472"/>
      <c r="T35" s="2306"/>
      <c r="U35" s="2307"/>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238"/>
        <v/>
      </c>
      <c r="BU35" s="508" t="str">
        <f t="shared" si="239"/>
        <v/>
      </c>
      <c r="BV35" s="508" t="str">
        <f t="shared" si="240"/>
        <v/>
      </c>
      <c r="BW35" s="508" t="str">
        <f t="shared" si="241"/>
        <v/>
      </c>
      <c r="BX35" s="508" t="str">
        <f t="shared" si="242"/>
        <v/>
      </c>
      <c r="BY35" s="508" t="str">
        <f t="shared" si="53"/>
        <v/>
      </c>
      <c r="BZ35" s="508" t="str">
        <f t="shared" si="54"/>
        <v/>
      </c>
      <c r="CA35" s="508" t="str">
        <f t="shared" si="55"/>
        <v/>
      </c>
      <c r="CB35" s="508" t="str">
        <f t="shared" si="56"/>
        <v/>
      </c>
      <c r="CC35" s="508" t="str">
        <f t="shared" si="57"/>
        <v/>
      </c>
      <c r="CD35" s="508" t="str">
        <f t="shared" si="58"/>
        <v/>
      </c>
      <c r="CE35" s="508" t="str">
        <f t="shared" si="59"/>
        <v/>
      </c>
      <c r="CF35" s="508" t="str">
        <f t="shared" si="60"/>
        <v/>
      </c>
      <c r="CG35" s="508" t="str">
        <f t="shared" si="61"/>
        <v/>
      </c>
      <c r="CH35" s="508" t="str">
        <f t="shared" si="62"/>
        <v/>
      </c>
      <c r="CI35" s="508" t="str">
        <f t="shared" si="63"/>
        <v/>
      </c>
      <c r="CJ35" s="508" t="str">
        <f t="shared" si="64"/>
        <v/>
      </c>
      <c r="CK35" s="508" t="str">
        <f t="shared" si="65"/>
        <v/>
      </c>
      <c r="CL35" s="508" t="str">
        <f t="shared" si="66"/>
        <v/>
      </c>
      <c r="CM35" s="508" t="str">
        <f t="shared" si="67"/>
        <v/>
      </c>
      <c r="CN35" s="508" t="str">
        <f t="shared" si="68"/>
        <v/>
      </c>
      <c r="CO35" s="508" t="str">
        <f t="shared" si="69"/>
        <v/>
      </c>
      <c r="CP35" s="508" t="str">
        <f t="shared" si="70"/>
        <v/>
      </c>
      <c r="CQ35" s="508" t="str">
        <f t="shared" si="71"/>
        <v/>
      </c>
      <c r="CR35" s="508" t="str">
        <f t="shared" si="72"/>
        <v/>
      </c>
      <c r="CS35" s="508" t="str">
        <f t="shared" si="73"/>
        <v/>
      </c>
      <c r="CT35" s="508" t="str">
        <f t="shared" si="74"/>
        <v/>
      </c>
      <c r="CU35" s="508" t="str">
        <f t="shared" si="75"/>
        <v/>
      </c>
      <c r="CV35" s="508" t="str">
        <f t="shared" si="76"/>
        <v/>
      </c>
      <c r="CW35" s="508" t="str">
        <f t="shared" si="77"/>
        <v/>
      </c>
      <c r="CX35" s="508" t="str">
        <f t="shared" si="78"/>
        <v/>
      </c>
      <c r="CY35" s="508" t="str">
        <f t="shared" si="79"/>
        <v/>
      </c>
      <c r="CZ35" s="508" t="str">
        <f t="shared" si="80"/>
        <v/>
      </c>
      <c r="DA35" s="508" t="str">
        <f t="shared" si="81"/>
        <v/>
      </c>
      <c r="DB35" s="508" t="str">
        <f t="shared" si="82"/>
        <v/>
      </c>
      <c r="DC35" s="508" t="str">
        <f t="shared" si="83"/>
        <v/>
      </c>
      <c r="DD35" s="508" t="str">
        <f t="shared" si="84"/>
        <v/>
      </c>
      <c r="DE35" s="508" t="str">
        <f t="shared" si="85"/>
        <v/>
      </c>
      <c r="DF35" s="508" t="str">
        <f t="shared" si="86"/>
        <v/>
      </c>
      <c r="DG35" s="508" t="str">
        <f t="shared" si="87"/>
        <v/>
      </c>
      <c r="DH35" s="508" t="str">
        <f t="shared" si="88"/>
        <v/>
      </c>
      <c r="DI35" s="508" t="str">
        <f t="shared" si="89"/>
        <v/>
      </c>
      <c r="DJ35" s="508" t="str">
        <f t="shared" si="90"/>
        <v/>
      </c>
      <c r="DK35" s="508" t="str">
        <f t="shared" si="91"/>
        <v/>
      </c>
      <c r="DL35" s="508" t="str">
        <f t="shared" si="92"/>
        <v/>
      </c>
      <c r="DM35" s="508" t="str">
        <f t="shared" si="93"/>
        <v/>
      </c>
      <c r="DN35" s="508" t="str">
        <f t="shared" si="94"/>
        <v/>
      </c>
      <c r="DO35" s="508" t="str">
        <f t="shared" si="95"/>
        <v/>
      </c>
      <c r="DP35" s="508" t="str">
        <f t="shared" si="96"/>
        <v/>
      </c>
      <c r="DQ35" s="508" t="str">
        <f t="shared" si="97"/>
        <v/>
      </c>
      <c r="DR35" s="508" t="str">
        <f t="shared" si="98"/>
        <v/>
      </c>
      <c r="DS35" s="508" t="str">
        <f t="shared" si="99"/>
        <v/>
      </c>
      <c r="DT35" s="508" t="str">
        <f t="shared" si="100"/>
        <v/>
      </c>
      <c r="DU35" s="508" t="str">
        <f t="shared" si="101"/>
        <v/>
      </c>
      <c r="DV35" s="508" t="str">
        <f t="shared" si="102"/>
        <v/>
      </c>
      <c r="DW35" s="508" t="str">
        <f t="shared" si="103"/>
        <v/>
      </c>
      <c r="DX35" s="508" t="str">
        <f t="shared" si="104"/>
        <v/>
      </c>
      <c r="DY35" s="508" t="str">
        <f t="shared" si="105"/>
        <v/>
      </c>
      <c r="DZ35" s="508" t="str">
        <f t="shared" si="106"/>
        <v/>
      </c>
      <c r="EA35" s="508" t="str">
        <f t="shared" si="107"/>
        <v/>
      </c>
      <c r="EB35" s="508" t="str">
        <f t="shared" si="108"/>
        <v/>
      </c>
      <c r="EC35" s="508" t="str">
        <f t="shared" si="109"/>
        <v/>
      </c>
      <c r="ED35" s="508" t="str">
        <f t="shared" si="110"/>
        <v/>
      </c>
      <c r="EE35" s="508" t="str">
        <f t="shared" si="111"/>
        <v/>
      </c>
      <c r="EF35" s="508" t="str">
        <f t="shared" si="112"/>
        <v/>
      </c>
      <c r="EG35" s="508" t="str">
        <f t="shared" si="113"/>
        <v/>
      </c>
      <c r="EH35" s="508" t="str">
        <f t="shared" si="114"/>
        <v/>
      </c>
      <c r="EI35" s="508" t="str">
        <f t="shared" si="115"/>
        <v/>
      </c>
      <c r="EJ35" s="508" t="str">
        <f t="shared" si="116"/>
        <v/>
      </c>
      <c r="EK35" s="508" t="str">
        <f t="shared" si="117"/>
        <v/>
      </c>
      <c r="EL35" s="508" t="str">
        <f t="shared" si="118"/>
        <v/>
      </c>
      <c r="EM35" s="508" t="str">
        <f t="shared" si="119"/>
        <v/>
      </c>
      <c r="EN35" s="508" t="str">
        <f t="shared" si="120"/>
        <v/>
      </c>
      <c r="EO35" s="508" t="str">
        <f t="shared" si="121"/>
        <v/>
      </c>
      <c r="EP35" s="508" t="str">
        <f t="shared" si="122"/>
        <v/>
      </c>
      <c r="EQ35" s="508" t="str">
        <f t="shared" si="123"/>
        <v/>
      </c>
      <c r="ER35" s="508" t="str">
        <f t="shared" si="124"/>
        <v/>
      </c>
      <c r="ES35" s="508" t="str">
        <f t="shared" si="125"/>
        <v/>
      </c>
      <c r="ET35" s="508" t="str">
        <f t="shared" si="126"/>
        <v/>
      </c>
      <c r="EU35" s="508" t="str">
        <f t="shared" si="127"/>
        <v/>
      </c>
      <c r="EV35" s="518" t="str">
        <f t="shared" si="128"/>
        <v/>
      </c>
      <c r="EW35" s="518" t="str">
        <f t="shared" si="129"/>
        <v/>
      </c>
      <c r="EX35" s="518" t="str">
        <f t="shared" si="130"/>
        <v/>
      </c>
      <c r="EY35" s="518" t="str">
        <f t="shared" si="131"/>
        <v/>
      </c>
      <c r="EZ35" s="518" t="str">
        <f t="shared" si="132"/>
        <v/>
      </c>
      <c r="FA35" s="518" t="str">
        <f t="shared" si="133"/>
        <v/>
      </c>
      <c r="FB35" s="518" t="str">
        <f t="shared" si="134"/>
        <v/>
      </c>
      <c r="FC35" s="518" t="str">
        <f t="shared" si="135"/>
        <v/>
      </c>
      <c r="FD35" s="518" t="str">
        <f t="shared" si="136"/>
        <v/>
      </c>
      <c r="FE35" s="518" t="str">
        <f t="shared" si="137"/>
        <v/>
      </c>
      <c r="FF35" s="518" t="str">
        <f t="shared" si="138"/>
        <v/>
      </c>
      <c r="FG35" s="518" t="str">
        <f t="shared" si="139"/>
        <v/>
      </c>
      <c r="FH35" s="518" t="str">
        <f t="shared" si="140"/>
        <v/>
      </c>
      <c r="FI35" s="518" t="str">
        <f t="shared" si="141"/>
        <v/>
      </c>
      <c r="FJ35" s="518" t="str">
        <f t="shared" si="142"/>
        <v/>
      </c>
      <c r="FK35" s="518" t="str">
        <f t="shared" si="143"/>
        <v/>
      </c>
      <c r="FL35" s="518" t="str">
        <f t="shared" si="144"/>
        <v/>
      </c>
      <c r="FM35" s="518" t="str">
        <f t="shared" si="145"/>
        <v/>
      </c>
      <c r="FN35" s="518" t="str">
        <f t="shared" si="146"/>
        <v/>
      </c>
      <c r="FO35" s="518" t="str">
        <f t="shared" si="147"/>
        <v/>
      </c>
      <c r="FP35" s="518" t="str">
        <f t="shared" si="148"/>
        <v/>
      </c>
      <c r="FQ35" s="518" t="str">
        <f t="shared" si="149"/>
        <v/>
      </c>
      <c r="FR35" s="518" t="str">
        <f t="shared" si="150"/>
        <v/>
      </c>
      <c r="FS35" s="518" t="str">
        <f t="shared" si="151"/>
        <v/>
      </c>
      <c r="FT35" s="518" t="str">
        <f t="shared" si="152"/>
        <v/>
      </c>
      <c r="FU35" s="518" t="str">
        <f t="shared" si="153"/>
        <v/>
      </c>
      <c r="FV35" s="518" t="str">
        <f t="shared" si="154"/>
        <v/>
      </c>
      <c r="FW35" s="518" t="str">
        <f t="shared" si="155"/>
        <v/>
      </c>
      <c r="FX35" s="518" t="str">
        <f t="shared" si="156"/>
        <v/>
      </c>
      <c r="FY35" s="518" t="str">
        <f t="shared" si="157"/>
        <v/>
      </c>
      <c r="FZ35" s="518" t="str">
        <f t="shared" si="158"/>
        <v/>
      </c>
      <c r="GA35" s="518" t="str">
        <f t="shared" si="159"/>
        <v/>
      </c>
      <c r="GB35" s="518" t="str">
        <f t="shared" si="160"/>
        <v/>
      </c>
      <c r="GC35" s="518" t="str">
        <f t="shared" si="161"/>
        <v/>
      </c>
      <c r="GD35" s="518" t="str">
        <f t="shared" si="162"/>
        <v/>
      </c>
      <c r="GE35" s="518" t="str">
        <f t="shared" si="163"/>
        <v/>
      </c>
      <c r="GF35" s="518" t="str">
        <f t="shared" si="164"/>
        <v/>
      </c>
      <c r="GG35" s="518" t="str">
        <f t="shared" si="165"/>
        <v/>
      </c>
      <c r="GH35" s="518" t="str">
        <f t="shared" si="166"/>
        <v/>
      </c>
      <c r="GI35" s="518" t="str">
        <f t="shared" si="167"/>
        <v/>
      </c>
      <c r="GJ35" s="518" t="str">
        <f t="shared" si="168"/>
        <v/>
      </c>
      <c r="GK35" s="518" t="str">
        <f t="shared" si="169"/>
        <v/>
      </c>
      <c r="GL35" s="518" t="str">
        <f t="shared" si="170"/>
        <v/>
      </c>
      <c r="GM35" s="518" t="str">
        <f t="shared" si="171"/>
        <v/>
      </c>
      <c r="GN35" s="518" t="str">
        <f t="shared" si="172"/>
        <v/>
      </c>
      <c r="GO35" s="518" t="str">
        <f t="shared" si="173"/>
        <v/>
      </c>
      <c r="GP35" s="518" t="str">
        <f t="shared" si="174"/>
        <v/>
      </c>
      <c r="GQ35" s="518" t="str">
        <f t="shared" si="175"/>
        <v/>
      </c>
      <c r="GR35" s="518" t="str">
        <f t="shared" si="176"/>
        <v/>
      </c>
      <c r="GS35" s="518" t="str">
        <f t="shared" si="177"/>
        <v/>
      </c>
      <c r="GT35" s="518" t="str">
        <f t="shared" si="178"/>
        <v/>
      </c>
      <c r="GU35" s="518" t="str">
        <f t="shared" si="179"/>
        <v/>
      </c>
      <c r="GV35" s="518" t="str">
        <f t="shared" si="180"/>
        <v/>
      </c>
      <c r="GW35" s="518" t="str">
        <f t="shared" si="181"/>
        <v/>
      </c>
      <c r="GX35" s="518" t="str">
        <f t="shared" si="182"/>
        <v/>
      </c>
      <c r="GY35" s="518" t="str">
        <f t="shared" si="183"/>
        <v/>
      </c>
      <c r="GZ35" s="518" t="str">
        <f t="shared" si="184"/>
        <v/>
      </c>
      <c r="HA35" s="518" t="str">
        <f t="shared" si="185"/>
        <v/>
      </c>
      <c r="HB35" s="518" t="str">
        <f t="shared" si="186"/>
        <v/>
      </c>
      <c r="HC35" s="518" t="str">
        <f t="shared" si="187"/>
        <v/>
      </c>
      <c r="HD35" s="518" t="str">
        <f t="shared" si="188"/>
        <v/>
      </c>
      <c r="HE35" s="518" t="str">
        <f t="shared" si="189"/>
        <v/>
      </c>
      <c r="HF35" s="518" t="str">
        <f t="shared" si="190"/>
        <v/>
      </c>
      <c r="HG35" s="518" t="str">
        <f t="shared" si="191"/>
        <v/>
      </c>
      <c r="HH35" s="518" t="str">
        <f t="shared" si="192"/>
        <v/>
      </c>
      <c r="HI35" s="518" t="str">
        <f t="shared" si="193"/>
        <v/>
      </c>
      <c r="HJ35" s="518" t="str">
        <f t="shared" si="194"/>
        <v/>
      </c>
      <c r="HK35" s="518" t="str">
        <f t="shared" si="195"/>
        <v/>
      </c>
      <c r="HL35" s="518" t="str">
        <f t="shared" si="196"/>
        <v/>
      </c>
      <c r="HM35" s="518" t="str">
        <f t="shared" si="197"/>
        <v/>
      </c>
      <c r="HN35" s="518" t="str">
        <f t="shared" si="198"/>
        <v/>
      </c>
      <c r="HO35" s="518" t="str">
        <f t="shared" si="199"/>
        <v/>
      </c>
      <c r="HP35" s="518" t="str">
        <f t="shared" si="200"/>
        <v/>
      </c>
      <c r="HQ35" s="518" t="str">
        <f t="shared" si="201"/>
        <v/>
      </c>
      <c r="HR35" s="518" t="str">
        <f t="shared" si="202"/>
        <v/>
      </c>
      <c r="HS35" s="518" t="str">
        <f t="shared" si="203"/>
        <v/>
      </c>
      <c r="HT35" s="518" t="str">
        <f t="shared" si="204"/>
        <v/>
      </c>
      <c r="HU35" s="518" t="str">
        <f t="shared" si="205"/>
        <v/>
      </c>
      <c r="HV35" s="518" t="str">
        <f t="shared" si="206"/>
        <v/>
      </c>
      <c r="HW35" s="518" t="str">
        <f t="shared" si="207"/>
        <v/>
      </c>
      <c r="HX35" s="518" t="str">
        <f t="shared" si="208"/>
        <v/>
      </c>
      <c r="HY35" s="518" t="str">
        <f t="shared" si="209"/>
        <v/>
      </c>
      <c r="HZ35" s="518" t="str">
        <f t="shared" si="210"/>
        <v/>
      </c>
      <c r="IA35" s="518" t="str">
        <f t="shared" si="211"/>
        <v/>
      </c>
      <c r="IB35" s="518" t="str">
        <f t="shared" si="212"/>
        <v/>
      </c>
      <c r="IC35" s="519" t="str">
        <f t="shared" si="213"/>
        <v/>
      </c>
      <c r="ID35" s="519" t="str">
        <f t="shared" si="214"/>
        <v/>
      </c>
      <c r="IE35" s="519" t="str">
        <f t="shared" si="215"/>
        <v/>
      </c>
      <c r="IF35" s="519" t="str">
        <f t="shared" si="216"/>
        <v/>
      </c>
      <c r="IG35" s="519" t="str">
        <f t="shared" si="217"/>
        <v/>
      </c>
      <c r="IH35" s="508" t="str">
        <f t="shared" si="218"/>
        <v/>
      </c>
      <c r="II35" s="508" t="str">
        <f t="shared" si="219"/>
        <v/>
      </c>
      <c r="IJ35" s="508" t="str">
        <f t="shared" si="220"/>
        <v/>
      </c>
      <c r="IK35" s="508" t="str">
        <f t="shared" si="221"/>
        <v/>
      </c>
      <c r="IL35" s="508" t="str">
        <f t="shared" si="222"/>
        <v/>
      </c>
      <c r="IM35" s="508" t="str">
        <f t="shared" si="223"/>
        <v/>
      </c>
      <c r="IN35" s="508" t="str">
        <f t="shared" si="224"/>
        <v/>
      </c>
      <c r="IO35" s="508" t="str">
        <f t="shared" si="225"/>
        <v/>
      </c>
      <c r="IP35" s="508" t="str">
        <f t="shared" si="226"/>
        <v/>
      </c>
      <c r="IQ35" s="508" t="str">
        <f t="shared" si="227"/>
        <v/>
      </c>
      <c r="IR35" s="508" t="str">
        <f t="shared" si="228"/>
        <v/>
      </c>
      <c r="IS35" s="508" t="str">
        <f t="shared" si="229"/>
        <v/>
      </c>
      <c r="IT35" s="508" t="str">
        <f t="shared" si="230"/>
        <v/>
      </c>
      <c r="IU35" s="508" t="str">
        <f t="shared" si="231"/>
        <v/>
      </c>
      <c r="IV35" s="508" t="str">
        <f t="shared" si="232"/>
        <v/>
      </c>
      <c r="IW35" s="508" t="str">
        <f t="shared" si="233"/>
        <v/>
      </c>
      <c r="IX35" s="508" t="str">
        <f t="shared" si="234"/>
        <v/>
      </c>
      <c r="IY35" s="508" t="str">
        <f t="shared" si="235"/>
        <v/>
      </c>
      <c r="IZ35" s="508" t="str">
        <f t="shared" si="236"/>
        <v/>
      </c>
      <c r="JA35" s="508" t="str">
        <f t="shared" si="237"/>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67" t="s">
        <v>1859</v>
      </c>
      <c r="C36" s="2368"/>
      <c r="D36" s="2369"/>
      <c r="E36" s="2370"/>
      <c r="F36" s="2370"/>
      <c r="G36" s="2370"/>
      <c r="H36" s="2370"/>
      <c r="I36" s="2370"/>
      <c r="J36" s="2371"/>
      <c r="K36" s="861">
        <f t="shared" si="1"/>
        <v>0</v>
      </c>
      <c r="L36" s="861">
        <f t="shared" si="2"/>
        <v>0</v>
      </c>
      <c r="M36" s="2372"/>
      <c r="N36" s="2372"/>
      <c r="O36" s="2372"/>
      <c r="P36" s="2372"/>
      <c r="Q36" s="472" t="str">
        <f>IF(H36="","",P36/($O$6*VLOOKUP(C36,'DCA Underwriting Assumptions'!$J$118:$K$123,2,FALSE)))</f>
        <v/>
      </c>
      <c r="R36" s="547"/>
      <c r="S36" s="472"/>
      <c r="T36" s="2306"/>
      <c r="U36" s="2307"/>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238"/>
        <v/>
      </c>
      <c r="BU36" s="508" t="str">
        <f t="shared" si="239"/>
        <v/>
      </c>
      <c r="BV36" s="508" t="str">
        <f t="shared" si="240"/>
        <v/>
      </c>
      <c r="BW36" s="508" t="str">
        <f t="shared" si="241"/>
        <v/>
      </c>
      <c r="BX36" s="508" t="str">
        <f t="shared" si="242"/>
        <v/>
      </c>
      <c r="BY36" s="508" t="str">
        <f t="shared" si="53"/>
        <v/>
      </c>
      <c r="BZ36" s="508" t="str">
        <f t="shared" si="54"/>
        <v/>
      </c>
      <c r="CA36" s="508" t="str">
        <f t="shared" si="55"/>
        <v/>
      </c>
      <c r="CB36" s="508" t="str">
        <f t="shared" si="56"/>
        <v/>
      </c>
      <c r="CC36" s="508" t="str">
        <f t="shared" si="57"/>
        <v/>
      </c>
      <c r="CD36" s="508" t="str">
        <f t="shared" si="58"/>
        <v/>
      </c>
      <c r="CE36" s="508" t="str">
        <f t="shared" si="59"/>
        <v/>
      </c>
      <c r="CF36" s="508" t="str">
        <f t="shared" si="60"/>
        <v/>
      </c>
      <c r="CG36" s="508" t="str">
        <f t="shared" si="61"/>
        <v/>
      </c>
      <c r="CH36" s="508" t="str">
        <f t="shared" si="62"/>
        <v/>
      </c>
      <c r="CI36" s="508" t="str">
        <f t="shared" si="63"/>
        <v/>
      </c>
      <c r="CJ36" s="508" t="str">
        <f t="shared" si="64"/>
        <v/>
      </c>
      <c r="CK36" s="508" t="str">
        <f t="shared" si="65"/>
        <v/>
      </c>
      <c r="CL36" s="508" t="str">
        <f t="shared" si="66"/>
        <v/>
      </c>
      <c r="CM36" s="508" t="str">
        <f t="shared" si="67"/>
        <v/>
      </c>
      <c r="CN36" s="508" t="str">
        <f t="shared" si="68"/>
        <v/>
      </c>
      <c r="CO36" s="508" t="str">
        <f t="shared" si="69"/>
        <v/>
      </c>
      <c r="CP36" s="508" t="str">
        <f t="shared" si="70"/>
        <v/>
      </c>
      <c r="CQ36" s="508" t="str">
        <f t="shared" si="71"/>
        <v/>
      </c>
      <c r="CR36" s="508" t="str">
        <f t="shared" si="72"/>
        <v/>
      </c>
      <c r="CS36" s="508" t="str">
        <f t="shared" si="73"/>
        <v/>
      </c>
      <c r="CT36" s="508" t="str">
        <f t="shared" si="74"/>
        <v/>
      </c>
      <c r="CU36" s="508" t="str">
        <f t="shared" si="75"/>
        <v/>
      </c>
      <c r="CV36" s="508" t="str">
        <f t="shared" si="76"/>
        <v/>
      </c>
      <c r="CW36" s="508" t="str">
        <f t="shared" si="77"/>
        <v/>
      </c>
      <c r="CX36" s="508" t="str">
        <f t="shared" si="78"/>
        <v/>
      </c>
      <c r="CY36" s="508" t="str">
        <f t="shared" si="79"/>
        <v/>
      </c>
      <c r="CZ36" s="508" t="str">
        <f t="shared" si="80"/>
        <v/>
      </c>
      <c r="DA36" s="508" t="str">
        <f t="shared" si="81"/>
        <v/>
      </c>
      <c r="DB36" s="508" t="str">
        <f t="shared" si="82"/>
        <v/>
      </c>
      <c r="DC36" s="508" t="str">
        <f t="shared" si="83"/>
        <v/>
      </c>
      <c r="DD36" s="508" t="str">
        <f t="shared" si="84"/>
        <v/>
      </c>
      <c r="DE36" s="508" t="str">
        <f t="shared" si="85"/>
        <v/>
      </c>
      <c r="DF36" s="508" t="str">
        <f t="shared" si="86"/>
        <v/>
      </c>
      <c r="DG36" s="508" t="str">
        <f t="shared" si="87"/>
        <v/>
      </c>
      <c r="DH36" s="508" t="str">
        <f t="shared" si="88"/>
        <v/>
      </c>
      <c r="DI36" s="508" t="str">
        <f t="shared" si="89"/>
        <v/>
      </c>
      <c r="DJ36" s="508" t="str">
        <f t="shared" si="90"/>
        <v/>
      </c>
      <c r="DK36" s="508" t="str">
        <f t="shared" si="91"/>
        <v/>
      </c>
      <c r="DL36" s="508" t="str">
        <f t="shared" si="92"/>
        <v/>
      </c>
      <c r="DM36" s="508" t="str">
        <f t="shared" si="93"/>
        <v/>
      </c>
      <c r="DN36" s="508" t="str">
        <f t="shared" si="94"/>
        <v/>
      </c>
      <c r="DO36" s="508" t="str">
        <f t="shared" si="95"/>
        <v/>
      </c>
      <c r="DP36" s="508" t="str">
        <f t="shared" si="96"/>
        <v/>
      </c>
      <c r="DQ36" s="508" t="str">
        <f t="shared" si="97"/>
        <v/>
      </c>
      <c r="DR36" s="508" t="str">
        <f t="shared" si="98"/>
        <v/>
      </c>
      <c r="DS36" s="508" t="str">
        <f t="shared" si="99"/>
        <v/>
      </c>
      <c r="DT36" s="508" t="str">
        <f t="shared" si="100"/>
        <v/>
      </c>
      <c r="DU36" s="508" t="str">
        <f t="shared" si="101"/>
        <v/>
      </c>
      <c r="DV36" s="508" t="str">
        <f t="shared" si="102"/>
        <v/>
      </c>
      <c r="DW36" s="508" t="str">
        <f t="shared" si="103"/>
        <v/>
      </c>
      <c r="DX36" s="508" t="str">
        <f t="shared" si="104"/>
        <v/>
      </c>
      <c r="DY36" s="508" t="str">
        <f t="shared" si="105"/>
        <v/>
      </c>
      <c r="DZ36" s="508" t="str">
        <f t="shared" si="106"/>
        <v/>
      </c>
      <c r="EA36" s="508" t="str">
        <f t="shared" si="107"/>
        <v/>
      </c>
      <c r="EB36" s="508" t="str">
        <f t="shared" si="108"/>
        <v/>
      </c>
      <c r="EC36" s="508" t="str">
        <f t="shared" si="109"/>
        <v/>
      </c>
      <c r="ED36" s="508" t="str">
        <f t="shared" si="110"/>
        <v/>
      </c>
      <c r="EE36" s="508" t="str">
        <f t="shared" si="111"/>
        <v/>
      </c>
      <c r="EF36" s="508" t="str">
        <f t="shared" si="112"/>
        <v/>
      </c>
      <c r="EG36" s="508" t="str">
        <f t="shared" si="113"/>
        <v/>
      </c>
      <c r="EH36" s="508" t="str">
        <f t="shared" si="114"/>
        <v/>
      </c>
      <c r="EI36" s="508" t="str">
        <f t="shared" si="115"/>
        <v/>
      </c>
      <c r="EJ36" s="508" t="str">
        <f t="shared" si="116"/>
        <v/>
      </c>
      <c r="EK36" s="508" t="str">
        <f t="shared" si="117"/>
        <v/>
      </c>
      <c r="EL36" s="508" t="str">
        <f t="shared" si="118"/>
        <v/>
      </c>
      <c r="EM36" s="508" t="str">
        <f t="shared" si="119"/>
        <v/>
      </c>
      <c r="EN36" s="508" t="str">
        <f t="shared" si="120"/>
        <v/>
      </c>
      <c r="EO36" s="508" t="str">
        <f t="shared" si="121"/>
        <v/>
      </c>
      <c r="EP36" s="508" t="str">
        <f t="shared" si="122"/>
        <v/>
      </c>
      <c r="EQ36" s="508" t="str">
        <f t="shared" si="123"/>
        <v/>
      </c>
      <c r="ER36" s="508" t="str">
        <f t="shared" si="124"/>
        <v/>
      </c>
      <c r="ES36" s="508" t="str">
        <f t="shared" si="125"/>
        <v/>
      </c>
      <c r="ET36" s="508" t="str">
        <f t="shared" si="126"/>
        <v/>
      </c>
      <c r="EU36" s="508" t="str">
        <f t="shared" si="127"/>
        <v/>
      </c>
      <c r="EV36" s="518" t="str">
        <f t="shared" si="128"/>
        <v/>
      </c>
      <c r="EW36" s="518" t="str">
        <f t="shared" si="129"/>
        <v/>
      </c>
      <c r="EX36" s="518" t="str">
        <f t="shared" si="130"/>
        <v/>
      </c>
      <c r="EY36" s="518" t="str">
        <f t="shared" si="131"/>
        <v/>
      </c>
      <c r="EZ36" s="518" t="str">
        <f t="shared" si="132"/>
        <v/>
      </c>
      <c r="FA36" s="518" t="str">
        <f t="shared" si="133"/>
        <v/>
      </c>
      <c r="FB36" s="518" t="str">
        <f t="shared" si="134"/>
        <v/>
      </c>
      <c r="FC36" s="518" t="str">
        <f t="shared" si="135"/>
        <v/>
      </c>
      <c r="FD36" s="518" t="str">
        <f t="shared" si="136"/>
        <v/>
      </c>
      <c r="FE36" s="518" t="str">
        <f t="shared" si="137"/>
        <v/>
      </c>
      <c r="FF36" s="518" t="str">
        <f t="shared" si="138"/>
        <v/>
      </c>
      <c r="FG36" s="518" t="str">
        <f t="shared" si="139"/>
        <v/>
      </c>
      <c r="FH36" s="518" t="str">
        <f t="shared" si="140"/>
        <v/>
      </c>
      <c r="FI36" s="518" t="str">
        <f t="shared" si="141"/>
        <v/>
      </c>
      <c r="FJ36" s="518" t="str">
        <f t="shared" si="142"/>
        <v/>
      </c>
      <c r="FK36" s="518" t="str">
        <f t="shared" si="143"/>
        <v/>
      </c>
      <c r="FL36" s="518" t="str">
        <f t="shared" si="144"/>
        <v/>
      </c>
      <c r="FM36" s="518" t="str">
        <f t="shared" si="145"/>
        <v/>
      </c>
      <c r="FN36" s="518" t="str">
        <f t="shared" si="146"/>
        <v/>
      </c>
      <c r="FO36" s="518" t="str">
        <f t="shared" si="147"/>
        <v/>
      </c>
      <c r="FP36" s="518" t="str">
        <f t="shared" si="148"/>
        <v/>
      </c>
      <c r="FQ36" s="518" t="str">
        <f t="shared" si="149"/>
        <v/>
      </c>
      <c r="FR36" s="518" t="str">
        <f t="shared" si="150"/>
        <v/>
      </c>
      <c r="FS36" s="518" t="str">
        <f t="shared" si="151"/>
        <v/>
      </c>
      <c r="FT36" s="518" t="str">
        <f t="shared" si="152"/>
        <v/>
      </c>
      <c r="FU36" s="518" t="str">
        <f t="shared" si="153"/>
        <v/>
      </c>
      <c r="FV36" s="518" t="str">
        <f t="shared" si="154"/>
        <v/>
      </c>
      <c r="FW36" s="518" t="str">
        <f t="shared" si="155"/>
        <v/>
      </c>
      <c r="FX36" s="518" t="str">
        <f t="shared" si="156"/>
        <v/>
      </c>
      <c r="FY36" s="518" t="str">
        <f t="shared" si="157"/>
        <v/>
      </c>
      <c r="FZ36" s="518" t="str">
        <f t="shared" si="158"/>
        <v/>
      </c>
      <c r="GA36" s="518" t="str">
        <f t="shared" si="159"/>
        <v/>
      </c>
      <c r="GB36" s="518" t="str">
        <f t="shared" si="160"/>
        <v/>
      </c>
      <c r="GC36" s="518" t="str">
        <f t="shared" si="161"/>
        <v/>
      </c>
      <c r="GD36" s="518" t="str">
        <f t="shared" si="162"/>
        <v/>
      </c>
      <c r="GE36" s="518" t="str">
        <f t="shared" si="163"/>
        <v/>
      </c>
      <c r="GF36" s="518" t="str">
        <f t="shared" si="164"/>
        <v/>
      </c>
      <c r="GG36" s="518" t="str">
        <f t="shared" si="165"/>
        <v/>
      </c>
      <c r="GH36" s="518" t="str">
        <f t="shared" si="166"/>
        <v/>
      </c>
      <c r="GI36" s="518" t="str">
        <f t="shared" si="167"/>
        <v/>
      </c>
      <c r="GJ36" s="518" t="str">
        <f t="shared" si="168"/>
        <v/>
      </c>
      <c r="GK36" s="518" t="str">
        <f t="shared" si="169"/>
        <v/>
      </c>
      <c r="GL36" s="518" t="str">
        <f t="shared" si="170"/>
        <v/>
      </c>
      <c r="GM36" s="518" t="str">
        <f t="shared" si="171"/>
        <v/>
      </c>
      <c r="GN36" s="518" t="str">
        <f t="shared" si="172"/>
        <v/>
      </c>
      <c r="GO36" s="518" t="str">
        <f t="shared" si="173"/>
        <v/>
      </c>
      <c r="GP36" s="518" t="str">
        <f t="shared" si="174"/>
        <v/>
      </c>
      <c r="GQ36" s="518" t="str">
        <f t="shared" si="175"/>
        <v/>
      </c>
      <c r="GR36" s="518" t="str">
        <f t="shared" si="176"/>
        <v/>
      </c>
      <c r="GS36" s="518" t="str">
        <f t="shared" si="177"/>
        <v/>
      </c>
      <c r="GT36" s="518" t="str">
        <f t="shared" si="178"/>
        <v/>
      </c>
      <c r="GU36" s="518" t="str">
        <f t="shared" si="179"/>
        <v/>
      </c>
      <c r="GV36" s="518" t="str">
        <f t="shared" si="180"/>
        <v/>
      </c>
      <c r="GW36" s="518" t="str">
        <f t="shared" si="181"/>
        <v/>
      </c>
      <c r="GX36" s="518" t="str">
        <f t="shared" si="182"/>
        <v/>
      </c>
      <c r="GY36" s="518" t="str">
        <f t="shared" si="183"/>
        <v/>
      </c>
      <c r="GZ36" s="518" t="str">
        <f t="shared" si="184"/>
        <v/>
      </c>
      <c r="HA36" s="518" t="str">
        <f t="shared" si="185"/>
        <v/>
      </c>
      <c r="HB36" s="518" t="str">
        <f t="shared" si="186"/>
        <v/>
      </c>
      <c r="HC36" s="518" t="str">
        <f t="shared" si="187"/>
        <v/>
      </c>
      <c r="HD36" s="518" t="str">
        <f t="shared" si="188"/>
        <v/>
      </c>
      <c r="HE36" s="518" t="str">
        <f t="shared" si="189"/>
        <v/>
      </c>
      <c r="HF36" s="518" t="str">
        <f t="shared" si="190"/>
        <v/>
      </c>
      <c r="HG36" s="518" t="str">
        <f t="shared" si="191"/>
        <v/>
      </c>
      <c r="HH36" s="518" t="str">
        <f t="shared" si="192"/>
        <v/>
      </c>
      <c r="HI36" s="518" t="str">
        <f t="shared" si="193"/>
        <v/>
      </c>
      <c r="HJ36" s="518" t="str">
        <f t="shared" si="194"/>
        <v/>
      </c>
      <c r="HK36" s="518" t="str">
        <f t="shared" si="195"/>
        <v/>
      </c>
      <c r="HL36" s="518" t="str">
        <f t="shared" si="196"/>
        <v/>
      </c>
      <c r="HM36" s="518" t="str">
        <f t="shared" si="197"/>
        <v/>
      </c>
      <c r="HN36" s="518" t="str">
        <f t="shared" si="198"/>
        <v/>
      </c>
      <c r="HO36" s="518" t="str">
        <f t="shared" si="199"/>
        <v/>
      </c>
      <c r="HP36" s="518" t="str">
        <f t="shared" si="200"/>
        <v/>
      </c>
      <c r="HQ36" s="518" t="str">
        <f t="shared" si="201"/>
        <v/>
      </c>
      <c r="HR36" s="518" t="str">
        <f t="shared" si="202"/>
        <v/>
      </c>
      <c r="HS36" s="518" t="str">
        <f t="shared" si="203"/>
        <v/>
      </c>
      <c r="HT36" s="518" t="str">
        <f t="shared" si="204"/>
        <v/>
      </c>
      <c r="HU36" s="518" t="str">
        <f t="shared" si="205"/>
        <v/>
      </c>
      <c r="HV36" s="518" t="str">
        <f t="shared" si="206"/>
        <v/>
      </c>
      <c r="HW36" s="518" t="str">
        <f t="shared" si="207"/>
        <v/>
      </c>
      <c r="HX36" s="518" t="str">
        <f t="shared" si="208"/>
        <v/>
      </c>
      <c r="HY36" s="518" t="str">
        <f t="shared" si="209"/>
        <v/>
      </c>
      <c r="HZ36" s="518" t="str">
        <f t="shared" si="210"/>
        <v/>
      </c>
      <c r="IA36" s="518" t="str">
        <f t="shared" si="211"/>
        <v/>
      </c>
      <c r="IB36" s="518" t="str">
        <f t="shared" si="212"/>
        <v/>
      </c>
      <c r="IC36" s="519" t="str">
        <f t="shared" si="213"/>
        <v/>
      </c>
      <c r="ID36" s="519" t="str">
        <f t="shared" si="214"/>
        <v/>
      </c>
      <c r="IE36" s="519" t="str">
        <f t="shared" si="215"/>
        <v/>
      </c>
      <c r="IF36" s="519" t="str">
        <f t="shared" si="216"/>
        <v/>
      </c>
      <c r="IG36" s="519" t="str">
        <f t="shared" si="217"/>
        <v/>
      </c>
      <c r="IH36" s="508" t="str">
        <f t="shared" si="218"/>
        <v/>
      </c>
      <c r="II36" s="508" t="str">
        <f t="shared" si="219"/>
        <v/>
      </c>
      <c r="IJ36" s="508" t="str">
        <f t="shared" si="220"/>
        <v/>
      </c>
      <c r="IK36" s="508" t="str">
        <f t="shared" si="221"/>
        <v/>
      </c>
      <c r="IL36" s="508" t="str">
        <f t="shared" si="222"/>
        <v/>
      </c>
      <c r="IM36" s="508" t="str">
        <f t="shared" si="223"/>
        <v/>
      </c>
      <c r="IN36" s="508" t="str">
        <f t="shared" si="224"/>
        <v/>
      </c>
      <c r="IO36" s="508" t="str">
        <f t="shared" si="225"/>
        <v/>
      </c>
      <c r="IP36" s="508" t="str">
        <f t="shared" si="226"/>
        <v/>
      </c>
      <c r="IQ36" s="508" t="str">
        <f t="shared" si="227"/>
        <v/>
      </c>
      <c r="IR36" s="508" t="str">
        <f t="shared" si="228"/>
        <v/>
      </c>
      <c r="IS36" s="508" t="str">
        <f t="shared" si="229"/>
        <v/>
      </c>
      <c r="IT36" s="508" t="str">
        <f t="shared" si="230"/>
        <v/>
      </c>
      <c r="IU36" s="508" t="str">
        <f t="shared" si="231"/>
        <v/>
      </c>
      <c r="IV36" s="508" t="str">
        <f t="shared" si="232"/>
        <v/>
      </c>
      <c r="IW36" s="508" t="str">
        <f t="shared" si="233"/>
        <v/>
      </c>
      <c r="IX36" s="508" t="str">
        <f t="shared" si="234"/>
        <v/>
      </c>
      <c r="IY36" s="508" t="str">
        <f t="shared" si="235"/>
        <v/>
      </c>
      <c r="IZ36" s="508" t="str">
        <f t="shared" si="236"/>
        <v/>
      </c>
      <c r="JA36" s="508" t="str">
        <f t="shared" si="237"/>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67" t="s">
        <v>1859</v>
      </c>
      <c r="C37" s="2368"/>
      <c r="D37" s="2369"/>
      <c r="E37" s="2370"/>
      <c r="F37" s="2370"/>
      <c r="G37" s="2370"/>
      <c r="H37" s="2370"/>
      <c r="I37" s="2370"/>
      <c r="J37" s="2371"/>
      <c r="K37" s="861">
        <f t="shared" si="1"/>
        <v>0</v>
      </c>
      <c r="L37" s="861">
        <f t="shared" si="2"/>
        <v>0</v>
      </c>
      <c r="M37" s="2372"/>
      <c r="N37" s="2372"/>
      <c r="O37" s="2372"/>
      <c r="P37" s="2372"/>
      <c r="Q37" s="472" t="str">
        <f>IF(H37="","",P37/($O$6*VLOOKUP(C37,'DCA Underwriting Assumptions'!$J$118:$K$123,2,FALSE)))</f>
        <v/>
      </c>
      <c r="R37" s="547"/>
      <c r="S37" s="472"/>
      <c r="T37" s="2306"/>
      <c r="U37" s="2307"/>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238"/>
        <v/>
      </c>
      <c r="BU37" s="508" t="str">
        <f t="shared" si="239"/>
        <v/>
      </c>
      <c r="BV37" s="508" t="str">
        <f t="shared" si="240"/>
        <v/>
      </c>
      <c r="BW37" s="508" t="str">
        <f t="shared" si="241"/>
        <v/>
      </c>
      <c r="BX37" s="508" t="str">
        <f t="shared" si="242"/>
        <v/>
      </c>
      <c r="BY37" s="508" t="str">
        <f t="shared" si="53"/>
        <v/>
      </c>
      <c r="BZ37" s="508" t="str">
        <f t="shared" si="54"/>
        <v/>
      </c>
      <c r="CA37" s="508" t="str">
        <f t="shared" si="55"/>
        <v/>
      </c>
      <c r="CB37" s="508" t="str">
        <f t="shared" si="56"/>
        <v/>
      </c>
      <c r="CC37" s="508" t="str">
        <f t="shared" si="57"/>
        <v/>
      </c>
      <c r="CD37" s="508" t="str">
        <f t="shared" si="58"/>
        <v/>
      </c>
      <c r="CE37" s="508" t="str">
        <f t="shared" si="59"/>
        <v/>
      </c>
      <c r="CF37" s="508" t="str">
        <f t="shared" si="60"/>
        <v/>
      </c>
      <c r="CG37" s="508" t="str">
        <f t="shared" si="61"/>
        <v/>
      </c>
      <c r="CH37" s="508" t="str">
        <f t="shared" si="62"/>
        <v/>
      </c>
      <c r="CI37" s="508" t="str">
        <f t="shared" si="63"/>
        <v/>
      </c>
      <c r="CJ37" s="508" t="str">
        <f t="shared" si="64"/>
        <v/>
      </c>
      <c r="CK37" s="508" t="str">
        <f t="shared" si="65"/>
        <v/>
      </c>
      <c r="CL37" s="508" t="str">
        <f t="shared" si="66"/>
        <v/>
      </c>
      <c r="CM37" s="508" t="str">
        <f t="shared" si="67"/>
        <v/>
      </c>
      <c r="CN37" s="508" t="str">
        <f t="shared" si="68"/>
        <v/>
      </c>
      <c r="CO37" s="508" t="str">
        <f t="shared" si="69"/>
        <v/>
      </c>
      <c r="CP37" s="508" t="str">
        <f t="shared" si="70"/>
        <v/>
      </c>
      <c r="CQ37" s="508" t="str">
        <f t="shared" si="71"/>
        <v/>
      </c>
      <c r="CR37" s="508" t="str">
        <f t="shared" si="72"/>
        <v/>
      </c>
      <c r="CS37" s="508" t="str">
        <f t="shared" si="73"/>
        <v/>
      </c>
      <c r="CT37" s="508" t="str">
        <f t="shared" si="74"/>
        <v/>
      </c>
      <c r="CU37" s="508" t="str">
        <f t="shared" si="75"/>
        <v/>
      </c>
      <c r="CV37" s="508" t="str">
        <f t="shared" si="76"/>
        <v/>
      </c>
      <c r="CW37" s="508" t="str">
        <f t="shared" si="77"/>
        <v/>
      </c>
      <c r="CX37" s="508" t="str">
        <f t="shared" si="78"/>
        <v/>
      </c>
      <c r="CY37" s="508" t="str">
        <f t="shared" si="79"/>
        <v/>
      </c>
      <c r="CZ37" s="508" t="str">
        <f t="shared" si="80"/>
        <v/>
      </c>
      <c r="DA37" s="508" t="str">
        <f t="shared" si="81"/>
        <v/>
      </c>
      <c r="DB37" s="508" t="str">
        <f t="shared" si="82"/>
        <v/>
      </c>
      <c r="DC37" s="508" t="str">
        <f t="shared" si="83"/>
        <v/>
      </c>
      <c r="DD37" s="508" t="str">
        <f t="shared" si="84"/>
        <v/>
      </c>
      <c r="DE37" s="508" t="str">
        <f t="shared" si="85"/>
        <v/>
      </c>
      <c r="DF37" s="508" t="str">
        <f t="shared" si="86"/>
        <v/>
      </c>
      <c r="DG37" s="508" t="str">
        <f t="shared" si="87"/>
        <v/>
      </c>
      <c r="DH37" s="508" t="str">
        <f t="shared" si="88"/>
        <v/>
      </c>
      <c r="DI37" s="508" t="str">
        <f t="shared" si="89"/>
        <v/>
      </c>
      <c r="DJ37" s="508" t="str">
        <f t="shared" si="90"/>
        <v/>
      </c>
      <c r="DK37" s="508" t="str">
        <f t="shared" si="91"/>
        <v/>
      </c>
      <c r="DL37" s="508" t="str">
        <f t="shared" si="92"/>
        <v/>
      </c>
      <c r="DM37" s="508" t="str">
        <f t="shared" si="93"/>
        <v/>
      </c>
      <c r="DN37" s="508" t="str">
        <f t="shared" si="94"/>
        <v/>
      </c>
      <c r="DO37" s="508" t="str">
        <f t="shared" si="95"/>
        <v/>
      </c>
      <c r="DP37" s="508" t="str">
        <f t="shared" si="96"/>
        <v/>
      </c>
      <c r="DQ37" s="508" t="str">
        <f t="shared" si="97"/>
        <v/>
      </c>
      <c r="DR37" s="508" t="str">
        <f t="shared" si="98"/>
        <v/>
      </c>
      <c r="DS37" s="508" t="str">
        <f t="shared" si="99"/>
        <v/>
      </c>
      <c r="DT37" s="508" t="str">
        <f t="shared" si="100"/>
        <v/>
      </c>
      <c r="DU37" s="508" t="str">
        <f t="shared" si="101"/>
        <v/>
      </c>
      <c r="DV37" s="508" t="str">
        <f t="shared" si="102"/>
        <v/>
      </c>
      <c r="DW37" s="508" t="str">
        <f t="shared" si="103"/>
        <v/>
      </c>
      <c r="DX37" s="508" t="str">
        <f t="shared" si="104"/>
        <v/>
      </c>
      <c r="DY37" s="508" t="str">
        <f t="shared" si="105"/>
        <v/>
      </c>
      <c r="DZ37" s="508" t="str">
        <f t="shared" si="106"/>
        <v/>
      </c>
      <c r="EA37" s="508" t="str">
        <f t="shared" si="107"/>
        <v/>
      </c>
      <c r="EB37" s="508" t="str">
        <f t="shared" si="108"/>
        <v/>
      </c>
      <c r="EC37" s="508" t="str">
        <f t="shared" si="109"/>
        <v/>
      </c>
      <c r="ED37" s="508" t="str">
        <f t="shared" si="110"/>
        <v/>
      </c>
      <c r="EE37" s="508" t="str">
        <f t="shared" si="111"/>
        <v/>
      </c>
      <c r="EF37" s="508" t="str">
        <f t="shared" si="112"/>
        <v/>
      </c>
      <c r="EG37" s="508" t="str">
        <f t="shared" si="113"/>
        <v/>
      </c>
      <c r="EH37" s="508" t="str">
        <f t="shared" si="114"/>
        <v/>
      </c>
      <c r="EI37" s="508" t="str">
        <f t="shared" si="115"/>
        <v/>
      </c>
      <c r="EJ37" s="508" t="str">
        <f t="shared" si="116"/>
        <v/>
      </c>
      <c r="EK37" s="508" t="str">
        <f t="shared" si="117"/>
        <v/>
      </c>
      <c r="EL37" s="508" t="str">
        <f t="shared" si="118"/>
        <v/>
      </c>
      <c r="EM37" s="508" t="str">
        <f t="shared" si="119"/>
        <v/>
      </c>
      <c r="EN37" s="508" t="str">
        <f t="shared" si="120"/>
        <v/>
      </c>
      <c r="EO37" s="508" t="str">
        <f t="shared" si="121"/>
        <v/>
      </c>
      <c r="EP37" s="508" t="str">
        <f t="shared" si="122"/>
        <v/>
      </c>
      <c r="EQ37" s="508" t="str">
        <f t="shared" si="123"/>
        <v/>
      </c>
      <c r="ER37" s="508" t="str">
        <f t="shared" si="124"/>
        <v/>
      </c>
      <c r="ES37" s="508" t="str">
        <f t="shared" si="125"/>
        <v/>
      </c>
      <c r="ET37" s="508" t="str">
        <f t="shared" si="126"/>
        <v/>
      </c>
      <c r="EU37" s="508" t="str">
        <f t="shared" si="127"/>
        <v/>
      </c>
      <c r="EV37" s="518" t="str">
        <f t="shared" si="128"/>
        <v/>
      </c>
      <c r="EW37" s="518" t="str">
        <f t="shared" si="129"/>
        <v/>
      </c>
      <c r="EX37" s="518" t="str">
        <f t="shared" si="130"/>
        <v/>
      </c>
      <c r="EY37" s="518" t="str">
        <f t="shared" si="131"/>
        <v/>
      </c>
      <c r="EZ37" s="518" t="str">
        <f t="shared" si="132"/>
        <v/>
      </c>
      <c r="FA37" s="518" t="str">
        <f t="shared" si="133"/>
        <v/>
      </c>
      <c r="FB37" s="518" t="str">
        <f t="shared" si="134"/>
        <v/>
      </c>
      <c r="FC37" s="518" t="str">
        <f t="shared" si="135"/>
        <v/>
      </c>
      <c r="FD37" s="518" t="str">
        <f t="shared" si="136"/>
        <v/>
      </c>
      <c r="FE37" s="518" t="str">
        <f t="shared" si="137"/>
        <v/>
      </c>
      <c r="FF37" s="518" t="str">
        <f t="shared" si="138"/>
        <v/>
      </c>
      <c r="FG37" s="518" t="str">
        <f t="shared" si="139"/>
        <v/>
      </c>
      <c r="FH37" s="518" t="str">
        <f t="shared" si="140"/>
        <v/>
      </c>
      <c r="FI37" s="518" t="str">
        <f t="shared" si="141"/>
        <v/>
      </c>
      <c r="FJ37" s="518" t="str">
        <f t="shared" si="142"/>
        <v/>
      </c>
      <c r="FK37" s="518" t="str">
        <f t="shared" si="143"/>
        <v/>
      </c>
      <c r="FL37" s="518" t="str">
        <f t="shared" si="144"/>
        <v/>
      </c>
      <c r="FM37" s="518" t="str">
        <f t="shared" si="145"/>
        <v/>
      </c>
      <c r="FN37" s="518" t="str">
        <f t="shared" si="146"/>
        <v/>
      </c>
      <c r="FO37" s="518" t="str">
        <f t="shared" si="147"/>
        <v/>
      </c>
      <c r="FP37" s="518" t="str">
        <f t="shared" si="148"/>
        <v/>
      </c>
      <c r="FQ37" s="518" t="str">
        <f t="shared" si="149"/>
        <v/>
      </c>
      <c r="FR37" s="518" t="str">
        <f t="shared" si="150"/>
        <v/>
      </c>
      <c r="FS37" s="518" t="str">
        <f t="shared" si="151"/>
        <v/>
      </c>
      <c r="FT37" s="518" t="str">
        <f t="shared" si="152"/>
        <v/>
      </c>
      <c r="FU37" s="518" t="str">
        <f t="shared" si="153"/>
        <v/>
      </c>
      <c r="FV37" s="518" t="str">
        <f t="shared" si="154"/>
        <v/>
      </c>
      <c r="FW37" s="518" t="str">
        <f t="shared" si="155"/>
        <v/>
      </c>
      <c r="FX37" s="518" t="str">
        <f t="shared" si="156"/>
        <v/>
      </c>
      <c r="FY37" s="518" t="str">
        <f t="shared" si="157"/>
        <v/>
      </c>
      <c r="FZ37" s="518" t="str">
        <f t="shared" si="158"/>
        <v/>
      </c>
      <c r="GA37" s="518" t="str">
        <f t="shared" si="159"/>
        <v/>
      </c>
      <c r="GB37" s="518" t="str">
        <f t="shared" si="160"/>
        <v/>
      </c>
      <c r="GC37" s="518" t="str">
        <f t="shared" si="161"/>
        <v/>
      </c>
      <c r="GD37" s="518" t="str">
        <f t="shared" si="162"/>
        <v/>
      </c>
      <c r="GE37" s="518" t="str">
        <f t="shared" si="163"/>
        <v/>
      </c>
      <c r="GF37" s="518" t="str">
        <f t="shared" si="164"/>
        <v/>
      </c>
      <c r="GG37" s="518" t="str">
        <f t="shared" si="165"/>
        <v/>
      </c>
      <c r="GH37" s="518" t="str">
        <f t="shared" si="166"/>
        <v/>
      </c>
      <c r="GI37" s="518" t="str">
        <f t="shared" si="167"/>
        <v/>
      </c>
      <c r="GJ37" s="518" t="str">
        <f t="shared" si="168"/>
        <v/>
      </c>
      <c r="GK37" s="518" t="str">
        <f t="shared" si="169"/>
        <v/>
      </c>
      <c r="GL37" s="518" t="str">
        <f t="shared" si="170"/>
        <v/>
      </c>
      <c r="GM37" s="518" t="str">
        <f t="shared" si="171"/>
        <v/>
      </c>
      <c r="GN37" s="518" t="str">
        <f t="shared" si="172"/>
        <v/>
      </c>
      <c r="GO37" s="518" t="str">
        <f t="shared" si="173"/>
        <v/>
      </c>
      <c r="GP37" s="518" t="str">
        <f t="shared" si="174"/>
        <v/>
      </c>
      <c r="GQ37" s="518" t="str">
        <f t="shared" si="175"/>
        <v/>
      </c>
      <c r="GR37" s="518" t="str">
        <f t="shared" si="176"/>
        <v/>
      </c>
      <c r="GS37" s="518" t="str">
        <f t="shared" si="177"/>
        <v/>
      </c>
      <c r="GT37" s="518" t="str">
        <f t="shared" si="178"/>
        <v/>
      </c>
      <c r="GU37" s="518" t="str">
        <f t="shared" si="179"/>
        <v/>
      </c>
      <c r="GV37" s="518" t="str">
        <f t="shared" si="180"/>
        <v/>
      </c>
      <c r="GW37" s="518" t="str">
        <f t="shared" si="181"/>
        <v/>
      </c>
      <c r="GX37" s="518" t="str">
        <f t="shared" si="182"/>
        <v/>
      </c>
      <c r="GY37" s="518" t="str">
        <f t="shared" si="183"/>
        <v/>
      </c>
      <c r="GZ37" s="518" t="str">
        <f t="shared" si="184"/>
        <v/>
      </c>
      <c r="HA37" s="518" t="str">
        <f t="shared" si="185"/>
        <v/>
      </c>
      <c r="HB37" s="518" t="str">
        <f t="shared" si="186"/>
        <v/>
      </c>
      <c r="HC37" s="518" t="str">
        <f t="shared" si="187"/>
        <v/>
      </c>
      <c r="HD37" s="518" t="str">
        <f t="shared" si="188"/>
        <v/>
      </c>
      <c r="HE37" s="518" t="str">
        <f t="shared" si="189"/>
        <v/>
      </c>
      <c r="HF37" s="518" t="str">
        <f t="shared" si="190"/>
        <v/>
      </c>
      <c r="HG37" s="518" t="str">
        <f t="shared" si="191"/>
        <v/>
      </c>
      <c r="HH37" s="518" t="str">
        <f t="shared" si="192"/>
        <v/>
      </c>
      <c r="HI37" s="518" t="str">
        <f t="shared" si="193"/>
        <v/>
      </c>
      <c r="HJ37" s="518" t="str">
        <f t="shared" si="194"/>
        <v/>
      </c>
      <c r="HK37" s="518" t="str">
        <f t="shared" si="195"/>
        <v/>
      </c>
      <c r="HL37" s="518" t="str">
        <f t="shared" si="196"/>
        <v/>
      </c>
      <c r="HM37" s="518" t="str">
        <f t="shared" si="197"/>
        <v/>
      </c>
      <c r="HN37" s="518" t="str">
        <f t="shared" si="198"/>
        <v/>
      </c>
      <c r="HO37" s="518" t="str">
        <f t="shared" si="199"/>
        <v/>
      </c>
      <c r="HP37" s="518" t="str">
        <f t="shared" si="200"/>
        <v/>
      </c>
      <c r="HQ37" s="518" t="str">
        <f t="shared" si="201"/>
        <v/>
      </c>
      <c r="HR37" s="518" t="str">
        <f t="shared" si="202"/>
        <v/>
      </c>
      <c r="HS37" s="518" t="str">
        <f t="shared" si="203"/>
        <v/>
      </c>
      <c r="HT37" s="518" t="str">
        <f t="shared" si="204"/>
        <v/>
      </c>
      <c r="HU37" s="518" t="str">
        <f t="shared" si="205"/>
        <v/>
      </c>
      <c r="HV37" s="518" t="str">
        <f t="shared" si="206"/>
        <v/>
      </c>
      <c r="HW37" s="518" t="str">
        <f t="shared" si="207"/>
        <v/>
      </c>
      <c r="HX37" s="518" t="str">
        <f t="shared" si="208"/>
        <v/>
      </c>
      <c r="HY37" s="518" t="str">
        <f t="shared" si="209"/>
        <v/>
      </c>
      <c r="HZ37" s="518" t="str">
        <f t="shared" si="210"/>
        <v/>
      </c>
      <c r="IA37" s="518" t="str">
        <f t="shared" si="211"/>
        <v/>
      </c>
      <c r="IB37" s="518" t="str">
        <f t="shared" si="212"/>
        <v/>
      </c>
      <c r="IC37" s="519" t="str">
        <f t="shared" si="213"/>
        <v/>
      </c>
      <c r="ID37" s="519" t="str">
        <f t="shared" si="214"/>
        <v/>
      </c>
      <c r="IE37" s="519" t="str">
        <f t="shared" si="215"/>
        <v/>
      </c>
      <c r="IF37" s="519" t="str">
        <f t="shared" si="216"/>
        <v/>
      </c>
      <c r="IG37" s="519" t="str">
        <f t="shared" si="217"/>
        <v/>
      </c>
      <c r="IH37" s="508" t="str">
        <f t="shared" si="218"/>
        <v/>
      </c>
      <c r="II37" s="508" t="str">
        <f t="shared" si="219"/>
        <v/>
      </c>
      <c r="IJ37" s="508" t="str">
        <f t="shared" si="220"/>
        <v/>
      </c>
      <c r="IK37" s="508" t="str">
        <f t="shared" si="221"/>
        <v/>
      </c>
      <c r="IL37" s="508" t="str">
        <f t="shared" si="222"/>
        <v/>
      </c>
      <c r="IM37" s="508" t="str">
        <f t="shared" si="223"/>
        <v/>
      </c>
      <c r="IN37" s="508" t="str">
        <f t="shared" si="224"/>
        <v/>
      </c>
      <c r="IO37" s="508" t="str">
        <f t="shared" si="225"/>
        <v/>
      </c>
      <c r="IP37" s="508" t="str">
        <f t="shared" si="226"/>
        <v/>
      </c>
      <c r="IQ37" s="508" t="str">
        <f t="shared" si="227"/>
        <v/>
      </c>
      <c r="IR37" s="508" t="str">
        <f t="shared" si="228"/>
        <v/>
      </c>
      <c r="IS37" s="508" t="str">
        <f t="shared" si="229"/>
        <v/>
      </c>
      <c r="IT37" s="508" t="str">
        <f t="shared" si="230"/>
        <v/>
      </c>
      <c r="IU37" s="508" t="str">
        <f t="shared" si="231"/>
        <v/>
      </c>
      <c r="IV37" s="508" t="str">
        <f t="shared" si="232"/>
        <v/>
      </c>
      <c r="IW37" s="508" t="str">
        <f t="shared" si="233"/>
        <v/>
      </c>
      <c r="IX37" s="508" t="str">
        <f t="shared" si="234"/>
        <v/>
      </c>
      <c r="IY37" s="508" t="str">
        <f t="shared" si="235"/>
        <v/>
      </c>
      <c r="IZ37" s="508" t="str">
        <f t="shared" si="236"/>
        <v/>
      </c>
      <c r="JA37" s="508" t="str">
        <f t="shared" si="237"/>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67" t="s">
        <v>1859</v>
      </c>
      <c r="C38" s="2368"/>
      <c r="D38" s="2369"/>
      <c r="E38" s="2370"/>
      <c r="F38" s="2370"/>
      <c r="G38" s="2370"/>
      <c r="H38" s="2370"/>
      <c r="I38" s="2370"/>
      <c r="J38" s="2371"/>
      <c r="K38" s="861">
        <f t="shared" si="1"/>
        <v>0</v>
      </c>
      <c r="L38" s="861">
        <f t="shared" si="2"/>
        <v>0</v>
      </c>
      <c r="M38" s="2372"/>
      <c r="N38" s="2372"/>
      <c r="O38" s="2372"/>
      <c r="P38" s="2372"/>
      <c r="Q38" s="472" t="str">
        <f>IF(H38="","",P38/($O$6*VLOOKUP(C38,'DCA Underwriting Assumptions'!$J$118:$K$123,2,FALSE)))</f>
        <v/>
      </c>
      <c r="R38" s="547"/>
      <c r="S38" s="472"/>
      <c r="T38" s="2306"/>
      <c r="U38" s="2307"/>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238"/>
        <v/>
      </c>
      <c r="BU38" s="508" t="str">
        <f t="shared" si="239"/>
        <v/>
      </c>
      <c r="BV38" s="508" t="str">
        <f t="shared" si="240"/>
        <v/>
      </c>
      <c r="BW38" s="508" t="str">
        <f t="shared" si="241"/>
        <v/>
      </c>
      <c r="BX38" s="508" t="str">
        <f t="shared" si="242"/>
        <v/>
      </c>
      <c r="BY38" s="508" t="str">
        <f t="shared" si="53"/>
        <v/>
      </c>
      <c r="BZ38" s="508" t="str">
        <f t="shared" si="54"/>
        <v/>
      </c>
      <c r="CA38" s="508" t="str">
        <f t="shared" si="55"/>
        <v/>
      </c>
      <c r="CB38" s="508" t="str">
        <f t="shared" si="56"/>
        <v/>
      </c>
      <c r="CC38" s="508" t="str">
        <f t="shared" si="57"/>
        <v/>
      </c>
      <c r="CD38" s="508" t="str">
        <f t="shared" si="58"/>
        <v/>
      </c>
      <c r="CE38" s="508" t="str">
        <f t="shared" si="59"/>
        <v/>
      </c>
      <c r="CF38" s="508" t="str">
        <f t="shared" si="60"/>
        <v/>
      </c>
      <c r="CG38" s="508" t="str">
        <f t="shared" si="61"/>
        <v/>
      </c>
      <c r="CH38" s="508" t="str">
        <f t="shared" si="62"/>
        <v/>
      </c>
      <c r="CI38" s="508" t="str">
        <f t="shared" si="63"/>
        <v/>
      </c>
      <c r="CJ38" s="508" t="str">
        <f t="shared" si="64"/>
        <v/>
      </c>
      <c r="CK38" s="508" t="str">
        <f t="shared" si="65"/>
        <v/>
      </c>
      <c r="CL38" s="508" t="str">
        <f t="shared" si="66"/>
        <v/>
      </c>
      <c r="CM38" s="508" t="str">
        <f t="shared" si="67"/>
        <v/>
      </c>
      <c r="CN38" s="508" t="str">
        <f t="shared" si="68"/>
        <v/>
      </c>
      <c r="CO38" s="508" t="str">
        <f t="shared" si="69"/>
        <v/>
      </c>
      <c r="CP38" s="508" t="str">
        <f t="shared" si="70"/>
        <v/>
      </c>
      <c r="CQ38" s="508" t="str">
        <f t="shared" si="71"/>
        <v/>
      </c>
      <c r="CR38" s="508" t="str">
        <f t="shared" si="72"/>
        <v/>
      </c>
      <c r="CS38" s="508" t="str">
        <f t="shared" si="73"/>
        <v/>
      </c>
      <c r="CT38" s="508" t="str">
        <f t="shared" si="74"/>
        <v/>
      </c>
      <c r="CU38" s="508" t="str">
        <f t="shared" si="75"/>
        <v/>
      </c>
      <c r="CV38" s="508" t="str">
        <f t="shared" si="76"/>
        <v/>
      </c>
      <c r="CW38" s="508" t="str">
        <f t="shared" si="77"/>
        <v/>
      </c>
      <c r="CX38" s="508" t="str">
        <f t="shared" si="78"/>
        <v/>
      </c>
      <c r="CY38" s="508" t="str">
        <f t="shared" si="79"/>
        <v/>
      </c>
      <c r="CZ38" s="508" t="str">
        <f t="shared" si="80"/>
        <v/>
      </c>
      <c r="DA38" s="508" t="str">
        <f t="shared" si="81"/>
        <v/>
      </c>
      <c r="DB38" s="508" t="str">
        <f t="shared" si="82"/>
        <v/>
      </c>
      <c r="DC38" s="508" t="str">
        <f t="shared" si="83"/>
        <v/>
      </c>
      <c r="DD38" s="508" t="str">
        <f t="shared" si="84"/>
        <v/>
      </c>
      <c r="DE38" s="508" t="str">
        <f t="shared" si="85"/>
        <v/>
      </c>
      <c r="DF38" s="508" t="str">
        <f t="shared" si="86"/>
        <v/>
      </c>
      <c r="DG38" s="508" t="str">
        <f t="shared" si="87"/>
        <v/>
      </c>
      <c r="DH38" s="508" t="str">
        <f t="shared" si="88"/>
        <v/>
      </c>
      <c r="DI38" s="508" t="str">
        <f t="shared" si="89"/>
        <v/>
      </c>
      <c r="DJ38" s="508" t="str">
        <f t="shared" si="90"/>
        <v/>
      </c>
      <c r="DK38" s="508" t="str">
        <f t="shared" si="91"/>
        <v/>
      </c>
      <c r="DL38" s="508" t="str">
        <f t="shared" si="92"/>
        <v/>
      </c>
      <c r="DM38" s="508" t="str">
        <f t="shared" si="93"/>
        <v/>
      </c>
      <c r="DN38" s="508" t="str">
        <f t="shared" si="94"/>
        <v/>
      </c>
      <c r="DO38" s="508" t="str">
        <f t="shared" si="95"/>
        <v/>
      </c>
      <c r="DP38" s="508" t="str">
        <f t="shared" si="96"/>
        <v/>
      </c>
      <c r="DQ38" s="508" t="str">
        <f t="shared" si="97"/>
        <v/>
      </c>
      <c r="DR38" s="508" t="str">
        <f t="shared" si="98"/>
        <v/>
      </c>
      <c r="DS38" s="508" t="str">
        <f t="shared" si="99"/>
        <v/>
      </c>
      <c r="DT38" s="508" t="str">
        <f t="shared" si="100"/>
        <v/>
      </c>
      <c r="DU38" s="508" t="str">
        <f t="shared" si="101"/>
        <v/>
      </c>
      <c r="DV38" s="508" t="str">
        <f t="shared" si="102"/>
        <v/>
      </c>
      <c r="DW38" s="508" t="str">
        <f t="shared" si="103"/>
        <v/>
      </c>
      <c r="DX38" s="508" t="str">
        <f t="shared" si="104"/>
        <v/>
      </c>
      <c r="DY38" s="508" t="str">
        <f t="shared" si="105"/>
        <v/>
      </c>
      <c r="DZ38" s="508" t="str">
        <f t="shared" si="106"/>
        <v/>
      </c>
      <c r="EA38" s="508" t="str">
        <f t="shared" si="107"/>
        <v/>
      </c>
      <c r="EB38" s="508" t="str">
        <f t="shared" si="108"/>
        <v/>
      </c>
      <c r="EC38" s="508" t="str">
        <f t="shared" si="109"/>
        <v/>
      </c>
      <c r="ED38" s="508" t="str">
        <f t="shared" si="110"/>
        <v/>
      </c>
      <c r="EE38" s="508" t="str">
        <f t="shared" si="111"/>
        <v/>
      </c>
      <c r="EF38" s="508" t="str">
        <f t="shared" si="112"/>
        <v/>
      </c>
      <c r="EG38" s="508" t="str">
        <f t="shared" si="113"/>
        <v/>
      </c>
      <c r="EH38" s="508" t="str">
        <f t="shared" si="114"/>
        <v/>
      </c>
      <c r="EI38" s="508" t="str">
        <f t="shared" si="115"/>
        <v/>
      </c>
      <c r="EJ38" s="508" t="str">
        <f t="shared" si="116"/>
        <v/>
      </c>
      <c r="EK38" s="508" t="str">
        <f t="shared" si="117"/>
        <v/>
      </c>
      <c r="EL38" s="508" t="str">
        <f t="shared" si="118"/>
        <v/>
      </c>
      <c r="EM38" s="508" t="str">
        <f t="shared" si="119"/>
        <v/>
      </c>
      <c r="EN38" s="508" t="str">
        <f t="shared" si="120"/>
        <v/>
      </c>
      <c r="EO38" s="508" t="str">
        <f t="shared" si="121"/>
        <v/>
      </c>
      <c r="EP38" s="508" t="str">
        <f t="shared" si="122"/>
        <v/>
      </c>
      <c r="EQ38" s="508" t="str">
        <f t="shared" si="123"/>
        <v/>
      </c>
      <c r="ER38" s="508" t="str">
        <f t="shared" si="124"/>
        <v/>
      </c>
      <c r="ES38" s="508" t="str">
        <f t="shared" si="125"/>
        <v/>
      </c>
      <c r="ET38" s="508" t="str">
        <f t="shared" si="126"/>
        <v/>
      </c>
      <c r="EU38" s="508" t="str">
        <f t="shared" si="127"/>
        <v/>
      </c>
      <c r="EV38" s="518" t="str">
        <f t="shared" si="128"/>
        <v/>
      </c>
      <c r="EW38" s="518" t="str">
        <f t="shared" si="129"/>
        <v/>
      </c>
      <c r="EX38" s="518" t="str">
        <f t="shared" si="130"/>
        <v/>
      </c>
      <c r="EY38" s="518" t="str">
        <f t="shared" si="131"/>
        <v/>
      </c>
      <c r="EZ38" s="518" t="str">
        <f t="shared" si="132"/>
        <v/>
      </c>
      <c r="FA38" s="518" t="str">
        <f t="shared" si="133"/>
        <v/>
      </c>
      <c r="FB38" s="518" t="str">
        <f t="shared" si="134"/>
        <v/>
      </c>
      <c r="FC38" s="518" t="str">
        <f t="shared" si="135"/>
        <v/>
      </c>
      <c r="FD38" s="518" t="str">
        <f t="shared" si="136"/>
        <v/>
      </c>
      <c r="FE38" s="518" t="str">
        <f t="shared" si="137"/>
        <v/>
      </c>
      <c r="FF38" s="518" t="str">
        <f t="shared" si="138"/>
        <v/>
      </c>
      <c r="FG38" s="518" t="str">
        <f t="shared" si="139"/>
        <v/>
      </c>
      <c r="FH38" s="518" t="str">
        <f t="shared" si="140"/>
        <v/>
      </c>
      <c r="FI38" s="518" t="str">
        <f t="shared" si="141"/>
        <v/>
      </c>
      <c r="FJ38" s="518" t="str">
        <f t="shared" si="142"/>
        <v/>
      </c>
      <c r="FK38" s="518" t="str">
        <f t="shared" si="143"/>
        <v/>
      </c>
      <c r="FL38" s="518" t="str">
        <f t="shared" si="144"/>
        <v/>
      </c>
      <c r="FM38" s="518" t="str">
        <f t="shared" si="145"/>
        <v/>
      </c>
      <c r="FN38" s="518" t="str">
        <f t="shared" si="146"/>
        <v/>
      </c>
      <c r="FO38" s="518" t="str">
        <f t="shared" si="147"/>
        <v/>
      </c>
      <c r="FP38" s="518" t="str">
        <f t="shared" si="148"/>
        <v/>
      </c>
      <c r="FQ38" s="518" t="str">
        <f t="shared" si="149"/>
        <v/>
      </c>
      <c r="FR38" s="518" t="str">
        <f t="shared" si="150"/>
        <v/>
      </c>
      <c r="FS38" s="518" t="str">
        <f t="shared" si="151"/>
        <v/>
      </c>
      <c r="FT38" s="518" t="str">
        <f t="shared" si="152"/>
        <v/>
      </c>
      <c r="FU38" s="518" t="str">
        <f t="shared" si="153"/>
        <v/>
      </c>
      <c r="FV38" s="518" t="str">
        <f t="shared" si="154"/>
        <v/>
      </c>
      <c r="FW38" s="518" t="str">
        <f t="shared" si="155"/>
        <v/>
      </c>
      <c r="FX38" s="518" t="str">
        <f t="shared" si="156"/>
        <v/>
      </c>
      <c r="FY38" s="518" t="str">
        <f t="shared" si="157"/>
        <v/>
      </c>
      <c r="FZ38" s="518" t="str">
        <f t="shared" si="158"/>
        <v/>
      </c>
      <c r="GA38" s="518" t="str">
        <f t="shared" si="159"/>
        <v/>
      </c>
      <c r="GB38" s="518" t="str">
        <f t="shared" si="160"/>
        <v/>
      </c>
      <c r="GC38" s="518" t="str">
        <f t="shared" si="161"/>
        <v/>
      </c>
      <c r="GD38" s="518" t="str">
        <f t="shared" si="162"/>
        <v/>
      </c>
      <c r="GE38" s="518" t="str">
        <f t="shared" si="163"/>
        <v/>
      </c>
      <c r="GF38" s="518" t="str">
        <f t="shared" si="164"/>
        <v/>
      </c>
      <c r="GG38" s="518" t="str">
        <f t="shared" si="165"/>
        <v/>
      </c>
      <c r="GH38" s="518" t="str">
        <f t="shared" si="166"/>
        <v/>
      </c>
      <c r="GI38" s="518" t="str">
        <f t="shared" si="167"/>
        <v/>
      </c>
      <c r="GJ38" s="518" t="str">
        <f t="shared" si="168"/>
        <v/>
      </c>
      <c r="GK38" s="518" t="str">
        <f t="shared" si="169"/>
        <v/>
      </c>
      <c r="GL38" s="518" t="str">
        <f t="shared" si="170"/>
        <v/>
      </c>
      <c r="GM38" s="518" t="str">
        <f t="shared" si="171"/>
        <v/>
      </c>
      <c r="GN38" s="518" t="str">
        <f t="shared" si="172"/>
        <v/>
      </c>
      <c r="GO38" s="518" t="str">
        <f t="shared" si="173"/>
        <v/>
      </c>
      <c r="GP38" s="518" t="str">
        <f t="shared" si="174"/>
        <v/>
      </c>
      <c r="GQ38" s="518" t="str">
        <f t="shared" si="175"/>
        <v/>
      </c>
      <c r="GR38" s="518" t="str">
        <f t="shared" si="176"/>
        <v/>
      </c>
      <c r="GS38" s="518" t="str">
        <f t="shared" si="177"/>
        <v/>
      </c>
      <c r="GT38" s="518" t="str">
        <f t="shared" si="178"/>
        <v/>
      </c>
      <c r="GU38" s="518" t="str">
        <f t="shared" si="179"/>
        <v/>
      </c>
      <c r="GV38" s="518" t="str">
        <f t="shared" si="180"/>
        <v/>
      </c>
      <c r="GW38" s="518" t="str">
        <f t="shared" si="181"/>
        <v/>
      </c>
      <c r="GX38" s="518" t="str">
        <f t="shared" si="182"/>
        <v/>
      </c>
      <c r="GY38" s="518" t="str">
        <f t="shared" si="183"/>
        <v/>
      </c>
      <c r="GZ38" s="518" t="str">
        <f t="shared" si="184"/>
        <v/>
      </c>
      <c r="HA38" s="518" t="str">
        <f t="shared" si="185"/>
        <v/>
      </c>
      <c r="HB38" s="518" t="str">
        <f t="shared" si="186"/>
        <v/>
      </c>
      <c r="HC38" s="518" t="str">
        <f t="shared" si="187"/>
        <v/>
      </c>
      <c r="HD38" s="518" t="str">
        <f t="shared" si="188"/>
        <v/>
      </c>
      <c r="HE38" s="518" t="str">
        <f t="shared" si="189"/>
        <v/>
      </c>
      <c r="HF38" s="518" t="str">
        <f t="shared" si="190"/>
        <v/>
      </c>
      <c r="HG38" s="518" t="str">
        <f t="shared" si="191"/>
        <v/>
      </c>
      <c r="HH38" s="518" t="str">
        <f t="shared" si="192"/>
        <v/>
      </c>
      <c r="HI38" s="518" t="str">
        <f t="shared" si="193"/>
        <v/>
      </c>
      <c r="HJ38" s="518" t="str">
        <f t="shared" si="194"/>
        <v/>
      </c>
      <c r="HK38" s="518" t="str">
        <f t="shared" si="195"/>
        <v/>
      </c>
      <c r="HL38" s="518" t="str">
        <f t="shared" si="196"/>
        <v/>
      </c>
      <c r="HM38" s="518" t="str">
        <f t="shared" si="197"/>
        <v/>
      </c>
      <c r="HN38" s="518" t="str">
        <f t="shared" si="198"/>
        <v/>
      </c>
      <c r="HO38" s="518" t="str">
        <f t="shared" si="199"/>
        <v/>
      </c>
      <c r="HP38" s="518" t="str">
        <f t="shared" si="200"/>
        <v/>
      </c>
      <c r="HQ38" s="518" t="str">
        <f t="shared" si="201"/>
        <v/>
      </c>
      <c r="HR38" s="518" t="str">
        <f t="shared" si="202"/>
        <v/>
      </c>
      <c r="HS38" s="518" t="str">
        <f t="shared" si="203"/>
        <v/>
      </c>
      <c r="HT38" s="518" t="str">
        <f t="shared" si="204"/>
        <v/>
      </c>
      <c r="HU38" s="518" t="str">
        <f t="shared" si="205"/>
        <v/>
      </c>
      <c r="HV38" s="518" t="str">
        <f t="shared" si="206"/>
        <v/>
      </c>
      <c r="HW38" s="518" t="str">
        <f t="shared" si="207"/>
        <v/>
      </c>
      <c r="HX38" s="518" t="str">
        <f t="shared" si="208"/>
        <v/>
      </c>
      <c r="HY38" s="518" t="str">
        <f t="shared" si="209"/>
        <v/>
      </c>
      <c r="HZ38" s="518" t="str">
        <f t="shared" si="210"/>
        <v/>
      </c>
      <c r="IA38" s="518" t="str">
        <f t="shared" si="211"/>
        <v/>
      </c>
      <c r="IB38" s="518" t="str">
        <f t="shared" si="212"/>
        <v/>
      </c>
      <c r="IC38" s="519" t="str">
        <f t="shared" si="213"/>
        <v/>
      </c>
      <c r="ID38" s="519" t="str">
        <f t="shared" si="214"/>
        <v/>
      </c>
      <c r="IE38" s="519" t="str">
        <f t="shared" si="215"/>
        <v/>
      </c>
      <c r="IF38" s="519" t="str">
        <f t="shared" si="216"/>
        <v/>
      </c>
      <c r="IG38" s="519" t="str">
        <f t="shared" si="217"/>
        <v/>
      </c>
      <c r="IH38" s="508" t="str">
        <f t="shared" si="218"/>
        <v/>
      </c>
      <c r="II38" s="508" t="str">
        <f t="shared" si="219"/>
        <v/>
      </c>
      <c r="IJ38" s="508" t="str">
        <f t="shared" si="220"/>
        <v/>
      </c>
      <c r="IK38" s="508" t="str">
        <f t="shared" si="221"/>
        <v/>
      </c>
      <c r="IL38" s="508" t="str">
        <f t="shared" si="222"/>
        <v/>
      </c>
      <c r="IM38" s="508" t="str">
        <f t="shared" si="223"/>
        <v/>
      </c>
      <c r="IN38" s="508" t="str">
        <f t="shared" si="224"/>
        <v/>
      </c>
      <c r="IO38" s="508" t="str">
        <f t="shared" si="225"/>
        <v/>
      </c>
      <c r="IP38" s="508" t="str">
        <f t="shared" si="226"/>
        <v/>
      </c>
      <c r="IQ38" s="508" t="str">
        <f t="shared" si="227"/>
        <v/>
      </c>
      <c r="IR38" s="508" t="str">
        <f t="shared" si="228"/>
        <v/>
      </c>
      <c r="IS38" s="508" t="str">
        <f t="shared" si="229"/>
        <v/>
      </c>
      <c r="IT38" s="508" t="str">
        <f t="shared" si="230"/>
        <v/>
      </c>
      <c r="IU38" s="508" t="str">
        <f t="shared" si="231"/>
        <v/>
      </c>
      <c r="IV38" s="508" t="str">
        <f t="shared" si="232"/>
        <v/>
      </c>
      <c r="IW38" s="508" t="str">
        <f t="shared" si="233"/>
        <v/>
      </c>
      <c r="IX38" s="508" t="str">
        <f t="shared" si="234"/>
        <v/>
      </c>
      <c r="IY38" s="508" t="str">
        <f t="shared" si="235"/>
        <v/>
      </c>
      <c r="IZ38" s="508" t="str">
        <f t="shared" si="236"/>
        <v/>
      </c>
      <c r="JA38" s="508" t="str">
        <f t="shared" si="237"/>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67" t="s">
        <v>1859</v>
      </c>
      <c r="C39" s="2368"/>
      <c r="D39" s="2369"/>
      <c r="E39" s="2370"/>
      <c r="F39" s="2370"/>
      <c r="G39" s="2370"/>
      <c r="H39" s="2370"/>
      <c r="I39" s="2370"/>
      <c r="J39" s="2371"/>
      <c r="K39" s="861">
        <f t="shared" si="1"/>
        <v>0</v>
      </c>
      <c r="L39" s="861">
        <f t="shared" si="2"/>
        <v>0</v>
      </c>
      <c r="M39" s="2372"/>
      <c r="N39" s="2372"/>
      <c r="O39" s="2372"/>
      <c r="P39" s="2372"/>
      <c r="Q39" s="472" t="str">
        <f>IF(H39="","",P39/($O$6*VLOOKUP(C39,'DCA Underwriting Assumptions'!$J$118:$K$123,2,FALSE)))</f>
        <v/>
      </c>
      <c r="R39" s="547"/>
      <c r="S39" s="472"/>
      <c r="T39" s="2306"/>
      <c r="U39" s="2307"/>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238"/>
        <v/>
      </c>
      <c r="BU39" s="508" t="str">
        <f t="shared" si="239"/>
        <v/>
      </c>
      <c r="BV39" s="508" t="str">
        <f t="shared" si="240"/>
        <v/>
      </c>
      <c r="BW39" s="508" t="str">
        <f t="shared" si="241"/>
        <v/>
      </c>
      <c r="BX39" s="508" t="str">
        <f t="shared" si="242"/>
        <v/>
      </c>
      <c r="BY39" s="508" t="str">
        <f t="shared" si="53"/>
        <v/>
      </c>
      <c r="BZ39" s="508" t="str">
        <f t="shared" si="54"/>
        <v/>
      </c>
      <c r="CA39" s="508" t="str">
        <f t="shared" si="55"/>
        <v/>
      </c>
      <c r="CB39" s="508" t="str">
        <f t="shared" si="56"/>
        <v/>
      </c>
      <c r="CC39" s="508" t="str">
        <f t="shared" si="57"/>
        <v/>
      </c>
      <c r="CD39" s="508" t="str">
        <f t="shared" si="58"/>
        <v/>
      </c>
      <c r="CE39" s="508" t="str">
        <f t="shared" si="59"/>
        <v/>
      </c>
      <c r="CF39" s="508" t="str">
        <f t="shared" si="60"/>
        <v/>
      </c>
      <c r="CG39" s="508" t="str">
        <f t="shared" si="61"/>
        <v/>
      </c>
      <c r="CH39" s="508" t="str">
        <f t="shared" si="62"/>
        <v/>
      </c>
      <c r="CI39" s="508" t="str">
        <f t="shared" si="63"/>
        <v/>
      </c>
      <c r="CJ39" s="508" t="str">
        <f t="shared" si="64"/>
        <v/>
      </c>
      <c r="CK39" s="508" t="str">
        <f t="shared" si="65"/>
        <v/>
      </c>
      <c r="CL39" s="508" t="str">
        <f t="shared" si="66"/>
        <v/>
      </c>
      <c r="CM39" s="508" t="str">
        <f t="shared" si="67"/>
        <v/>
      </c>
      <c r="CN39" s="508" t="str">
        <f t="shared" si="68"/>
        <v/>
      </c>
      <c r="CO39" s="508" t="str">
        <f t="shared" si="69"/>
        <v/>
      </c>
      <c r="CP39" s="508" t="str">
        <f t="shared" si="70"/>
        <v/>
      </c>
      <c r="CQ39" s="508" t="str">
        <f t="shared" si="71"/>
        <v/>
      </c>
      <c r="CR39" s="508" t="str">
        <f t="shared" si="72"/>
        <v/>
      </c>
      <c r="CS39" s="508" t="str">
        <f t="shared" si="73"/>
        <v/>
      </c>
      <c r="CT39" s="508" t="str">
        <f t="shared" si="74"/>
        <v/>
      </c>
      <c r="CU39" s="508" t="str">
        <f t="shared" si="75"/>
        <v/>
      </c>
      <c r="CV39" s="508" t="str">
        <f t="shared" si="76"/>
        <v/>
      </c>
      <c r="CW39" s="508" t="str">
        <f t="shared" si="77"/>
        <v/>
      </c>
      <c r="CX39" s="508" t="str">
        <f t="shared" si="78"/>
        <v/>
      </c>
      <c r="CY39" s="508" t="str">
        <f t="shared" si="79"/>
        <v/>
      </c>
      <c r="CZ39" s="508" t="str">
        <f t="shared" si="80"/>
        <v/>
      </c>
      <c r="DA39" s="508" t="str">
        <f t="shared" si="81"/>
        <v/>
      </c>
      <c r="DB39" s="508" t="str">
        <f t="shared" si="82"/>
        <v/>
      </c>
      <c r="DC39" s="508" t="str">
        <f t="shared" si="83"/>
        <v/>
      </c>
      <c r="DD39" s="508" t="str">
        <f t="shared" si="84"/>
        <v/>
      </c>
      <c r="DE39" s="508" t="str">
        <f t="shared" si="85"/>
        <v/>
      </c>
      <c r="DF39" s="508" t="str">
        <f t="shared" si="86"/>
        <v/>
      </c>
      <c r="DG39" s="508" t="str">
        <f t="shared" si="87"/>
        <v/>
      </c>
      <c r="DH39" s="508" t="str">
        <f t="shared" si="88"/>
        <v/>
      </c>
      <c r="DI39" s="508" t="str">
        <f t="shared" si="89"/>
        <v/>
      </c>
      <c r="DJ39" s="508" t="str">
        <f t="shared" si="90"/>
        <v/>
      </c>
      <c r="DK39" s="508" t="str">
        <f t="shared" si="91"/>
        <v/>
      </c>
      <c r="DL39" s="508" t="str">
        <f t="shared" si="92"/>
        <v/>
      </c>
      <c r="DM39" s="508" t="str">
        <f t="shared" si="93"/>
        <v/>
      </c>
      <c r="DN39" s="508" t="str">
        <f t="shared" si="94"/>
        <v/>
      </c>
      <c r="DO39" s="508" t="str">
        <f t="shared" si="95"/>
        <v/>
      </c>
      <c r="DP39" s="508" t="str">
        <f t="shared" si="96"/>
        <v/>
      </c>
      <c r="DQ39" s="508" t="str">
        <f t="shared" si="97"/>
        <v/>
      </c>
      <c r="DR39" s="508" t="str">
        <f t="shared" si="98"/>
        <v/>
      </c>
      <c r="DS39" s="508" t="str">
        <f t="shared" si="99"/>
        <v/>
      </c>
      <c r="DT39" s="508" t="str">
        <f t="shared" si="100"/>
        <v/>
      </c>
      <c r="DU39" s="508" t="str">
        <f t="shared" si="101"/>
        <v/>
      </c>
      <c r="DV39" s="508" t="str">
        <f t="shared" si="102"/>
        <v/>
      </c>
      <c r="DW39" s="508" t="str">
        <f t="shared" si="103"/>
        <v/>
      </c>
      <c r="DX39" s="508" t="str">
        <f t="shared" si="104"/>
        <v/>
      </c>
      <c r="DY39" s="508" t="str">
        <f t="shared" si="105"/>
        <v/>
      </c>
      <c r="DZ39" s="508" t="str">
        <f t="shared" si="106"/>
        <v/>
      </c>
      <c r="EA39" s="508" t="str">
        <f t="shared" si="107"/>
        <v/>
      </c>
      <c r="EB39" s="508" t="str">
        <f t="shared" si="108"/>
        <v/>
      </c>
      <c r="EC39" s="508" t="str">
        <f t="shared" si="109"/>
        <v/>
      </c>
      <c r="ED39" s="508" t="str">
        <f t="shared" si="110"/>
        <v/>
      </c>
      <c r="EE39" s="508" t="str">
        <f t="shared" si="111"/>
        <v/>
      </c>
      <c r="EF39" s="508" t="str">
        <f t="shared" si="112"/>
        <v/>
      </c>
      <c r="EG39" s="508" t="str">
        <f t="shared" si="113"/>
        <v/>
      </c>
      <c r="EH39" s="508" t="str">
        <f t="shared" si="114"/>
        <v/>
      </c>
      <c r="EI39" s="508" t="str">
        <f t="shared" si="115"/>
        <v/>
      </c>
      <c r="EJ39" s="508" t="str">
        <f t="shared" si="116"/>
        <v/>
      </c>
      <c r="EK39" s="508" t="str">
        <f t="shared" si="117"/>
        <v/>
      </c>
      <c r="EL39" s="508" t="str">
        <f t="shared" si="118"/>
        <v/>
      </c>
      <c r="EM39" s="508" t="str">
        <f t="shared" si="119"/>
        <v/>
      </c>
      <c r="EN39" s="508" t="str">
        <f t="shared" si="120"/>
        <v/>
      </c>
      <c r="EO39" s="508" t="str">
        <f t="shared" si="121"/>
        <v/>
      </c>
      <c r="EP39" s="508" t="str">
        <f t="shared" si="122"/>
        <v/>
      </c>
      <c r="EQ39" s="508" t="str">
        <f t="shared" si="123"/>
        <v/>
      </c>
      <c r="ER39" s="508" t="str">
        <f t="shared" si="124"/>
        <v/>
      </c>
      <c r="ES39" s="508" t="str">
        <f t="shared" si="125"/>
        <v/>
      </c>
      <c r="ET39" s="508" t="str">
        <f t="shared" si="126"/>
        <v/>
      </c>
      <c r="EU39" s="508" t="str">
        <f t="shared" si="127"/>
        <v/>
      </c>
      <c r="EV39" s="518" t="str">
        <f t="shared" si="128"/>
        <v/>
      </c>
      <c r="EW39" s="518" t="str">
        <f t="shared" si="129"/>
        <v/>
      </c>
      <c r="EX39" s="518" t="str">
        <f t="shared" si="130"/>
        <v/>
      </c>
      <c r="EY39" s="518" t="str">
        <f t="shared" si="131"/>
        <v/>
      </c>
      <c r="EZ39" s="518" t="str">
        <f t="shared" si="132"/>
        <v/>
      </c>
      <c r="FA39" s="518" t="str">
        <f t="shared" si="133"/>
        <v/>
      </c>
      <c r="FB39" s="518" t="str">
        <f t="shared" si="134"/>
        <v/>
      </c>
      <c r="FC39" s="518" t="str">
        <f t="shared" si="135"/>
        <v/>
      </c>
      <c r="FD39" s="518" t="str">
        <f t="shared" si="136"/>
        <v/>
      </c>
      <c r="FE39" s="518" t="str">
        <f t="shared" si="137"/>
        <v/>
      </c>
      <c r="FF39" s="518" t="str">
        <f t="shared" si="138"/>
        <v/>
      </c>
      <c r="FG39" s="518" t="str">
        <f t="shared" si="139"/>
        <v/>
      </c>
      <c r="FH39" s="518" t="str">
        <f t="shared" si="140"/>
        <v/>
      </c>
      <c r="FI39" s="518" t="str">
        <f t="shared" si="141"/>
        <v/>
      </c>
      <c r="FJ39" s="518" t="str">
        <f t="shared" si="142"/>
        <v/>
      </c>
      <c r="FK39" s="518" t="str">
        <f t="shared" si="143"/>
        <v/>
      </c>
      <c r="FL39" s="518" t="str">
        <f t="shared" si="144"/>
        <v/>
      </c>
      <c r="FM39" s="518" t="str">
        <f t="shared" si="145"/>
        <v/>
      </c>
      <c r="FN39" s="518" t="str">
        <f t="shared" si="146"/>
        <v/>
      </c>
      <c r="FO39" s="518" t="str">
        <f t="shared" si="147"/>
        <v/>
      </c>
      <c r="FP39" s="518" t="str">
        <f t="shared" si="148"/>
        <v/>
      </c>
      <c r="FQ39" s="518" t="str">
        <f t="shared" si="149"/>
        <v/>
      </c>
      <c r="FR39" s="518" t="str">
        <f t="shared" si="150"/>
        <v/>
      </c>
      <c r="FS39" s="518" t="str">
        <f t="shared" si="151"/>
        <v/>
      </c>
      <c r="FT39" s="518" t="str">
        <f t="shared" si="152"/>
        <v/>
      </c>
      <c r="FU39" s="518" t="str">
        <f t="shared" si="153"/>
        <v/>
      </c>
      <c r="FV39" s="518" t="str">
        <f t="shared" si="154"/>
        <v/>
      </c>
      <c r="FW39" s="518" t="str">
        <f t="shared" si="155"/>
        <v/>
      </c>
      <c r="FX39" s="518" t="str">
        <f t="shared" si="156"/>
        <v/>
      </c>
      <c r="FY39" s="518" t="str">
        <f t="shared" si="157"/>
        <v/>
      </c>
      <c r="FZ39" s="518" t="str">
        <f t="shared" si="158"/>
        <v/>
      </c>
      <c r="GA39" s="518" t="str">
        <f t="shared" si="159"/>
        <v/>
      </c>
      <c r="GB39" s="518" t="str">
        <f t="shared" si="160"/>
        <v/>
      </c>
      <c r="GC39" s="518" t="str">
        <f t="shared" si="161"/>
        <v/>
      </c>
      <c r="GD39" s="518" t="str">
        <f t="shared" si="162"/>
        <v/>
      </c>
      <c r="GE39" s="518" t="str">
        <f t="shared" si="163"/>
        <v/>
      </c>
      <c r="GF39" s="518" t="str">
        <f t="shared" si="164"/>
        <v/>
      </c>
      <c r="GG39" s="518" t="str">
        <f t="shared" si="165"/>
        <v/>
      </c>
      <c r="GH39" s="518" t="str">
        <f t="shared" si="166"/>
        <v/>
      </c>
      <c r="GI39" s="518" t="str">
        <f t="shared" si="167"/>
        <v/>
      </c>
      <c r="GJ39" s="518" t="str">
        <f t="shared" si="168"/>
        <v/>
      </c>
      <c r="GK39" s="518" t="str">
        <f t="shared" si="169"/>
        <v/>
      </c>
      <c r="GL39" s="518" t="str">
        <f t="shared" si="170"/>
        <v/>
      </c>
      <c r="GM39" s="518" t="str">
        <f t="shared" si="171"/>
        <v/>
      </c>
      <c r="GN39" s="518" t="str">
        <f t="shared" si="172"/>
        <v/>
      </c>
      <c r="GO39" s="518" t="str">
        <f t="shared" si="173"/>
        <v/>
      </c>
      <c r="GP39" s="518" t="str">
        <f t="shared" si="174"/>
        <v/>
      </c>
      <c r="GQ39" s="518" t="str">
        <f t="shared" si="175"/>
        <v/>
      </c>
      <c r="GR39" s="518" t="str">
        <f t="shared" si="176"/>
        <v/>
      </c>
      <c r="GS39" s="518" t="str">
        <f t="shared" si="177"/>
        <v/>
      </c>
      <c r="GT39" s="518" t="str">
        <f t="shared" si="178"/>
        <v/>
      </c>
      <c r="GU39" s="518" t="str">
        <f t="shared" si="179"/>
        <v/>
      </c>
      <c r="GV39" s="518" t="str">
        <f t="shared" si="180"/>
        <v/>
      </c>
      <c r="GW39" s="518" t="str">
        <f t="shared" si="181"/>
        <v/>
      </c>
      <c r="GX39" s="518" t="str">
        <f t="shared" si="182"/>
        <v/>
      </c>
      <c r="GY39" s="518" t="str">
        <f t="shared" si="183"/>
        <v/>
      </c>
      <c r="GZ39" s="518" t="str">
        <f t="shared" si="184"/>
        <v/>
      </c>
      <c r="HA39" s="518" t="str">
        <f t="shared" si="185"/>
        <v/>
      </c>
      <c r="HB39" s="518" t="str">
        <f t="shared" si="186"/>
        <v/>
      </c>
      <c r="HC39" s="518" t="str">
        <f t="shared" si="187"/>
        <v/>
      </c>
      <c r="HD39" s="518" t="str">
        <f t="shared" si="188"/>
        <v/>
      </c>
      <c r="HE39" s="518" t="str">
        <f t="shared" si="189"/>
        <v/>
      </c>
      <c r="HF39" s="518" t="str">
        <f t="shared" si="190"/>
        <v/>
      </c>
      <c r="HG39" s="518" t="str">
        <f t="shared" si="191"/>
        <v/>
      </c>
      <c r="HH39" s="518" t="str">
        <f t="shared" si="192"/>
        <v/>
      </c>
      <c r="HI39" s="518" t="str">
        <f t="shared" si="193"/>
        <v/>
      </c>
      <c r="HJ39" s="518" t="str">
        <f t="shared" si="194"/>
        <v/>
      </c>
      <c r="HK39" s="518" t="str">
        <f t="shared" si="195"/>
        <v/>
      </c>
      <c r="HL39" s="518" t="str">
        <f t="shared" si="196"/>
        <v/>
      </c>
      <c r="HM39" s="518" t="str">
        <f t="shared" si="197"/>
        <v/>
      </c>
      <c r="HN39" s="518" t="str">
        <f t="shared" si="198"/>
        <v/>
      </c>
      <c r="HO39" s="518" t="str">
        <f t="shared" si="199"/>
        <v/>
      </c>
      <c r="HP39" s="518" t="str">
        <f t="shared" si="200"/>
        <v/>
      </c>
      <c r="HQ39" s="518" t="str">
        <f t="shared" si="201"/>
        <v/>
      </c>
      <c r="HR39" s="518" t="str">
        <f t="shared" si="202"/>
        <v/>
      </c>
      <c r="HS39" s="518" t="str">
        <f t="shared" si="203"/>
        <v/>
      </c>
      <c r="HT39" s="518" t="str">
        <f t="shared" si="204"/>
        <v/>
      </c>
      <c r="HU39" s="518" t="str">
        <f t="shared" si="205"/>
        <v/>
      </c>
      <c r="HV39" s="518" t="str">
        <f t="shared" si="206"/>
        <v/>
      </c>
      <c r="HW39" s="518" t="str">
        <f t="shared" si="207"/>
        <v/>
      </c>
      <c r="HX39" s="518" t="str">
        <f t="shared" si="208"/>
        <v/>
      </c>
      <c r="HY39" s="518" t="str">
        <f t="shared" si="209"/>
        <v/>
      </c>
      <c r="HZ39" s="518" t="str">
        <f t="shared" si="210"/>
        <v/>
      </c>
      <c r="IA39" s="518" t="str">
        <f t="shared" si="211"/>
        <v/>
      </c>
      <c r="IB39" s="518" t="str">
        <f t="shared" si="212"/>
        <v/>
      </c>
      <c r="IC39" s="519" t="str">
        <f t="shared" si="213"/>
        <v/>
      </c>
      <c r="ID39" s="519" t="str">
        <f t="shared" si="214"/>
        <v/>
      </c>
      <c r="IE39" s="519" t="str">
        <f t="shared" si="215"/>
        <v/>
      </c>
      <c r="IF39" s="519" t="str">
        <f t="shared" si="216"/>
        <v/>
      </c>
      <c r="IG39" s="519" t="str">
        <f t="shared" si="217"/>
        <v/>
      </c>
      <c r="IH39" s="508" t="str">
        <f t="shared" si="218"/>
        <v/>
      </c>
      <c r="II39" s="508" t="str">
        <f t="shared" si="219"/>
        <v/>
      </c>
      <c r="IJ39" s="508" t="str">
        <f t="shared" si="220"/>
        <v/>
      </c>
      <c r="IK39" s="508" t="str">
        <f t="shared" si="221"/>
        <v/>
      </c>
      <c r="IL39" s="508" t="str">
        <f t="shared" si="222"/>
        <v/>
      </c>
      <c r="IM39" s="508" t="str">
        <f t="shared" si="223"/>
        <v/>
      </c>
      <c r="IN39" s="508" t="str">
        <f t="shared" si="224"/>
        <v/>
      </c>
      <c r="IO39" s="508" t="str">
        <f t="shared" si="225"/>
        <v/>
      </c>
      <c r="IP39" s="508" t="str">
        <f t="shared" si="226"/>
        <v/>
      </c>
      <c r="IQ39" s="508" t="str">
        <f t="shared" si="227"/>
        <v/>
      </c>
      <c r="IR39" s="508" t="str">
        <f t="shared" si="228"/>
        <v/>
      </c>
      <c r="IS39" s="508" t="str">
        <f t="shared" si="229"/>
        <v/>
      </c>
      <c r="IT39" s="508" t="str">
        <f t="shared" si="230"/>
        <v/>
      </c>
      <c r="IU39" s="508" t="str">
        <f t="shared" si="231"/>
        <v/>
      </c>
      <c r="IV39" s="508" t="str">
        <f t="shared" si="232"/>
        <v/>
      </c>
      <c r="IW39" s="508" t="str">
        <f t="shared" si="233"/>
        <v/>
      </c>
      <c r="IX39" s="508" t="str">
        <f t="shared" si="234"/>
        <v/>
      </c>
      <c r="IY39" s="508" t="str">
        <f t="shared" si="235"/>
        <v/>
      </c>
      <c r="IZ39" s="508" t="str">
        <f t="shared" si="236"/>
        <v/>
      </c>
      <c r="JA39" s="508" t="str">
        <f t="shared" si="237"/>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67" t="s">
        <v>1859</v>
      </c>
      <c r="C40" s="2368"/>
      <c r="D40" s="2369"/>
      <c r="E40" s="2370"/>
      <c r="F40" s="2370"/>
      <c r="G40" s="2370"/>
      <c r="H40" s="2370"/>
      <c r="I40" s="2370"/>
      <c r="J40" s="2371"/>
      <c r="K40" s="861">
        <f t="shared" si="1"/>
        <v>0</v>
      </c>
      <c r="L40" s="861">
        <f t="shared" si="2"/>
        <v>0</v>
      </c>
      <c r="M40" s="2372"/>
      <c r="N40" s="2372"/>
      <c r="O40" s="2372"/>
      <c r="P40" s="2372"/>
      <c r="Q40" s="472" t="str">
        <f>IF(H40="","",P40/($O$6*VLOOKUP(C40,'DCA Underwriting Assumptions'!$J$118:$K$123,2,FALSE)))</f>
        <v/>
      </c>
      <c r="R40" s="547"/>
      <c r="S40" s="472"/>
      <c r="T40" s="2306"/>
      <c r="U40" s="2307"/>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238"/>
        <v/>
      </c>
      <c r="BU40" s="508" t="str">
        <f t="shared" si="239"/>
        <v/>
      </c>
      <c r="BV40" s="508" t="str">
        <f t="shared" si="240"/>
        <v/>
      </c>
      <c r="BW40" s="508" t="str">
        <f t="shared" si="241"/>
        <v/>
      </c>
      <c r="BX40" s="508" t="str">
        <f t="shared" si="242"/>
        <v/>
      </c>
      <c r="BY40" s="508" t="str">
        <f t="shared" si="53"/>
        <v/>
      </c>
      <c r="BZ40" s="508" t="str">
        <f t="shared" si="54"/>
        <v/>
      </c>
      <c r="CA40" s="508" t="str">
        <f t="shared" si="55"/>
        <v/>
      </c>
      <c r="CB40" s="508" t="str">
        <f t="shared" si="56"/>
        <v/>
      </c>
      <c r="CC40" s="508" t="str">
        <f t="shared" si="57"/>
        <v/>
      </c>
      <c r="CD40" s="508" t="str">
        <f t="shared" si="58"/>
        <v/>
      </c>
      <c r="CE40" s="508" t="str">
        <f t="shared" si="59"/>
        <v/>
      </c>
      <c r="CF40" s="508" t="str">
        <f t="shared" si="60"/>
        <v/>
      </c>
      <c r="CG40" s="508" t="str">
        <f t="shared" si="61"/>
        <v/>
      </c>
      <c r="CH40" s="508" t="str">
        <f t="shared" si="62"/>
        <v/>
      </c>
      <c r="CI40" s="508" t="str">
        <f t="shared" si="63"/>
        <v/>
      </c>
      <c r="CJ40" s="508" t="str">
        <f t="shared" si="64"/>
        <v/>
      </c>
      <c r="CK40" s="508" t="str">
        <f t="shared" si="65"/>
        <v/>
      </c>
      <c r="CL40" s="508" t="str">
        <f t="shared" si="66"/>
        <v/>
      </c>
      <c r="CM40" s="508" t="str">
        <f t="shared" si="67"/>
        <v/>
      </c>
      <c r="CN40" s="508" t="str">
        <f t="shared" si="68"/>
        <v/>
      </c>
      <c r="CO40" s="508" t="str">
        <f t="shared" si="69"/>
        <v/>
      </c>
      <c r="CP40" s="508" t="str">
        <f t="shared" si="70"/>
        <v/>
      </c>
      <c r="CQ40" s="508" t="str">
        <f t="shared" si="71"/>
        <v/>
      </c>
      <c r="CR40" s="508" t="str">
        <f t="shared" si="72"/>
        <v/>
      </c>
      <c r="CS40" s="508" t="str">
        <f t="shared" si="73"/>
        <v/>
      </c>
      <c r="CT40" s="508" t="str">
        <f t="shared" si="74"/>
        <v/>
      </c>
      <c r="CU40" s="508" t="str">
        <f t="shared" si="75"/>
        <v/>
      </c>
      <c r="CV40" s="508" t="str">
        <f t="shared" si="76"/>
        <v/>
      </c>
      <c r="CW40" s="508" t="str">
        <f t="shared" si="77"/>
        <v/>
      </c>
      <c r="CX40" s="508" t="str">
        <f t="shared" si="78"/>
        <v/>
      </c>
      <c r="CY40" s="508" t="str">
        <f t="shared" si="79"/>
        <v/>
      </c>
      <c r="CZ40" s="508" t="str">
        <f t="shared" si="80"/>
        <v/>
      </c>
      <c r="DA40" s="508" t="str">
        <f t="shared" si="81"/>
        <v/>
      </c>
      <c r="DB40" s="508" t="str">
        <f t="shared" si="82"/>
        <v/>
      </c>
      <c r="DC40" s="508" t="str">
        <f t="shared" si="83"/>
        <v/>
      </c>
      <c r="DD40" s="508" t="str">
        <f t="shared" si="84"/>
        <v/>
      </c>
      <c r="DE40" s="508" t="str">
        <f t="shared" si="85"/>
        <v/>
      </c>
      <c r="DF40" s="508" t="str">
        <f t="shared" si="86"/>
        <v/>
      </c>
      <c r="DG40" s="508" t="str">
        <f t="shared" si="87"/>
        <v/>
      </c>
      <c r="DH40" s="508" t="str">
        <f t="shared" si="88"/>
        <v/>
      </c>
      <c r="DI40" s="508" t="str">
        <f t="shared" si="89"/>
        <v/>
      </c>
      <c r="DJ40" s="508" t="str">
        <f t="shared" si="90"/>
        <v/>
      </c>
      <c r="DK40" s="508" t="str">
        <f t="shared" si="91"/>
        <v/>
      </c>
      <c r="DL40" s="508" t="str">
        <f t="shared" si="92"/>
        <v/>
      </c>
      <c r="DM40" s="508" t="str">
        <f t="shared" si="93"/>
        <v/>
      </c>
      <c r="DN40" s="508" t="str">
        <f t="shared" si="94"/>
        <v/>
      </c>
      <c r="DO40" s="508" t="str">
        <f t="shared" si="95"/>
        <v/>
      </c>
      <c r="DP40" s="508" t="str">
        <f t="shared" si="96"/>
        <v/>
      </c>
      <c r="DQ40" s="508" t="str">
        <f t="shared" si="97"/>
        <v/>
      </c>
      <c r="DR40" s="508" t="str">
        <f t="shared" si="98"/>
        <v/>
      </c>
      <c r="DS40" s="508" t="str">
        <f t="shared" si="99"/>
        <v/>
      </c>
      <c r="DT40" s="508" t="str">
        <f t="shared" si="100"/>
        <v/>
      </c>
      <c r="DU40" s="508" t="str">
        <f t="shared" si="101"/>
        <v/>
      </c>
      <c r="DV40" s="508" t="str">
        <f t="shared" si="102"/>
        <v/>
      </c>
      <c r="DW40" s="508" t="str">
        <f t="shared" si="103"/>
        <v/>
      </c>
      <c r="DX40" s="508" t="str">
        <f t="shared" si="104"/>
        <v/>
      </c>
      <c r="DY40" s="508" t="str">
        <f t="shared" si="105"/>
        <v/>
      </c>
      <c r="DZ40" s="508" t="str">
        <f t="shared" si="106"/>
        <v/>
      </c>
      <c r="EA40" s="508" t="str">
        <f t="shared" si="107"/>
        <v/>
      </c>
      <c r="EB40" s="508" t="str">
        <f t="shared" si="108"/>
        <v/>
      </c>
      <c r="EC40" s="508" t="str">
        <f t="shared" si="109"/>
        <v/>
      </c>
      <c r="ED40" s="508" t="str">
        <f t="shared" si="110"/>
        <v/>
      </c>
      <c r="EE40" s="508" t="str">
        <f t="shared" si="111"/>
        <v/>
      </c>
      <c r="EF40" s="508" t="str">
        <f t="shared" si="112"/>
        <v/>
      </c>
      <c r="EG40" s="508" t="str">
        <f t="shared" si="113"/>
        <v/>
      </c>
      <c r="EH40" s="508" t="str">
        <f t="shared" si="114"/>
        <v/>
      </c>
      <c r="EI40" s="508" t="str">
        <f t="shared" si="115"/>
        <v/>
      </c>
      <c r="EJ40" s="508" t="str">
        <f t="shared" si="116"/>
        <v/>
      </c>
      <c r="EK40" s="508" t="str">
        <f t="shared" si="117"/>
        <v/>
      </c>
      <c r="EL40" s="508" t="str">
        <f t="shared" si="118"/>
        <v/>
      </c>
      <c r="EM40" s="508" t="str">
        <f t="shared" si="119"/>
        <v/>
      </c>
      <c r="EN40" s="508" t="str">
        <f t="shared" si="120"/>
        <v/>
      </c>
      <c r="EO40" s="508" t="str">
        <f t="shared" si="121"/>
        <v/>
      </c>
      <c r="EP40" s="508" t="str">
        <f t="shared" si="122"/>
        <v/>
      </c>
      <c r="EQ40" s="508" t="str">
        <f t="shared" si="123"/>
        <v/>
      </c>
      <c r="ER40" s="508" t="str">
        <f t="shared" si="124"/>
        <v/>
      </c>
      <c r="ES40" s="508" t="str">
        <f t="shared" si="125"/>
        <v/>
      </c>
      <c r="ET40" s="508" t="str">
        <f t="shared" si="126"/>
        <v/>
      </c>
      <c r="EU40" s="508" t="str">
        <f t="shared" si="127"/>
        <v/>
      </c>
      <c r="EV40" s="518" t="str">
        <f t="shared" si="128"/>
        <v/>
      </c>
      <c r="EW40" s="518" t="str">
        <f t="shared" si="129"/>
        <v/>
      </c>
      <c r="EX40" s="518" t="str">
        <f t="shared" si="130"/>
        <v/>
      </c>
      <c r="EY40" s="518" t="str">
        <f t="shared" si="131"/>
        <v/>
      </c>
      <c r="EZ40" s="518" t="str">
        <f t="shared" si="132"/>
        <v/>
      </c>
      <c r="FA40" s="518" t="str">
        <f t="shared" si="133"/>
        <v/>
      </c>
      <c r="FB40" s="518" t="str">
        <f t="shared" si="134"/>
        <v/>
      </c>
      <c r="FC40" s="518" t="str">
        <f t="shared" si="135"/>
        <v/>
      </c>
      <c r="FD40" s="518" t="str">
        <f t="shared" si="136"/>
        <v/>
      </c>
      <c r="FE40" s="518" t="str">
        <f t="shared" si="137"/>
        <v/>
      </c>
      <c r="FF40" s="518" t="str">
        <f t="shared" si="138"/>
        <v/>
      </c>
      <c r="FG40" s="518" t="str">
        <f t="shared" si="139"/>
        <v/>
      </c>
      <c r="FH40" s="518" t="str">
        <f t="shared" si="140"/>
        <v/>
      </c>
      <c r="FI40" s="518" t="str">
        <f t="shared" si="141"/>
        <v/>
      </c>
      <c r="FJ40" s="518" t="str">
        <f t="shared" si="142"/>
        <v/>
      </c>
      <c r="FK40" s="518" t="str">
        <f t="shared" si="143"/>
        <v/>
      </c>
      <c r="FL40" s="518" t="str">
        <f t="shared" si="144"/>
        <v/>
      </c>
      <c r="FM40" s="518" t="str">
        <f t="shared" si="145"/>
        <v/>
      </c>
      <c r="FN40" s="518" t="str">
        <f t="shared" si="146"/>
        <v/>
      </c>
      <c r="FO40" s="518" t="str">
        <f t="shared" si="147"/>
        <v/>
      </c>
      <c r="FP40" s="518" t="str">
        <f t="shared" si="148"/>
        <v/>
      </c>
      <c r="FQ40" s="518" t="str">
        <f t="shared" si="149"/>
        <v/>
      </c>
      <c r="FR40" s="518" t="str">
        <f t="shared" si="150"/>
        <v/>
      </c>
      <c r="FS40" s="518" t="str">
        <f t="shared" si="151"/>
        <v/>
      </c>
      <c r="FT40" s="518" t="str">
        <f t="shared" si="152"/>
        <v/>
      </c>
      <c r="FU40" s="518" t="str">
        <f t="shared" si="153"/>
        <v/>
      </c>
      <c r="FV40" s="518" t="str">
        <f t="shared" si="154"/>
        <v/>
      </c>
      <c r="FW40" s="518" t="str">
        <f t="shared" si="155"/>
        <v/>
      </c>
      <c r="FX40" s="518" t="str">
        <f t="shared" si="156"/>
        <v/>
      </c>
      <c r="FY40" s="518" t="str">
        <f t="shared" si="157"/>
        <v/>
      </c>
      <c r="FZ40" s="518" t="str">
        <f t="shared" si="158"/>
        <v/>
      </c>
      <c r="GA40" s="518" t="str">
        <f t="shared" si="159"/>
        <v/>
      </c>
      <c r="GB40" s="518" t="str">
        <f t="shared" si="160"/>
        <v/>
      </c>
      <c r="GC40" s="518" t="str">
        <f t="shared" si="161"/>
        <v/>
      </c>
      <c r="GD40" s="518" t="str">
        <f t="shared" si="162"/>
        <v/>
      </c>
      <c r="GE40" s="518" t="str">
        <f t="shared" si="163"/>
        <v/>
      </c>
      <c r="GF40" s="518" t="str">
        <f t="shared" si="164"/>
        <v/>
      </c>
      <c r="GG40" s="518" t="str">
        <f t="shared" si="165"/>
        <v/>
      </c>
      <c r="GH40" s="518" t="str">
        <f t="shared" si="166"/>
        <v/>
      </c>
      <c r="GI40" s="518" t="str">
        <f t="shared" si="167"/>
        <v/>
      </c>
      <c r="GJ40" s="518" t="str">
        <f t="shared" si="168"/>
        <v/>
      </c>
      <c r="GK40" s="518" t="str">
        <f t="shared" si="169"/>
        <v/>
      </c>
      <c r="GL40" s="518" t="str">
        <f t="shared" si="170"/>
        <v/>
      </c>
      <c r="GM40" s="518" t="str">
        <f t="shared" si="171"/>
        <v/>
      </c>
      <c r="GN40" s="518" t="str">
        <f t="shared" si="172"/>
        <v/>
      </c>
      <c r="GO40" s="518" t="str">
        <f t="shared" si="173"/>
        <v/>
      </c>
      <c r="GP40" s="518" t="str">
        <f t="shared" si="174"/>
        <v/>
      </c>
      <c r="GQ40" s="518" t="str">
        <f t="shared" si="175"/>
        <v/>
      </c>
      <c r="GR40" s="518" t="str">
        <f t="shared" si="176"/>
        <v/>
      </c>
      <c r="GS40" s="518" t="str">
        <f t="shared" si="177"/>
        <v/>
      </c>
      <c r="GT40" s="518" t="str">
        <f t="shared" si="178"/>
        <v/>
      </c>
      <c r="GU40" s="518" t="str">
        <f t="shared" si="179"/>
        <v/>
      </c>
      <c r="GV40" s="518" t="str">
        <f t="shared" si="180"/>
        <v/>
      </c>
      <c r="GW40" s="518" t="str">
        <f t="shared" si="181"/>
        <v/>
      </c>
      <c r="GX40" s="518" t="str">
        <f t="shared" si="182"/>
        <v/>
      </c>
      <c r="GY40" s="518" t="str">
        <f t="shared" si="183"/>
        <v/>
      </c>
      <c r="GZ40" s="518" t="str">
        <f t="shared" si="184"/>
        <v/>
      </c>
      <c r="HA40" s="518" t="str">
        <f t="shared" si="185"/>
        <v/>
      </c>
      <c r="HB40" s="518" t="str">
        <f t="shared" si="186"/>
        <v/>
      </c>
      <c r="HC40" s="518" t="str">
        <f t="shared" si="187"/>
        <v/>
      </c>
      <c r="HD40" s="518" t="str">
        <f t="shared" si="188"/>
        <v/>
      </c>
      <c r="HE40" s="518" t="str">
        <f t="shared" si="189"/>
        <v/>
      </c>
      <c r="HF40" s="518" t="str">
        <f t="shared" si="190"/>
        <v/>
      </c>
      <c r="HG40" s="518" t="str">
        <f t="shared" si="191"/>
        <v/>
      </c>
      <c r="HH40" s="518" t="str">
        <f t="shared" si="192"/>
        <v/>
      </c>
      <c r="HI40" s="518" t="str">
        <f t="shared" si="193"/>
        <v/>
      </c>
      <c r="HJ40" s="518" t="str">
        <f t="shared" si="194"/>
        <v/>
      </c>
      <c r="HK40" s="518" t="str">
        <f t="shared" si="195"/>
        <v/>
      </c>
      <c r="HL40" s="518" t="str">
        <f t="shared" si="196"/>
        <v/>
      </c>
      <c r="HM40" s="518" t="str">
        <f t="shared" si="197"/>
        <v/>
      </c>
      <c r="HN40" s="518" t="str">
        <f t="shared" si="198"/>
        <v/>
      </c>
      <c r="HO40" s="518" t="str">
        <f t="shared" si="199"/>
        <v/>
      </c>
      <c r="HP40" s="518" t="str">
        <f t="shared" si="200"/>
        <v/>
      </c>
      <c r="HQ40" s="518" t="str">
        <f t="shared" si="201"/>
        <v/>
      </c>
      <c r="HR40" s="518" t="str">
        <f t="shared" si="202"/>
        <v/>
      </c>
      <c r="HS40" s="518" t="str">
        <f t="shared" si="203"/>
        <v/>
      </c>
      <c r="HT40" s="518" t="str">
        <f t="shared" si="204"/>
        <v/>
      </c>
      <c r="HU40" s="518" t="str">
        <f t="shared" si="205"/>
        <v/>
      </c>
      <c r="HV40" s="518" t="str">
        <f t="shared" si="206"/>
        <v/>
      </c>
      <c r="HW40" s="518" t="str">
        <f t="shared" si="207"/>
        <v/>
      </c>
      <c r="HX40" s="518" t="str">
        <f t="shared" si="208"/>
        <v/>
      </c>
      <c r="HY40" s="518" t="str">
        <f t="shared" si="209"/>
        <v/>
      </c>
      <c r="HZ40" s="518" t="str">
        <f t="shared" si="210"/>
        <v/>
      </c>
      <c r="IA40" s="518" t="str">
        <f t="shared" si="211"/>
        <v/>
      </c>
      <c r="IB40" s="518" t="str">
        <f t="shared" si="212"/>
        <v/>
      </c>
      <c r="IC40" s="519" t="str">
        <f t="shared" si="213"/>
        <v/>
      </c>
      <c r="ID40" s="519" t="str">
        <f t="shared" si="214"/>
        <v/>
      </c>
      <c r="IE40" s="519" t="str">
        <f t="shared" si="215"/>
        <v/>
      </c>
      <c r="IF40" s="519" t="str">
        <f t="shared" si="216"/>
        <v/>
      </c>
      <c r="IG40" s="519" t="str">
        <f t="shared" si="217"/>
        <v/>
      </c>
      <c r="IH40" s="508" t="str">
        <f t="shared" si="218"/>
        <v/>
      </c>
      <c r="II40" s="508" t="str">
        <f t="shared" si="219"/>
        <v/>
      </c>
      <c r="IJ40" s="508" t="str">
        <f t="shared" si="220"/>
        <v/>
      </c>
      <c r="IK40" s="508" t="str">
        <f t="shared" si="221"/>
        <v/>
      </c>
      <c r="IL40" s="508" t="str">
        <f t="shared" si="222"/>
        <v/>
      </c>
      <c r="IM40" s="508" t="str">
        <f t="shared" si="223"/>
        <v/>
      </c>
      <c r="IN40" s="508" t="str">
        <f t="shared" si="224"/>
        <v/>
      </c>
      <c r="IO40" s="508" t="str">
        <f t="shared" si="225"/>
        <v/>
      </c>
      <c r="IP40" s="508" t="str">
        <f t="shared" si="226"/>
        <v/>
      </c>
      <c r="IQ40" s="508" t="str">
        <f t="shared" si="227"/>
        <v/>
      </c>
      <c r="IR40" s="508" t="str">
        <f t="shared" si="228"/>
        <v/>
      </c>
      <c r="IS40" s="508" t="str">
        <f t="shared" si="229"/>
        <v/>
      </c>
      <c r="IT40" s="508" t="str">
        <f t="shared" si="230"/>
        <v/>
      </c>
      <c r="IU40" s="508" t="str">
        <f t="shared" si="231"/>
        <v/>
      </c>
      <c r="IV40" s="508" t="str">
        <f t="shared" si="232"/>
        <v/>
      </c>
      <c r="IW40" s="508" t="str">
        <f t="shared" si="233"/>
        <v/>
      </c>
      <c r="IX40" s="508" t="str">
        <f t="shared" si="234"/>
        <v/>
      </c>
      <c r="IY40" s="508" t="str">
        <f t="shared" si="235"/>
        <v/>
      </c>
      <c r="IZ40" s="508" t="str">
        <f t="shared" si="236"/>
        <v/>
      </c>
      <c r="JA40" s="508" t="str">
        <f t="shared" si="237"/>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67" t="s">
        <v>1859</v>
      </c>
      <c r="C41" s="2368"/>
      <c r="D41" s="2369"/>
      <c r="E41" s="2370"/>
      <c r="F41" s="2370"/>
      <c r="G41" s="2370"/>
      <c r="H41" s="2370"/>
      <c r="I41" s="2370"/>
      <c r="J41" s="2371"/>
      <c r="K41" s="861">
        <f t="shared" si="1"/>
        <v>0</v>
      </c>
      <c r="L41" s="861">
        <f t="shared" si="2"/>
        <v>0</v>
      </c>
      <c r="M41" s="2372"/>
      <c r="N41" s="2372"/>
      <c r="O41" s="2372"/>
      <c r="P41" s="2372"/>
      <c r="Q41" s="472" t="str">
        <f>IF(H41="","",P41/($O$6*VLOOKUP(C41,'DCA Underwriting Assumptions'!$J$118:$K$123,2,FALSE)))</f>
        <v/>
      </c>
      <c r="R41" s="547"/>
      <c r="S41" s="472"/>
      <c r="T41" s="2306"/>
      <c r="U41" s="2307"/>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238"/>
        <v/>
      </c>
      <c r="BU41" s="508" t="str">
        <f t="shared" si="239"/>
        <v/>
      </c>
      <c r="BV41" s="508" t="str">
        <f t="shared" si="240"/>
        <v/>
      </c>
      <c r="BW41" s="508" t="str">
        <f t="shared" si="241"/>
        <v/>
      </c>
      <c r="BX41" s="508" t="str">
        <f t="shared" si="242"/>
        <v/>
      </c>
      <c r="BY41" s="508" t="str">
        <f t="shared" si="53"/>
        <v/>
      </c>
      <c r="BZ41" s="508" t="str">
        <f t="shared" si="54"/>
        <v/>
      </c>
      <c r="CA41" s="508" t="str">
        <f t="shared" si="55"/>
        <v/>
      </c>
      <c r="CB41" s="508" t="str">
        <f t="shared" si="56"/>
        <v/>
      </c>
      <c r="CC41" s="508" t="str">
        <f t="shared" si="57"/>
        <v/>
      </c>
      <c r="CD41" s="508" t="str">
        <f t="shared" si="58"/>
        <v/>
      </c>
      <c r="CE41" s="508" t="str">
        <f t="shared" si="59"/>
        <v/>
      </c>
      <c r="CF41" s="508" t="str">
        <f t="shared" si="60"/>
        <v/>
      </c>
      <c r="CG41" s="508" t="str">
        <f t="shared" si="61"/>
        <v/>
      </c>
      <c r="CH41" s="508" t="str">
        <f t="shared" si="62"/>
        <v/>
      </c>
      <c r="CI41" s="508" t="str">
        <f t="shared" si="63"/>
        <v/>
      </c>
      <c r="CJ41" s="508" t="str">
        <f t="shared" si="64"/>
        <v/>
      </c>
      <c r="CK41" s="508" t="str">
        <f t="shared" si="65"/>
        <v/>
      </c>
      <c r="CL41" s="508" t="str">
        <f t="shared" si="66"/>
        <v/>
      </c>
      <c r="CM41" s="508" t="str">
        <f t="shared" si="67"/>
        <v/>
      </c>
      <c r="CN41" s="508" t="str">
        <f t="shared" si="68"/>
        <v/>
      </c>
      <c r="CO41" s="508" t="str">
        <f t="shared" si="69"/>
        <v/>
      </c>
      <c r="CP41" s="508" t="str">
        <f t="shared" si="70"/>
        <v/>
      </c>
      <c r="CQ41" s="508" t="str">
        <f t="shared" si="71"/>
        <v/>
      </c>
      <c r="CR41" s="508" t="str">
        <f t="shared" si="72"/>
        <v/>
      </c>
      <c r="CS41" s="508" t="str">
        <f t="shared" si="73"/>
        <v/>
      </c>
      <c r="CT41" s="508" t="str">
        <f t="shared" si="74"/>
        <v/>
      </c>
      <c r="CU41" s="508" t="str">
        <f t="shared" si="75"/>
        <v/>
      </c>
      <c r="CV41" s="508" t="str">
        <f t="shared" si="76"/>
        <v/>
      </c>
      <c r="CW41" s="508" t="str">
        <f t="shared" si="77"/>
        <v/>
      </c>
      <c r="CX41" s="508" t="str">
        <f t="shared" si="78"/>
        <v/>
      </c>
      <c r="CY41" s="508" t="str">
        <f t="shared" si="79"/>
        <v/>
      </c>
      <c r="CZ41" s="508" t="str">
        <f t="shared" si="80"/>
        <v/>
      </c>
      <c r="DA41" s="508" t="str">
        <f t="shared" si="81"/>
        <v/>
      </c>
      <c r="DB41" s="508" t="str">
        <f t="shared" si="82"/>
        <v/>
      </c>
      <c r="DC41" s="508" t="str">
        <f t="shared" si="83"/>
        <v/>
      </c>
      <c r="DD41" s="508" t="str">
        <f t="shared" si="84"/>
        <v/>
      </c>
      <c r="DE41" s="508" t="str">
        <f t="shared" si="85"/>
        <v/>
      </c>
      <c r="DF41" s="508" t="str">
        <f t="shared" si="86"/>
        <v/>
      </c>
      <c r="DG41" s="508" t="str">
        <f t="shared" si="87"/>
        <v/>
      </c>
      <c r="DH41" s="508" t="str">
        <f t="shared" si="88"/>
        <v/>
      </c>
      <c r="DI41" s="508" t="str">
        <f t="shared" si="89"/>
        <v/>
      </c>
      <c r="DJ41" s="508" t="str">
        <f t="shared" si="90"/>
        <v/>
      </c>
      <c r="DK41" s="508" t="str">
        <f t="shared" si="91"/>
        <v/>
      </c>
      <c r="DL41" s="508" t="str">
        <f t="shared" si="92"/>
        <v/>
      </c>
      <c r="DM41" s="508" t="str">
        <f t="shared" si="93"/>
        <v/>
      </c>
      <c r="DN41" s="508" t="str">
        <f t="shared" si="94"/>
        <v/>
      </c>
      <c r="DO41" s="508" t="str">
        <f t="shared" si="95"/>
        <v/>
      </c>
      <c r="DP41" s="508" t="str">
        <f t="shared" si="96"/>
        <v/>
      </c>
      <c r="DQ41" s="508" t="str">
        <f t="shared" si="97"/>
        <v/>
      </c>
      <c r="DR41" s="508" t="str">
        <f t="shared" si="98"/>
        <v/>
      </c>
      <c r="DS41" s="508" t="str">
        <f t="shared" si="99"/>
        <v/>
      </c>
      <c r="DT41" s="508" t="str">
        <f t="shared" si="100"/>
        <v/>
      </c>
      <c r="DU41" s="508" t="str">
        <f t="shared" si="101"/>
        <v/>
      </c>
      <c r="DV41" s="508" t="str">
        <f t="shared" si="102"/>
        <v/>
      </c>
      <c r="DW41" s="508" t="str">
        <f t="shared" si="103"/>
        <v/>
      </c>
      <c r="DX41" s="508" t="str">
        <f t="shared" si="104"/>
        <v/>
      </c>
      <c r="DY41" s="508" t="str">
        <f t="shared" si="105"/>
        <v/>
      </c>
      <c r="DZ41" s="508" t="str">
        <f t="shared" si="106"/>
        <v/>
      </c>
      <c r="EA41" s="508" t="str">
        <f t="shared" si="107"/>
        <v/>
      </c>
      <c r="EB41" s="508" t="str">
        <f t="shared" si="108"/>
        <v/>
      </c>
      <c r="EC41" s="508" t="str">
        <f t="shared" si="109"/>
        <v/>
      </c>
      <c r="ED41" s="508" t="str">
        <f t="shared" si="110"/>
        <v/>
      </c>
      <c r="EE41" s="508" t="str">
        <f t="shared" si="111"/>
        <v/>
      </c>
      <c r="EF41" s="508" t="str">
        <f t="shared" si="112"/>
        <v/>
      </c>
      <c r="EG41" s="508" t="str">
        <f t="shared" si="113"/>
        <v/>
      </c>
      <c r="EH41" s="508" t="str">
        <f t="shared" si="114"/>
        <v/>
      </c>
      <c r="EI41" s="508" t="str">
        <f t="shared" si="115"/>
        <v/>
      </c>
      <c r="EJ41" s="508" t="str">
        <f t="shared" si="116"/>
        <v/>
      </c>
      <c r="EK41" s="508" t="str">
        <f t="shared" si="117"/>
        <v/>
      </c>
      <c r="EL41" s="508" t="str">
        <f t="shared" si="118"/>
        <v/>
      </c>
      <c r="EM41" s="508" t="str">
        <f t="shared" si="119"/>
        <v/>
      </c>
      <c r="EN41" s="508" t="str">
        <f t="shared" si="120"/>
        <v/>
      </c>
      <c r="EO41" s="508" t="str">
        <f t="shared" si="121"/>
        <v/>
      </c>
      <c r="EP41" s="508" t="str">
        <f t="shared" si="122"/>
        <v/>
      </c>
      <c r="EQ41" s="508" t="str">
        <f t="shared" si="123"/>
        <v/>
      </c>
      <c r="ER41" s="508" t="str">
        <f t="shared" si="124"/>
        <v/>
      </c>
      <c r="ES41" s="508" t="str">
        <f t="shared" si="125"/>
        <v/>
      </c>
      <c r="ET41" s="508" t="str">
        <f t="shared" si="126"/>
        <v/>
      </c>
      <c r="EU41" s="508" t="str">
        <f t="shared" si="127"/>
        <v/>
      </c>
      <c r="EV41" s="518" t="str">
        <f t="shared" si="128"/>
        <v/>
      </c>
      <c r="EW41" s="518" t="str">
        <f t="shared" si="129"/>
        <v/>
      </c>
      <c r="EX41" s="518" t="str">
        <f t="shared" si="130"/>
        <v/>
      </c>
      <c r="EY41" s="518" t="str">
        <f t="shared" si="131"/>
        <v/>
      </c>
      <c r="EZ41" s="518" t="str">
        <f t="shared" si="132"/>
        <v/>
      </c>
      <c r="FA41" s="518" t="str">
        <f t="shared" si="133"/>
        <v/>
      </c>
      <c r="FB41" s="518" t="str">
        <f t="shared" si="134"/>
        <v/>
      </c>
      <c r="FC41" s="518" t="str">
        <f t="shared" si="135"/>
        <v/>
      </c>
      <c r="FD41" s="518" t="str">
        <f t="shared" si="136"/>
        <v/>
      </c>
      <c r="FE41" s="518" t="str">
        <f t="shared" si="137"/>
        <v/>
      </c>
      <c r="FF41" s="518" t="str">
        <f t="shared" si="138"/>
        <v/>
      </c>
      <c r="FG41" s="518" t="str">
        <f t="shared" si="139"/>
        <v/>
      </c>
      <c r="FH41" s="518" t="str">
        <f t="shared" si="140"/>
        <v/>
      </c>
      <c r="FI41" s="518" t="str">
        <f t="shared" si="141"/>
        <v/>
      </c>
      <c r="FJ41" s="518" t="str">
        <f t="shared" si="142"/>
        <v/>
      </c>
      <c r="FK41" s="518" t="str">
        <f t="shared" si="143"/>
        <v/>
      </c>
      <c r="FL41" s="518" t="str">
        <f t="shared" si="144"/>
        <v/>
      </c>
      <c r="FM41" s="518" t="str">
        <f t="shared" si="145"/>
        <v/>
      </c>
      <c r="FN41" s="518" t="str">
        <f t="shared" si="146"/>
        <v/>
      </c>
      <c r="FO41" s="518" t="str">
        <f t="shared" si="147"/>
        <v/>
      </c>
      <c r="FP41" s="518" t="str">
        <f t="shared" si="148"/>
        <v/>
      </c>
      <c r="FQ41" s="518" t="str">
        <f t="shared" si="149"/>
        <v/>
      </c>
      <c r="FR41" s="518" t="str">
        <f t="shared" si="150"/>
        <v/>
      </c>
      <c r="FS41" s="518" t="str">
        <f t="shared" si="151"/>
        <v/>
      </c>
      <c r="FT41" s="518" t="str">
        <f t="shared" si="152"/>
        <v/>
      </c>
      <c r="FU41" s="518" t="str">
        <f t="shared" si="153"/>
        <v/>
      </c>
      <c r="FV41" s="518" t="str">
        <f t="shared" si="154"/>
        <v/>
      </c>
      <c r="FW41" s="518" t="str">
        <f t="shared" si="155"/>
        <v/>
      </c>
      <c r="FX41" s="518" t="str">
        <f t="shared" si="156"/>
        <v/>
      </c>
      <c r="FY41" s="518" t="str">
        <f t="shared" si="157"/>
        <v/>
      </c>
      <c r="FZ41" s="518" t="str">
        <f t="shared" si="158"/>
        <v/>
      </c>
      <c r="GA41" s="518" t="str">
        <f t="shared" si="159"/>
        <v/>
      </c>
      <c r="GB41" s="518" t="str">
        <f t="shared" si="160"/>
        <v/>
      </c>
      <c r="GC41" s="518" t="str">
        <f t="shared" si="161"/>
        <v/>
      </c>
      <c r="GD41" s="518" t="str">
        <f t="shared" si="162"/>
        <v/>
      </c>
      <c r="GE41" s="518" t="str">
        <f t="shared" si="163"/>
        <v/>
      </c>
      <c r="GF41" s="518" t="str">
        <f t="shared" si="164"/>
        <v/>
      </c>
      <c r="GG41" s="518" t="str">
        <f t="shared" si="165"/>
        <v/>
      </c>
      <c r="GH41" s="518" t="str">
        <f t="shared" si="166"/>
        <v/>
      </c>
      <c r="GI41" s="518" t="str">
        <f t="shared" si="167"/>
        <v/>
      </c>
      <c r="GJ41" s="518" t="str">
        <f t="shared" si="168"/>
        <v/>
      </c>
      <c r="GK41" s="518" t="str">
        <f t="shared" si="169"/>
        <v/>
      </c>
      <c r="GL41" s="518" t="str">
        <f t="shared" si="170"/>
        <v/>
      </c>
      <c r="GM41" s="518" t="str">
        <f t="shared" si="171"/>
        <v/>
      </c>
      <c r="GN41" s="518" t="str">
        <f t="shared" si="172"/>
        <v/>
      </c>
      <c r="GO41" s="518" t="str">
        <f t="shared" si="173"/>
        <v/>
      </c>
      <c r="GP41" s="518" t="str">
        <f t="shared" si="174"/>
        <v/>
      </c>
      <c r="GQ41" s="518" t="str">
        <f t="shared" si="175"/>
        <v/>
      </c>
      <c r="GR41" s="518" t="str">
        <f t="shared" si="176"/>
        <v/>
      </c>
      <c r="GS41" s="518" t="str">
        <f t="shared" si="177"/>
        <v/>
      </c>
      <c r="GT41" s="518" t="str">
        <f t="shared" si="178"/>
        <v/>
      </c>
      <c r="GU41" s="518" t="str">
        <f t="shared" si="179"/>
        <v/>
      </c>
      <c r="GV41" s="518" t="str">
        <f t="shared" si="180"/>
        <v/>
      </c>
      <c r="GW41" s="518" t="str">
        <f t="shared" si="181"/>
        <v/>
      </c>
      <c r="GX41" s="518" t="str">
        <f t="shared" si="182"/>
        <v/>
      </c>
      <c r="GY41" s="518" t="str">
        <f t="shared" si="183"/>
        <v/>
      </c>
      <c r="GZ41" s="518" t="str">
        <f t="shared" si="184"/>
        <v/>
      </c>
      <c r="HA41" s="518" t="str">
        <f t="shared" si="185"/>
        <v/>
      </c>
      <c r="HB41" s="518" t="str">
        <f t="shared" si="186"/>
        <v/>
      </c>
      <c r="HC41" s="518" t="str">
        <f t="shared" si="187"/>
        <v/>
      </c>
      <c r="HD41" s="518" t="str">
        <f t="shared" si="188"/>
        <v/>
      </c>
      <c r="HE41" s="518" t="str">
        <f t="shared" si="189"/>
        <v/>
      </c>
      <c r="HF41" s="518" t="str">
        <f t="shared" si="190"/>
        <v/>
      </c>
      <c r="HG41" s="518" t="str">
        <f t="shared" si="191"/>
        <v/>
      </c>
      <c r="HH41" s="518" t="str">
        <f t="shared" si="192"/>
        <v/>
      </c>
      <c r="HI41" s="518" t="str">
        <f t="shared" si="193"/>
        <v/>
      </c>
      <c r="HJ41" s="518" t="str">
        <f t="shared" si="194"/>
        <v/>
      </c>
      <c r="HK41" s="518" t="str">
        <f t="shared" si="195"/>
        <v/>
      </c>
      <c r="HL41" s="518" t="str">
        <f t="shared" si="196"/>
        <v/>
      </c>
      <c r="HM41" s="518" t="str">
        <f t="shared" si="197"/>
        <v/>
      </c>
      <c r="HN41" s="518" t="str">
        <f t="shared" si="198"/>
        <v/>
      </c>
      <c r="HO41" s="518" t="str">
        <f t="shared" si="199"/>
        <v/>
      </c>
      <c r="HP41" s="518" t="str">
        <f t="shared" si="200"/>
        <v/>
      </c>
      <c r="HQ41" s="518" t="str">
        <f t="shared" si="201"/>
        <v/>
      </c>
      <c r="HR41" s="518" t="str">
        <f t="shared" si="202"/>
        <v/>
      </c>
      <c r="HS41" s="518" t="str">
        <f t="shared" si="203"/>
        <v/>
      </c>
      <c r="HT41" s="518" t="str">
        <f t="shared" si="204"/>
        <v/>
      </c>
      <c r="HU41" s="518" t="str">
        <f t="shared" si="205"/>
        <v/>
      </c>
      <c r="HV41" s="518" t="str">
        <f t="shared" si="206"/>
        <v/>
      </c>
      <c r="HW41" s="518" t="str">
        <f t="shared" si="207"/>
        <v/>
      </c>
      <c r="HX41" s="518" t="str">
        <f t="shared" si="208"/>
        <v/>
      </c>
      <c r="HY41" s="518" t="str">
        <f t="shared" si="209"/>
        <v/>
      </c>
      <c r="HZ41" s="518" t="str">
        <f t="shared" si="210"/>
        <v/>
      </c>
      <c r="IA41" s="518" t="str">
        <f t="shared" si="211"/>
        <v/>
      </c>
      <c r="IB41" s="518" t="str">
        <f t="shared" si="212"/>
        <v/>
      </c>
      <c r="IC41" s="519" t="str">
        <f t="shared" si="213"/>
        <v/>
      </c>
      <c r="ID41" s="519" t="str">
        <f t="shared" si="214"/>
        <v/>
      </c>
      <c r="IE41" s="519" t="str">
        <f t="shared" si="215"/>
        <v/>
      </c>
      <c r="IF41" s="519" t="str">
        <f t="shared" si="216"/>
        <v/>
      </c>
      <c r="IG41" s="519" t="str">
        <f t="shared" si="217"/>
        <v/>
      </c>
      <c r="IH41" s="508" t="str">
        <f t="shared" si="218"/>
        <v/>
      </c>
      <c r="II41" s="508" t="str">
        <f t="shared" si="219"/>
        <v/>
      </c>
      <c r="IJ41" s="508" t="str">
        <f t="shared" si="220"/>
        <v/>
      </c>
      <c r="IK41" s="508" t="str">
        <f t="shared" si="221"/>
        <v/>
      </c>
      <c r="IL41" s="508" t="str">
        <f t="shared" si="222"/>
        <v/>
      </c>
      <c r="IM41" s="508" t="str">
        <f t="shared" si="223"/>
        <v/>
      </c>
      <c r="IN41" s="508" t="str">
        <f t="shared" si="224"/>
        <v/>
      </c>
      <c r="IO41" s="508" t="str">
        <f t="shared" si="225"/>
        <v/>
      </c>
      <c r="IP41" s="508" t="str">
        <f t="shared" si="226"/>
        <v/>
      </c>
      <c r="IQ41" s="508" t="str">
        <f t="shared" si="227"/>
        <v/>
      </c>
      <c r="IR41" s="508" t="str">
        <f t="shared" si="228"/>
        <v/>
      </c>
      <c r="IS41" s="508" t="str">
        <f t="shared" si="229"/>
        <v/>
      </c>
      <c r="IT41" s="508" t="str">
        <f t="shared" si="230"/>
        <v/>
      </c>
      <c r="IU41" s="508" t="str">
        <f t="shared" si="231"/>
        <v/>
      </c>
      <c r="IV41" s="508" t="str">
        <f t="shared" si="232"/>
        <v/>
      </c>
      <c r="IW41" s="508" t="str">
        <f t="shared" si="233"/>
        <v/>
      </c>
      <c r="IX41" s="508" t="str">
        <f t="shared" si="234"/>
        <v/>
      </c>
      <c r="IY41" s="508" t="str">
        <f t="shared" si="235"/>
        <v/>
      </c>
      <c r="IZ41" s="508" t="str">
        <f t="shared" si="236"/>
        <v/>
      </c>
      <c r="JA41" s="508" t="str">
        <f t="shared" si="237"/>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67" t="s">
        <v>1859</v>
      </c>
      <c r="C42" s="2368"/>
      <c r="D42" s="2369"/>
      <c r="E42" s="2370"/>
      <c r="F42" s="2370"/>
      <c r="G42" s="2370"/>
      <c r="H42" s="2370"/>
      <c r="I42" s="2370"/>
      <c r="J42" s="2371"/>
      <c r="K42" s="861">
        <f t="shared" si="1"/>
        <v>0</v>
      </c>
      <c r="L42" s="861">
        <f t="shared" si="2"/>
        <v>0</v>
      </c>
      <c r="M42" s="2372"/>
      <c r="N42" s="2372"/>
      <c r="O42" s="2372"/>
      <c r="P42" s="2372"/>
      <c r="Q42" s="472" t="str">
        <f>IF(H42="","",P42/($O$6*VLOOKUP(C42,'DCA Underwriting Assumptions'!$J$118:$K$123,2,FALSE)))</f>
        <v/>
      </c>
      <c r="R42" s="547"/>
      <c r="S42" s="472"/>
      <c r="T42" s="2306"/>
      <c r="U42" s="2307"/>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238"/>
        <v/>
      </c>
      <c r="BU42" s="508" t="str">
        <f t="shared" si="239"/>
        <v/>
      </c>
      <c r="BV42" s="508" t="str">
        <f t="shared" si="240"/>
        <v/>
      </c>
      <c r="BW42" s="508" t="str">
        <f t="shared" si="241"/>
        <v/>
      </c>
      <c r="BX42" s="508" t="str">
        <f t="shared" si="242"/>
        <v/>
      </c>
      <c r="BY42" s="508" t="str">
        <f t="shared" si="53"/>
        <v/>
      </c>
      <c r="BZ42" s="508" t="str">
        <f t="shared" si="54"/>
        <v/>
      </c>
      <c r="CA42" s="508" t="str">
        <f t="shared" si="55"/>
        <v/>
      </c>
      <c r="CB42" s="508" t="str">
        <f t="shared" si="56"/>
        <v/>
      </c>
      <c r="CC42" s="508" t="str">
        <f t="shared" si="57"/>
        <v/>
      </c>
      <c r="CD42" s="508" t="str">
        <f t="shared" si="58"/>
        <v/>
      </c>
      <c r="CE42" s="508" t="str">
        <f t="shared" si="59"/>
        <v/>
      </c>
      <c r="CF42" s="508" t="str">
        <f t="shared" si="60"/>
        <v/>
      </c>
      <c r="CG42" s="508" t="str">
        <f t="shared" si="61"/>
        <v/>
      </c>
      <c r="CH42" s="508" t="str">
        <f t="shared" si="62"/>
        <v/>
      </c>
      <c r="CI42" s="508" t="str">
        <f t="shared" si="63"/>
        <v/>
      </c>
      <c r="CJ42" s="508" t="str">
        <f t="shared" si="64"/>
        <v/>
      </c>
      <c r="CK42" s="508" t="str">
        <f t="shared" si="65"/>
        <v/>
      </c>
      <c r="CL42" s="508" t="str">
        <f t="shared" si="66"/>
        <v/>
      </c>
      <c r="CM42" s="508" t="str">
        <f t="shared" si="67"/>
        <v/>
      </c>
      <c r="CN42" s="508" t="str">
        <f t="shared" si="68"/>
        <v/>
      </c>
      <c r="CO42" s="508" t="str">
        <f t="shared" si="69"/>
        <v/>
      </c>
      <c r="CP42" s="508" t="str">
        <f t="shared" si="70"/>
        <v/>
      </c>
      <c r="CQ42" s="508" t="str">
        <f t="shared" si="71"/>
        <v/>
      </c>
      <c r="CR42" s="508" t="str">
        <f t="shared" si="72"/>
        <v/>
      </c>
      <c r="CS42" s="508" t="str">
        <f t="shared" si="73"/>
        <v/>
      </c>
      <c r="CT42" s="508" t="str">
        <f t="shared" si="74"/>
        <v/>
      </c>
      <c r="CU42" s="508" t="str">
        <f t="shared" si="75"/>
        <v/>
      </c>
      <c r="CV42" s="508" t="str">
        <f t="shared" si="76"/>
        <v/>
      </c>
      <c r="CW42" s="508" t="str">
        <f t="shared" si="77"/>
        <v/>
      </c>
      <c r="CX42" s="508" t="str">
        <f t="shared" si="78"/>
        <v/>
      </c>
      <c r="CY42" s="508" t="str">
        <f t="shared" si="79"/>
        <v/>
      </c>
      <c r="CZ42" s="508" t="str">
        <f t="shared" si="80"/>
        <v/>
      </c>
      <c r="DA42" s="508" t="str">
        <f t="shared" si="81"/>
        <v/>
      </c>
      <c r="DB42" s="508" t="str">
        <f t="shared" si="82"/>
        <v/>
      </c>
      <c r="DC42" s="508" t="str">
        <f t="shared" si="83"/>
        <v/>
      </c>
      <c r="DD42" s="508" t="str">
        <f t="shared" si="84"/>
        <v/>
      </c>
      <c r="DE42" s="508" t="str">
        <f t="shared" si="85"/>
        <v/>
      </c>
      <c r="DF42" s="508" t="str">
        <f t="shared" si="86"/>
        <v/>
      </c>
      <c r="DG42" s="508" t="str">
        <f t="shared" si="87"/>
        <v/>
      </c>
      <c r="DH42" s="508" t="str">
        <f t="shared" si="88"/>
        <v/>
      </c>
      <c r="DI42" s="508" t="str">
        <f t="shared" si="89"/>
        <v/>
      </c>
      <c r="DJ42" s="508" t="str">
        <f t="shared" si="90"/>
        <v/>
      </c>
      <c r="DK42" s="508" t="str">
        <f t="shared" si="91"/>
        <v/>
      </c>
      <c r="DL42" s="508" t="str">
        <f t="shared" si="92"/>
        <v/>
      </c>
      <c r="DM42" s="508" t="str">
        <f t="shared" si="93"/>
        <v/>
      </c>
      <c r="DN42" s="508" t="str">
        <f t="shared" si="94"/>
        <v/>
      </c>
      <c r="DO42" s="508" t="str">
        <f t="shared" si="95"/>
        <v/>
      </c>
      <c r="DP42" s="508" t="str">
        <f t="shared" si="96"/>
        <v/>
      </c>
      <c r="DQ42" s="508" t="str">
        <f t="shared" si="97"/>
        <v/>
      </c>
      <c r="DR42" s="508" t="str">
        <f t="shared" si="98"/>
        <v/>
      </c>
      <c r="DS42" s="508" t="str">
        <f t="shared" si="99"/>
        <v/>
      </c>
      <c r="DT42" s="508" t="str">
        <f t="shared" si="100"/>
        <v/>
      </c>
      <c r="DU42" s="508" t="str">
        <f t="shared" si="101"/>
        <v/>
      </c>
      <c r="DV42" s="508" t="str">
        <f t="shared" si="102"/>
        <v/>
      </c>
      <c r="DW42" s="508" t="str">
        <f t="shared" si="103"/>
        <v/>
      </c>
      <c r="DX42" s="508" t="str">
        <f t="shared" si="104"/>
        <v/>
      </c>
      <c r="DY42" s="508" t="str">
        <f t="shared" si="105"/>
        <v/>
      </c>
      <c r="DZ42" s="508" t="str">
        <f t="shared" si="106"/>
        <v/>
      </c>
      <c r="EA42" s="508" t="str">
        <f t="shared" si="107"/>
        <v/>
      </c>
      <c r="EB42" s="508" t="str">
        <f t="shared" si="108"/>
        <v/>
      </c>
      <c r="EC42" s="508" t="str">
        <f t="shared" si="109"/>
        <v/>
      </c>
      <c r="ED42" s="508" t="str">
        <f t="shared" si="110"/>
        <v/>
      </c>
      <c r="EE42" s="508" t="str">
        <f t="shared" si="111"/>
        <v/>
      </c>
      <c r="EF42" s="508" t="str">
        <f t="shared" si="112"/>
        <v/>
      </c>
      <c r="EG42" s="508" t="str">
        <f t="shared" si="113"/>
        <v/>
      </c>
      <c r="EH42" s="508" t="str">
        <f t="shared" si="114"/>
        <v/>
      </c>
      <c r="EI42" s="508" t="str">
        <f t="shared" si="115"/>
        <v/>
      </c>
      <c r="EJ42" s="508" t="str">
        <f t="shared" si="116"/>
        <v/>
      </c>
      <c r="EK42" s="508" t="str">
        <f t="shared" si="117"/>
        <v/>
      </c>
      <c r="EL42" s="508" t="str">
        <f t="shared" si="118"/>
        <v/>
      </c>
      <c r="EM42" s="508" t="str">
        <f t="shared" si="119"/>
        <v/>
      </c>
      <c r="EN42" s="508" t="str">
        <f t="shared" si="120"/>
        <v/>
      </c>
      <c r="EO42" s="508" t="str">
        <f t="shared" si="121"/>
        <v/>
      </c>
      <c r="EP42" s="508" t="str">
        <f t="shared" si="122"/>
        <v/>
      </c>
      <c r="EQ42" s="508" t="str">
        <f t="shared" si="123"/>
        <v/>
      </c>
      <c r="ER42" s="508" t="str">
        <f t="shared" si="124"/>
        <v/>
      </c>
      <c r="ES42" s="508" t="str">
        <f t="shared" si="125"/>
        <v/>
      </c>
      <c r="ET42" s="508" t="str">
        <f t="shared" si="126"/>
        <v/>
      </c>
      <c r="EU42" s="508" t="str">
        <f t="shared" si="127"/>
        <v/>
      </c>
      <c r="EV42" s="518" t="str">
        <f t="shared" si="128"/>
        <v/>
      </c>
      <c r="EW42" s="518" t="str">
        <f t="shared" si="129"/>
        <v/>
      </c>
      <c r="EX42" s="518" t="str">
        <f t="shared" si="130"/>
        <v/>
      </c>
      <c r="EY42" s="518" t="str">
        <f t="shared" si="131"/>
        <v/>
      </c>
      <c r="EZ42" s="518" t="str">
        <f t="shared" si="132"/>
        <v/>
      </c>
      <c r="FA42" s="518" t="str">
        <f t="shared" si="133"/>
        <v/>
      </c>
      <c r="FB42" s="518" t="str">
        <f t="shared" si="134"/>
        <v/>
      </c>
      <c r="FC42" s="518" t="str">
        <f t="shared" si="135"/>
        <v/>
      </c>
      <c r="FD42" s="518" t="str">
        <f t="shared" si="136"/>
        <v/>
      </c>
      <c r="FE42" s="518" t="str">
        <f t="shared" si="137"/>
        <v/>
      </c>
      <c r="FF42" s="518" t="str">
        <f t="shared" si="138"/>
        <v/>
      </c>
      <c r="FG42" s="518" t="str">
        <f t="shared" si="139"/>
        <v/>
      </c>
      <c r="FH42" s="518" t="str">
        <f t="shared" si="140"/>
        <v/>
      </c>
      <c r="FI42" s="518" t="str">
        <f t="shared" si="141"/>
        <v/>
      </c>
      <c r="FJ42" s="518" t="str">
        <f t="shared" si="142"/>
        <v/>
      </c>
      <c r="FK42" s="518" t="str">
        <f t="shared" si="143"/>
        <v/>
      </c>
      <c r="FL42" s="518" t="str">
        <f t="shared" si="144"/>
        <v/>
      </c>
      <c r="FM42" s="518" t="str">
        <f t="shared" si="145"/>
        <v/>
      </c>
      <c r="FN42" s="518" t="str">
        <f t="shared" si="146"/>
        <v/>
      </c>
      <c r="FO42" s="518" t="str">
        <f t="shared" si="147"/>
        <v/>
      </c>
      <c r="FP42" s="518" t="str">
        <f t="shared" si="148"/>
        <v/>
      </c>
      <c r="FQ42" s="518" t="str">
        <f t="shared" si="149"/>
        <v/>
      </c>
      <c r="FR42" s="518" t="str">
        <f t="shared" si="150"/>
        <v/>
      </c>
      <c r="FS42" s="518" t="str">
        <f t="shared" si="151"/>
        <v/>
      </c>
      <c r="FT42" s="518" t="str">
        <f t="shared" si="152"/>
        <v/>
      </c>
      <c r="FU42" s="518" t="str">
        <f t="shared" si="153"/>
        <v/>
      </c>
      <c r="FV42" s="518" t="str">
        <f t="shared" si="154"/>
        <v/>
      </c>
      <c r="FW42" s="518" t="str">
        <f t="shared" si="155"/>
        <v/>
      </c>
      <c r="FX42" s="518" t="str">
        <f t="shared" si="156"/>
        <v/>
      </c>
      <c r="FY42" s="518" t="str">
        <f t="shared" si="157"/>
        <v/>
      </c>
      <c r="FZ42" s="518" t="str">
        <f t="shared" si="158"/>
        <v/>
      </c>
      <c r="GA42" s="518" t="str">
        <f t="shared" si="159"/>
        <v/>
      </c>
      <c r="GB42" s="518" t="str">
        <f t="shared" si="160"/>
        <v/>
      </c>
      <c r="GC42" s="518" t="str">
        <f t="shared" si="161"/>
        <v/>
      </c>
      <c r="GD42" s="518" t="str">
        <f t="shared" si="162"/>
        <v/>
      </c>
      <c r="GE42" s="518" t="str">
        <f t="shared" si="163"/>
        <v/>
      </c>
      <c r="GF42" s="518" t="str">
        <f t="shared" si="164"/>
        <v/>
      </c>
      <c r="GG42" s="518" t="str">
        <f t="shared" si="165"/>
        <v/>
      </c>
      <c r="GH42" s="518" t="str">
        <f t="shared" si="166"/>
        <v/>
      </c>
      <c r="GI42" s="518" t="str">
        <f t="shared" si="167"/>
        <v/>
      </c>
      <c r="GJ42" s="518" t="str">
        <f t="shared" si="168"/>
        <v/>
      </c>
      <c r="GK42" s="518" t="str">
        <f t="shared" si="169"/>
        <v/>
      </c>
      <c r="GL42" s="518" t="str">
        <f t="shared" si="170"/>
        <v/>
      </c>
      <c r="GM42" s="518" t="str">
        <f t="shared" si="171"/>
        <v/>
      </c>
      <c r="GN42" s="518" t="str">
        <f t="shared" si="172"/>
        <v/>
      </c>
      <c r="GO42" s="518" t="str">
        <f t="shared" si="173"/>
        <v/>
      </c>
      <c r="GP42" s="518" t="str">
        <f t="shared" si="174"/>
        <v/>
      </c>
      <c r="GQ42" s="518" t="str">
        <f t="shared" si="175"/>
        <v/>
      </c>
      <c r="GR42" s="518" t="str">
        <f t="shared" si="176"/>
        <v/>
      </c>
      <c r="GS42" s="518" t="str">
        <f t="shared" si="177"/>
        <v/>
      </c>
      <c r="GT42" s="518" t="str">
        <f t="shared" si="178"/>
        <v/>
      </c>
      <c r="GU42" s="518" t="str">
        <f t="shared" si="179"/>
        <v/>
      </c>
      <c r="GV42" s="518" t="str">
        <f t="shared" si="180"/>
        <v/>
      </c>
      <c r="GW42" s="518" t="str">
        <f t="shared" si="181"/>
        <v/>
      </c>
      <c r="GX42" s="518" t="str">
        <f t="shared" si="182"/>
        <v/>
      </c>
      <c r="GY42" s="518" t="str">
        <f t="shared" si="183"/>
        <v/>
      </c>
      <c r="GZ42" s="518" t="str">
        <f t="shared" si="184"/>
        <v/>
      </c>
      <c r="HA42" s="518" t="str">
        <f t="shared" si="185"/>
        <v/>
      </c>
      <c r="HB42" s="518" t="str">
        <f t="shared" si="186"/>
        <v/>
      </c>
      <c r="HC42" s="518" t="str">
        <f t="shared" si="187"/>
        <v/>
      </c>
      <c r="HD42" s="518" t="str">
        <f t="shared" si="188"/>
        <v/>
      </c>
      <c r="HE42" s="518" t="str">
        <f t="shared" si="189"/>
        <v/>
      </c>
      <c r="HF42" s="518" t="str">
        <f t="shared" si="190"/>
        <v/>
      </c>
      <c r="HG42" s="518" t="str">
        <f t="shared" si="191"/>
        <v/>
      </c>
      <c r="HH42" s="518" t="str">
        <f t="shared" si="192"/>
        <v/>
      </c>
      <c r="HI42" s="518" t="str">
        <f t="shared" si="193"/>
        <v/>
      </c>
      <c r="HJ42" s="518" t="str">
        <f t="shared" si="194"/>
        <v/>
      </c>
      <c r="HK42" s="518" t="str">
        <f t="shared" si="195"/>
        <v/>
      </c>
      <c r="HL42" s="518" t="str">
        <f t="shared" si="196"/>
        <v/>
      </c>
      <c r="HM42" s="518" t="str">
        <f t="shared" si="197"/>
        <v/>
      </c>
      <c r="HN42" s="518" t="str">
        <f t="shared" si="198"/>
        <v/>
      </c>
      <c r="HO42" s="518" t="str">
        <f t="shared" si="199"/>
        <v/>
      </c>
      <c r="HP42" s="518" t="str">
        <f t="shared" si="200"/>
        <v/>
      </c>
      <c r="HQ42" s="518" t="str">
        <f t="shared" si="201"/>
        <v/>
      </c>
      <c r="HR42" s="518" t="str">
        <f t="shared" si="202"/>
        <v/>
      </c>
      <c r="HS42" s="518" t="str">
        <f t="shared" si="203"/>
        <v/>
      </c>
      <c r="HT42" s="518" t="str">
        <f t="shared" si="204"/>
        <v/>
      </c>
      <c r="HU42" s="518" t="str">
        <f t="shared" si="205"/>
        <v/>
      </c>
      <c r="HV42" s="518" t="str">
        <f t="shared" si="206"/>
        <v/>
      </c>
      <c r="HW42" s="518" t="str">
        <f t="shared" si="207"/>
        <v/>
      </c>
      <c r="HX42" s="518" t="str">
        <f t="shared" si="208"/>
        <v/>
      </c>
      <c r="HY42" s="518" t="str">
        <f t="shared" si="209"/>
        <v/>
      </c>
      <c r="HZ42" s="518" t="str">
        <f t="shared" si="210"/>
        <v/>
      </c>
      <c r="IA42" s="518" t="str">
        <f t="shared" si="211"/>
        <v/>
      </c>
      <c r="IB42" s="518" t="str">
        <f t="shared" si="212"/>
        <v/>
      </c>
      <c r="IC42" s="519" t="str">
        <f t="shared" si="213"/>
        <v/>
      </c>
      <c r="ID42" s="519" t="str">
        <f t="shared" si="214"/>
        <v/>
      </c>
      <c r="IE42" s="519" t="str">
        <f t="shared" si="215"/>
        <v/>
      </c>
      <c r="IF42" s="519" t="str">
        <f t="shared" si="216"/>
        <v/>
      </c>
      <c r="IG42" s="519" t="str">
        <f t="shared" si="217"/>
        <v/>
      </c>
      <c r="IH42" s="508" t="str">
        <f t="shared" si="218"/>
        <v/>
      </c>
      <c r="II42" s="508" t="str">
        <f t="shared" si="219"/>
        <v/>
      </c>
      <c r="IJ42" s="508" t="str">
        <f t="shared" si="220"/>
        <v/>
      </c>
      <c r="IK42" s="508" t="str">
        <f t="shared" si="221"/>
        <v/>
      </c>
      <c r="IL42" s="508" t="str">
        <f t="shared" si="222"/>
        <v/>
      </c>
      <c r="IM42" s="508" t="str">
        <f t="shared" si="223"/>
        <v/>
      </c>
      <c r="IN42" s="508" t="str">
        <f t="shared" si="224"/>
        <v/>
      </c>
      <c r="IO42" s="508" t="str">
        <f t="shared" si="225"/>
        <v/>
      </c>
      <c r="IP42" s="508" t="str">
        <f t="shared" si="226"/>
        <v/>
      </c>
      <c r="IQ42" s="508" t="str">
        <f t="shared" si="227"/>
        <v/>
      </c>
      <c r="IR42" s="508" t="str">
        <f t="shared" si="228"/>
        <v/>
      </c>
      <c r="IS42" s="508" t="str">
        <f t="shared" si="229"/>
        <v/>
      </c>
      <c r="IT42" s="508" t="str">
        <f t="shared" si="230"/>
        <v/>
      </c>
      <c r="IU42" s="508" t="str">
        <f t="shared" si="231"/>
        <v/>
      </c>
      <c r="IV42" s="508" t="str">
        <f t="shared" si="232"/>
        <v/>
      </c>
      <c r="IW42" s="508" t="str">
        <f t="shared" si="233"/>
        <v/>
      </c>
      <c r="IX42" s="508" t="str">
        <f t="shared" si="234"/>
        <v/>
      </c>
      <c r="IY42" s="508" t="str">
        <f t="shared" si="235"/>
        <v/>
      </c>
      <c r="IZ42" s="508" t="str">
        <f t="shared" si="236"/>
        <v/>
      </c>
      <c r="JA42" s="508" t="str">
        <f t="shared" si="237"/>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67" t="s">
        <v>1859</v>
      </c>
      <c r="C43" s="2368"/>
      <c r="D43" s="2369"/>
      <c r="E43" s="2370"/>
      <c r="F43" s="2370"/>
      <c r="G43" s="2370"/>
      <c r="H43" s="2370"/>
      <c r="I43" s="2370"/>
      <c r="J43" s="2371"/>
      <c r="K43" s="861">
        <f t="shared" si="1"/>
        <v>0</v>
      </c>
      <c r="L43" s="861">
        <f t="shared" si="2"/>
        <v>0</v>
      </c>
      <c r="M43" s="2372"/>
      <c r="N43" s="2372"/>
      <c r="O43" s="2372"/>
      <c r="P43" s="2372"/>
      <c r="Q43" s="472" t="str">
        <f>IF(H43="","",P43/($O$6*VLOOKUP(C43,'DCA Underwriting Assumptions'!$J$118:$K$123,2,FALSE)))</f>
        <v/>
      </c>
      <c r="R43" s="547"/>
      <c r="S43" s="472"/>
      <c r="T43" s="2306"/>
      <c r="U43" s="2307"/>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238"/>
        <v/>
      </c>
      <c r="BU43" s="508" t="str">
        <f t="shared" si="239"/>
        <v/>
      </c>
      <c r="BV43" s="508" t="str">
        <f t="shared" si="240"/>
        <v/>
      </c>
      <c r="BW43" s="508" t="str">
        <f t="shared" si="241"/>
        <v/>
      </c>
      <c r="BX43" s="508" t="str">
        <f t="shared" si="242"/>
        <v/>
      </c>
      <c r="BY43" s="508" t="str">
        <f t="shared" si="53"/>
        <v/>
      </c>
      <c r="BZ43" s="508" t="str">
        <f t="shared" si="54"/>
        <v/>
      </c>
      <c r="CA43" s="508" t="str">
        <f t="shared" si="55"/>
        <v/>
      </c>
      <c r="CB43" s="508" t="str">
        <f t="shared" si="56"/>
        <v/>
      </c>
      <c r="CC43" s="508" t="str">
        <f t="shared" si="57"/>
        <v/>
      </c>
      <c r="CD43" s="508" t="str">
        <f t="shared" si="58"/>
        <v/>
      </c>
      <c r="CE43" s="508" t="str">
        <f t="shared" si="59"/>
        <v/>
      </c>
      <c r="CF43" s="508" t="str">
        <f t="shared" si="60"/>
        <v/>
      </c>
      <c r="CG43" s="508" t="str">
        <f t="shared" si="61"/>
        <v/>
      </c>
      <c r="CH43" s="508" t="str">
        <f t="shared" si="62"/>
        <v/>
      </c>
      <c r="CI43" s="508" t="str">
        <f t="shared" si="63"/>
        <v/>
      </c>
      <c r="CJ43" s="508" t="str">
        <f t="shared" si="64"/>
        <v/>
      </c>
      <c r="CK43" s="508" t="str">
        <f t="shared" si="65"/>
        <v/>
      </c>
      <c r="CL43" s="508" t="str">
        <f t="shared" si="66"/>
        <v/>
      </c>
      <c r="CM43" s="508" t="str">
        <f t="shared" si="67"/>
        <v/>
      </c>
      <c r="CN43" s="508" t="str">
        <f t="shared" si="68"/>
        <v/>
      </c>
      <c r="CO43" s="508" t="str">
        <f t="shared" si="69"/>
        <v/>
      </c>
      <c r="CP43" s="508" t="str">
        <f t="shared" si="70"/>
        <v/>
      </c>
      <c r="CQ43" s="508" t="str">
        <f t="shared" si="71"/>
        <v/>
      </c>
      <c r="CR43" s="508" t="str">
        <f t="shared" si="72"/>
        <v/>
      </c>
      <c r="CS43" s="508" t="str">
        <f t="shared" si="73"/>
        <v/>
      </c>
      <c r="CT43" s="508" t="str">
        <f t="shared" si="74"/>
        <v/>
      </c>
      <c r="CU43" s="508" t="str">
        <f t="shared" si="75"/>
        <v/>
      </c>
      <c r="CV43" s="508" t="str">
        <f t="shared" si="76"/>
        <v/>
      </c>
      <c r="CW43" s="508" t="str">
        <f t="shared" si="77"/>
        <v/>
      </c>
      <c r="CX43" s="508" t="str">
        <f t="shared" si="78"/>
        <v/>
      </c>
      <c r="CY43" s="508" t="str">
        <f t="shared" si="79"/>
        <v/>
      </c>
      <c r="CZ43" s="508" t="str">
        <f t="shared" si="80"/>
        <v/>
      </c>
      <c r="DA43" s="508" t="str">
        <f t="shared" si="81"/>
        <v/>
      </c>
      <c r="DB43" s="508" t="str">
        <f t="shared" si="82"/>
        <v/>
      </c>
      <c r="DC43" s="508" t="str">
        <f t="shared" si="83"/>
        <v/>
      </c>
      <c r="DD43" s="508" t="str">
        <f t="shared" si="84"/>
        <v/>
      </c>
      <c r="DE43" s="508" t="str">
        <f t="shared" si="85"/>
        <v/>
      </c>
      <c r="DF43" s="508" t="str">
        <f t="shared" si="86"/>
        <v/>
      </c>
      <c r="DG43" s="508" t="str">
        <f t="shared" si="87"/>
        <v/>
      </c>
      <c r="DH43" s="508" t="str">
        <f t="shared" si="88"/>
        <v/>
      </c>
      <c r="DI43" s="508" t="str">
        <f t="shared" si="89"/>
        <v/>
      </c>
      <c r="DJ43" s="508" t="str">
        <f t="shared" si="90"/>
        <v/>
      </c>
      <c r="DK43" s="508" t="str">
        <f t="shared" si="91"/>
        <v/>
      </c>
      <c r="DL43" s="508" t="str">
        <f t="shared" si="92"/>
        <v/>
      </c>
      <c r="DM43" s="508" t="str">
        <f t="shared" si="93"/>
        <v/>
      </c>
      <c r="DN43" s="508" t="str">
        <f t="shared" si="94"/>
        <v/>
      </c>
      <c r="DO43" s="508" t="str">
        <f t="shared" si="95"/>
        <v/>
      </c>
      <c r="DP43" s="508" t="str">
        <f t="shared" si="96"/>
        <v/>
      </c>
      <c r="DQ43" s="508" t="str">
        <f t="shared" si="97"/>
        <v/>
      </c>
      <c r="DR43" s="508" t="str">
        <f t="shared" si="98"/>
        <v/>
      </c>
      <c r="DS43" s="508" t="str">
        <f t="shared" si="99"/>
        <v/>
      </c>
      <c r="DT43" s="508" t="str">
        <f t="shared" si="100"/>
        <v/>
      </c>
      <c r="DU43" s="508" t="str">
        <f t="shared" si="101"/>
        <v/>
      </c>
      <c r="DV43" s="508" t="str">
        <f t="shared" si="102"/>
        <v/>
      </c>
      <c r="DW43" s="508" t="str">
        <f t="shared" si="103"/>
        <v/>
      </c>
      <c r="DX43" s="508" t="str">
        <f t="shared" si="104"/>
        <v/>
      </c>
      <c r="DY43" s="508" t="str">
        <f t="shared" si="105"/>
        <v/>
      </c>
      <c r="DZ43" s="508" t="str">
        <f t="shared" si="106"/>
        <v/>
      </c>
      <c r="EA43" s="508" t="str">
        <f t="shared" si="107"/>
        <v/>
      </c>
      <c r="EB43" s="508" t="str">
        <f t="shared" si="108"/>
        <v/>
      </c>
      <c r="EC43" s="508" t="str">
        <f t="shared" si="109"/>
        <v/>
      </c>
      <c r="ED43" s="508" t="str">
        <f t="shared" si="110"/>
        <v/>
      </c>
      <c r="EE43" s="508" t="str">
        <f t="shared" si="111"/>
        <v/>
      </c>
      <c r="EF43" s="508" t="str">
        <f t="shared" si="112"/>
        <v/>
      </c>
      <c r="EG43" s="508" t="str">
        <f t="shared" si="113"/>
        <v/>
      </c>
      <c r="EH43" s="508" t="str">
        <f t="shared" si="114"/>
        <v/>
      </c>
      <c r="EI43" s="508" t="str">
        <f t="shared" si="115"/>
        <v/>
      </c>
      <c r="EJ43" s="508" t="str">
        <f t="shared" si="116"/>
        <v/>
      </c>
      <c r="EK43" s="508" t="str">
        <f t="shared" si="117"/>
        <v/>
      </c>
      <c r="EL43" s="508" t="str">
        <f t="shared" si="118"/>
        <v/>
      </c>
      <c r="EM43" s="508" t="str">
        <f t="shared" si="119"/>
        <v/>
      </c>
      <c r="EN43" s="508" t="str">
        <f t="shared" si="120"/>
        <v/>
      </c>
      <c r="EO43" s="508" t="str">
        <f t="shared" si="121"/>
        <v/>
      </c>
      <c r="EP43" s="508" t="str">
        <f t="shared" si="122"/>
        <v/>
      </c>
      <c r="EQ43" s="508" t="str">
        <f t="shared" si="123"/>
        <v/>
      </c>
      <c r="ER43" s="508" t="str">
        <f t="shared" si="124"/>
        <v/>
      </c>
      <c r="ES43" s="508" t="str">
        <f t="shared" si="125"/>
        <v/>
      </c>
      <c r="ET43" s="508" t="str">
        <f t="shared" si="126"/>
        <v/>
      </c>
      <c r="EU43" s="508" t="str">
        <f t="shared" si="127"/>
        <v/>
      </c>
      <c r="EV43" s="518" t="str">
        <f t="shared" si="128"/>
        <v/>
      </c>
      <c r="EW43" s="518" t="str">
        <f t="shared" si="129"/>
        <v/>
      </c>
      <c r="EX43" s="518" t="str">
        <f t="shared" si="130"/>
        <v/>
      </c>
      <c r="EY43" s="518" t="str">
        <f t="shared" si="131"/>
        <v/>
      </c>
      <c r="EZ43" s="518" t="str">
        <f t="shared" si="132"/>
        <v/>
      </c>
      <c r="FA43" s="518" t="str">
        <f t="shared" si="133"/>
        <v/>
      </c>
      <c r="FB43" s="518" t="str">
        <f t="shared" si="134"/>
        <v/>
      </c>
      <c r="FC43" s="518" t="str">
        <f t="shared" si="135"/>
        <v/>
      </c>
      <c r="FD43" s="518" t="str">
        <f t="shared" si="136"/>
        <v/>
      </c>
      <c r="FE43" s="518" t="str">
        <f t="shared" si="137"/>
        <v/>
      </c>
      <c r="FF43" s="518" t="str">
        <f t="shared" si="138"/>
        <v/>
      </c>
      <c r="FG43" s="518" t="str">
        <f t="shared" si="139"/>
        <v/>
      </c>
      <c r="FH43" s="518" t="str">
        <f t="shared" si="140"/>
        <v/>
      </c>
      <c r="FI43" s="518" t="str">
        <f t="shared" si="141"/>
        <v/>
      </c>
      <c r="FJ43" s="518" t="str">
        <f t="shared" si="142"/>
        <v/>
      </c>
      <c r="FK43" s="518" t="str">
        <f t="shared" si="143"/>
        <v/>
      </c>
      <c r="FL43" s="518" t="str">
        <f t="shared" si="144"/>
        <v/>
      </c>
      <c r="FM43" s="518" t="str">
        <f t="shared" si="145"/>
        <v/>
      </c>
      <c r="FN43" s="518" t="str">
        <f t="shared" si="146"/>
        <v/>
      </c>
      <c r="FO43" s="518" t="str">
        <f t="shared" si="147"/>
        <v/>
      </c>
      <c r="FP43" s="518" t="str">
        <f t="shared" si="148"/>
        <v/>
      </c>
      <c r="FQ43" s="518" t="str">
        <f t="shared" si="149"/>
        <v/>
      </c>
      <c r="FR43" s="518" t="str">
        <f t="shared" si="150"/>
        <v/>
      </c>
      <c r="FS43" s="518" t="str">
        <f t="shared" si="151"/>
        <v/>
      </c>
      <c r="FT43" s="518" t="str">
        <f t="shared" si="152"/>
        <v/>
      </c>
      <c r="FU43" s="518" t="str">
        <f t="shared" si="153"/>
        <v/>
      </c>
      <c r="FV43" s="518" t="str">
        <f t="shared" si="154"/>
        <v/>
      </c>
      <c r="FW43" s="518" t="str">
        <f t="shared" si="155"/>
        <v/>
      </c>
      <c r="FX43" s="518" t="str">
        <f t="shared" si="156"/>
        <v/>
      </c>
      <c r="FY43" s="518" t="str">
        <f t="shared" si="157"/>
        <v/>
      </c>
      <c r="FZ43" s="518" t="str">
        <f t="shared" si="158"/>
        <v/>
      </c>
      <c r="GA43" s="518" t="str">
        <f t="shared" si="159"/>
        <v/>
      </c>
      <c r="GB43" s="518" t="str">
        <f t="shared" si="160"/>
        <v/>
      </c>
      <c r="GC43" s="518" t="str">
        <f t="shared" si="161"/>
        <v/>
      </c>
      <c r="GD43" s="518" t="str">
        <f t="shared" si="162"/>
        <v/>
      </c>
      <c r="GE43" s="518" t="str">
        <f t="shared" si="163"/>
        <v/>
      </c>
      <c r="GF43" s="518" t="str">
        <f t="shared" si="164"/>
        <v/>
      </c>
      <c r="GG43" s="518" t="str">
        <f t="shared" si="165"/>
        <v/>
      </c>
      <c r="GH43" s="518" t="str">
        <f t="shared" si="166"/>
        <v/>
      </c>
      <c r="GI43" s="518" t="str">
        <f t="shared" si="167"/>
        <v/>
      </c>
      <c r="GJ43" s="518" t="str">
        <f t="shared" si="168"/>
        <v/>
      </c>
      <c r="GK43" s="518" t="str">
        <f t="shared" si="169"/>
        <v/>
      </c>
      <c r="GL43" s="518" t="str">
        <f t="shared" si="170"/>
        <v/>
      </c>
      <c r="GM43" s="518" t="str">
        <f t="shared" si="171"/>
        <v/>
      </c>
      <c r="GN43" s="518" t="str">
        <f t="shared" si="172"/>
        <v/>
      </c>
      <c r="GO43" s="518" t="str">
        <f t="shared" si="173"/>
        <v/>
      </c>
      <c r="GP43" s="518" t="str">
        <f t="shared" si="174"/>
        <v/>
      </c>
      <c r="GQ43" s="518" t="str">
        <f t="shared" si="175"/>
        <v/>
      </c>
      <c r="GR43" s="518" t="str">
        <f t="shared" si="176"/>
        <v/>
      </c>
      <c r="GS43" s="518" t="str">
        <f t="shared" si="177"/>
        <v/>
      </c>
      <c r="GT43" s="518" t="str">
        <f t="shared" si="178"/>
        <v/>
      </c>
      <c r="GU43" s="518" t="str">
        <f t="shared" si="179"/>
        <v/>
      </c>
      <c r="GV43" s="518" t="str">
        <f t="shared" si="180"/>
        <v/>
      </c>
      <c r="GW43" s="518" t="str">
        <f t="shared" si="181"/>
        <v/>
      </c>
      <c r="GX43" s="518" t="str">
        <f t="shared" si="182"/>
        <v/>
      </c>
      <c r="GY43" s="518" t="str">
        <f t="shared" si="183"/>
        <v/>
      </c>
      <c r="GZ43" s="518" t="str">
        <f t="shared" si="184"/>
        <v/>
      </c>
      <c r="HA43" s="518" t="str">
        <f t="shared" si="185"/>
        <v/>
      </c>
      <c r="HB43" s="518" t="str">
        <f t="shared" si="186"/>
        <v/>
      </c>
      <c r="HC43" s="518" t="str">
        <f t="shared" si="187"/>
        <v/>
      </c>
      <c r="HD43" s="518" t="str">
        <f t="shared" si="188"/>
        <v/>
      </c>
      <c r="HE43" s="518" t="str">
        <f t="shared" si="189"/>
        <v/>
      </c>
      <c r="HF43" s="518" t="str">
        <f t="shared" si="190"/>
        <v/>
      </c>
      <c r="HG43" s="518" t="str">
        <f t="shared" si="191"/>
        <v/>
      </c>
      <c r="HH43" s="518" t="str">
        <f t="shared" si="192"/>
        <v/>
      </c>
      <c r="HI43" s="518" t="str">
        <f t="shared" si="193"/>
        <v/>
      </c>
      <c r="HJ43" s="518" t="str">
        <f t="shared" si="194"/>
        <v/>
      </c>
      <c r="HK43" s="518" t="str">
        <f t="shared" si="195"/>
        <v/>
      </c>
      <c r="HL43" s="518" t="str">
        <f t="shared" si="196"/>
        <v/>
      </c>
      <c r="HM43" s="518" t="str">
        <f t="shared" si="197"/>
        <v/>
      </c>
      <c r="HN43" s="518" t="str">
        <f t="shared" si="198"/>
        <v/>
      </c>
      <c r="HO43" s="518" t="str">
        <f t="shared" si="199"/>
        <v/>
      </c>
      <c r="HP43" s="518" t="str">
        <f t="shared" si="200"/>
        <v/>
      </c>
      <c r="HQ43" s="518" t="str">
        <f t="shared" si="201"/>
        <v/>
      </c>
      <c r="HR43" s="518" t="str">
        <f t="shared" si="202"/>
        <v/>
      </c>
      <c r="HS43" s="518" t="str">
        <f t="shared" si="203"/>
        <v/>
      </c>
      <c r="HT43" s="518" t="str">
        <f t="shared" si="204"/>
        <v/>
      </c>
      <c r="HU43" s="518" t="str">
        <f t="shared" si="205"/>
        <v/>
      </c>
      <c r="HV43" s="518" t="str">
        <f t="shared" si="206"/>
        <v/>
      </c>
      <c r="HW43" s="518" t="str">
        <f t="shared" si="207"/>
        <v/>
      </c>
      <c r="HX43" s="518" t="str">
        <f t="shared" si="208"/>
        <v/>
      </c>
      <c r="HY43" s="518" t="str">
        <f t="shared" si="209"/>
        <v/>
      </c>
      <c r="HZ43" s="518" t="str">
        <f t="shared" si="210"/>
        <v/>
      </c>
      <c r="IA43" s="518" t="str">
        <f t="shared" si="211"/>
        <v/>
      </c>
      <c r="IB43" s="518" t="str">
        <f t="shared" si="212"/>
        <v/>
      </c>
      <c r="IC43" s="519" t="str">
        <f t="shared" si="213"/>
        <v/>
      </c>
      <c r="ID43" s="519" t="str">
        <f t="shared" si="214"/>
        <v/>
      </c>
      <c r="IE43" s="519" t="str">
        <f t="shared" si="215"/>
        <v/>
      </c>
      <c r="IF43" s="519" t="str">
        <f t="shared" si="216"/>
        <v/>
      </c>
      <c r="IG43" s="519" t="str">
        <f t="shared" si="217"/>
        <v/>
      </c>
      <c r="IH43" s="508" t="str">
        <f t="shared" si="218"/>
        <v/>
      </c>
      <c r="II43" s="508" t="str">
        <f t="shared" si="219"/>
        <v/>
      </c>
      <c r="IJ43" s="508" t="str">
        <f t="shared" si="220"/>
        <v/>
      </c>
      <c r="IK43" s="508" t="str">
        <f t="shared" si="221"/>
        <v/>
      </c>
      <c r="IL43" s="508" t="str">
        <f t="shared" si="222"/>
        <v/>
      </c>
      <c r="IM43" s="508" t="str">
        <f t="shared" si="223"/>
        <v/>
      </c>
      <c r="IN43" s="508" t="str">
        <f t="shared" si="224"/>
        <v/>
      </c>
      <c r="IO43" s="508" t="str">
        <f t="shared" si="225"/>
        <v/>
      </c>
      <c r="IP43" s="508" t="str">
        <f t="shared" si="226"/>
        <v/>
      </c>
      <c r="IQ43" s="508" t="str">
        <f t="shared" si="227"/>
        <v/>
      </c>
      <c r="IR43" s="508" t="str">
        <f t="shared" si="228"/>
        <v/>
      </c>
      <c r="IS43" s="508" t="str">
        <f t="shared" si="229"/>
        <v/>
      </c>
      <c r="IT43" s="508" t="str">
        <f t="shared" si="230"/>
        <v/>
      </c>
      <c r="IU43" s="508" t="str">
        <f t="shared" si="231"/>
        <v/>
      </c>
      <c r="IV43" s="508" t="str">
        <f t="shared" si="232"/>
        <v/>
      </c>
      <c r="IW43" s="508" t="str">
        <f t="shared" si="233"/>
        <v/>
      </c>
      <c r="IX43" s="508" t="str">
        <f t="shared" si="234"/>
        <v/>
      </c>
      <c r="IY43" s="508" t="str">
        <f t="shared" si="235"/>
        <v/>
      </c>
      <c r="IZ43" s="508" t="str">
        <f t="shared" si="236"/>
        <v/>
      </c>
      <c r="JA43" s="508" t="str">
        <f t="shared" si="237"/>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67" t="s">
        <v>1859</v>
      </c>
      <c r="C44" s="2368"/>
      <c r="D44" s="2369"/>
      <c r="E44" s="2370"/>
      <c r="F44" s="2370"/>
      <c r="G44" s="2370"/>
      <c r="H44" s="2370"/>
      <c r="I44" s="2370"/>
      <c r="J44" s="2371"/>
      <c r="K44" s="861">
        <f t="shared" si="1"/>
        <v>0</v>
      </c>
      <c r="L44" s="861">
        <f t="shared" si="2"/>
        <v>0</v>
      </c>
      <c r="M44" s="2372"/>
      <c r="N44" s="2372"/>
      <c r="O44" s="2372"/>
      <c r="P44" s="2372"/>
      <c r="Q44" s="472" t="str">
        <f>IF(H44="","",P44/($O$6*VLOOKUP(C44,'DCA Underwriting Assumptions'!$J$118:$K$123,2,FALSE)))</f>
        <v/>
      </c>
      <c r="R44" s="547"/>
      <c r="S44" s="472"/>
      <c r="T44" s="2306"/>
      <c r="U44" s="2307"/>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238"/>
        <v/>
      </c>
      <c r="BU44" s="508" t="str">
        <f t="shared" si="239"/>
        <v/>
      </c>
      <c r="BV44" s="508" t="str">
        <f t="shared" si="240"/>
        <v/>
      </c>
      <c r="BW44" s="508" t="str">
        <f t="shared" si="241"/>
        <v/>
      </c>
      <c r="BX44" s="508" t="str">
        <f t="shared" si="242"/>
        <v/>
      </c>
      <c r="BY44" s="508" t="str">
        <f t="shared" si="53"/>
        <v/>
      </c>
      <c r="BZ44" s="508" t="str">
        <f t="shared" si="54"/>
        <v/>
      </c>
      <c r="CA44" s="508" t="str">
        <f t="shared" si="55"/>
        <v/>
      </c>
      <c r="CB44" s="508" t="str">
        <f t="shared" si="56"/>
        <v/>
      </c>
      <c r="CC44" s="508" t="str">
        <f t="shared" si="57"/>
        <v/>
      </c>
      <c r="CD44" s="508" t="str">
        <f t="shared" si="58"/>
        <v/>
      </c>
      <c r="CE44" s="508" t="str">
        <f t="shared" si="59"/>
        <v/>
      </c>
      <c r="CF44" s="508" t="str">
        <f t="shared" si="60"/>
        <v/>
      </c>
      <c r="CG44" s="508" t="str">
        <f t="shared" si="61"/>
        <v/>
      </c>
      <c r="CH44" s="508" t="str">
        <f t="shared" si="62"/>
        <v/>
      </c>
      <c r="CI44" s="508" t="str">
        <f t="shared" si="63"/>
        <v/>
      </c>
      <c r="CJ44" s="508" t="str">
        <f t="shared" si="64"/>
        <v/>
      </c>
      <c r="CK44" s="508" t="str">
        <f t="shared" si="65"/>
        <v/>
      </c>
      <c r="CL44" s="508" t="str">
        <f t="shared" si="66"/>
        <v/>
      </c>
      <c r="CM44" s="508" t="str">
        <f t="shared" si="67"/>
        <v/>
      </c>
      <c r="CN44" s="508" t="str">
        <f t="shared" si="68"/>
        <v/>
      </c>
      <c r="CO44" s="508" t="str">
        <f t="shared" si="69"/>
        <v/>
      </c>
      <c r="CP44" s="508" t="str">
        <f t="shared" si="70"/>
        <v/>
      </c>
      <c r="CQ44" s="508" t="str">
        <f t="shared" si="71"/>
        <v/>
      </c>
      <c r="CR44" s="508" t="str">
        <f t="shared" si="72"/>
        <v/>
      </c>
      <c r="CS44" s="508" t="str">
        <f t="shared" si="73"/>
        <v/>
      </c>
      <c r="CT44" s="508" t="str">
        <f t="shared" si="74"/>
        <v/>
      </c>
      <c r="CU44" s="508" t="str">
        <f t="shared" si="75"/>
        <v/>
      </c>
      <c r="CV44" s="508" t="str">
        <f t="shared" si="76"/>
        <v/>
      </c>
      <c r="CW44" s="508" t="str">
        <f t="shared" si="77"/>
        <v/>
      </c>
      <c r="CX44" s="508" t="str">
        <f t="shared" si="78"/>
        <v/>
      </c>
      <c r="CY44" s="508" t="str">
        <f t="shared" si="79"/>
        <v/>
      </c>
      <c r="CZ44" s="508" t="str">
        <f t="shared" si="80"/>
        <v/>
      </c>
      <c r="DA44" s="508" t="str">
        <f t="shared" si="81"/>
        <v/>
      </c>
      <c r="DB44" s="508" t="str">
        <f t="shared" si="82"/>
        <v/>
      </c>
      <c r="DC44" s="508" t="str">
        <f t="shared" si="83"/>
        <v/>
      </c>
      <c r="DD44" s="508" t="str">
        <f t="shared" si="84"/>
        <v/>
      </c>
      <c r="DE44" s="508" t="str">
        <f t="shared" si="85"/>
        <v/>
      </c>
      <c r="DF44" s="508" t="str">
        <f t="shared" si="86"/>
        <v/>
      </c>
      <c r="DG44" s="508" t="str">
        <f t="shared" si="87"/>
        <v/>
      </c>
      <c r="DH44" s="508" t="str">
        <f t="shared" si="88"/>
        <v/>
      </c>
      <c r="DI44" s="508" t="str">
        <f t="shared" si="89"/>
        <v/>
      </c>
      <c r="DJ44" s="508" t="str">
        <f t="shared" si="90"/>
        <v/>
      </c>
      <c r="DK44" s="508" t="str">
        <f t="shared" si="91"/>
        <v/>
      </c>
      <c r="DL44" s="508" t="str">
        <f t="shared" si="92"/>
        <v/>
      </c>
      <c r="DM44" s="508" t="str">
        <f t="shared" si="93"/>
        <v/>
      </c>
      <c r="DN44" s="508" t="str">
        <f t="shared" si="94"/>
        <v/>
      </c>
      <c r="DO44" s="508" t="str">
        <f t="shared" si="95"/>
        <v/>
      </c>
      <c r="DP44" s="508" t="str">
        <f t="shared" si="96"/>
        <v/>
      </c>
      <c r="DQ44" s="508" t="str">
        <f t="shared" si="97"/>
        <v/>
      </c>
      <c r="DR44" s="508" t="str">
        <f t="shared" si="98"/>
        <v/>
      </c>
      <c r="DS44" s="508" t="str">
        <f t="shared" si="99"/>
        <v/>
      </c>
      <c r="DT44" s="508" t="str">
        <f t="shared" si="100"/>
        <v/>
      </c>
      <c r="DU44" s="508" t="str">
        <f t="shared" si="101"/>
        <v/>
      </c>
      <c r="DV44" s="508" t="str">
        <f t="shared" si="102"/>
        <v/>
      </c>
      <c r="DW44" s="508" t="str">
        <f t="shared" si="103"/>
        <v/>
      </c>
      <c r="DX44" s="508" t="str">
        <f t="shared" si="104"/>
        <v/>
      </c>
      <c r="DY44" s="508" t="str">
        <f t="shared" si="105"/>
        <v/>
      </c>
      <c r="DZ44" s="508" t="str">
        <f t="shared" si="106"/>
        <v/>
      </c>
      <c r="EA44" s="508" t="str">
        <f t="shared" si="107"/>
        <v/>
      </c>
      <c r="EB44" s="508" t="str">
        <f t="shared" si="108"/>
        <v/>
      </c>
      <c r="EC44" s="508" t="str">
        <f t="shared" si="109"/>
        <v/>
      </c>
      <c r="ED44" s="508" t="str">
        <f t="shared" si="110"/>
        <v/>
      </c>
      <c r="EE44" s="508" t="str">
        <f t="shared" si="111"/>
        <v/>
      </c>
      <c r="EF44" s="508" t="str">
        <f t="shared" si="112"/>
        <v/>
      </c>
      <c r="EG44" s="508" t="str">
        <f t="shared" si="113"/>
        <v/>
      </c>
      <c r="EH44" s="508" t="str">
        <f t="shared" si="114"/>
        <v/>
      </c>
      <c r="EI44" s="508" t="str">
        <f t="shared" si="115"/>
        <v/>
      </c>
      <c r="EJ44" s="508" t="str">
        <f t="shared" si="116"/>
        <v/>
      </c>
      <c r="EK44" s="508" t="str">
        <f t="shared" si="117"/>
        <v/>
      </c>
      <c r="EL44" s="508" t="str">
        <f t="shared" si="118"/>
        <v/>
      </c>
      <c r="EM44" s="508" t="str">
        <f t="shared" si="119"/>
        <v/>
      </c>
      <c r="EN44" s="508" t="str">
        <f t="shared" si="120"/>
        <v/>
      </c>
      <c r="EO44" s="508" t="str">
        <f t="shared" si="121"/>
        <v/>
      </c>
      <c r="EP44" s="508" t="str">
        <f t="shared" si="122"/>
        <v/>
      </c>
      <c r="EQ44" s="508" t="str">
        <f t="shared" si="123"/>
        <v/>
      </c>
      <c r="ER44" s="508" t="str">
        <f t="shared" si="124"/>
        <v/>
      </c>
      <c r="ES44" s="508" t="str">
        <f t="shared" si="125"/>
        <v/>
      </c>
      <c r="ET44" s="508" t="str">
        <f t="shared" si="126"/>
        <v/>
      </c>
      <c r="EU44" s="508" t="str">
        <f t="shared" si="127"/>
        <v/>
      </c>
      <c r="EV44" s="518" t="str">
        <f t="shared" si="128"/>
        <v/>
      </c>
      <c r="EW44" s="518" t="str">
        <f t="shared" si="129"/>
        <v/>
      </c>
      <c r="EX44" s="518" t="str">
        <f t="shared" si="130"/>
        <v/>
      </c>
      <c r="EY44" s="518" t="str">
        <f t="shared" si="131"/>
        <v/>
      </c>
      <c r="EZ44" s="518" t="str">
        <f t="shared" si="132"/>
        <v/>
      </c>
      <c r="FA44" s="518" t="str">
        <f t="shared" si="133"/>
        <v/>
      </c>
      <c r="FB44" s="518" t="str">
        <f t="shared" si="134"/>
        <v/>
      </c>
      <c r="FC44" s="518" t="str">
        <f t="shared" si="135"/>
        <v/>
      </c>
      <c r="FD44" s="518" t="str">
        <f t="shared" si="136"/>
        <v/>
      </c>
      <c r="FE44" s="518" t="str">
        <f t="shared" si="137"/>
        <v/>
      </c>
      <c r="FF44" s="518" t="str">
        <f t="shared" si="138"/>
        <v/>
      </c>
      <c r="FG44" s="518" t="str">
        <f t="shared" si="139"/>
        <v/>
      </c>
      <c r="FH44" s="518" t="str">
        <f t="shared" si="140"/>
        <v/>
      </c>
      <c r="FI44" s="518" t="str">
        <f t="shared" si="141"/>
        <v/>
      </c>
      <c r="FJ44" s="518" t="str">
        <f t="shared" si="142"/>
        <v/>
      </c>
      <c r="FK44" s="518" t="str">
        <f t="shared" si="143"/>
        <v/>
      </c>
      <c r="FL44" s="518" t="str">
        <f t="shared" si="144"/>
        <v/>
      </c>
      <c r="FM44" s="518" t="str">
        <f t="shared" si="145"/>
        <v/>
      </c>
      <c r="FN44" s="518" t="str">
        <f t="shared" si="146"/>
        <v/>
      </c>
      <c r="FO44" s="518" t="str">
        <f t="shared" si="147"/>
        <v/>
      </c>
      <c r="FP44" s="518" t="str">
        <f t="shared" si="148"/>
        <v/>
      </c>
      <c r="FQ44" s="518" t="str">
        <f t="shared" si="149"/>
        <v/>
      </c>
      <c r="FR44" s="518" t="str">
        <f t="shared" si="150"/>
        <v/>
      </c>
      <c r="FS44" s="518" t="str">
        <f t="shared" si="151"/>
        <v/>
      </c>
      <c r="FT44" s="518" t="str">
        <f t="shared" si="152"/>
        <v/>
      </c>
      <c r="FU44" s="518" t="str">
        <f t="shared" si="153"/>
        <v/>
      </c>
      <c r="FV44" s="518" t="str">
        <f t="shared" si="154"/>
        <v/>
      </c>
      <c r="FW44" s="518" t="str">
        <f t="shared" si="155"/>
        <v/>
      </c>
      <c r="FX44" s="518" t="str">
        <f t="shared" si="156"/>
        <v/>
      </c>
      <c r="FY44" s="518" t="str">
        <f t="shared" si="157"/>
        <v/>
      </c>
      <c r="FZ44" s="518" t="str">
        <f t="shared" si="158"/>
        <v/>
      </c>
      <c r="GA44" s="518" t="str">
        <f t="shared" si="159"/>
        <v/>
      </c>
      <c r="GB44" s="518" t="str">
        <f t="shared" si="160"/>
        <v/>
      </c>
      <c r="GC44" s="518" t="str">
        <f t="shared" si="161"/>
        <v/>
      </c>
      <c r="GD44" s="518" t="str">
        <f t="shared" si="162"/>
        <v/>
      </c>
      <c r="GE44" s="518" t="str">
        <f t="shared" si="163"/>
        <v/>
      </c>
      <c r="GF44" s="518" t="str">
        <f t="shared" si="164"/>
        <v/>
      </c>
      <c r="GG44" s="518" t="str">
        <f t="shared" si="165"/>
        <v/>
      </c>
      <c r="GH44" s="518" t="str">
        <f t="shared" si="166"/>
        <v/>
      </c>
      <c r="GI44" s="518" t="str">
        <f t="shared" si="167"/>
        <v/>
      </c>
      <c r="GJ44" s="518" t="str">
        <f t="shared" si="168"/>
        <v/>
      </c>
      <c r="GK44" s="518" t="str">
        <f t="shared" si="169"/>
        <v/>
      </c>
      <c r="GL44" s="518" t="str">
        <f t="shared" si="170"/>
        <v/>
      </c>
      <c r="GM44" s="518" t="str">
        <f t="shared" si="171"/>
        <v/>
      </c>
      <c r="GN44" s="518" t="str">
        <f t="shared" si="172"/>
        <v/>
      </c>
      <c r="GO44" s="518" t="str">
        <f t="shared" si="173"/>
        <v/>
      </c>
      <c r="GP44" s="518" t="str">
        <f t="shared" si="174"/>
        <v/>
      </c>
      <c r="GQ44" s="518" t="str">
        <f t="shared" si="175"/>
        <v/>
      </c>
      <c r="GR44" s="518" t="str">
        <f t="shared" si="176"/>
        <v/>
      </c>
      <c r="GS44" s="518" t="str">
        <f t="shared" si="177"/>
        <v/>
      </c>
      <c r="GT44" s="518" t="str">
        <f t="shared" si="178"/>
        <v/>
      </c>
      <c r="GU44" s="518" t="str">
        <f t="shared" si="179"/>
        <v/>
      </c>
      <c r="GV44" s="518" t="str">
        <f t="shared" si="180"/>
        <v/>
      </c>
      <c r="GW44" s="518" t="str">
        <f t="shared" si="181"/>
        <v/>
      </c>
      <c r="GX44" s="518" t="str">
        <f t="shared" si="182"/>
        <v/>
      </c>
      <c r="GY44" s="518" t="str">
        <f t="shared" si="183"/>
        <v/>
      </c>
      <c r="GZ44" s="518" t="str">
        <f t="shared" si="184"/>
        <v/>
      </c>
      <c r="HA44" s="518" t="str">
        <f t="shared" si="185"/>
        <v/>
      </c>
      <c r="HB44" s="518" t="str">
        <f t="shared" si="186"/>
        <v/>
      </c>
      <c r="HC44" s="518" t="str">
        <f t="shared" si="187"/>
        <v/>
      </c>
      <c r="HD44" s="518" t="str">
        <f t="shared" si="188"/>
        <v/>
      </c>
      <c r="HE44" s="518" t="str">
        <f t="shared" si="189"/>
        <v/>
      </c>
      <c r="HF44" s="518" t="str">
        <f t="shared" si="190"/>
        <v/>
      </c>
      <c r="HG44" s="518" t="str">
        <f t="shared" si="191"/>
        <v/>
      </c>
      <c r="HH44" s="518" t="str">
        <f t="shared" si="192"/>
        <v/>
      </c>
      <c r="HI44" s="518" t="str">
        <f t="shared" si="193"/>
        <v/>
      </c>
      <c r="HJ44" s="518" t="str">
        <f t="shared" si="194"/>
        <v/>
      </c>
      <c r="HK44" s="518" t="str">
        <f t="shared" si="195"/>
        <v/>
      </c>
      <c r="HL44" s="518" t="str">
        <f t="shared" si="196"/>
        <v/>
      </c>
      <c r="HM44" s="518" t="str">
        <f t="shared" si="197"/>
        <v/>
      </c>
      <c r="HN44" s="518" t="str">
        <f t="shared" si="198"/>
        <v/>
      </c>
      <c r="HO44" s="518" t="str">
        <f t="shared" si="199"/>
        <v/>
      </c>
      <c r="HP44" s="518" t="str">
        <f t="shared" si="200"/>
        <v/>
      </c>
      <c r="HQ44" s="518" t="str">
        <f t="shared" si="201"/>
        <v/>
      </c>
      <c r="HR44" s="518" t="str">
        <f t="shared" si="202"/>
        <v/>
      </c>
      <c r="HS44" s="518" t="str">
        <f t="shared" si="203"/>
        <v/>
      </c>
      <c r="HT44" s="518" t="str">
        <f t="shared" si="204"/>
        <v/>
      </c>
      <c r="HU44" s="518" t="str">
        <f t="shared" si="205"/>
        <v/>
      </c>
      <c r="HV44" s="518" t="str">
        <f t="shared" si="206"/>
        <v/>
      </c>
      <c r="HW44" s="518" t="str">
        <f t="shared" si="207"/>
        <v/>
      </c>
      <c r="HX44" s="518" t="str">
        <f t="shared" si="208"/>
        <v/>
      </c>
      <c r="HY44" s="518" t="str">
        <f t="shared" si="209"/>
        <v/>
      </c>
      <c r="HZ44" s="518" t="str">
        <f t="shared" si="210"/>
        <v/>
      </c>
      <c r="IA44" s="518" t="str">
        <f t="shared" si="211"/>
        <v/>
      </c>
      <c r="IB44" s="518" t="str">
        <f t="shared" si="212"/>
        <v/>
      </c>
      <c r="IC44" s="519" t="str">
        <f t="shared" si="213"/>
        <v/>
      </c>
      <c r="ID44" s="519" t="str">
        <f t="shared" si="214"/>
        <v/>
      </c>
      <c r="IE44" s="519" t="str">
        <f t="shared" si="215"/>
        <v/>
      </c>
      <c r="IF44" s="519" t="str">
        <f t="shared" si="216"/>
        <v/>
      </c>
      <c r="IG44" s="519" t="str">
        <f t="shared" si="217"/>
        <v/>
      </c>
      <c r="IH44" s="508" t="str">
        <f t="shared" si="218"/>
        <v/>
      </c>
      <c r="II44" s="508" t="str">
        <f t="shared" si="219"/>
        <v/>
      </c>
      <c r="IJ44" s="508" t="str">
        <f t="shared" si="220"/>
        <v/>
      </c>
      <c r="IK44" s="508" t="str">
        <f t="shared" si="221"/>
        <v/>
      </c>
      <c r="IL44" s="508" t="str">
        <f t="shared" si="222"/>
        <v/>
      </c>
      <c r="IM44" s="508" t="str">
        <f t="shared" si="223"/>
        <v/>
      </c>
      <c r="IN44" s="508" t="str">
        <f t="shared" si="224"/>
        <v/>
      </c>
      <c r="IO44" s="508" t="str">
        <f t="shared" si="225"/>
        <v/>
      </c>
      <c r="IP44" s="508" t="str">
        <f t="shared" si="226"/>
        <v/>
      </c>
      <c r="IQ44" s="508" t="str">
        <f t="shared" si="227"/>
        <v/>
      </c>
      <c r="IR44" s="508" t="str">
        <f t="shared" si="228"/>
        <v/>
      </c>
      <c r="IS44" s="508" t="str">
        <f t="shared" si="229"/>
        <v/>
      </c>
      <c r="IT44" s="508" t="str">
        <f t="shared" si="230"/>
        <v/>
      </c>
      <c r="IU44" s="508" t="str">
        <f t="shared" si="231"/>
        <v/>
      </c>
      <c r="IV44" s="508" t="str">
        <f t="shared" si="232"/>
        <v/>
      </c>
      <c r="IW44" s="508" t="str">
        <f t="shared" si="233"/>
        <v/>
      </c>
      <c r="IX44" s="508" t="str">
        <f t="shared" si="234"/>
        <v/>
      </c>
      <c r="IY44" s="508" t="str">
        <f t="shared" si="235"/>
        <v/>
      </c>
      <c r="IZ44" s="508" t="str">
        <f t="shared" si="236"/>
        <v/>
      </c>
      <c r="JA44" s="508" t="str">
        <f t="shared" si="237"/>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67" t="s">
        <v>1859</v>
      </c>
      <c r="C45" s="2368"/>
      <c r="D45" s="2369"/>
      <c r="E45" s="2370"/>
      <c r="F45" s="2370"/>
      <c r="G45" s="2370"/>
      <c r="H45" s="2370"/>
      <c r="I45" s="2370"/>
      <c r="J45" s="2371"/>
      <c r="K45" s="861">
        <f t="shared" si="1"/>
        <v>0</v>
      </c>
      <c r="L45" s="861">
        <f t="shared" si="2"/>
        <v>0</v>
      </c>
      <c r="M45" s="2372"/>
      <c r="N45" s="2372"/>
      <c r="O45" s="2372"/>
      <c r="P45" s="2372"/>
      <c r="Q45" s="472" t="str">
        <f>IF(H45="","",P45/($O$6*VLOOKUP(C45,'DCA Underwriting Assumptions'!$J$118:$K$123,2,FALSE)))</f>
        <v/>
      </c>
      <c r="R45" s="547"/>
      <c r="S45" s="472"/>
      <c r="T45" s="2306"/>
      <c r="U45" s="2307"/>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238"/>
        <v/>
      </c>
      <c r="BU45" s="508" t="str">
        <f t="shared" si="239"/>
        <v/>
      </c>
      <c r="BV45" s="508" t="str">
        <f t="shared" si="240"/>
        <v/>
      </c>
      <c r="BW45" s="508" t="str">
        <f t="shared" si="241"/>
        <v/>
      </c>
      <c r="BX45" s="508" t="str">
        <f t="shared" si="242"/>
        <v/>
      </c>
      <c r="BY45" s="508" t="str">
        <f t="shared" si="53"/>
        <v/>
      </c>
      <c r="BZ45" s="508" t="str">
        <f t="shared" si="54"/>
        <v/>
      </c>
      <c r="CA45" s="508" t="str">
        <f t="shared" si="55"/>
        <v/>
      </c>
      <c r="CB45" s="508" t="str">
        <f t="shared" si="56"/>
        <v/>
      </c>
      <c r="CC45" s="508" t="str">
        <f t="shared" si="57"/>
        <v/>
      </c>
      <c r="CD45" s="508" t="str">
        <f t="shared" si="58"/>
        <v/>
      </c>
      <c r="CE45" s="508" t="str">
        <f t="shared" si="59"/>
        <v/>
      </c>
      <c r="CF45" s="508" t="str">
        <f t="shared" si="60"/>
        <v/>
      </c>
      <c r="CG45" s="508" t="str">
        <f t="shared" si="61"/>
        <v/>
      </c>
      <c r="CH45" s="508" t="str">
        <f t="shared" si="62"/>
        <v/>
      </c>
      <c r="CI45" s="508" t="str">
        <f t="shared" si="63"/>
        <v/>
      </c>
      <c r="CJ45" s="508" t="str">
        <f t="shared" si="64"/>
        <v/>
      </c>
      <c r="CK45" s="508" t="str">
        <f t="shared" si="65"/>
        <v/>
      </c>
      <c r="CL45" s="508" t="str">
        <f t="shared" si="66"/>
        <v/>
      </c>
      <c r="CM45" s="508" t="str">
        <f t="shared" si="67"/>
        <v/>
      </c>
      <c r="CN45" s="508" t="str">
        <f t="shared" si="68"/>
        <v/>
      </c>
      <c r="CO45" s="508" t="str">
        <f t="shared" si="69"/>
        <v/>
      </c>
      <c r="CP45" s="508" t="str">
        <f t="shared" si="70"/>
        <v/>
      </c>
      <c r="CQ45" s="508" t="str">
        <f t="shared" si="71"/>
        <v/>
      </c>
      <c r="CR45" s="508" t="str">
        <f t="shared" si="72"/>
        <v/>
      </c>
      <c r="CS45" s="508" t="str">
        <f t="shared" si="73"/>
        <v/>
      </c>
      <c r="CT45" s="508" t="str">
        <f t="shared" si="74"/>
        <v/>
      </c>
      <c r="CU45" s="508" t="str">
        <f t="shared" si="75"/>
        <v/>
      </c>
      <c r="CV45" s="508" t="str">
        <f t="shared" si="76"/>
        <v/>
      </c>
      <c r="CW45" s="508" t="str">
        <f t="shared" si="77"/>
        <v/>
      </c>
      <c r="CX45" s="508" t="str">
        <f t="shared" si="78"/>
        <v/>
      </c>
      <c r="CY45" s="508" t="str">
        <f t="shared" si="79"/>
        <v/>
      </c>
      <c r="CZ45" s="508" t="str">
        <f t="shared" si="80"/>
        <v/>
      </c>
      <c r="DA45" s="508" t="str">
        <f t="shared" si="81"/>
        <v/>
      </c>
      <c r="DB45" s="508" t="str">
        <f t="shared" si="82"/>
        <v/>
      </c>
      <c r="DC45" s="508" t="str">
        <f t="shared" si="83"/>
        <v/>
      </c>
      <c r="DD45" s="508" t="str">
        <f t="shared" si="84"/>
        <v/>
      </c>
      <c r="DE45" s="508" t="str">
        <f t="shared" si="85"/>
        <v/>
      </c>
      <c r="DF45" s="508" t="str">
        <f t="shared" si="86"/>
        <v/>
      </c>
      <c r="DG45" s="508" t="str">
        <f t="shared" si="87"/>
        <v/>
      </c>
      <c r="DH45" s="508" t="str">
        <f t="shared" si="88"/>
        <v/>
      </c>
      <c r="DI45" s="508" t="str">
        <f t="shared" si="89"/>
        <v/>
      </c>
      <c r="DJ45" s="508" t="str">
        <f t="shared" si="90"/>
        <v/>
      </c>
      <c r="DK45" s="508" t="str">
        <f t="shared" si="91"/>
        <v/>
      </c>
      <c r="DL45" s="508" t="str">
        <f t="shared" si="92"/>
        <v/>
      </c>
      <c r="DM45" s="508" t="str">
        <f t="shared" si="93"/>
        <v/>
      </c>
      <c r="DN45" s="508" t="str">
        <f t="shared" si="94"/>
        <v/>
      </c>
      <c r="DO45" s="508" t="str">
        <f t="shared" si="95"/>
        <v/>
      </c>
      <c r="DP45" s="508" t="str">
        <f t="shared" si="96"/>
        <v/>
      </c>
      <c r="DQ45" s="508" t="str">
        <f t="shared" si="97"/>
        <v/>
      </c>
      <c r="DR45" s="508" t="str">
        <f t="shared" si="98"/>
        <v/>
      </c>
      <c r="DS45" s="508" t="str">
        <f t="shared" si="99"/>
        <v/>
      </c>
      <c r="DT45" s="508" t="str">
        <f t="shared" si="100"/>
        <v/>
      </c>
      <c r="DU45" s="508" t="str">
        <f t="shared" si="101"/>
        <v/>
      </c>
      <c r="DV45" s="508" t="str">
        <f t="shared" si="102"/>
        <v/>
      </c>
      <c r="DW45" s="508" t="str">
        <f t="shared" si="103"/>
        <v/>
      </c>
      <c r="DX45" s="508" t="str">
        <f t="shared" si="104"/>
        <v/>
      </c>
      <c r="DY45" s="508" t="str">
        <f t="shared" si="105"/>
        <v/>
      </c>
      <c r="DZ45" s="508" t="str">
        <f t="shared" si="106"/>
        <v/>
      </c>
      <c r="EA45" s="508" t="str">
        <f t="shared" si="107"/>
        <v/>
      </c>
      <c r="EB45" s="508" t="str">
        <f t="shared" si="108"/>
        <v/>
      </c>
      <c r="EC45" s="508" t="str">
        <f t="shared" si="109"/>
        <v/>
      </c>
      <c r="ED45" s="508" t="str">
        <f t="shared" si="110"/>
        <v/>
      </c>
      <c r="EE45" s="508" t="str">
        <f t="shared" si="111"/>
        <v/>
      </c>
      <c r="EF45" s="508" t="str">
        <f t="shared" si="112"/>
        <v/>
      </c>
      <c r="EG45" s="508" t="str">
        <f t="shared" si="113"/>
        <v/>
      </c>
      <c r="EH45" s="508" t="str">
        <f t="shared" si="114"/>
        <v/>
      </c>
      <c r="EI45" s="508" t="str">
        <f t="shared" si="115"/>
        <v/>
      </c>
      <c r="EJ45" s="508" t="str">
        <f t="shared" si="116"/>
        <v/>
      </c>
      <c r="EK45" s="508" t="str">
        <f t="shared" si="117"/>
        <v/>
      </c>
      <c r="EL45" s="508" t="str">
        <f t="shared" si="118"/>
        <v/>
      </c>
      <c r="EM45" s="508" t="str">
        <f t="shared" si="119"/>
        <v/>
      </c>
      <c r="EN45" s="508" t="str">
        <f t="shared" si="120"/>
        <v/>
      </c>
      <c r="EO45" s="508" t="str">
        <f t="shared" si="121"/>
        <v/>
      </c>
      <c r="EP45" s="508" t="str">
        <f t="shared" si="122"/>
        <v/>
      </c>
      <c r="EQ45" s="508" t="str">
        <f t="shared" si="123"/>
        <v/>
      </c>
      <c r="ER45" s="508" t="str">
        <f t="shared" si="124"/>
        <v/>
      </c>
      <c r="ES45" s="508" t="str">
        <f t="shared" si="125"/>
        <v/>
      </c>
      <c r="ET45" s="508" t="str">
        <f t="shared" si="126"/>
        <v/>
      </c>
      <c r="EU45" s="508" t="str">
        <f t="shared" si="127"/>
        <v/>
      </c>
      <c r="EV45" s="518" t="str">
        <f t="shared" si="128"/>
        <v/>
      </c>
      <c r="EW45" s="518" t="str">
        <f t="shared" si="129"/>
        <v/>
      </c>
      <c r="EX45" s="518" t="str">
        <f t="shared" si="130"/>
        <v/>
      </c>
      <c r="EY45" s="518" t="str">
        <f t="shared" si="131"/>
        <v/>
      </c>
      <c r="EZ45" s="518" t="str">
        <f t="shared" si="132"/>
        <v/>
      </c>
      <c r="FA45" s="518" t="str">
        <f t="shared" si="133"/>
        <v/>
      </c>
      <c r="FB45" s="518" t="str">
        <f t="shared" si="134"/>
        <v/>
      </c>
      <c r="FC45" s="518" t="str">
        <f t="shared" si="135"/>
        <v/>
      </c>
      <c r="FD45" s="518" t="str">
        <f t="shared" si="136"/>
        <v/>
      </c>
      <c r="FE45" s="518" t="str">
        <f t="shared" si="137"/>
        <v/>
      </c>
      <c r="FF45" s="518" t="str">
        <f t="shared" si="138"/>
        <v/>
      </c>
      <c r="FG45" s="518" t="str">
        <f t="shared" si="139"/>
        <v/>
      </c>
      <c r="FH45" s="518" t="str">
        <f t="shared" si="140"/>
        <v/>
      </c>
      <c r="FI45" s="518" t="str">
        <f t="shared" si="141"/>
        <v/>
      </c>
      <c r="FJ45" s="518" t="str">
        <f t="shared" si="142"/>
        <v/>
      </c>
      <c r="FK45" s="518" t="str">
        <f t="shared" si="143"/>
        <v/>
      </c>
      <c r="FL45" s="518" t="str">
        <f t="shared" si="144"/>
        <v/>
      </c>
      <c r="FM45" s="518" t="str">
        <f t="shared" si="145"/>
        <v/>
      </c>
      <c r="FN45" s="518" t="str">
        <f t="shared" si="146"/>
        <v/>
      </c>
      <c r="FO45" s="518" t="str">
        <f t="shared" si="147"/>
        <v/>
      </c>
      <c r="FP45" s="518" t="str">
        <f t="shared" si="148"/>
        <v/>
      </c>
      <c r="FQ45" s="518" t="str">
        <f t="shared" si="149"/>
        <v/>
      </c>
      <c r="FR45" s="518" t="str">
        <f t="shared" si="150"/>
        <v/>
      </c>
      <c r="FS45" s="518" t="str">
        <f t="shared" si="151"/>
        <v/>
      </c>
      <c r="FT45" s="518" t="str">
        <f t="shared" si="152"/>
        <v/>
      </c>
      <c r="FU45" s="518" t="str">
        <f t="shared" si="153"/>
        <v/>
      </c>
      <c r="FV45" s="518" t="str">
        <f t="shared" si="154"/>
        <v/>
      </c>
      <c r="FW45" s="518" t="str">
        <f t="shared" si="155"/>
        <v/>
      </c>
      <c r="FX45" s="518" t="str">
        <f t="shared" si="156"/>
        <v/>
      </c>
      <c r="FY45" s="518" t="str">
        <f t="shared" si="157"/>
        <v/>
      </c>
      <c r="FZ45" s="518" t="str">
        <f t="shared" si="158"/>
        <v/>
      </c>
      <c r="GA45" s="518" t="str">
        <f t="shared" si="159"/>
        <v/>
      </c>
      <c r="GB45" s="518" t="str">
        <f t="shared" si="160"/>
        <v/>
      </c>
      <c r="GC45" s="518" t="str">
        <f t="shared" si="161"/>
        <v/>
      </c>
      <c r="GD45" s="518" t="str">
        <f t="shared" si="162"/>
        <v/>
      </c>
      <c r="GE45" s="518" t="str">
        <f t="shared" si="163"/>
        <v/>
      </c>
      <c r="GF45" s="518" t="str">
        <f t="shared" si="164"/>
        <v/>
      </c>
      <c r="GG45" s="518" t="str">
        <f t="shared" si="165"/>
        <v/>
      </c>
      <c r="GH45" s="518" t="str">
        <f t="shared" si="166"/>
        <v/>
      </c>
      <c r="GI45" s="518" t="str">
        <f t="shared" si="167"/>
        <v/>
      </c>
      <c r="GJ45" s="518" t="str">
        <f t="shared" si="168"/>
        <v/>
      </c>
      <c r="GK45" s="518" t="str">
        <f t="shared" si="169"/>
        <v/>
      </c>
      <c r="GL45" s="518" t="str">
        <f t="shared" si="170"/>
        <v/>
      </c>
      <c r="GM45" s="518" t="str">
        <f t="shared" si="171"/>
        <v/>
      </c>
      <c r="GN45" s="518" t="str">
        <f t="shared" si="172"/>
        <v/>
      </c>
      <c r="GO45" s="518" t="str">
        <f t="shared" si="173"/>
        <v/>
      </c>
      <c r="GP45" s="518" t="str">
        <f t="shared" si="174"/>
        <v/>
      </c>
      <c r="GQ45" s="518" t="str">
        <f t="shared" si="175"/>
        <v/>
      </c>
      <c r="GR45" s="518" t="str">
        <f t="shared" si="176"/>
        <v/>
      </c>
      <c r="GS45" s="518" t="str">
        <f t="shared" si="177"/>
        <v/>
      </c>
      <c r="GT45" s="518" t="str">
        <f t="shared" si="178"/>
        <v/>
      </c>
      <c r="GU45" s="518" t="str">
        <f t="shared" si="179"/>
        <v/>
      </c>
      <c r="GV45" s="518" t="str">
        <f t="shared" si="180"/>
        <v/>
      </c>
      <c r="GW45" s="518" t="str">
        <f t="shared" si="181"/>
        <v/>
      </c>
      <c r="GX45" s="518" t="str">
        <f t="shared" si="182"/>
        <v/>
      </c>
      <c r="GY45" s="518" t="str">
        <f t="shared" si="183"/>
        <v/>
      </c>
      <c r="GZ45" s="518" t="str">
        <f t="shared" si="184"/>
        <v/>
      </c>
      <c r="HA45" s="518" t="str">
        <f t="shared" si="185"/>
        <v/>
      </c>
      <c r="HB45" s="518" t="str">
        <f t="shared" si="186"/>
        <v/>
      </c>
      <c r="HC45" s="518" t="str">
        <f t="shared" si="187"/>
        <v/>
      </c>
      <c r="HD45" s="518" t="str">
        <f t="shared" si="188"/>
        <v/>
      </c>
      <c r="HE45" s="518" t="str">
        <f t="shared" si="189"/>
        <v/>
      </c>
      <c r="HF45" s="518" t="str">
        <f t="shared" si="190"/>
        <v/>
      </c>
      <c r="HG45" s="518" t="str">
        <f t="shared" si="191"/>
        <v/>
      </c>
      <c r="HH45" s="518" t="str">
        <f t="shared" si="192"/>
        <v/>
      </c>
      <c r="HI45" s="518" t="str">
        <f t="shared" si="193"/>
        <v/>
      </c>
      <c r="HJ45" s="518" t="str">
        <f t="shared" si="194"/>
        <v/>
      </c>
      <c r="HK45" s="518" t="str">
        <f t="shared" si="195"/>
        <v/>
      </c>
      <c r="HL45" s="518" t="str">
        <f t="shared" si="196"/>
        <v/>
      </c>
      <c r="HM45" s="518" t="str">
        <f t="shared" si="197"/>
        <v/>
      </c>
      <c r="HN45" s="518" t="str">
        <f t="shared" si="198"/>
        <v/>
      </c>
      <c r="HO45" s="518" t="str">
        <f t="shared" si="199"/>
        <v/>
      </c>
      <c r="HP45" s="518" t="str">
        <f t="shared" si="200"/>
        <v/>
      </c>
      <c r="HQ45" s="518" t="str">
        <f t="shared" si="201"/>
        <v/>
      </c>
      <c r="HR45" s="518" t="str">
        <f t="shared" si="202"/>
        <v/>
      </c>
      <c r="HS45" s="518" t="str">
        <f t="shared" si="203"/>
        <v/>
      </c>
      <c r="HT45" s="518" t="str">
        <f t="shared" si="204"/>
        <v/>
      </c>
      <c r="HU45" s="518" t="str">
        <f t="shared" si="205"/>
        <v/>
      </c>
      <c r="HV45" s="518" t="str">
        <f t="shared" si="206"/>
        <v/>
      </c>
      <c r="HW45" s="518" t="str">
        <f t="shared" si="207"/>
        <v/>
      </c>
      <c r="HX45" s="518" t="str">
        <f t="shared" si="208"/>
        <v/>
      </c>
      <c r="HY45" s="518" t="str">
        <f t="shared" si="209"/>
        <v/>
      </c>
      <c r="HZ45" s="518" t="str">
        <f t="shared" si="210"/>
        <v/>
      </c>
      <c r="IA45" s="518" t="str">
        <f t="shared" si="211"/>
        <v/>
      </c>
      <c r="IB45" s="518" t="str">
        <f t="shared" si="212"/>
        <v/>
      </c>
      <c r="IC45" s="519" t="str">
        <f t="shared" si="213"/>
        <v/>
      </c>
      <c r="ID45" s="519" t="str">
        <f t="shared" si="214"/>
        <v/>
      </c>
      <c r="IE45" s="519" t="str">
        <f t="shared" si="215"/>
        <v/>
      </c>
      <c r="IF45" s="519" t="str">
        <f t="shared" si="216"/>
        <v/>
      </c>
      <c r="IG45" s="519" t="str">
        <f t="shared" si="217"/>
        <v/>
      </c>
      <c r="IH45" s="508" t="str">
        <f t="shared" si="218"/>
        <v/>
      </c>
      <c r="II45" s="508" t="str">
        <f t="shared" si="219"/>
        <v/>
      </c>
      <c r="IJ45" s="508" t="str">
        <f t="shared" si="220"/>
        <v/>
      </c>
      <c r="IK45" s="508" t="str">
        <f t="shared" si="221"/>
        <v/>
      </c>
      <c r="IL45" s="508" t="str">
        <f t="shared" si="222"/>
        <v/>
      </c>
      <c r="IM45" s="508" t="str">
        <f t="shared" si="223"/>
        <v/>
      </c>
      <c r="IN45" s="508" t="str">
        <f t="shared" si="224"/>
        <v/>
      </c>
      <c r="IO45" s="508" t="str">
        <f t="shared" si="225"/>
        <v/>
      </c>
      <c r="IP45" s="508" t="str">
        <f t="shared" si="226"/>
        <v/>
      </c>
      <c r="IQ45" s="508" t="str">
        <f t="shared" si="227"/>
        <v/>
      </c>
      <c r="IR45" s="508" t="str">
        <f t="shared" si="228"/>
        <v/>
      </c>
      <c r="IS45" s="508" t="str">
        <f t="shared" si="229"/>
        <v/>
      </c>
      <c r="IT45" s="508" t="str">
        <f t="shared" si="230"/>
        <v/>
      </c>
      <c r="IU45" s="508" t="str">
        <f t="shared" si="231"/>
        <v/>
      </c>
      <c r="IV45" s="508" t="str">
        <f t="shared" si="232"/>
        <v/>
      </c>
      <c r="IW45" s="508" t="str">
        <f t="shared" si="233"/>
        <v/>
      </c>
      <c r="IX45" s="508" t="str">
        <f t="shared" si="234"/>
        <v/>
      </c>
      <c r="IY45" s="508" t="str">
        <f t="shared" si="235"/>
        <v/>
      </c>
      <c r="IZ45" s="508" t="str">
        <f t="shared" si="236"/>
        <v/>
      </c>
      <c r="JA45" s="508" t="str">
        <f t="shared" si="237"/>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67" t="s">
        <v>1859</v>
      </c>
      <c r="C46" s="2368"/>
      <c r="D46" s="2369"/>
      <c r="E46" s="2370"/>
      <c r="F46" s="2370"/>
      <c r="G46" s="2370"/>
      <c r="H46" s="2370"/>
      <c r="I46" s="2370"/>
      <c r="J46" s="2371"/>
      <c r="K46" s="861">
        <f t="shared" si="1"/>
        <v>0</v>
      </c>
      <c r="L46" s="861">
        <f t="shared" si="2"/>
        <v>0</v>
      </c>
      <c r="M46" s="2372"/>
      <c r="N46" s="2372"/>
      <c r="O46" s="2372"/>
      <c r="P46" s="2372"/>
      <c r="Q46" s="472" t="str">
        <f>IF(H46="","",P46/($O$6*VLOOKUP(C46,'DCA Underwriting Assumptions'!$J$118:$K$123,2,FALSE)))</f>
        <v/>
      </c>
      <c r="R46" s="547"/>
      <c r="S46" s="472"/>
      <c r="T46" s="2306"/>
      <c r="U46" s="2307"/>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238"/>
        <v/>
      </c>
      <c r="BU46" s="508" t="str">
        <f t="shared" si="239"/>
        <v/>
      </c>
      <c r="BV46" s="508" t="str">
        <f t="shared" si="240"/>
        <v/>
      </c>
      <c r="BW46" s="508" t="str">
        <f t="shared" si="241"/>
        <v/>
      </c>
      <c r="BX46" s="508" t="str">
        <f t="shared" si="242"/>
        <v/>
      </c>
      <c r="BY46" s="508" t="str">
        <f t="shared" si="53"/>
        <v/>
      </c>
      <c r="BZ46" s="508" t="str">
        <f t="shared" si="54"/>
        <v/>
      </c>
      <c r="CA46" s="508" t="str">
        <f t="shared" si="55"/>
        <v/>
      </c>
      <c r="CB46" s="508" t="str">
        <f t="shared" si="56"/>
        <v/>
      </c>
      <c r="CC46" s="508" t="str">
        <f t="shared" si="57"/>
        <v/>
      </c>
      <c r="CD46" s="508" t="str">
        <f t="shared" si="58"/>
        <v/>
      </c>
      <c r="CE46" s="508" t="str">
        <f t="shared" si="59"/>
        <v/>
      </c>
      <c r="CF46" s="508" t="str">
        <f t="shared" si="60"/>
        <v/>
      </c>
      <c r="CG46" s="508" t="str">
        <f t="shared" si="61"/>
        <v/>
      </c>
      <c r="CH46" s="508" t="str">
        <f t="shared" si="62"/>
        <v/>
      </c>
      <c r="CI46" s="508" t="str">
        <f t="shared" si="63"/>
        <v/>
      </c>
      <c r="CJ46" s="508" t="str">
        <f t="shared" si="64"/>
        <v/>
      </c>
      <c r="CK46" s="508" t="str">
        <f t="shared" si="65"/>
        <v/>
      </c>
      <c r="CL46" s="508" t="str">
        <f t="shared" si="66"/>
        <v/>
      </c>
      <c r="CM46" s="508" t="str">
        <f t="shared" si="67"/>
        <v/>
      </c>
      <c r="CN46" s="508" t="str">
        <f t="shared" si="68"/>
        <v/>
      </c>
      <c r="CO46" s="508" t="str">
        <f t="shared" si="69"/>
        <v/>
      </c>
      <c r="CP46" s="508" t="str">
        <f t="shared" si="70"/>
        <v/>
      </c>
      <c r="CQ46" s="508" t="str">
        <f t="shared" si="71"/>
        <v/>
      </c>
      <c r="CR46" s="508" t="str">
        <f t="shared" si="72"/>
        <v/>
      </c>
      <c r="CS46" s="508" t="str">
        <f t="shared" si="73"/>
        <v/>
      </c>
      <c r="CT46" s="508" t="str">
        <f t="shared" si="74"/>
        <v/>
      </c>
      <c r="CU46" s="508" t="str">
        <f t="shared" si="75"/>
        <v/>
      </c>
      <c r="CV46" s="508" t="str">
        <f t="shared" si="76"/>
        <v/>
      </c>
      <c r="CW46" s="508" t="str">
        <f t="shared" si="77"/>
        <v/>
      </c>
      <c r="CX46" s="508" t="str">
        <f t="shared" si="78"/>
        <v/>
      </c>
      <c r="CY46" s="508" t="str">
        <f t="shared" si="79"/>
        <v/>
      </c>
      <c r="CZ46" s="508" t="str">
        <f t="shared" si="80"/>
        <v/>
      </c>
      <c r="DA46" s="508" t="str">
        <f t="shared" si="81"/>
        <v/>
      </c>
      <c r="DB46" s="508" t="str">
        <f t="shared" si="82"/>
        <v/>
      </c>
      <c r="DC46" s="508" t="str">
        <f t="shared" si="83"/>
        <v/>
      </c>
      <c r="DD46" s="508" t="str">
        <f t="shared" si="84"/>
        <v/>
      </c>
      <c r="DE46" s="508" t="str">
        <f t="shared" si="85"/>
        <v/>
      </c>
      <c r="DF46" s="508" t="str">
        <f t="shared" si="86"/>
        <v/>
      </c>
      <c r="DG46" s="508" t="str">
        <f t="shared" si="87"/>
        <v/>
      </c>
      <c r="DH46" s="508" t="str">
        <f t="shared" si="88"/>
        <v/>
      </c>
      <c r="DI46" s="508" t="str">
        <f t="shared" si="89"/>
        <v/>
      </c>
      <c r="DJ46" s="508" t="str">
        <f t="shared" si="90"/>
        <v/>
      </c>
      <c r="DK46" s="508" t="str">
        <f t="shared" si="91"/>
        <v/>
      </c>
      <c r="DL46" s="508" t="str">
        <f t="shared" si="92"/>
        <v/>
      </c>
      <c r="DM46" s="508" t="str">
        <f t="shared" si="93"/>
        <v/>
      </c>
      <c r="DN46" s="508" t="str">
        <f t="shared" si="94"/>
        <v/>
      </c>
      <c r="DO46" s="508" t="str">
        <f t="shared" si="95"/>
        <v/>
      </c>
      <c r="DP46" s="508" t="str">
        <f t="shared" si="96"/>
        <v/>
      </c>
      <c r="DQ46" s="508" t="str">
        <f t="shared" si="97"/>
        <v/>
      </c>
      <c r="DR46" s="508" t="str">
        <f t="shared" si="98"/>
        <v/>
      </c>
      <c r="DS46" s="508" t="str">
        <f t="shared" si="99"/>
        <v/>
      </c>
      <c r="DT46" s="508" t="str">
        <f t="shared" si="100"/>
        <v/>
      </c>
      <c r="DU46" s="508" t="str">
        <f t="shared" si="101"/>
        <v/>
      </c>
      <c r="DV46" s="508" t="str">
        <f t="shared" si="102"/>
        <v/>
      </c>
      <c r="DW46" s="508" t="str">
        <f t="shared" si="103"/>
        <v/>
      </c>
      <c r="DX46" s="508" t="str">
        <f t="shared" si="104"/>
        <v/>
      </c>
      <c r="DY46" s="508" t="str">
        <f t="shared" si="105"/>
        <v/>
      </c>
      <c r="DZ46" s="508" t="str">
        <f t="shared" si="106"/>
        <v/>
      </c>
      <c r="EA46" s="508" t="str">
        <f t="shared" si="107"/>
        <v/>
      </c>
      <c r="EB46" s="508" t="str">
        <f t="shared" si="108"/>
        <v/>
      </c>
      <c r="EC46" s="508" t="str">
        <f t="shared" si="109"/>
        <v/>
      </c>
      <c r="ED46" s="508" t="str">
        <f t="shared" si="110"/>
        <v/>
      </c>
      <c r="EE46" s="508" t="str">
        <f t="shared" si="111"/>
        <v/>
      </c>
      <c r="EF46" s="508" t="str">
        <f t="shared" si="112"/>
        <v/>
      </c>
      <c r="EG46" s="508" t="str">
        <f t="shared" si="113"/>
        <v/>
      </c>
      <c r="EH46" s="508" t="str">
        <f t="shared" si="114"/>
        <v/>
      </c>
      <c r="EI46" s="508" t="str">
        <f t="shared" si="115"/>
        <v/>
      </c>
      <c r="EJ46" s="508" t="str">
        <f t="shared" si="116"/>
        <v/>
      </c>
      <c r="EK46" s="508" t="str">
        <f t="shared" si="117"/>
        <v/>
      </c>
      <c r="EL46" s="508" t="str">
        <f t="shared" si="118"/>
        <v/>
      </c>
      <c r="EM46" s="508" t="str">
        <f t="shared" si="119"/>
        <v/>
      </c>
      <c r="EN46" s="508" t="str">
        <f t="shared" si="120"/>
        <v/>
      </c>
      <c r="EO46" s="508" t="str">
        <f t="shared" si="121"/>
        <v/>
      </c>
      <c r="EP46" s="508" t="str">
        <f t="shared" si="122"/>
        <v/>
      </c>
      <c r="EQ46" s="508" t="str">
        <f t="shared" si="123"/>
        <v/>
      </c>
      <c r="ER46" s="508" t="str">
        <f t="shared" si="124"/>
        <v/>
      </c>
      <c r="ES46" s="508" t="str">
        <f t="shared" si="125"/>
        <v/>
      </c>
      <c r="ET46" s="508" t="str">
        <f t="shared" si="126"/>
        <v/>
      </c>
      <c r="EU46" s="508" t="str">
        <f t="shared" si="127"/>
        <v/>
      </c>
      <c r="EV46" s="518" t="str">
        <f t="shared" si="128"/>
        <v/>
      </c>
      <c r="EW46" s="518" t="str">
        <f t="shared" si="129"/>
        <v/>
      </c>
      <c r="EX46" s="518" t="str">
        <f t="shared" si="130"/>
        <v/>
      </c>
      <c r="EY46" s="518" t="str">
        <f t="shared" si="131"/>
        <v/>
      </c>
      <c r="EZ46" s="518" t="str">
        <f t="shared" si="132"/>
        <v/>
      </c>
      <c r="FA46" s="518" t="str">
        <f t="shared" si="133"/>
        <v/>
      </c>
      <c r="FB46" s="518" t="str">
        <f t="shared" si="134"/>
        <v/>
      </c>
      <c r="FC46" s="518" t="str">
        <f t="shared" si="135"/>
        <v/>
      </c>
      <c r="FD46" s="518" t="str">
        <f t="shared" si="136"/>
        <v/>
      </c>
      <c r="FE46" s="518" t="str">
        <f t="shared" si="137"/>
        <v/>
      </c>
      <c r="FF46" s="518" t="str">
        <f t="shared" si="138"/>
        <v/>
      </c>
      <c r="FG46" s="518" t="str">
        <f t="shared" si="139"/>
        <v/>
      </c>
      <c r="FH46" s="518" t="str">
        <f t="shared" si="140"/>
        <v/>
      </c>
      <c r="FI46" s="518" t="str">
        <f t="shared" si="141"/>
        <v/>
      </c>
      <c r="FJ46" s="518" t="str">
        <f t="shared" si="142"/>
        <v/>
      </c>
      <c r="FK46" s="518" t="str">
        <f t="shared" si="143"/>
        <v/>
      </c>
      <c r="FL46" s="518" t="str">
        <f t="shared" si="144"/>
        <v/>
      </c>
      <c r="FM46" s="518" t="str">
        <f t="shared" si="145"/>
        <v/>
      </c>
      <c r="FN46" s="518" t="str">
        <f t="shared" si="146"/>
        <v/>
      </c>
      <c r="FO46" s="518" t="str">
        <f t="shared" si="147"/>
        <v/>
      </c>
      <c r="FP46" s="518" t="str">
        <f t="shared" si="148"/>
        <v/>
      </c>
      <c r="FQ46" s="518" t="str">
        <f t="shared" si="149"/>
        <v/>
      </c>
      <c r="FR46" s="518" t="str">
        <f t="shared" si="150"/>
        <v/>
      </c>
      <c r="FS46" s="518" t="str">
        <f t="shared" si="151"/>
        <v/>
      </c>
      <c r="FT46" s="518" t="str">
        <f t="shared" si="152"/>
        <v/>
      </c>
      <c r="FU46" s="518" t="str">
        <f t="shared" si="153"/>
        <v/>
      </c>
      <c r="FV46" s="518" t="str">
        <f t="shared" si="154"/>
        <v/>
      </c>
      <c r="FW46" s="518" t="str">
        <f t="shared" si="155"/>
        <v/>
      </c>
      <c r="FX46" s="518" t="str">
        <f t="shared" si="156"/>
        <v/>
      </c>
      <c r="FY46" s="518" t="str">
        <f t="shared" si="157"/>
        <v/>
      </c>
      <c r="FZ46" s="518" t="str">
        <f t="shared" si="158"/>
        <v/>
      </c>
      <c r="GA46" s="518" t="str">
        <f t="shared" si="159"/>
        <v/>
      </c>
      <c r="GB46" s="518" t="str">
        <f t="shared" si="160"/>
        <v/>
      </c>
      <c r="GC46" s="518" t="str">
        <f t="shared" si="161"/>
        <v/>
      </c>
      <c r="GD46" s="518" t="str">
        <f t="shared" si="162"/>
        <v/>
      </c>
      <c r="GE46" s="518" t="str">
        <f t="shared" si="163"/>
        <v/>
      </c>
      <c r="GF46" s="518" t="str">
        <f t="shared" si="164"/>
        <v/>
      </c>
      <c r="GG46" s="518" t="str">
        <f t="shared" si="165"/>
        <v/>
      </c>
      <c r="GH46" s="518" t="str">
        <f t="shared" si="166"/>
        <v/>
      </c>
      <c r="GI46" s="518" t="str">
        <f t="shared" si="167"/>
        <v/>
      </c>
      <c r="GJ46" s="518" t="str">
        <f t="shared" si="168"/>
        <v/>
      </c>
      <c r="GK46" s="518" t="str">
        <f t="shared" si="169"/>
        <v/>
      </c>
      <c r="GL46" s="518" t="str">
        <f t="shared" si="170"/>
        <v/>
      </c>
      <c r="GM46" s="518" t="str">
        <f t="shared" si="171"/>
        <v/>
      </c>
      <c r="GN46" s="518" t="str">
        <f t="shared" si="172"/>
        <v/>
      </c>
      <c r="GO46" s="518" t="str">
        <f t="shared" si="173"/>
        <v/>
      </c>
      <c r="GP46" s="518" t="str">
        <f t="shared" si="174"/>
        <v/>
      </c>
      <c r="GQ46" s="518" t="str">
        <f t="shared" si="175"/>
        <v/>
      </c>
      <c r="GR46" s="518" t="str">
        <f t="shared" si="176"/>
        <v/>
      </c>
      <c r="GS46" s="518" t="str">
        <f t="shared" si="177"/>
        <v/>
      </c>
      <c r="GT46" s="518" t="str">
        <f t="shared" si="178"/>
        <v/>
      </c>
      <c r="GU46" s="518" t="str">
        <f t="shared" si="179"/>
        <v/>
      </c>
      <c r="GV46" s="518" t="str">
        <f t="shared" si="180"/>
        <v/>
      </c>
      <c r="GW46" s="518" t="str">
        <f t="shared" si="181"/>
        <v/>
      </c>
      <c r="GX46" s="518" t="str">
        <f t="shared" si="182"/>
        <v/>
      </c>
      <c r="GY46" s="518" t="str">
        <f t="shared" si="183"/>
        <v/>
      </c>
      <c r="GZ46" s="518" t="str">
        <f t="shared" si="184"/>
        <v/>
      </c>
      <c r="HA46" s="518" t="str">
        <f t="shared" si="185"/>
        <v/>
      </c>
      <c r="HB46" s="518" t="str">
        <f t="shared" si="186"/>
        <v/>
      </c>
      <c r="HC46" s="518" t="str">
        <f t="shared" si="187"/>
        <v/>
      </c>
      <c r="HD46" s="518" t="str">
        <f t="shared" si="188"/>
        <v/>
      </c>
      <c r="HE46" s="518" t="str">
        <f t="shared" si="189"/>
        <v/>
      </c>
      <c r="HF46" s="518" t="str">
        <f t="shared" si="190"/>
        <v/>
      </c>
      <c r="HG46" s="518" t="str">
        <f t="shared" si="191"/>
        <v/>
      </c>
      <c r="HH46" s="518" t="str">
        <f t="shared" si="192"/>
        <v/>
      </c>
      <c r="HI46" s="518" t="str">
        <f t="shared" si="193"/>
        <v/>
      </c>
      <c r="HJ46" s="518" t="str">
        <f t="shared" si="194"/>
        <v/>
      </c>
      <c r="HK46" s="518" t="str">
        <f t="shared" si="195"/>
        <v/>
      </c>
      <c r="HL46" s="518" t="str">
        <f t="shared" si="196"/>
        <v/>
      </c>
      <c r="HM46" s="518" t="str">
        <f t="shared" si="197"/>
        <v/>
      </c>
      <c r="HN46" s="518" t="str">
        <f t="shared" si="198"/>
        <v/>
      </c>
      <c r="HO46" s="518" t="str">
        <f t="shared" si="199"/>
        <v/>
      </c>
      <c r="HP46" s="518" t="str">
        <f t="shared" si="200"/>
        <v/>
      </c>
      <c r="HQ46" s="518" t="str">
        <f t="shared" si="201"/>
        <v/>
      </c>
      <c r="HR46" s="518" t="str">
        <f t="shared" si="202"/>
        <v/>
      </c>
      <c r="HS46" s="518" t="str">
        <f t="shared" si="203"/>
        <v/>
      </c>
      <c r="HT46" s="518" t="str">
        <f t="shared" si="204"/>
        <v/>
      </c>
      <c r="HU46" s="518" t="str">
        <f t="shared" si="205"/>
        <v/>
      </c>
      <c r="HV46" s="518" t="str">
        <f t="shared" si="206"/>
        <v/>
      </c>
      <c r="HW46" s="518" t="str">
        <f t="shared" si="207"/>
        <v/>
      </c>
      <c r="HX46" s="518" t="str">
        <f t="shared" si="208"/>
        <v/>
      </c>
      <c r="HY46" s="518" t="str">
        <f t="shared" si="209"/>
        <v/>
      </c>
      <c r="HZ46" s="518" t="str">
        <f t="shared" si="210"/>
        <v/>
      </c>
      <c r="IA46" s="518" t="str">
        <f t="shared" si="211"/>
        <v/>
      </c>
      <c r="IB46" s="518" t="str">
        <f t="shared" si="212"/>
        <v/>
      </c>
      <c r="IC46" s="519" t="str">
        <f t="shared" si="213"/>
        <v/>
      </c>
      <c r="ID46" s="519" t="str">
        <f t="shared" si="214"/>
        <v/>
      </c>
      <c r="IE46" s="519" t="str">
        <f t="shared" si="215"/>
        <v/>
      </c>
      <c r="IF46" s="519" t="str">
        <f t="shared" si="216"/>
        <v/>
      </c>
      <c r="IG46" s="519" t="str">
        <f t="shared" si="217"/>
        <v/>
      </c>
      <c r="IH46" s="508" t="str">
        <f t="shared" si="218"/>
        <v/>
      </c>
      <c r="II46" s="508" t="str">
        <f t="shared" si="219"/>
        <v/>
      </c>
      <c r="IJ46" s="508" t="str">
        <f t="shared" si="220"/>
        <v/>
      </c>
      <c r="IK46" s="508" t="str">
        <f t="shared" si="221"/>
        <v/>
      </c>
      <c r="IL46" s="508" t="str">
        <f t="shared" si="222"/>
        <v/>
      </c>
      <c r="IM46" s="508" t="str">
        <f t="shared" si="223"/>
        <v/>
      </c>
      <c r="IN46" s="508" t="str">
        <f t="shared" si="224"/>
        <v/>
      </c>
      <c r="IO46" s="508" t="str">
        <f t="shared" si="225"/>
        <v/>
      </c>
      <c r="IP46" s="508" t="str">
        <f t="shared" si="226"/>
        <v/>
      </c>
      <c r="IQ46" s="508" t="str">
        <f t="shared" si="227"/>
        <v/>
      </c>
      <c r="IR46" s="508" t="str">
        <f t="shared" si="228"/>
        <v/>
      </c>
      <c r="IS46" s="508" t="str">
        <f t="shared" si="229"/>
        <v/>
      </c>
      <c r="IT46" s="508" t="str">
        <f t="shared" si="230"/>
        <v/>
      </c>
      <c r="IU46" s="508" t="str">
        <f t="shared" si="231"/>
        <v/>
      </c>
      <c r="IV46" s="508" t="str">
        <f t="shared" si="232"/>
        <v/>
      </c>
      <c r="IW46" s="508" t="str">
        <f t="shared" si="233"/>
        <v/>
      </c>
      <c r="IX46" s="508" t="str">
        <f t="shared" si="234"/>
        <v/>
      </c>
      <c r="IY46" s="508" t="str">
        <f t="shared" si="235"/>
        <v/>
      </c>
      <c r="IZ46" s="508" t="str">
        <f t="shared" si="236"/>
        <v/>
      </c>
      <c r="JA46" s="508" t="str">
        <f t="shared" si="237"/>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73" t="s">
        <v>1859</v>
      </c>
      <c r="C47" s="2374"/>
      <c r="D47" s="2375"/>
      <c r="E47" s="2376"/>
      <c r="F47" s="2376"/>
      <c r="G47" s="2376"/>
      <c r="H47" s="2376"/>
      <c r="I47" s="2376"/>
      <c r="J47" s="2377"/>
      <c r="K47" s="862">
        <f t="shared" si="1"/>
        <v>0</v>
      </c>
      <c r="L47" s="862">
        <f t="shared" si="2"/>
        <v>0</v>
      </c>
      <c r="M47" s="2378"/>
      <c r="N47" s="2378"/>
      <c r="O47" s="2378"/>
      <c r="P47" s="2378"/>
      <c r="Q47" s="472" t="str">
        <f>IF(H47="","",P47/($O$6*VLOOKUP(C47,'DCA Underwriting Assumptions'!$J$118:$K$123,2,FALSE)))</f>
        <v/>
      </c>
      <c r="R47" s="547"/>
      <c r="S47" s="472"/>
      <c r="T47" s="2309"/>
      <c r="U47" s="2310"/>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238"/>
        <v/>
      </c>
      <c r="BU47" s="508" t="str">
        <f t="shared" si="239"/>
        <v/>
      </c>
      <c r="BV47" s="508" t="str">
        <f t="shared" si="240"/>
        <v/>
      </c>
      <c r="BW47" s="508" t="str">
        <f t="shared" si="241"/>
        <v/>
      </c>
      <c r="BX47" s="508" t="str">
        <f t="shared" si="242"/>
        <v/>
      </c>
      <c r="BY47" s="508" t="str">
        <f t="shared" si="53"/>
        <v/>
      </c>
      <c r="BZ47" s="508" t="str">
        <f t="shared" si="54"/>
        <v/>
      </c>
      <c r="CA47" s="508" t="str">
        <f t="shared" si="55"/>
        <v/>
      </c>
      <c r="CB47" s="508" t="str">
        <f t="shared" si="56"/>
        <v/>
      </c>
      <c r="CC47" s="508" t="str">
        <f t="shared" si="57"/>
        <v/>
      </c>
      <c r="CD47" s="508" t="str">
        <f t="shared" si="58"/>
        <v/>
      </c>
      <c r="CE47" s="508" t="str">
        <f t="shared" si="59"/>
        <v/>
      </c>
      <c r="CF47" s="508" t="str">
        <f t="shared" si="60"/>
        <v/>
      </c>
      <c r="CG47" s="508" t="str">
        <f t="shared" si="61"/>
        <v/>
      </c>
      <c r="CH47" s="508" t="str">
        <f t="shared" si="62"/>
        <v/>
      </c>
      <c r="CI47" s="508" t="str">
        <f t="shared" si="63"/>
        <v/>
      </c>
      <c r="CJ47" s="508" t="str">
        <f t="shared" si="64"/>
        <v/>
      </c>
      <c r="CK47" s="508" t="str">
        <f t="shared" si="65"/>
        <v/>
      </c>
      <c r="CL47" s="508" t="str">
        <f t="shared" si="66"/>
        <v/>
      </c>
      <c r="CM47" s="508" t="str">
        <f t="shared" si="67"/>
        <v/>
      </c>
      <c r="CN47" s="508" t="str">
        <f t="shared" si="68"/>
        <v/>
      </c>
      <c r="CO47" s="508" t="str">
        <f t="shared" si="69"/>
        <v/>
      </c>
      <c r="CP47" s="508" t="str">
        <f t="shared" si="70"/>
        <v/>
      </c>
      <c r="CQ47" s="508" t="str">
        <f t="shared" si="71"/>
        <v/>
      </c>
      <c r="CR47" s="508" t="str">
        <f t="shared" si="72"/>
        <v/>
      </c>
      <c r="CS47" s="508" t="str">
        <f t="shared" si="73"/>
        <v/>
      </c>
      <c r="CT47" s="508" t="str">
        <f t="shared" si="74"/>
        <v/>
      </c>
      <c r="CU47" s="508" t="str">
        <f t="shared" si="75"/>
        <v/>
      </c>
      <c r="CV47" s="508" t="str">
        <f t="shared" si="76"/>
        <v/>
      </c>
      <c r="CW47" s="508" t="str">
        <f t="shared" si="77"/>
        <v/>
      </c>
      <c r="CX47" s="508" t="str">
        <f t="shared" si="78"/>
        <v/>
      </c>
      <c r="CY47" s="508" t="str">
        <f t="shared" si="79"/>
        <v/>
      </c>
      <c r="CZ47" s="508" t="str">
        <f t="shared" si="80"/>
        <v/>
      </c>
      <c r="DA47" s="508" t="str">
        <f t="shared" si="81"/>
        <v/>
      </c>
      <c r="DB47" s="508" t="str">
        <f t="shared" si="82"/>
        <v/>
      </c>
      <c r="DC47" s="508" t="str">
        <f t="shared" si="83"/>
        <v/>
      </c>
      <c r="DD47" s="508" t="str">
        <f t="shared" si="84"/>
        <v/>
      </c>
      <c r="DE47" s="508" t="str">
        <f t="shared" si="85"/>
        <v/>
      </c>
      <c r="DF47" s="508" t="str">
        <f t="shared" si="86"/>
        <v/>
      </c>
      <c r="DG47" s="508" t="str">
        <f t="shared" si="87"/>
        <v/>
      </c>
      <c r="DH47" s="508" t="str">
        <f t="shared" si="88"/>
        <v/>
      </c>
      <c r="DI47" s="508" t="str">
        <f t="shared" si="89"/>
        <v/>
      </c>
      <c r="DJ47" s="508" t="str">
        <f t="shared" si="90"/>
        <v/>
      </c>
      <c r="DK47" s="508" t="str">
        <f t="shared" si="91"/>
        <v/>
      </c>
      <c r="DL47" s="508" t="str">
        <f t="shared" si="92"/>
        <v/>
      </c>
      <c r="DM47" s="508" t="str">
        <f t="shared" si="93"/>
        <v/>
      </c>
      <c r="DN47" s="508" t="str">
        <f t="shared" si="94"/>
        <v/>
      </c>
      <c r="DO47" s="508" t="str">
        <f t="shared" si="95"/>
        <v/>
      </c>
      <c r="DP47" s="508" t="str">
        <f t="shared" si="96"/>
        <v/>
      </c>
      <c r="DQ47" s="508" t="str">
        <f t="shared" si="97"/>
        <v/>
      </c>
      <c r="DR47" s="508" t="str">
        <f t="shared" si="98"/>
        <v/>
      </c>
      <c r="DS47" s="508" t="str">
        <f t="shared" si="99"/>
        <v/>
      </c>
      <c r="DT47" s="508" t="str">
        <f t="shared" si="100"/>
        <v/>
      </c>
      <c r="DU47" s="508" t="str">
        <f t="shared" si="101"/>
        <v/>
      </c>
      <c r="DV47" s="508" t="str">
        <f t="shared" si="102"/>
        <v/>
      </c>
      <c r="DW47" s="508" t="str">
        <f t="shared" si="103"/>
        <v/>
      </c>
      <c r="DX47" s="508" t="str">
        <f t="shared" si="104"/>
        <v/>
      </c>
      <c r="DY47" s="508" t="str">
        <f t="shared" si="105"/>
        <v/>
      </c>
      <c r="DZ47" s="508" t="str">
        <f t="shared" si="106"/>
        <v/>
      </c>
      <c r="EA47" s="508" t="str">
        <f t="shared" si="107"/>
        <v/>
      </c>
      <c r="EB47" s="508" t="str">
        <f t="shared" si="108"/>
        <v/>
      </c>
      <c r="EC47" s="508" t="str">
        <f t="shared" si="109"/>
        <v/>
      </c>
      <c r="ED47" s="508" t="str">
        <f t="shared" si="110"/>
        <v/>
      </c>
      <c r="EE47" s="508" t="str">
        <f t="shared" si="111"/>
        <v/>
      </c>
      <c r="EF47" s="508" t="str">
        <f t="shared" si="112"/>
        <v/>
      </c>
      <c r="EG47" s="508" t="str">
        <f t="shared" si="113"/>
        <v/>
      </c>
      <c r="EH47" s="508" t="str">
        <f t="shared" si="114"/>
        <v/>
      </c>
      <c r="EI47" s="508" t="str">
        <f t="shared" si="115"/>
        <v/>
      </c>
      <c r="EJ47" s="508" t="str">
        <f t="shared" si="116"/>
        <v/>
      </c>
      <c r="EK47" s="508" t="str">
        <f t="shared" si="117"/>
        <v/>
      </c>
      <c r="EL47" s="508" t="str">
        <f t="shared" si="118"/>
        <v/>
      </c>
      <c r="EM47" s="508" t="str">
        <f t="shared" si="119"/>
        <v/>
      </c>
      <c r="EN47" s="508" t="str">
        <f t="shared" si="120"/>
        <v/>
      </c>
      <c r="EO47" s="508" t="str">
        <f t="shared" si="121"/>
        <v/>
      </c>
      <c r="EP47" s="508" t="str">
        <f t="shared" si="122"/>
        <v/>
      </c>
      <c r="EQ47" s="508" t="str">
        <f t="shared" si="123"/>
        <v/>
      </c>
      <c r="ER47" s="508" t="str">
        <f t="shared" si="124"/>
        <v/>
      </c>
      <c r="ES47" s="508" t="str">
        <f t="shared" si="125"/>
        <v/>
      </c>
      <c r="ET47" s="508" t="str">
        <f t="shared" si="126"/>
        <v/>
      </c>
      <c r="EU47" s="508" t="str">
        <f t="shared" si="127"/>
        <v/>
      </c>
      <c r="EV47" s="518" t="str">
        <f t="shared" si="128"/>
        <v/>
      </c>
      <c r="EW47" s="518" t="str">
        <f t="shared" si="129"/>
        <v/>
      </c>
      <c r="EX47" s="518" t="str">
        <f t="shared" si="130"/>
        <v/>
      </c>
      <c r="EY47" s="518" t="str">
        <f t="shared" si="131"/>
        <v/>
      </c>
      <c r="EZ47" s="518" t="str">
        <f t="shared" si="132"/>
        <v/>
      </c>
      <c r="FA47" s="518" t="str">
        <f t="shared" si="133"/>
        <v/>
      </c>
      <c r="FB47" s="518" t="str">
        <f t="shared" si="134"/>
        <v/>
      </c>
      <c r="FC47" s="518" t="str">
        <f t="shared" si="135"/>
        <v/>
      </c>
      <c r="FD47" s="518" t="str">
        <f t="shared" si="136"/>
        <v/>
      </c>
      <c r="FE47" s="518" t="str">
        <f t="shared" si="137"/>
        <v/>
      </c>
      <c r="FF47" s="518" t="str">
        <f t="shared" si="138"/>
        <v/>
      </c>
      <c r="FG47" s="518" t="str">
        <f t="shared" si="139"/>
        <v/>
      </c>
      <c r="FH47" s="518" t="str">
        <f t="shared" si="140"/>
        <v/>
      </c>
      <c r="FI47" s="518" t="str">
        <f t="shared" si="141"/>
        <v/>
      </c>
      <c r="FJ47" s="518" t="str">
        <f t="shared" si="142"/>
        <v/>
      </c>
      <c r="FK47" s="518" t="str">
        <f t="shared" si="143"/>
        <v/>
      </c>
      <c r="FL47" s="518" t="str">
        <f t="shared" si="144"/>
        <v/>
      </c>
      <c r="FM47" s="518" t="str">
        <f t="shared" si="145"/>
        <v/>
      </c>
      <c r="FN47" s="518" t="str">
        <f t="shared" si="146"/>
        <v/>
      </c>
      <c r="FO47" s="518" t="str">
        <f t="shared" si="147"/>
        <v/>
      </c>
      <c r="FP47" s="518" t="str">
        <f t="shared" si="148"/>
        <v/>
      </c>
      <c r="FQ47" s="518" t="str">
        <f t="shared" si="149"/>
        <v/>
      </c>
      <c r="FR47" s="518" t="str">
        <f t="shared" si="150"/>
        <v/>
      </c>
      <c r="FS47" s="518" t="str">
        <f t="shared" si="151"/>
        <v/>
      </c>
      <c r="FT47" s="518" t="str">
        <f t="shared" si="152"/>
        <v/>
      </c>
      <c r="FU47" s="518" t="str">
        <f t="shared" si="153"/>
        <v/>
      </c>
      <c r="FV47" s="518" t="str">
        <f t="shared" si="154"/>
        <v/>
      </c>
      <c r="FW47" s="518" t="str">
        <f t="shared" si="155"/>
        <v/>
      </c>
      <c r="FX47" s="518" t="str">
        <f t="shared" si="156"/>
        <v/>
      </c>
      <c r="FY47" s="518" t="str">
        <f t="shared" si="157"/>
        <v/>
      </c>
      <c r="FZ47" s="518" t="str">
        <f t="shared" si="158"/>
        <v/>
      </c>
      <c r="GA47" s="518" t="str">
        <f t="shared" si="159"/>
        <v/>
      </c>
      <c r="GB47" s="518" t="str">
        <f t="shared" si="160"/>
        <v/>
      </c>
      <c r="GC47" s="518" t="str">
        <f t="shared" si="161"/>
        <v/>
      </c>
      <c r="GD47" s="518" t="str">
        <f t="shared" si="162"/>
        <v/>
      </c>
      <c r="GE47" s="518" t="str">
        <f t="shared" si="163"/>
        <v/>
      </c>
      <c r="GF47" s="518" t="str">
        <f t="shared" si="164"/>
        <v/>
      </c>
      <c r="GG47" s="518" t="str">
        <f t="shared" si="165"/>
        <v/>
      </c>
      <c r="GH47" s="518" t="str">
        <f t="shared" si="166"/>
        <v/>
      </c>
      <c r="GI47" s="518" t="str">
        <f t="shared" si="167"/>
        <v/>
      </c>
      <c r="GJ47" s="518" t="str">
        <f t="shared" si="168"/>
        <v/>
      </c>
      <c r="GK47" s="518" t="str">
        <f t="shared" si="169"/>
        <v/>
      </c>
      <c r="GL47" s="518" t="str">
        <f t="shared" si="170"/>
        <v/>
      </c>
      <c r="GM47" s="518" t="str">
        <f t="shared" si="171"/>
        <v/>
      </c>
      <c r="GN47" s="518" t="str">
        <f t="shared" si="172"/>
        <v/>
      </c>
      <c r="GO47" s="518" t="str">
        <f t="shared" si="173"/>
        <v/>
      </c>
      <c r="GP47" s="518" t="str">
        <f t="shared" si="174"/>
        <v/>
      </c>
      <c r="GQ47" s="518" t="str">
        <f t="shared" si="175"/>
        <v/>
      </c>
      <c r="GR47" s="518" t="str">
        <f t="shared" si="176"/>
        <v/>
      </c>
      <c r="GS47" s="518" t="str">
        <f t="shared" si="177"/>
        <v/>
      </c>
      <c r="GT47" s="518" t="str">
        <f t="shared" si="178"/>
        <v/>
      </c>
      <c r="GU47" s="518" t="str">
        <f t="shared" si="179"/>
        <v/>
      </c>
      <c r="GV47" s="518" t="str">
        <f t="shared" si="180"/>
        <v/>
      </c>
      <c r="GW47" s="518" t="str">
        <f t="shared" si="181"/>
        <v/>
      </c>
      <c r="GX47" s="518" t="str">
        <f t="shared" si="182"/>
        <v/>
      </c>
      <c r="GY47" s="518" t="str">
        <f t="shared" si="183"/>
        <v/>
      </c>
      <c r="GZ47" s="518" t="str">
        <f t="shared" si="184"/>
        <v/>
      </c>
      <c r="HA47" s="518" t="str">
        <f t="shared" si="185"/>
        <v/>
      </c>
      <c r="HB47" s="518" t="str">
        <f t="shared" si="186"/>
        <v/>
      </c>
      <c r="HC47" s="518" t="str">
        <f t="shared" si="187"/>
        <v/>
      </c>
      <c r="HD47" s="518" t="str">
        <f t="shared" si="188"/>
        <v/>
      </c>
      <c r="HE47" s="518" t="str">
        <f t="shared" si="189"/>
        <v/>
      </c>
      <c r="HF47" s="518" t="str">
        <f t="shared" si="190"/>
        <v/>
      </c>
      <c r="HG47" s="518" t="str">
        <f t="shared" si="191"/>
        <v/>
      </c>
      <c r="HH47" s="518" t="str">
        <f t="shared" si="192"/>
        <v/>
      </c>
      <c r="HI47" s="518" t="str">
        <f t="shared" si="193"/>
        <v/>
      </c>
      <c r="HJ47" s="518" t="str">
        <f t="shared" si="194"/>
        <v/>
      </c>
      <c r="HK47" s="518" t="str">
        <f t="shared" si="195"/>
        <v/>
      </c>
      <c r="HL47" s="518" t="str">
        <f t="shared" si="196"/>
        <v/>
      </c>
      <c r="HM47" s="518" t="str">
        <f t="shared" si="197"/>
        <v/>
      </c>
      <c r="HN47" s="518" t="str">
        <f t="shared" si="198"/>
        <v/>
      </c>
      <c r="HO47" s="518" t="str">
        <f t="shared" si="199"/>
        <v/>
      </c>
      <c r="HP47" s="518" t="str">
        <f t="shared" si="200"/>
        <v/>
      </c>
      <c r="HQ47" s="518" t="str">
        <f t="shared" si="201"/>
        <v/>
      </c>
      <c r="HR47" s="518" t="str">
        <f t="shared" si="202"/>
        <v/>
      </c>
      <c r="HS47" s="518" t="str">
        <f t="shared" si="203"/>
        <v/>
      </c>
      <c r="HT47" s="518" t="str">
        <f t="shared" si="204"/>
        <v/>
      </c>
      <c r="HU47" s="518" t="str">
        <f t="shared" si="205"/>
        <v/>
      </c>
      <c r="HV47" s="518" t="str">
        <f t="shared" si="206"/>
        <v/>
      </c>
      <c r="HW47" s="518" t="str">
        <f t="shared" si="207"/>
        <v/>
      </c>
      <c r="HX47" s="518" t="str">
        <f t="shared" si="208"/>
        <v/>
      </c>
      <c r="HY47" s="518" t="str">
        <f t="shared" si="209"/>
        <v/>
      </c>
      <c r="HZ47" s="518" t="str">
        <f t="shared" si="210"/>
        <v/>
      </c>
      <c r="IA47" s="518" t="str">
        <f t="shared" si="211"/>
        <v/>
      </c>
      <c r="IB47" s="518" t="str">
        <f t="shared" si="212"/>
        <v/>
      </c>
      <c r="IC47" s="519" t="str">
        <f t="shared" si="213"/>
        <v/>
      </c>
      <c r="ID47" s="519" t="str">
        <f t="shared" si="214"/>
        <v/>
      </c>
      <c r="IE47" s="519" t="str">
        <f t="shared" si="215"/>
        <v/>
      </c>
      <c r="IF47" s="519" t="str">
        <f t="shared" si="216"/>
        <v/>
      </c>
      <c r="IG47" s="519" t="str">
        <f t="shared" si="217"/>
        <v/>
      </c>
      <c r="IH47" s="508" t="str">
        <f t="shared" si="218"/>
        <v/>
      </c>
      <c r="II47" s="508" t="str">
        <f t="shared" si="219"/>
        <v/>
      </c>
      <c r="IJ47" s="508" t="str">
        <f t="shared" si="220"/>
        <v/>
      </c>
      <c r="IK47" s="508" t="str">
        <f t="shared" si="221"/>
        <v/>
      </c>
      <c r="IL47" s="508" t="str">
        <f t="shared" si="222"/>
        <v/>
      </c>
      <c r="IM47" s="508" t="str">
        <f t="shared" si="223"/>
        <v/>
      </c>
      <c r="IN47" s="508" t="str">
        <f t="shared" si="224"/>
        <v/>
      </c>
      <c r="IO47" s="508" t="str">
        <f t="shared" si="225"/>
        <v/>
      </c>
      <c r="IP47" s="508" t="str">
        <f t="shared" si="226"/>
        <v/>
      </c>
      <c r="IQ47" s="508" t="str">
        <f t="shared" si="227"/>
        <v/>
      </c>
      <c r="IR47" s="508" t="str">
        <f t="shared" si="228"/>
        <v/>
      </c>
      <c r="IS47" s="508" t="str">
        <f t="shared" si="229"/>
        <v/>
      </c>
      <c r="IT47" s="508" t="str">
        <f t="shared" si="230"/>
        <v/>
      </c>
      <c r="IU47" s="508" t="str">
        <f t="shared" si="231"/>
        <v/>
      </c>
      <c r="IV47" s="508" t="str">
        <f t="shared" si="232"/>
        <v/>
      </c>
      <c r="IW47" s="508" t="str">
        <f t="shared" si="233"/>
        <v/>
      </c>
      <c r="IX47" s="508" t="str">
        <f t="shared" si="234"/>
        <v/>
      </c>
      <c r="IY47" s="508" t="str">
        <f t="shared" si="235"/>
        <v/>
      </c>
      <c r="IZ47" s="508" t="str">
        <f t="shared" si="236"/>
        <v/>
      </c>
      <c r="JA47" s="508" t="str">
        <f t="shared" si="237"/>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09">
        <f>COUNT(A10,A11,A12,A13,A14,A15,A16,A17,A18,A19,A20,A21,A22,A23,A24,A25,A26,A27,A28,A29,A30,A31,A32,A33,A34,A35,A36,A37,A38,A39)</f>
        <v>0</v>
      </c>
      <c r="B48" s="779"/>
      <c r="C48" s="100"/>
      <c r="D48" s="15" t="s">
        <v>1068</v>
      </c>
      <c r="E48" s="134">
        <f>SUM(E10:E47)</f>
        <v>96</v>
      </c>
      <c r="F48" s="135">
        <f>(E10*F10+E11*F11+E12*F12+E13*F13+E14*F14+E15*F15+E16*F16+E17*F17+E18*F18+E19*F19+E20*F20+E21*F21+E22*F22+E23*F23+E24*F24+E25*F25+E26*F26+E27*F27+E28*F28+E29*F29+E30*F30+E31*F31+E32*F32+E33*F33+E34*F34+E35*F35+E36*F36+E37*F37+E38*F38+E39*F39+E40*F40+E41*F41+E42*F42+E43*F43+E44*F44+E45*F45+E46*F46+E47*F47)</f>
        <v>103944</v>
      </c>
      <c r="G48" s="780"/>
      <c r="H48" s="781"/>
      <c r="I48" s="781"/>
      <c r="J48" s="781"/>
      <c r="K48" s="197" t="s">
        <v>1367</v>
      </c>
      <c r="L48" s="133">
        <f>SUM(L10:L47)</f>
        <v>52280</v>
      </c>
      <c r="M48" s="100"/>
      <c r="N48" s="782"/>
      <c r="O48" s="100"/>
      <c r="P48" s="537"/>
      <c r="Q48" s="537"/>
      <c r="R48" s="537"/>
      <c r="S48" s="537"/>
      <c r="T48" s="1311"/>
      <c r="U48" s="783"/>
      <c r="V48" s="520">
        <f t="shared" ref="V48:CG48" si="258">SUM(V10:V47)</f>
        <v>0</v>
      </c>
      <c r="W48" s="520">
        <f t="shared" si="258"/>
        <v>14</v>
      </c>
      <c r="X48" s="520">
        <f t="shared" si="258"/>
        <v>42</v>
      </c>
      <c r="Y48" s="520">
        <f t="shared" si="258"/>
        <v>20</v>
      </c>
      <c r="Z48" s="520">
        <f t="shared" si="258"/>
        <v>0</v>
      </c>
      <c r="AA48" s="520">
        <f t="shared" si="258"/>
        <v>0</v>
      </c>
      <c r="AB48" s="520">
        <f t="shared" si="258"/>
        <v>4</v>
      </c>
      <c r="AC48" s="520">
        <f t="shared" si="258"/>
        <v>12</v>
      </c>
      <c r="AD48" s="520">
        <f t="shared" si="258"/>
        <v>4</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11606</v>
      </c>
      <c r="CA48" s="520">
        <f t="shared" si="258"/>
        <v>45066</v>
      </c>
      <c r="CB48" s="520">
        <f t="shared" si="258"/>
        <v>25900</v>
      </c>
      <c r="CC48" s="520">
        <f t="shared" si="258"/>
        <v>0</v>
      </c>
      <c r="CD48" s="520">
        <f t="shared" si="258"/>
        <v>0</v>
      </c>
      <c r="CE48" s="520">
        <f t="shared" si="258"/>
        <v>3316</v>
      </c>
      <c r="CF48" s="520">
        <f t="shared" si="258"/>
        <v>12876</v>
      </c>
      <c r="CG48" s="520">
        <f t="shared" si="258"/>
        <v>5180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18</v>
      </c>
      <c r="DE48" s="520">
        <f t="shared" si="259"/>
        <v>54</v>
      </c>
      <c r="DF48" s="520">
        <f t="shared" si="259"/>
        <v>24</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18</v>
      </c>
      <c r="EX48" s="520">
        <f t="shared" si="260"/>
        <v>54</v>
      </c>
      <c r="EY48" s="520">
        <f t="shared" si="260"/>
        <v>24</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0</v>
      </c>
      <c r="HL48" s="520">
        <f t="shared" si="261"/>
        <v>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18</v>
      </c>
      <c r="HU48" s="520">
        <f t="shared" si="261"/>
        <v>54</v>
      </c>
      <c r="HV48" s="520">
        <f t="shared" si="261"/>
        <v>24</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18</v>
      </c>
      <c r="JI48" s="520">
        <f t="shared" si="261"/>
        <v>54</v>
      </c>
      <c r="JJ48" s="520">
        <f t="shared" si="261"/>
        <v>24</v>
      </c>
      <c r="JK48" s="520">
        <f t="shared" si="261"/>
        <v>0</v>
      </c>
      <c r="JL48" s="520">
        <f t="shared" si="261"/>
        <v>0</v>
      </c>
      <c r="JM48" s="520">
        <f t="shared" si="261"/>
        <v>0</v>
      </c>
      <c r="JN48" s="520">
        <f t="shared" si="261"/>
        <v>0</v>
      </c>
      <c r="JO48" s="520">
        <f t="shared" si="261"/>
        <v>0</v>
      </c>
      <c r="JP48" s="520">
        <f t="shared" si="261"/>
        <v>0</v>
      </c>
      <c r="JQ48" s="784">
        <f t="shared" si="261"/>
        <v>0</v>
      </c>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627360</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28" t="s">
        <v>2749</v>
      </c>
      <c r="B51" s="2379"/>
      <c r="C51" s="2379"/>
      <c r="D51" s="2379"/>
      <c r="E51" s="2379"/>
      <c r="F51" s="2379"/>
      <c r="G51" s="2379"/>
      <c r="H51" s="2379"/>
      <c r="I51" s="2379"/>
      <c r="J51" s="2379"/>
      <c r="K51" s="2379"/>
      <c r="L51" s="2379"/>
      <c r="M51" s="2379"/>
      <c r="N51" s="2379"/>
      <c r="O51" s="2379"/>
      <c r="P51" s="2379"/>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79"/>
      <c r="B52" s="2379"/>
      <c r="C52" s="2379"/>
      <c r="D52" s="2379"/>
      <c r="E52" s="2379"/>
      <c r="F52" s="2379"/>
      <c r="G52" s="2379"/>
      <c r="H52" s="2379"/>
      <c r="I52" s="2379"/>
      <c r="J52" s="2379"/>
      <c r="K52" s="2379"/>
      <c r="L52" s="2379"/>
      <c r="M52" s="2379"/>
      <c r="N52" s="2379"/>
      <c r="O52" s="2379"/>
      <c r="P52" s="2379"/>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37"/>
      <c r="R53" s="545"/>
      <c r="S53" s="545"/>
      <c r="T53" s="4" t="str">
        <f>B53</f>
        <v>UNIT SUMMARY</v>
      </c>
      <c r="U53" s="455" t="s">
        <v>558</v>
      </c>
      <c r="V53" s="1247"/>
      <c r="W53" s="1247"/>
      <c r="X53" s="1247"/>
      <c r="Y53" s="1247"/>
      <c r="Z53" s="1247"/>
      <c r="AA53" s="1247"/>
      <c r="AB53" s="1247"/>
      <c r="AC53" s="1247"/>
      <c r="AD53" s="1247"/>
      <c r="AE53" s="1247"/>
      <c r="AF53" s="1247"/>
      <c r="AG53" s="1247"/>
      <c r="AH53" s="510"/>
      <c r="IK53" s="521"/>
      <c r="IZ53" s="508"/>
    </row>
    <row r="54" spans="1:295" ht="3" customHeight="1">
      <c r="A54" s="14"/>
      <c r="B54" s="14"/>
      <c r="O54" s="86"/>
      <c r="Q54" s="1538"/>
      <c r="R54" s="546"/>
      <c r="S54" s="546"/>
      <c r="T54" s="136"/>
      <c r="U54" s="455"/>
      <c r="V54" s="1247"/>
      <c r="W54" s="1247"/>
      <c r="X54" s="1247"/>
      <c r="Y54" s="1247"/>
      <c r="Z54" s="1247"/>
      <c r="AA54" s="1247"/>
      <c r="AB54" s="1247"/>
      <c r="AC54" s="1247"/>
      <c r="AD54" s="1247"/>
      <c r="AE54" s="1247"/>
      <c r="AF54" s="1247"/>
      <c r="AG54" s="1247"/>
      <c r="AH54" s="510"/>
      <c r="IK54" s="521"/>
      <c r="IZ54" s="508"/>
    </row>
    <row r="55" spans="1:295" ht="14.45" customHeight="1">
      <c r="A55" s="14"/>
      <c r="B55" s="14" t="s">
        <v>1190</v>
      </c>
      <c r="H55" s="129" t="s">
        <v>592</v>
      </c>
      <c r="I55" s="129" t="s">
        <v>559</v>
      </c>
      <c r="J55" s="129" t="s">
        <v>560</v>
      </c>
      <c r="K55" s="129" t="s">
        <v>561</v>
      </c>
      <c r="L55" s="129" t="s">
        <v>562</v>
      </c>
      <c r="M55" s="129" t="s">
        <v>563</v>
      </c>
      <c r="O55" s="86"/>
      <c r="Q55" s="1538"/>
      <c r="R55" s="546"/>
      <c r="S55" s="546"/>
      <c r="T55" s="1397" t="s">
        <v>1938</v>
      </c>
      <c r="U55" s="1397"/>
      <c r="V55" s="1247"/>
      <c r="W55" s="1247"/>
      <c r="X55" s="1247"/>
      <c r="Y55" s="1247"/>
      <c r="Z55" s="1247"/>
      <c r="AA55" s="522"/>
      <c r="AB55" s="522"/>
      <c r="AC55" s="522"/>
      <c r="AD55" s="522"/>
      <c r="AE55" s="522"/>
      <c r="AF55" s="522"/>
      <c r="AG55" s="1247"/>
      <c r="AH55" s="510"/>
      <c r="IK55" s="521"/>
      <c r="IZ55" s="508"/>
    </row>
    <row r="56" spans="1:295" ht="12" customHeight="1">
      <c r="C56" s="1" t="s">
        <v>1192</v>
      </c>
      <c r="D56" s="1"/>
      <c r="E56" s="1"/>
      <c r="F56" s="1"/>
      <c r="G56" s="36" t="s">
        <v>1204</v>
      </c>
      <c r="H56" s="863">
        <f>V48</f>
        <v>0</v>
      </c>
      <c r="I56" s="863">
        <f>W48</f>
        <v>14</v>
      </c>
      <c r="J56" s="863">
        <f>X48</f>
        <v>42</v>
      </c>
      <c r="K56" s="863">
        <f>Y48</f>
        <v>20</v>
      </c>
      <c r="L56" s="863">
        <f>Z48</f>
        <v>0</v>
      </c>
      <c r="M56" s="863">
        <f t="shared" ref="M56:M62" si="262">SUM(H56:L56)</f>
        <v>76</v>
      </c>
      <c r="N56" s="1539" t="s">
        <v>934</v>
      </c>
      <c r="O56" s="1540"/>
      <c r="P56" s="1277"/>
      <c r="Q56" s="456"/>
      <c r="R56" s="456"/>
      <c r="S56" s="456"/>
      <c r="T56" s="2304"/>
      <c r="U56" s="2305"/>
      <c r="V56" s="523"/>
      <c r="W56" s="523"/>
      <c r="X56" s="523"/>
      <c r="Y56" s="523"/>
      <c r="Z56" s="524"/>
      <c r="AA56" s="525"/>
      <c r="AB56" s="525"/>
      <c r="AC56" s="525"/>
      <c r="AD56" s="525"/>
      <c r="AE56" s="525"/>
      <c r="AF56" s="525"/>
      <c r="AG56" s="524"/>
      <c r="AH56" s="510"/>
      <c r="IK56" s="521"/>
      <c r="IZ56" s="508"/>
    </row>
    <row r="57" spans="1:295" ht="12" customHeight="1">
      <c r="A57" s="1534" t="s">
        <v>459</v>
      </c>
      <c r="B57" s="1534"/>
      <c r="C57" s="4"/>
      <c r="D57" s="1"/>
      <c r="E57" s="1"/>
      <c r="F57" s="1"/>
      <c r="G57" s="36" t="s">
        <v>120</v>
      </c>
      <c r="H57" s="864">
        <f>AA48</f>
        <v>0</v>
      </c>
      <c r="I57" s="864">
        <f>AB48</f>
        <v>4</v>
      </c>
      <c r="J57" s="864">
        <f>AC48</f>
        <v>12</v>
      </c>
      <c r="K57" s="864">
        <f>AD48</f>
        <v>4</v>
      </c>
      <c r="L57" s="864">
        <f>AE48</f>
        <v>0</v>
      </c>
      <c r="M57" s="864">
        <f t="shared" si="262"/>
        <v>20</v>
      </c>
      <c r="N57" s="1539"/>
      <c r="O57" s="1540"/>
      <c r="P57" s="1277"/>
      <c r="Q57" s="456"/>
      <c r="R57" s="456"/>
      <c r="S57" s="456"/>
      <c r="T57" s="2306"/>
      <c r="U57" s="2307"/>
      <c r="V57" s="526"/>
      <c r="W57" s="523"/>
      <c r="X57" s="523"/>
      <c r="Y57" s="523"/>
      <c r="Z57" s="524"/>
      <c r="AA57" s="525"/>
      <c r="AB57" s="525"/>
      <c r="AC57" s="525"/>
      <c r="AD57" s="525"/>
      <c r="AE57" s="525"/>
      <c r="AF57" s="525"/>
      <c r="AG57" s="524"/>
      <c r="AH57" s="510"/>
      <c r="IK57" s="521"/>
      <c r="IZ57" s="508"/>
    </row>
    <row r="58" spans="1:295" ht="12" customHeight="1">
      <c r="A58" s="1534"/>
      <c r="B58" s="1534"/>
      <c r="C58" s="4"/>
      <c r="D58" s="1"/>
      <c r="E58" s="1"/>
      <c r="F58" s="1"/>
      <c r="G58" s="36" t="s">
        <v>563</v>
      </c>
      <c r="H58" s="863">
        <f>SUM(H56:H57)</f>
        <v>0</v>
      </c>
      <c r="I58" s="863">
        <f>SUM(I56:I57)</f>
        <v>18</v>
      </c>
      <c r="J58" s="863">
        <f>SUM(J56:J57)</f>
        <v>54</v>
      </c>
      <c r="K58" s="863">
        <f>SUM(K56:K57)</f>
        <v>24</v>
      </c>
      <c r="L58" s="863">
        <f>SUM(L56:L57)</f>
        <v>0</v>
      </c>
      <c r="M58" s="863">
        <f t="shared" si="262"/>
        <v>96</v>
      </c>
      <c r="N58" s="298"/>
      <c r="O58" s="86"/>
      <c r="Q58" s="456"/>
      <c r="R58" s="456"/>
      <c r="S58" s="456"/>
      <c r="T58" s="2306"/>
      <c r="U58" s="2307"/>
      <c r="V58" s="526"/>
      <c r="W58" s="523"/>
      <c r="X58" s="523"/>
      <c r="Y58" s="523"/>
      <c r="Z58" s="524"/>
      <c r="AA58" s="525"/>
      <c r="AB58" s="525"/>
      <c r="AC58" s="525"/>
      <c r="AD58" s="525"/>
      <c r="AE58" s="525"/>
      <c r="AF58" s="525"/>
      <c r="AG58" s="524"/>
      <c r="AH58" s="510"/>
      <c r="IK58" s="521"/>
      <c r="IZ58" s="508"/>
    </row>
    <row r="59" spans="1:295" ht="12" customHeight="1">
      <c r="A59" s="1534"/>
      <c r="B59" s="1534"/>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306"/>
      <c r="U59" s="2307"/>
      <c r="V59" s="510"/>
      <c r="W59" s="523"/>
      <c r="X59" s="523"/>
      <c r="Y59" s="523"/>
      <c r="Z59" s="524"/>
      <c r="AA59" s="525"/>
      <c r="AB59" s="525"/>
      <c r="AC59" s="525"/>
      <c r="AD59" s="525"/>
      <c r="AE59" s="525"/>
      <c r="AF59" s="525"/>
      <c r="AG59" s="507"/>
      <c r="AH59" s="510"/>
      <c r="IK59" s="521"/>
      <c r="IZ59" s="508"/>
    </row>
    <row r="60" spans="1:295" ht="12" customHeight="1">
      <c r="A60" s="1534"/>
      <c r="B60" s="1534"/>
      <c r="C60" s="1" t="s">
        <v>1193</v>
      </c>
      <c r="D60" s="1"/>
      <c r="E60" s="1"/>
      <c r="F60" s="1"/>
      <c r="G60" s="36"/>
      <c r="H60" s="863">
        <f>SUM(H58:H59)</f>
        <v>0</v>
      </c>
      <c r="I60" s="863">
        <f>SUM(I58:I59)</f>
        <v>18</v>
      </c>
      <c r="J60" s="863">
        <f>SUM(J58:J59)</f>
        <v>54</v>
      </c>
      <c r="K60" s="863">
        <f>SUM(K58:K59)</f>
        <v>24</v>
      </c>
      <c r="L60" s="863">
        <f>SUM(L58:L59)</f>
        <v>0</v>
      </c>
      <c r="M60" s="863">
        <f t="shared" si="262"/>
        <v>96</v>
      </c>
      <c r="N60" s="56"/>
      <c r="O60" s="86"/>
      <c r="Q60" s="456"/>
      <c r="R60" s="456"/>
      <c r="S60" s="456"/>
      <c r="T60" s="2306"/>
      <c r="U60" s="2307"/>
      <c r="V60" s="523"/>
      <c r="W60" s="523"/>
      <c r="X60" s="523"/>
      <c r="Y60" s="523"/>
      <c r="Z60" s="524"/>
      <c r="AA60" s="525"/>
      <c r="AB60" s="525"/>
      <c r="AC60" s="525"/>
      <c r="AD60" s="525"/>
      <c r="AE60" s="525"/>
      <c r="AF60" s="525"/>
      <c r="AG60" s="507"/>
      <c r="AH60" s="510"/>
      <c r="IK60" s="521"/>
      <c r="IZ60" s="508"/>
    </row>
    <row r="61" spans="1:295" ht="12" customHeight="1">
      <c r="A61" s="1534"/>
      <c r="B61" s="1534"/>
      <c r="C61" s="1" t="s">
        <v>2637</v>
      </c>
      <c r="D61" s="1"/>
      <c r="E61" s="1"/>
      <c r="F61" s="1"/>
      <c r="G61" s="36"/>
      <c r="H61" s="865">
        <f>BT48</f>
        <v>0</v>
      </c>
      <c r="I61" s="865">
        <f>BU48</f>
        <v>0</v>
      </c>
      <c r="J61" s="865">
        <f>BV48</f>
        <v>0</v>
      </c>
      <c r="K61" s="865">
        <f>BW48</f>
        <v>0</v>
      </c>
      <c r="L61" s="865">
        <f>BX48</f>
        <v>0</v>
      </c>
      <c r="M61" s="865">
        <f t="shared" si="262"/>
        <v>0</v>
      </c>
      <c r="N61" s="53" t="s">
        <v>2318</v>
      </c>
      <c r="O61" s="86"/>
      <c r="Q61" s="456"/>
      <c r="R61" s="456"/>
      <c r="S61" s="456"/>
      <c r="T61" s="2306"/>
      <c r="U61" s="2307"/>
      <c r="V61" s="523"/>
      <c r="W61" s="523"/>
      <c r="X61" s="523"/>
      <c r="Y61" s="523"/>
      <c r="Z61" s="524"/>
      <c r="AA61" s="525"/>
      <c r="AB61" s="525"/>
      <c r="AC61" s="525"/>
      <c r="AD61" s="525"/>
      <c r="AE61" s="525"/>
      <c r="AF61" s="525"/>
      <c r="AG61" s="524"/>
      <c r="AH61" s="510"/>
      <c r="IK61" s="521"/>
      <c r="IZ61" s="508"/>
    </row>
    <row r="62" spans="1:295" ht="12" customHeight="1">
      <c r="A62" s="1534"/>
      <c r="B62" s="1534"/>
      <c r="C62" s="1" t="s">
        <v>563</v>
      </c>
      <c r="D62" s="1"/>
      <c r="E62" s="1"/>
      <c r="F62" s="1"/>
      <c r="G62" s="36"/>
      <c r="H62" s="866">
        <f>SUM(H60:H61)</f>
        <v>0</v>
      </c>
      <c r="I62" s="866">
        <f>SUM(I60:I61)</f>
        <v>18</v>
      </c>
      <c r="J62" s="866">
        <f>SUM(J60:J61)</f>
        <v>54</v>
      </c>
      <c r="K62" s="866">
        <f>SUM(K60:K61)</f>
        <v>24</v>
      </c>
      <c r="L62" s="866">
        <f>SUM(L60:L61)</f>
        <v>0</v>
      </c>
      <c r="M62" s="866">
        <f t="shared" si="262"/>
        <v>96</v>
      </c>
      <c r="O62" s="86"/>
      <c r="Q62" s="456"/>
      <c r="R62" s="456"/>
      <c r="S62" s="456"/>
      <c r="T62" s="2309"/>
      <c r="U62" s="2310"/>
      <c r="V62" s="523"/>
      <c r="W62" s="523"/>
      <c r="X62" s="523"/>
      <c r="Y62" s="523"/>
      <c r="Z62" s="524"/>
      <c r="AA62" s="525"/>
      <c r="AB62" s="525"/>
      <c r="AC62" s="525"/>
      <c r="AD62" s="525"/>
      <c r="AE62" s="525"/>
      <c r="AF62" s="525"/>
      <c r="AG62" s="1247"/>
      <c r="AH62" s="510"/>
      <c r="IK62" s="521"/>
      <c r="IZ62" s="508"/>
    </row>
    <row r="63" spans="1:295" ht="12" customHeight="1">
      <c r="A63" s="1534"/>
      <c r="B63" s="1534"/>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1247"/>
      <c r="AH63" s="510"/>
      <c r="IK63" s="521"/>
      <c r="IZ63" s="508"/>
    </row>
    <row r="64" spans="1:295" ht="12" customHeight="1">
      <c r="A64" s="1534"/>
      <c r="B64" s="1534"/>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304"/>
      <c r="U64" s="2305"/>
      <c r="V64" s="523"/>
      <c r="W64" s="523"/>
      <c r="X64" s="527"/>
      <c r="Y64" s="523"/>
      <c r="Z64" s="524"/>
      <c r="AA64" s="525"/>
      <c r="AB64" s="525"/>
      <c r="AC64" s="525"/>
      <c r="AD64" s="525"/>
      <c r="AE64" s="525"/>
      <c r="AF64" s="525"/>
      <c r="AG64" s="524"/>
      <c r="AH64" s="510"/>
      <c r="IK64" s="521"/>
      <c r="IZ64" s="508"/>
    </row>
    <row r="65" spans="1:260" ht="12" customHeight="1">
      <c r="A65" s="1534"/>
      <c r="B65" s="1534"/>
      <c r="C65" s="36" t="s">
        <v>2638</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06"/>
      <c r="U65" s="2307"/>
      <c r="V65" s="524"/>
      <c r="W65" s="523"/>
      <c r="X65" s="527"/>
      <c r="Y65" s="523"/>
      <c r="Z65" s="524"/>
      <c r="AA65" s="525"/>
      <c r="AB65" s="525"/>
      <c r="AC65" s="525"/>
      <c r="AD65" s="525"/>
      <c r="AE65" s="525"/>
      <c r="AF65" s="525"/>
      <c r="AG65" s="524"/>
      <c r="AH65" s="510"/>
      <c r="IK65" s="521"/>
      <c r="IZ65" s="508"/>
    </row>
    <row r="66" spans="1:260" ht="12" customHeight="1">
      <c r="A66" s="1534"/>
      <c r="B66" s="1534"/>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09"/>
      <c r="U66" s="2310"/>
      <c r="V66" s="526"/>
      <c r="W66" s="523"/>
      <c r="X66" s="527"/>
      <c r="Y66" s="523"/>
      <c r="Z66" s="524"/>
      <c r="AA66" s="525"/>
      <c r="AB66" s="525"/>
      <c r="AC66" s="525"/>
      <c r="AD66" s="525"/>
      <c r="AE66" s="525"/>
      <c r="AF66" s="525"/>
      <c r="AG66" s="524"/>
      <c r="AH66" s="510"/>
      <c r="IK66" s="521"/>
      <c r="IZ66" s="508"/>
    </row>
    <row r="67" spans="1:260" ht="12" customHeight="1">
      <c r="A67" s="1534"/>
      <c r="B67" s="1534"/>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1247"/>
      <c r="AH67" s="510"/>
      <c r="IK67" s="521"/>
      <c r="IZ67" s="508"/>
    </row>
    <row r="68" spans="1:260" ht="12" customHeight="1">
      <c r="A68" s="1534"/>
      <c r="B68" s="1534"/>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304"/>
      <c r="U68" s="2305"/>
      <c r="V68" s="510"/>
      <c r="W68" s="523"/>
      <c r="X68" s="527"/>
      <c r="Y68" s="523"/>
      <c r="Z68" s="524"/>
      <c r="AA68" s="525"/>
      <c r="AB68" s="525"/>
      <c r="AC68" s="525"/>
      <c r="AD68" s="525"/>
      <c r="AE68" s="525"/>
      <c r="AF68" s="525"/>
      <c r="AG68" s="524"/>
      <c r="AH68" s="510"/>
      <c r="IK68" s="521"/>
      <c r="IZ68" s="508"/>
    </row>
    <row r="69" spans="1:260" ht="12" customHeight="1">
      <c r="A69" s="1534"/>
      <c r="B69" s="1534"/>
      <c r="C69" s="36" t="s">
        <v>2638</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06"/>
      <c r="U69" s="2307"/>
      <c r="V69" s="528"/>
      <c r="W69" s="523"/>
      <c r="X69" s="527"/>
      <c r="Y69" s="523"/>
      <c r="Z69" s="524"/>
      <c r="AA69" s="525"/>
      <c r="AB69" s="525"/>
      <c r="AC69" s="525"/>
      <c r="AD69" s="525"/>
      <c r="AE69" s="525"/>
      <c r="AF69" s="525"/>
      <c r="AG69" s="524"/>
      <c r="AH69" s="510"/>
      <c r="IK69" s="521"/>
      <c r="IZ69" s="508"/>
    </row>
    <row r="70" spans="1:260" ht="12" customHeight="1">
      <c r="A70" s="1534"/>
      <c r="B70" s="1534"/>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09"/>
      <c r="U70" s="2310"/>
      <c r="V70" s="526"/>
      <c r="W70" s="523"/>
      <c r="X70" s="527"/>
      <c r="Y70" s="523"/>
      <c r="Z70" s="524"/>
      <c r="AA70" s="525"/>
      <c r="AB70" s="525"/>
      <c r="AC70" s="525"/>
      <c r="AD70" s="525"/>
      <c r="AE70" s="525"/>
      <c r="AF70" s="525"/>
      <c r="AG70" s="524"/>
      <c r="AH70" s="510"/>
      <c r="IK70" s="521"/>
      <c r="IZ70" s="508"/>
    </row>
    <row r="71" spans="1:260" ht="12" customHeight="1">
      <c r="A71" s="1534"/>
      <c r="B71" s="1534"/>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1247"/>
      <c r="AH71" s="510"/>
      <c r="IK71" s="521"/>
      <c r="IZ71" s="508"/>
    </row>
    <row r="72" spans="1:260" ht="12" customHeight="1">
      <c r="A72" s="1534"/>
      <c r="B72" s="1534"/>
      <c r="C72" s="1550" t="s">
        <v>40</v>
      </c>
      <c r="D72" s="1550"/>
      <c r="E72" s="109" t="s">
        <v>2404</v>
      </c>
      <c r="F72" s="1"/>
      <c r="G72" s="36" t="s">
        <v>1504</v>
      </c>
      <c r="H72" s="863">
        <f>DC48</f>
        <v>0</v>
      </c>
      <c r="I72" s="863">
        <f>DD48</f>
        <v>18</v>
      </c>
      <c r="J72" s="863">
        <f>DE48</f>
        <v>54</v>
      </c>
      <c r="K72" s="863">
        <f>DF48</f>
        <v>24</v>
      </c>
      <c r="L72" s="863">
        <f>DG48</f>
        <v>0</v>
      </c>
      <c r="M72" s="863">
        <f t="shared" ref="M72:M82" si="263">SUM(H72:L72)</f>
        <v>96</v>
      </c>
      <c r="N72" s="28"/>
      <c r="O72" s="86"/>
      <c r="Q72" s="456"/>
      <c r="R72" s="456"/>
      <c r="S72" s="456"/>
      <c r="T72" s="2380"/>
      <c r="U72" s="2381"/>
      <c r="V72" s="523"/>
      <c r="W72" s="523"/>
      <c r="X72" s="527"/>
      <c r="Y72" s="523"/>
      <c r="Z72" s="524"/>
      <c r="AA72" s="525"/>
      <c r="AB72" s="525"/>
      <c r="AC72" s="525"/>
      <c r="AD72" s="525"/>
      <c r="AE72" s="525"/>
      <c r="AF72" s="525"/>
      <c r="AG72" s="1247"/>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34"/>
      <c r="B73" s="1534"/>
      <c r="C73" s="1550"/>
      <c r="D73" s="1550"/>
      <c r="E73" s="116"/>
      <c r="F73" s="1"/>
      <c r="G73" s="36" t="s">
        <v>316</v>
      </c>
      <c r="H73" s="865">
        <f>DH48</f>
        <v>0</v>
      </c>
      <c r="I73" s="865">
        <f>DI48</f>
        <v>0</v>
      </c>
      <c r="J73" s="865">
        <f>DJ48</f>
        <v>0</v>
      </c>
      <c r="K73" s="865">
        <f>DK48</f>
        <v>0</v>
      </c>
      <c r="L73" s="865">
        <f>DL48</f>
        <v>0</v>
      </c>
      <c r="M73" s="865">
        <f t="shared" si="263"/>
        <v>0</v>
      </c>
      <c r="N73" s="56"/>
      <c r="O73" s="86"/>
      <c r="Q73" s="456"/>
      <c r="R73" s="456"/>
      <c r="S73" s="456"/>
      <c r="T73" s="2382"/>
      <c r="U73" s="2383"/>
      <c r="V73" s="523"/>
      <c r="W73" s="523"/>
      <c r="X73" s="527"/>
      <c r="Y73" s="523"/>
      <c r="Z73" s="524"/>
      <c r="AA73" s="525"/>
      <c r="AB73" s="525"/>
      <c r="AC73" s="525"/>
      <c r="AD73" s="525"/>
      <c r="AE73" s="525"/>
      <c r="AF73" s="525"/>
      <c r="AG73" s="507"/>
      <c r="AH73" s="510"/>
      <c r="IK73" s="521"/>
      <c r="IZ73" s="508"/>
    </row>
    <row r="74" spans="1:260" ht="12" customHeight="1">
      <c r="A74" s="1534"/>
      <c r="B74" s="1534"/>
      <c r="C74" s="1550"/>
      <c r="D74" s="1550"/>
      <c r="E74" s="116"/>
      <c r="F74" s="1"/>
      <c r="G74" s="36" t="s">
        <v>33</v>
      </c>
      <c r="H74" s="866">
        <f>SUM(H72:H73)+DM48</f>
        <v>0</v>
      </c>
      <c r="I74" s="866">
        <f>SUM(I72:I73)+DN48</f>
        <v>18</v>
      </c>
      <c r="J74" s="866">
        <f>SUM(J72:J73)+DO48</f>
        <v>54</v>
      </c>
      <c r="K74" s="866">
        <f>SUM(K72:K73)+DP48</f>
        <v>24</v>
      </c>
      <c r="L74" s="866">
        <f>SUM(L72:L73)+DQ48</f>
        <v>0</v>
      </c>
      <c r="M74" s="866">
        <f t="shared" si="263"/>
        <v>96</v>
      </c>
      <c r="N74" s="53"/>
      <c r="O74" s="86"/>
      <c r="Q74" s="456"/>
      <c r="R74" s="456"/>
      <c r="S74" s="456"/>
      <c r="T74" s="2382"/>
      <c r="U74" s="2383"/>
      <c r="V74" s="526"/>
      <c r="W74" s="523"/>
      <c r="X74" s="527"/>
      <c r="Y74" s="523"/>
      <c r="Z74" s="528"/>
      <c r="AA74" s="525"/>
      <c r="AB74" s="525"/>
      <c r="AC74" s="525"/>
      <c r="AD74" s="525"/>
      <c r="AE74" s="525"/>
      <c r="AF74" s="525"/>
      <c r="AG74" s="524"/>
      <c r="AH74" s="510"/>
      <c r="IK74" s="521"/>
      <c r="IZ74" s="508"/>
    </row>
    <row r="75" spans="1:260" ht="12" customHeight="1">
      <c r="A75" s="1534"/>
      <c r="B75" s="1534"/>
      <c r="C75" s="1550"/>
      <c r="D75" s="1550"/>
      <c r="E75" s="109" t="s">
        <v>2238</v>
      </c>
      <c r="F75" s="1"/>
      <c r="G75" s="36" t="s">
        <v>1504</v>
      </c>
      <c r="H75" s="863">
        <f>DR48</f>
        <v>0</v>
      </c>
      <c r="I75" s="863">
        <f>DS48</f>
        <v>0</v>
      </c>
      <c r="J75" s="863">
        <f>DT48</f>
        <v>0</v>
      </c>
      <c r="K75" s="863">
        <f>DU48</f>
        <v>0</v>
      </c>
      <c r="L75" s="863">
        <f>DV48</f>
        <v>0</v>
      </c>
      <c r="M75" s="863">
        <f t="shared" si="263"/>
        <v>0</v>
      </c>
      <c r="N75" s="28"/>
      <c r="O75" s="86"/>
      <c r="Q75" s="456"/>
      <c r="R75" s="456"/>
      <c r="S75" s="456"/>
      <c r="T75" s="2382"/>
      <c r="U75" s="2383"/>
      <c r="V75" s="523"/>
      <c r="W75" s="523"/>
      <c r="X75" s="527"/>
      <c r="Y75" s="523"/>
      <c r="Z75" s="524"/>
      <c r="AA75" s="525"/>
      <c r="AB75" s="525"/>
      <c r="AC75" s="525"/>
      <c r="AD75" s="525"/>
      <c r="AE75" s="525"/>
      <c r="AF75" s="525"/>
      <c r="AG75" s="1247"/>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50"/>
      <c r="D76" s="1550"/>
      <c r="E76" s="116"/>
      <c r="F76" s="1"/>
      <c r="G76" s="36" t="s">
        <v>316</v>
      </c>
      <c r="H76" s="865">
        <f>DW48</f>
        <v>0</v>
      </c>
      <c r="I76" s="865">
        <f>DX48</f>
        <v>0</v>
      </c>
      <c r="J76" s="865">
        <f>DY48</f>
        <v>0</v>
      </c>
      <c r="K76" s="865">
        <f>DZ48</f>
        <v>0</v>
      </c>
      <c r="L76" s="865">
        <f>EA48</f>
        <v>0</v>
      </c>
      <c r="M76" s="865">
        <f t="shared" si="263"/>
        <v>0</v>
      </c>
      <c r="N76" s="56"/>
      <c r="O76" s="86"/>
      <c r="Q76" s="456"/>
      <c r="R76" s="456"/>
      <c r="S76" s="456"/>
      <c r="T76" s="2382"/>
      <c r="U76" s="2383"/>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82"/>
      <c r="U77" s="2383"/>
      <c r="V77" s="526"/>
      <c r="W77" s="523"/>
      <c r="X77" s="527"/>
      <c r="Y77" s="523"/>
      <c r="Z77" s="528"/>
      <c r="AA77" s="525"/>
      <c r="AB77" s="525"/>
      <c r="AC77" s="525"/>
      <c r="AD77" s="525"/>
      <c r="AE77" s="525"/>
      <c r="AF77" s="525"/>
      <c r="AG77" s="524"/>
      <c r="AH77" s="510"/>
      <c r="IK77" s="521"/>
      <c r="IZ77" s="508"/>
    </row>
    <row r="78" spans="1:260" ht="12" customHeight="1">
      <c r="C78" s="1"/>
      <c r="D78" s="1"/>
      <c r="E78" s="1547" t="s">
        <v>1490</v>
      </c>
      <c r="F78" s="1547"/>
      <c r="G78" s="36" t="s">
        <v>1504</v>
      </c>
      <c r="H78" s="863">
        <f>EG48</f>
        <v>0</v>
      </c>
      <c r="I78" s="863">
        <f>EH48</f>
        <v>0</v>
      </c>
      <c r="J78" s="863">
        <f>EI48</f>
        <v>0</v>
      </c>
      <c r="K78" s="863">
        <f>EJ48</f>
        <v>0</v>
      </c>
      <c r="L78" s="863">
        <f>EK48</f>
        <v>0</v>
      </c>
      <c r="M78" s="863">
        <f t="shared" si="263"/>
        <v>0</v>
      </c>
      <c r="N78" s="28"/>
      <c r="O78" s="86"/>
      <c r="Q78" s="456"/>
      <c r="R78" s="456"/>
      <c r="S78" s="456"/>
      <c r="T78" s="2382"/>
      <c r="U78" s="2383"/>
      <c r="V78" s="523"/>
      <c r="W78" s="523"/>
      <c r="X78" s="527"/>
      <c r="Y78" s="523"/>
      <c r="Z78" s="524"/>
      <c r="AA78" s="525"/>
      <c r="AB78" s="525"/>
      <c r="AC78" s="525"/>
      <c r="AD78" s="525"/>
      <c r="AE78" s="525"/>
      <c r="AF78" s="525"/>
      <c r="AG78" s="1247"/>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47"/>
      <c r="F79" s="1547"/>
      <c r="G79" s="36" t="s">
        <v>316</v>
      </c>
      <c r="H79" s="865">
        <f>EL48</f>
        <v>0</v>
      </c>
      <c r="I79" s="865">
        <f>EM48</f>
        <v>0</v>
      </c>
      <c r="J79" s="865">
        <f>EN48</f>
        <v>0</v>
      </c>
      <c r="K79" s="865">
        <f>EO48</f>
        <v>0</v>
      </c>
      <c r="L79" s="865">
        <f>EP48</f>
        <v>0</v>
      </c>
      <c r="M79" s="865">
        <f t="shared" si="263"/>
        <v>0</v>
      </c>
      <c r="N79" s="56"/>
      <c r="O79" s="86"/>
      <c r="Q79" s="456"/>
      <c r="R79" s="456"/>
      <c r="S79" s="456"/>
      <c r="T79" s="2382"/>
      <c r="U79" s="2383"/>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82"/>
      <c r="U80" s="2383"/>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84"/>
      <c r="I81" s="2384"/>
      <c r="J81" s="2384"/>
      <c r="K81" s="2384"/>
      <c r="L81" s="2384"/>
      <c r="M81" s="863">
        <f t="shared" si="263"/>
        <v>0</v>
      </c>
      <c r="N81" s="28"/>
      <c r="O81" s="86"/>
      <c r="T81" s="2382"/>
      <c r="U81" s="2383"/>
      <c r="V81" s="523"/>
      <c r="W81" s="523"/>
      <c r="X81" s="523"/>
      <c r="Y81" s="523"/>
      <c r="Z81" s="524"/>
      <c r="AA81" s="525"/>
      <c r="AB81" s="525"/>
      <c r="AC81" s="525"/>
      <c r="AD81" s="525"/>
      <c r="AE81" s="525"/>
      <c r="AF81" s="525"/>
      <c r="AG81" s="507"/>
      <c r="AH81" s="510"/>
      <c r="IK81" s="521"/>
      <c r="IZ81" s="508"/>
    </row>
    <row r="82" spans="1:260" ht="12" customHeight="1">
      <c r="A82" s="1530" t="str">
        <f>IF(AND('Part IV-Uses of Funds'!$T$163="Yes",'Part IX A-Scoring Criteria'!$O$300&gt;0,M82&lt;1),"SHOW HISTORIC UNITS HERE &gt;&gt;&gt;&gt;","")</f>
        <v/>
      </c>
      <c r="B82" s="1530"/>
      <c r="C82" s="1530"/>
      <c r="D82" s="1530"/>
      <c r="E82" s="578" t="s">
        <v>3943</v>
      </c>
      <c r="F82" s="1"/>
      <c r="G82" s="36"/>
      <c r="H82" s="2385"/>
      <c r="I82" s="2385"/>
      <c r="J82" s="2385"/>
      <c r="K82" s="2385"/>
      <c r="L82" s="2385"/>
      <c r="M82" s="865">
        <f t="shared" si="263"/>
        <v>0</v>
      </c>
      <c r="N82" s="56"/>
      <c r="O82" s="86"/>
      <c r="T82" s="2382"/>
      <c r="U82" s="2383"/>
      <c r="V82" s="523"/>
      <c r="W82" s="523"/>
      <c r="X82" s="523"/>
      <c r="Y82" s="523"/>
      <c r="Z82" s="524"/>
      <c r="AA82" s="525"/>
      <c r="AB82" s="525"/>
      <c r="AC82" s="525"/>
      <c r="AD82" s="525"/>
      <c r="AE82" s="525"/>
      <c r="AF82" s="525"/>
      <c r="AG82" s="507"/>
      <c r="AH82" s="510"/>
      <c r="IK82" s="521"/>
      <c r="IZ82" s="508"/>
    </row>
    <row r="83" spans="1:260" ht="12" customHeight="1">
      <c r="A83" s="1281"/>
      <c r="B83" s="1281"/>
      <c r="C83" s="1281"/>
      <c r="D83" s="1281"/>
      <c r="E83" s="578"/>
      <c r="F83" s="1"/>
      <c r="G83" s="36"/>
      <c r="H83" s="36"/>
      <c r="I83" s="36"/>
      <c r="J83" s="36"/>
      <c r="K83" s="36"/>
      <c r="L83" s="36"/>
      <c r="M83" s="36"/>
      <c r="N83" s="36"/>
      <c r="O83" s="86"/>
      <c r="T83" s="2382"/>
      <c r="U83" s="2383"/>
      <c r="V83" s="523"/>
      <c r="W83" s="523"/>
      <c r="X83" s="523"/>
      <c r="Y83" s="523"/>
      <c r="Z83" s="524"/>
      <c r="AA83" s="525"/>
      <c r="AB83" s="525"/>
      <c r="AC83" s="525"/>
      <c r="AD83" s="525"/>
      <c r="AE83" s="525"/>
      <c r="AF83" s="525"/>
      <c r="AG83" s="507"/>
      <c r="AH83" s="510"/>
      <c r="IK83" s="521"/>
      <c r="IZ83" s="508"/>
    </row>
    <row r="84" spans="1:260" ht="12" customHeight="1">
      <c r="A84" s="1281"/>
      <c r="B84" s="1281"/>
      <c r="C84" s="1281"/>
      <c r="D84" s="1281"/>
      <c r="E84" s="116" t="s">
        <v>3814</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86"/>
      <c r="U84" s="2387"/>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2" t="str">
        <f>C86</f>
        <v>Building Type: (for Utility Allowance and other purposes)</v>
      </c>
      <c r="U85" s="166"/>
      <c r="V85" s="510"/>
      <c r="W85" s="510"/>
      <c r="X85" s="515"/>
      <c r="Y85" s="510"/>
      <c r="Z85" s="524"/>
      <c r="AA85" s="523"/>
      <c r="AB85" s="523"/>
      <c r="AC85" s="523"/>
      <c r="AD85" s="523"/>
      <c r="AE85" s="523"/>
      <c r="AF85" s="523"/>
      <c r="AG85" s="1247"/>
      <c r="AH85" s="510"/>
      <c r="IK85" s="521"/>
      <c r="IZ85" s="508"/>
    </row>
    <row r="86" spans="1:260" ht="12" customHeight="1">
      <c r="C86" s="1549" t="s">
        <v>4350</v>
      </c>
      <c r="D86" s="1549"/>
      <c r="E86" s="109" t="s">
        <v>41</v>
      </c>
      <c r="F86" s="1"/>
      <c r="G86" s="36"/>
      <c r="H86" s="882">
        <f t="shared" ref="H86:M86" si="264">SUM(H87:H94)</f>
        <v>0</v>
      </c>
      <c r="I86" s="882">
        <f t="shared" si="264"/>
        <v>18</v>
      </c>
      <c r="J86" s="882">
        <f t="shared" si="264"/>
        <v>54</v>
      </c>
      <c r="K86" s="882">
        <f t="shared" si="264"/>
        <v>24</v>
      </c>
      <c r="L86" s="882">
        <f t="shared" si="264"/>
        <v>0</v>
      </c>
      <c r="M86" s="882">
        <f t="shared" si="264"/>
        <v>96</v>
      </c>
      <c r="N86" s="28"/>
      <c r="O86" s="86"/>
      <c r="Q86" s="456"/>
      <c r="R86" s="456"/>
      <c r="S86" s="456"/>
      <c r="T86" s="2380"/>
      <c r="U86" s="2381"/>
      <c r="V86" s="510"/>
      <c r="W86" s="510"/>
      <c r="X86" s="527"/>
      <c r="Y86" s="510"/>
      <c r="Z86" s="524"/>
      <c r="AA86" s="525"/>
      <c r="AB86" s="525"/>
      <c r="AC86" s="525"/>
      <c r="AD86" s="525"/>
      <c r="AE86" s="525"/>
      <c r="AF86" s="525"/>
      <c r="AG86" s="1247"/>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49"/>
      <c r="D87" s="1549"/>
      <c r="E87" s="109"/>
      <c r="F87" s="1"/>
      <c r="G87" s="36" t="s">
        <v>2732</v>
      </c>
      <c r="H87" s="868">
        <f>GO48</f>
        <v>0</v>
      </c>
      <c r="I87" s="868">
        <f>GP48</f>
        <v>0</v>
      </c>
      <c r="J87" s="868">
        <f>GQ48</f>
        <v>0</v>
      </c>
      <c r="K87" s="868">
        <f>GR48</f>
        <v>0</v>
      </c>
      <c r="L87" s="868">
        <f>GS48</f>
        <v>0</v>
      </c>
      <c r="M87" s="868">
        <f t="shared" ref="M87:M102" si="265">SUM(H87:L87)</f>
        <v>0</v>
      </c>
      <c r="N87" s="28"/>
      <c r="O87" s="86"/>
      <c r="Q87" s="456"/>
      <c r="R87" s="456"/>
      <c r="S87" s="456"/>
      <c r="T87" s="2382"/>
      <c r="U87" s="2383"/>
      <c r="V87" s="510"/>
      <c r="W87" s="510"/>
      <c r="X87" s="527"/>
      <c r="Y87" s="510"/>
      <c r="Z87" s="524"/>
      <c r="AA87" s="525"/>
      <c r="AB87" s="525"/>
      <c r="AC87" s="525"/>
      <c r="AD87" s="525"/>
      <c r="AE87" s="525"/>
      <c r="AF87" s="525"/>
      <c r="AG87" s="1247"/>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49"/>
      <c r="D88" s="1549"/>
      <c r="E88" s="109"/>
      <c r="F88" s="1"/>
      <c r="G88" s="778" t="s">
        <v>3814</v>
      </c>
      <c r="H88" s="868">
        <f>GT48</f>
        <v>0</v>
      </c>
      <c r="I88" s="868">
        <f>GU48</f>
        <v>0</v>
      </c>
      <c r="J88" s="868">
        <f>GV48</f>
        <v>0</v>
      </c>
      <c r="K88" s="868">
        <f>GW48</f>
        <v>0</v>
      </c>
      <c r="L88" s="868">
        <f>GX48</f>
        <v>0</v>
      </c>
      <c r="M88" s="864">
        <f t="shared" si="265"/>
        <v>0</v>
      </c>
      <c r="N88" s="28"/>
      <c r="O88" s="86"/>
      <c r="Q88" s="456"/>
      <c r="R88" s="456"/>
      <c r="S88" s="456"/>
      <c r="T88" s="2382"/>
      <c r="U88" s="2383"/>
      <c r="V88" s="510"/>
      <c r="W88" s="510"/>
      <c r="X88" s="527"/>
      <c r="Y88" s="510"/>
      <c r="Z88" s="524"/>
      <c r="AA88" s="525"/>
      <c r="AB88" s="525"/>
      <c r="AC88" s="525"/>
      <c r="AD88" s="525"/>
      <c r="AE88" s="525"/>
      <c r="AF88" s="525"/>
      <c r="AG88" s="1247"/>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49"/>
      <c r="D89" s="1549"/>
      <c r="E89" s="109"/>
      <c r="F89" s="1"/>
      <c r="G89" s="36" t="s">
        <v>2733</v>
      </c>
      <c r="H89" s="868">
        <f>GY48</f>
        <v>0</v>
      </c>
      <c r="I89" s="868">
        <f>GZ48</f>
        <v>0</v>
      </c>
      <c r="J89" s="868">
        <f>HA48</f>
        <v>0</v>
      </c>
      <c r="K89" s="868">
        <f>HB48</f>
        <v>0</v>
      </c>
      <c r="L89" s="868">
        <f>HC48</f>
        <v>0</v>
      </c>
      <c r="M89" s="864">
        <f t="shared" si="265"/>
        <v>0</v>
      </c>
      <c r="N89" s="28"/>
      <c r="O89" s="86"/>
      <c r="Q89" s="456"/>
      <c r="R89" s="456"/>
      <c r="S89" s="456"/>
      <c r="T89" s="2382"/>
      <c r="U89" s="2383"/>
      <c r="V89" s="510"/>
      <c r="W89" s="510"/>
      <c r="X89" s="527"/>
      <c r="Y89" s="510"/>
      <c r="Z89" s="524"/>
      <c r="AA89" s="525"/>
      <c r="AB89" s="525"/>
      <c r="AC89" s="525"/>
      <c r="AD89" s="525"/>
      <c r="AE89" s="525"/>
      <c r="AF89" s="525"/>
      <c r="AG89" s="1247"/>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49"/>
      <c r="D90" s="1549"/>
      <c r="E90" s="109"/>
      <c r="F90" s="1"/>
      <c r="G90" s="778" t="s">
        <v>3814</v>
      </c>
      <c r="H90" s="868">
        <f>HD48</f>
        <v>0</v>
      </c>
      <c r="I90" s="868">
        <f>HE48</f>
        <v>0</v>
      </c>
      <c r="J90" s="868">
        <f>HF48</f>
        <v>0</v>
      </c>
      <c r="K90" s="868">
        <f>HG48</f>
        <v>0</v>
      </c>
      <c r="L90" s="868">
        <f>HH48</f>
        <v>0</v>
      </c>
      <c r="M90" s="864">
        <f t="shared" si="265"/>
        <v>0</v>
      </c>
      <c r="N90" s="28"/>
      <c r="O90" s="86"/>
      <c r="Q90" s="456"/>
      <c r="R90" s="456"/>
      <c r="S90" s="456"/>
      <c r="T90" s="2382"/>
      <c r="U90" s="2383"/>
      <c r="V90" s="510"/>
      <c r="W90" s="510"/>
      <c r="X90" s="527"/>
      <c r="Y90" s="510"/>
      <c r="Z90" s="524"/>
      <c r="AA90" s="525"/>
      <c r="AB90" s="525"/>
      <c r="AC90" s="525"/>
      <c r="AD90" s="525"/>
      <c r="AE90" s="525"/>
      <c r="AF90" s="525"/>
      <c r="AG90" s="1247"/>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49"/>
      <c r="D91" s="1549"/>
      <c r="E91" s="109"/>
      <c r="F91" s="1"/>
      <c r="G91" s="36" t="s">
        <v>2735</v>
      </c>
      <c r="H91" s="868">
        <f>HI48</f>
        <v>0</v>
      </c>
      <c r="I91" s="868">
        <f>HJ48</f>
        <v>0</v>
      </c>
      <c r="J91" s="868">
        <f>HK48</f>
        <v>0</v>
      </c>
      <c r="K91" s="868">
        <f>HL48</f>
        <v>0</v>
      </c>
      <c r="L91" s="868">
        <f>HM48</f>
        <v>0</v>
      </c>
      <c r="M91" s="864">
        <f t="shared" si="265"/>
        <v>0</v>
      </c>
      <c r="N91" s="28"/>
      <c r="O91" s="86"/>
      <c r="Q91" s="456"/>
      <c r="R91" s="456"/>
      <c r="S91" s="456"/>
      <c r="T91" s="2382"/>
      <c r="U91" s="2383"/>
      <c r="V91" s="510"/>
      <c r="W91" s="510"/>
      <c r="X91" s="527"/>
      <c r="Y91" s="510"/>
      <c r="Z91" s="524"/>
      <c r="AA91" s="525"/>
      <c r="AB91" s="525"/>
      <c r="AC91" s="525"/>
      <c r="AD91" s="525"/>
      <c r="AE91" s="525"/>
      <c r="AF91" s="525"/>
      <c r="AG91" s="1247"/>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49"/>
      <c r="D92" s="1549"/>
      <c r="E92" s="109"/>
      <c r="F92" s="1"/>
      <c r="G92" s="778" t="s">
        <v>3814</v>
      </c>
      <c r="H92" s="868">
        <f>HN48</f>
        <v>0</v>
      </c>
      <c r="I92" s="868">
        <f>HO48</f>
        <v>0</v>
      </c>
      <c r="J92" s="868">
        <f>HP48</f>
        <v>0</v>
      </c>
      <c r="K92" s="868">
        <f>HQ48</f>
        <v>0</v>
      </c>
      <c r="L92" s="868">
        <f>HR48</f>
        <v>0</v>
      </c>
      <c r="M92" s="864">
        <f t="shared" si="265"/>
        <v>0</v>
      </c>
      <c r="N92" s="28"/>
      <c r="O92" s="86"/>
      <c r="Q92" s="456"/>
      <c r="R92" s="456"/>
      <c r="S92" s="456"/>
      <c r="T92" s="2382"/>
      <c r="U92" s="2383"/>
      <c r="V92" s="510"/>
      <c r="W92" s="510"/>
      <c r="X92" s="527"/>
      <c r="Y92" s="510"/>
      <c r="Z92" s="524"/>
      <c r="AA92" s="525"/>
      <c r="AB92" s="525"/>
      <c r="AC92" s="525"/>
      <c r="AD92" s="525"/>
      <c r="AE92" s="525"/>
      <c r="AF92" s="525"/>
      <c r="AG92" s="1247"/>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2734</v>
      </c>
      <c r="H93" s="868">
        <f>HS48</f>
        <v>0</v>
      </c>
      <c r="I93" s="868">
        <f>HT48</f>
        <v>18</v>
      </c>
      <c r="J93" s="868">
        <f>HU48</f>
        <v>54</v>
      </c>
      <c r="K93" s="868">
        <f>HV48</f>
        <v>24</v>
      </c>
      <c r="L93" s="868">
        <f>HW48</f>
        <v>0</v>
      </c>
      <c r="M93" s="864">
        <f t="shared" si="265"/>
        <v>96</v>
      </c>
      <c r="N93" s="28"/>
      <c r="O93" s="86"/>
      <c r="Q93" s="456"/>
      <c r="R93" s="456"/>
      <c r="S93" s="456"/>
      <c r="T93" s="2382"/>
      <c r="U93" s="2383"/>
      <c r="V93" s="510"/>
      <c r="W93" s="510"/>
      <c r="X93" s="527"/>
      <c r="Y93" s="510"/>
      <c r="Z93" s="524"/>
      <c r="AA93" s="525"/>
      <c r="AB93" s="525"/>
      <c r="AC93" s="525"/>
      <c r="AD93" s="525"/>
      <c r="AE93" s="525"/>
      <c r="AF93" s="525"/>
      <c r="AG93" s="1247"/>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3814</v>
      </c>
      <c r="H94" s="868">
        <f>HX48</f>
        <v>0</v>
      </c>
      <c r="I94" s="868">
        <f>HY48</f>
        <v>0</v>
      </c>
      <c r="J94" s="868">
        <f>HZ48</f>
        <v>0</v>
      </c>
      <c r="K94" s="868">
        <f>IA48</f>
        <v>0</v>
      </c>
      <c r="L94" s="868">
        <f>IB48</f>
        <v>0</v>
      </c>
      <c r="M94" s="864">
        <f t="shared" si="265"/>
        <v>0</v>
      </c>
      <c r="N94" s="28"/>
      <c r="O94" s="86"/>
      <c r="Q94" s="456"/>
      <c r="R94" s="456"/>
      <c r="S94" s="456"/>
      <c r="T94" s="2382"/>
      <c r="U94" s="2383"/>
      <c r="V94" s="510"/>
      <c r="W94" s="510"/>
      <c r="X94" s="527"/>
      <c r="Y94" s="510"/>
      <c r="Z94" s="524"/>
      <c r="AA94" s="525"/>
      <c r="AB94" s="525"/>
      <c r="AC94" s="525"/>
      <c r="AD94" s="525"/>
      <c r="AE94" s="525"/>
      <c r="AF94" s="525"/>
      <c r="AG94" s="1247"/>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82"/>
      <c r="U95" s="2383"/>
      <c r="V95" s="510"/>
      <c r="W95" s="510"/>
      <c r="X95" s="527"/>
      <c r="Y95" s="510"/>
      <c r="Z95" s="524"/>
      <c r="AA95" s="525"/>
      <c r="AB95" s="525"/>
      <c r="AC95" s="525"/>
      <c r="AD95" s="525"/>
      <c r="AE95" s="525"/>
      <c r="AF95" s="525"/>
      <c r="AG95" s="507"/>
      <c r="AH95" s="510"/>
      <c r="IK95" s="521"/>
      <c r="IZ95" s="508"/>
    </row>
    <row r="96" spans="1:260" ht="12" customHeight="1">
      <c r="E96" s="109"/>
      <c r="F96" s="1"/>
      <c r="G96" s="778" t="s">
        <v>3814</v>
      </c>
      <c r="H96" s="864">
        <f>FF48</f>
        <v>0</v>
      </c>
      <c r="I96" s="864">
        <f>FG48</f>
        <v>0</v>
      </c>
      <c r="J96" s="864">
        <f>FH48</f>
        <v>0</v>
      </c>
      <c r="K96" s="864">
        <f>FI48</f>
        <v>0</v>
      </c>
      <c r="L96" s="864">
        <f>FJ48</f>
        <v>0</v>
      </c>
      <c r="M96" s="864">
        <f t="shared" si="265"/>
        <v>0</v>
      </c>
      <c r="N96" s="768"/>
      <c r="O96" s="785"/>
      <c r="Q96" s="456"/>
      <c r="R96" s="456"/>
      <c r="S96" s="456"/>
      <c r="T96" s="2382"/>
      <c r="U96" s="2383"/>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82"/>
      <c r="U97" s="2383"/>
      <c r="V97" s="510"/>
      <c r="W97" s="510"/>
      <c r="X97" s="527"/>
      <c r="Y97" s="510"/>
      <c r="Z97" s="524"/>
      <c r="AA97" s="525"/>
      <c r="AB97" s="525"/>
      <c r="AC97" s="525"/>
      <c r="AD97" s="525"/>
      <c r="AE97" s="525"/>
      <c r="AF97" s="525"/>
      <c r="AG97" s="1247"/>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3814</v>
      </c>
      <c r="H98" s="864">
        <f>GJ48</f>
        <v>0</v>
      </c>
      <c r="I98" s="864">
        <f>GK48</f>
        <v>0</v>
      </c>
      <c r="J98" s="864">
        <f>GL48</f>
        <v>0</v>
      </c>
      <c r="K98" s="864">
        <f>GM48</f>
        <v>0</v>
      </c>
      <c r="L98" s="864">
        <f>GN48</f>
        <v>0</v>
      </c>
      <c r="M98" s="864">
        <f t="shared" si="265"/>
        <v>0</v>
      </c>
      <c r="N98" s="768"/>
      <c r="O98" s="785"/>
      <c r="Q98" s="456"/>
      <c r="R98" s="456"/>
      <c r="S98" s="456"/>
      <c r="T98" s="2382"/>
      <c r="U98" s="2383"/>
      <c r="V98" s="510"/>
      <c r="W98" s="510"/>
      <c r="X98" s="527"/>
      <c r="Y98" s="510"/>
      <c r="Z98" s="524"/>
      <c r="AA98" s="525"/>
      <c r="AB98" s="525"/>
      <c r="AC98" s="525"/>
      <c r="AD98" s="525"/>
      <c r="AE98" s="525"/>
      <c r="AF98" s="525"/>
      <c r="AG98" s="1247"/>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82"/>
      <c r="U99" s="2383"/>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3814</v>
      </c>
      <c r="H100" s="869">
        <f>FZ48</f>
        <v>0</v>
      </c>
      <c r="I100" s="869">
        <f>GA48</f>
        <v>0</v>
      </c>
      <c r="J100" s="869">
        <f>GB48</f>
        <v>0</v>
      </c>
      <c r="K100" s="869">
        <f>GC48</f>
        <v>0</v>
      </c>
      <c r="L100" s="869">
        <f>GD48</f>
        <v>0</v>
      </c>
      <c r="M100" s="864">
        <f t="shared" si="265"/>
        <v>0</v>
      </c>
      <c r="N100" s="768"/>
      <c r="O100" s="785"/>
      <c r="Q100" s="456"/>
      <c r="R100" s="456"/>
      <c r="S100" s="456"/>
      <c r="T100" s="2382"/>
      <c r="U100" s="2383"/>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82"/>
      <c r="U101" s="2383"/>
      <c r="V101" s="510"/>
      <c r="W101" s="510"/>
      <c r="X101" s="513"/>
      <c r="Y101" s="510"/>
      <c r="Z101" s="524"/>
      <c r="AA101" s="525"/>
      <c r="AB101" s="525"/>
      <c r="AC101" s="525"/>
      <c r="AD101" s="525"/>
      <c r="AE101" s="525"/>
      <c r="AF101" s="525"/>
      <c r="AG101" s="1247"/>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3814</v>
      </c>
      <c r="H102" s="865">
        <f>FP48</f>
        <v>0</v>
      </c>
      <c r="I102" s="865">
        <f>FQ48</f>
        <v>0</v>
      </c>
      <c r="J102" s="865">
        <f>FR48</f>
        <v>0</v>
      </c>
      <c r="K102" s="865">
        <f>FS48</f>
        <v>0</v>
      </c>
      <c r="L102" s="865">
        <f>FT48</f>
        <v>0</v>
      </c>
      <c r="M102" s="865">
        <f t="shared" si="265"/>
        <v>0</v>
      </c>
      <c r="N102" s="53"/>
      <c r="O102" s="767"/>
      <c r="Q102" s="456"/>
      <c r="R102" s="456"/>
      <c r="S102" s="456"/>
      <c r="T102" s="2386"/>
      <c r="U102" s="2387"/>
      <c r="V102" s="510"/>
      <c r="W102" s="510"/>
      <c r="X102" s="513"/>
      <c r="Y102" s="510"/>
      <c r="Z102" s="524"/>
      <c r="AA102" s="525"/>
      <c r="AB102" s="525"/>
      <c r="AC102" s="525"/>
      <c r="AD102" s="525"/>
      <c r="AE102" s="525"/>
      <c r="AF102" s="525"/>
      <c r="AG102" s="1247"/>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53" t="s">
        <v>3942</v>
      </c>
      <c r="D104" s="1553"/>
      <c r="E104" s="301" t="s">
        <v>3809</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00"/>
      <c r="O104" s="767"/>
      <c r="Q104" s="456"/>
      <c r="R104" s="456"/>
      <c r="S104" s="456"/>
      <c r="T104" s="2380"/>
      <c r="U104" s="2381"/>
      <c r="V104" s="510"/>
      <c r="W104" s="510"/>
      <c r="X104" s="513"/>
      <c r="Y104" s="510"/>
      <c r="Z104" s="524"/>
      <c r="AA104" s="525"/>
      <c r="AB104" s="525"/>
      <c r="AC104" s="525"/>
      <c r="AD104" s="525"/>
      <c r="AE104" s="525"/>
      <c r="AF104" s="525"/>
      <c r="AG104" s="1247"/>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53"/>
      <c r="D105" s="1553"/>
      <c r="E105" s="301"/>
      <c r="F105" s="192"/>
      <c r="G105" s="786" t="s">
        <v>3814</v>
      </c>
      <c r="H105" s="872">
        <f t="shared" si="266"/>
        <v>0</v>
      </c>
      <c r="I105" s="873">
        <f t="shared" si="266"/>
        <v>0</v>
      </c>
      <c r="J105" s="873">
        <f t="shared" si="266"/>
        <v>0</v>
      </c>
      <c r="K105" s="873">
        <f t="shared" si="266"/>
        <v>0</v>
      </c>
      <c r="L105" s="873">
        <f t="shared" si="266"/>
        <v>0</v>
      </c>
      <c r="M105" s="873">
        <f t="shared" si="267"/>
        <v>0</v>
      </c>
      <c r="N105" s="1300"/>
      <c r="O105" s="767"/>
      <c r="Q105" s="456"/>
      <c r="R105" s="456"/>
      <c r="S105" s="456"/>
      <c r="T105" s="2382"/>
      <c r="U105" s="2383"/>
      <c r="V105" s="510"/>
      <c r="W105" s="510"/>
      <c r="X105" s="513"/>
      <c r="Y105" s="510"/>
      <c r="Z105" s="524"/>
      <c r="AA105" s="525"/>
      <c r="AB105" s="525"/>
      <c r="AC105" s="525"/>
      <c r="AD105" s="525"/>
      <c r="AE105" s="525"/>
      <c r="AF105" s="525"/>
      <c r="AG105" s="1247"/>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53"/>
      <c r="D106" s="1553"/>
      <c r="E106" s="301" t="s">
        <v>3810</v>
      </c>
      <c r="F106" s="192"/>
      <c r="G106" s="192"/>
      <c r="H106" s="873">
        <f>H87+H97</f>
        <v>0</v>
      </c>
      <c r="I106" s="873">
        <f t="shared" ref="I106:L107" si="268">I87+I97</f>
        <v>0</v>
      </c>
      <c r="J106" s="873">
        <f t="shared" si="268"/>
        <v>0</v>
      </c>
      <c r="K106" s="873">
        <f t="shared" si="268"/>
        <v>0</v>
      </c>
      <c r="L106" s="873">
        <f t="shared" si="268"/>
        <v>0</v>
      </c>
      <c r="M106" s="873">
        <f t="shared" si="267"/>
        <v>0</v>
      </c>
      <c r="N106" s="1300"/>
      <c r="O106" s="767"/>
      <c r="Q106" s="456"/>
      <c r="R106" s="456"/>
      <c r="S106" s="456"/>
      <c r="T106" s="2382"/>
      <c r="U106" s="2383"/>
      <c r="V106" s="510"/>
      <c r="W106" s="510"/>
      <c r="X106" s="513"/>
      <c r="Y106" s="510"/>
      <c r="Z106" s="524"/>
      <c r="AA106" s="525"/>
      <c r="AB106" s="525"/>
      <c r="AC106" s="525"/>
      <c r="AD106" s="525"/>
      <c r="AE106" s="525"/>
      <c r="AF106" s="525"/>
      <c r="AG106" s="1247"/>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53"/>
      <c r="D107" s="1553"/>
      <c r="E107" s="301"/>
      <c r="F107" s="192"/>
      <c r="G107" s="786" t="s">
        <v>3814</v>
      </c>
      <c r="H107" s="873">
        <f>H88+H98</f>
        <v>0</v>
      </c>
      <c r="I107" s="873">
        <f t="shared" si="268"/>
        <v>0</v>
      </c>
      <c r="J107" s="873">
        <f t="shared" si="268"/>
        <v>0</v>
      </c>
      <c r="K107" s="873">
        <f t="shared" si="268"/>
        <v>0</v>
      </c>
      <c r="L107" s="873">
        <f t="shared" si="268"/>
        <v>0</v>
      </c>
      <c r="M107" s="873">
        <f t="shared" si="267"/>
        <v>0</v>
      </c>
      <c r="N107" s="1300"/>
      <c r="O107" s="767"/>
      <c r="Q107" s="456"/>
      <c r="R107" s="456"/>
      <c r="S107" s="456"/>
      <c r="T107" s="2382"/>
      <c r="U107" s="2383"/>
      <c r="V107" s="510"/>
      <c r="W107" s="510"/>
      <c r="X107" s="513"/>
      <c r="Y107" s="510"/>
      <c r="Z107" s="524"/>
      <c r="AA107" s="525"/>
      <c r="AB107" s="525"/>
      <c r="AC107" s="525"/>
      <c r="AD107" s="525"/>
      <c r="AE107" s="525"/>
      <c r="AF107" s="525"/>
      <c r="AG107" s="1247"/>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53"/>
      <c r="D108" s="1553"/>
      <c r="E108" s="301" t="s">
        <v>3811</v>
      </c>
      <c r="F108" s="192"/>
      <c r="G108" s="192"/>
      <c r="H108" s="873">
        <f>H91</f>
        <v>0</v>
      </c>
      <c r="I108" s="873">
        <f t="shared" ref="I108:L109" si="269">I91</f>
        <v>0</v>
      </c>
      <c r="J108" s="873">
        <f t="shared" si="269"/>
        <v>0</v>
      </c>
      <c r="K108" s="873">
        <f t="shared" si="269"/>
        <v>0</v>
      </c>
      <c r="L108" s="873">
        <f t="shared" si="269"/>
        <v>0</v>
      </c>
      <c r="M108" s="873">
        <f t="shared" si="267"/>
        <v>0</v>
      </c>
      <c r="N108" s="1300"/>
      <c r="O108" s="767"/>
      <c r="Q108" s="456"/>
      <c r="R108" s="456"/>
      <c r="S108" s="456"/>
      <c r="T108" s="2382"/>
      <c r="U108" s="2383"/>
      <c r="V108" s="510"/>
      <c r="W108" s="510"/>
      <c r="X108" s="513"/>
      <c r="Y108" s="510"/>
      <c r="Z108" s="524"/>
      <c r="AA108" s="525"/>
      <c r="AB108" s="525"/>
      <c r="AC108" s="525"/>
      <c r="AD108" s="525"/>
      <c r="AE108" s="525"/>
      <c r="AF108" s="525"/>
      <c r="AG108" s="1247"/>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53"/>
      <c r="D109" s="1553"/>
      <c r="E109" s="301"/>
      <c r="F109" s="192"/>
      <c r="G109" s="786" t="s">
        <v>3814</v>
      </c>
      <c r="H109" s="873">
        <f>H92</f>
        <v>0</v>
      </c>
      <c r="I109" s="873">
        <f t="shared" si="269"/>
        <v>0</v>
      </c>
      <c r="J109" s="873">
        <f t="shared" si="269"/>
        <v>0</v>
      </c>
      <c r="K109" s="873">
        <f t="shared" si="269"/>
        <v>0</v>
      </c>
      <c r="L109" s="873">
        <f t="shared" si="269"/>
        <v>0</v>
      </c>
      <c r="M109" s="873">
        <f t="shared" si="267"/>
        <v>0</v>
      </c>
      <c r="N109" s="1300"/>
      <c r="O109" s="767"/>
      <c r="Q109" s="456"/>
      <c r="R109" s="456"/>
      <c r="S109" s="456"/>
      <c r="T109" s="2382"/>
      <c r="U109" s="2383"/>
      <c r="V109" s="510"/>
      <c r="W109" s="510"/>
      <c r="X109" s="513"/>
      <c r="Y109" s="510"/>
      <c r="Z109" s="524"/>
      <c r="AA109" s="525"/>
      <c r="AB109" s="525"/>
      <c r="AC109" s="525"/>
      <c r="AD109" s="525"/>
      <c r="AE109" s="525"/>
      <c r="AF109" s="525"/>
      <c r="AG109" s="1247"/>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53"/>
      <c r="D110" s="1553"/>
      <c r="E110" s="301" t="s">
        <v>3812</v>
      </c>
      <c r="F110" s="192"/>
      <c r="G110" s="192"/>
      <c r="H110" s="873">
        <f>H89+H93</f>
        <v>0</v>
      </c>
      <c r="I110" s="873">
        <f t="shared" ref="I110:L111" si="270">I89+I93</f>
        <v>18</v>
      </c>
      <c r="J110" s="873">
        <f t="shared" si="270"/>
        <v>54</v>
      </c>
      <c r="K110" s="873">
        <f t="shared" si="270"/>
        <v>24</v>
      </c>
      <c r="L110" s="873">
        <f t="shared" si="270"/>
        <v>0</v>
      </c>
      <c r="M110" s="873">
        <f t="shared" si="267"/>
        <v>96</v>
      </c>
      <c r="N110" s="1300"/>
      <c r="O110" s="767"/>
      <c r="Q110" s="456"/>
      <c r="R110" s="456"/>
      <c r="S110" s="456"/>
      <c r="T110" s="2382"/>
      <c r="U110" s="2383"/>
      <c r="V110" s="510"/>
      <c r="W110" s="510"/>
      <c r="X110" s="513"/>
      <c r="Y110" s="510"/>
      <c r="Z110" s="524"/>
      <c r="AA110" s="525"/>
      <c r="AB110" s="525"/>
      <c r="AC110" s="525"/>
      <c r="AD110" s="525"/>
      <c r="AE110" s="525"/>
      <c r="AF110" s="525"/>
      <c r="AG110" s="1247"/>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3814</v>
      </c>
      <c r="H111" s="874">
        <f>H90+H94</f>
        <v>0</v>
      </c>
      <c r="I111" s="874">
        <f t="shared" si="270"/>
        <v>0</v>
      </c>
      <c r="J111" s="874">
        <f t="shared" si="270"/>
        <v>0</v>
      </c>
      <c r="K111" s="874">
        <f t="shared" si="270"/>
        <v>0</v>
      </c>
      <c r="L111" s="874">
        <f t="shared" si="270"/>
        <v>0</v>
      </c>
      <c r="M111" s="874">
        <f t="shared" si="267"/>
        <v>0</v>
      </c>
      <c r="N111" s="1300"/>
      <c r="O111" s="767"/>
      <c r="Q111" s="456"/>
      <c r="R111" s="456"/>
      <c r="S111" s="456"/>
      <c r="T111" s="2386"/>
      <c r="U111" s="2387"/>
      <c r="V111" s="510"/>
      <c r="W111" s="510"/>
      <c r="X111" s="513"/>
      <c r="Y111" s="510"/>
      <c r="Z111" s="524"/>
      <c r="AA111" s="525"/>
      <c r="AB111" s="525"/>
      <c r="AC111" s="525"/>
      <c r="AD111" s="525"/>
      <c r="AE111" s="525"/>
      <c r="AF111" s="525"/>
      <c r="AG111" s="1247"/>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00"/>
      <c r="O112" s="767"/>
      <c r="Q112" s="456"/>
      <c r="R112" s="456"/>
      <c r="S112" s="456"/>
      <c r="T112" s="2388"/>
      <c r="U112" s="2388"/>
      <c r="V112" s="510"/>
      <c r="W112" s="510"/>
      <c r="X112" s="513"/>
      <c r="Y112" s="510"/>
      <c r="Z112" s="524"/>
      <c r="AA112" s="525"/>
      <c r="AB112" s="525"/>
      <c r="AC112" s="525"/>
      <c r="AD112" s="525"/>
      <c r="AE112" s="525"/>
      <c r="AF112" s="525"/>
      <c r="AG112" s="1247"/>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2267</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1247"/>
      <c r="AH113" s="510"/>
      <c r="IK113" s="521"/>
      <c r="IZ113" s="508"/>
    </row>
    <row r="114" spans="1:262" ht="12" customHeight="1">
      <c r="C114" s="5" t="s">
        <v>2237</v>
      </c>
      <c r="D114" s="1"/>
      <c r="E114" s="1"/>
      <c r="F114" s="1"/>
      <c r="G114" s="36" t="s">
        <v>1204</v>
      </c>
      <c r="H114" s="877">
        <f>BY48</f>
        <v>0</v>
      </c>
      <c r="I114" s="877">
        <f>BZ48</f>
        <v>11606</v>
      </c>
      <c r="J114" s="877">
        <f>CA48</f>
        <v>45066</v>
      </c>
      <c r="K114" s="877">
        <f>CB48</f>
        <v>25900</v>
      </c>
      <c r="L114" s="877">
        <f>CC48</f>
        <v>0</v>
      </c>
      <c r="M114" s="877">
        <f t="shared" ref="M114:M120" si="271">SUM(H114:L114)</f>
        <v>82572</v>
      </c>
      <c r="O114" s="86"/>
      <c r="Q114" s="456"/>
      <c r="R114" s="456"/>
      <c r="S114" s="456"/>
      <c r="T114" s="2304"/>
      <c r="U114" s="2305"/>
      <c r="V114" s="523"/>
      <c r="W114" s="523"/>
      <c r="X114" s="523"/>
      <c r="Y114" s="523"/>
      <c r="Z114" s="524"/>
      <c r="AA114" s="525"/>
      <c r="AB114" s="525"/>
      <c r="AC114" s="525"/>
      <c r="AD114" s="525"/>
      <c r="AE114" s="525"/>
      <c r="AF114" s="525"/>
      <c r="AG114" s="1247"/>
      <c r="AH114" s="510"/>
      <c r="IK114" s="521"/>
      <c r="IZ114" s="508"/>
    </row>
    <row r="115" spans="1:262" ht="12" customHeight="1">
      <c r="C115" s="4"/>
      <c r="D115" s="1"/>
      <c r="E115" s="1"/>
      <c r="F115" s="1"/>
      <c r="G115" s="36" t="s">
        <v>120</v>
      </c>
      <c r="H115" s="878">
        <f>CD48</f>
        <v>0</v>
      </c>
      <c r="I115" s="878">
        <f>CE48</f>
        <v>3316</v>
      </c>
      <c r="J115" s="878">
        <f>CF48</f>
        <v>12876</v>
      </c>
      <c r="K115" s="878">
        <f>CG48</f>
        <v>5180</v>
      </c>
      <c r="L115" s="878">
        <f>CH48</f>
        <v>0</v>
      </c>
      <c r="M115" s="878">
        <f t="shared" si="271"/>
        <v>21372</v>
      </c>
      <c r="N115" s="5"/>
      <c r="O115" s="86"/>
      <c r="Q115" s="456"/>
      <c r="R115" s="456"/>
      <c r="S115" s="456"/>
      <c r="T115" s="2306"/>
      <c r="U115" s="2307"/>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14922</v>
      </c>
      <c r="J116" s="877">
        <f>SUM(J114:J115)</f>
        <v>57942</v>
      </c>
      <c r="K116" s="877">
        <f>SUM(K114:K115)</f>
        <v>31080</v>
      </c>
      <c r="L116" s="877">
        <f>SUM(L114:L115)</f>
        <v>0</v>
      </c>
      <c r="M116" s="877">
        <f t="shared" si="271"/>
        <v>103944</v>
      </c>
      <c r="N116" s="5"/>
      <c r="O116" s="86"/>
      <c r="Q116" s="456"/>
      <c r="R116" s="456"/>
      <c r="S116" s="456"/>
      <c r="T116" s="2306"/>
      <c r="U116" s="2307"/>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306"/>
      <c r="U117" s="2307"/>
      <c r="V117" s="510"/>
      <c r="W117" s="523"/>
      <c r="X117" s="523"/>
      <c r="Y117" s="523"/>
      <c r="Z117" s="523"/>
      <c r="AA117" s="525"/>
      <c r="AB117" s="525"/>
      <c r="AC117" s="525"/>
      <c r="AD117" s="525"/>
      <c r="AE117" s="525"/>
      <c r="AF117" s="525"/>
      <c r="AG117" s="1247"/>
      <c r="AH117" s="510"/>
      <c r="IK117" s="521"/>
      <c r="IZ117" s="508"/>
    </row>
    <row r="118" spans="1:262" ht="12" customHeight="1">
      <c r="C118" s="5" t="s">
        <v>1193</v>
      </c>
      <c r="D118" s="1"/>
      <c r="E118" s="1"/>
      <c r="F118" s="1"/>
      <c r="G118" s="1"/>
      <c r="H118" s="877">
        <f>SUM(H116:H117)</f>
        <v>0</v>
      </c>
      <c r="I118" s="877">
        <f>SUM(I116:I117)</f>
        <v>14922</v>
      </c>
      <c r="J118" s="877">
        <f>SUM(J116:J117)</f>
        <v>57942</v>
      </c>
      <c r="K118" s="877">
        <f>SUM(K116:K117)</f>
        <v>31080</v>
      </c>
      <c r="L118" s="877">
        <f>SUM(L116:L117)</f>
        <v>0</v>
      </c>
      <c r="M118" s="877">
        <f t="shared" si="271"/>
        <v>103944</v>
      </c>
      <c r="O118" s="86"/>
      <c r="Q118" s="456"/>
      <c r="R118" s="456"/>
      <c r="S118" s="456"/>
      <c r="T118" s="2306"/>
      <c r="U118" s="2307"/>
      <c r="V118" s="523"/>
      <c r="W118" s="523"/>
      <c r="X118" s="523"/>
      <c r="Y118" s="523"/>
      <c r="Z118" s="523"/>
      <c r="AA118" s="525"/>
      <c r="AB118" s="525"/>
      <c r="AC118" s="525"/>
      <c r="AD118" s="525"/>
      <c r="AE118" s="525"/>
      <c r="AF118" s="525"/>
      <c r="AG118" s="1247"/>
      <c r="AH118" s="510"/>
      <c r="IK118" s="521"/>
      <c r="IZ118" s="508"/>
    </row>
    <row r="119" spans="1:262" ht="12" customHeight="1">
      <c r="C119" s="5" t="s">
        <v>2637</v>
      </c>
      <c r="D119" s="1"/>
      <c r="E119" s="1"/>
      <c r="F119" s="1"/>
      <c r="G119" s="1"/>
      <c r="H119" s="879">
        <f>CX48</f>
        <v>0</v>
      </c>
      <c r="I119" s="879">
        <f>CY48</f>
        <v>0</v>
      </c>
      <c r="J119" s="879">
        <f>CZ48</f>
        <v>0</v>
      </c>
      <c r="K119" s="879">
        <f>DA48</f>
        <v>0</v>
      </c>
      <c r="L119" s="879">
        <f>DB48</f>
        <v>0</v>
      </c>
      <c r="M119" s="879">
        <f t="shared" si="271"/>
        <v>0</v>
      </c>
      <c r="O119" s="86"/>
      <c r="Q119" s="456"/>
      <c r="R119" s="456"/>
      <c r="S119" s="456"/>
      <c r="T119" s="2306"/>
      <c r="U119" s="2307"/>
      <c r="V119" s="523"/>
      <c r="W119" s="523"/>
      <c r="X119" s="523"/>
      <c r="Y119" s="523"/>
      <c r="Z119" s="523"/>
      <c r="AA119" s="525"/>
      <c r="AB119" s="525"/>
      <c r="AC119" s="525"/>
      <c r="AD119" s="525"/>
      <c r="AE119" s="525"/>
      <c r="AF119" s="525"/>
      <c r="AG119" s="1247"/>
      <c r="AH119" s="510"/>
      <c r="IK119" s="521"/>
      <c r="IZ119" s="508"/>
    </row>
    <row r="120" spans="1:262" ht="12" customHeight="1">
      <c r="C120" s="5" t="s">
        <v>563</v>
      </c>
      <c r="D120" s="1"/>
      <c r="E120" s="1"/>
      <c r="F120" s="1"/>
      <c r="G120" s="1"/>
      <c r="H120" s="880">
        <f>SUM(H118:H119)</f>
        <v>0</v>
      </c>
      <c r="I120" s="880">
        <f>SUM(I118:I119)</f>
        <v>14922</v>
      </c>
      <c r="J120" s="880">
        <f>SUM(J118:J119)</f>
        <v>57942</v>
      </c>
      <c r="K120" s="880">
        <f>SUM(K118:K119)</f>
        <v>31080</v>
      </c>
      <c r="L120" s="880">
        <f>SUM(L118:L119)</f>
        <v>0</v>
      </c>
      <c r="M120" s="880">
        <f t="shared" si="271"/>
        <v>103944</v>
      </c>
      <c r="O120" s="86"/>
      <c r="Q120" s="456"/>
      <c r="R120" s="456"/>
      <c r="S120" s="456"/>
      <c r="T120" s="2309"/>
      <c r="U120" s="2310"/>
      <c r="V120" s="523"/>
      <c r="W120" s="523"/>
      <c r="X120" s="523"/>
      <c r="Y120" s="523"/>
      <c r="Z120" s="523"/>
      <c r="AA120" s="525"/>
      <c r="AB120" s="525"/>
      <c r="AC120" s="525"/>
      <c r="AD120" s="525"/>
      <c r="AE120" s="525"/>
      <c r="AF120" s="525"/>
      <c r="AG120" s="1247"/>
      <c r="AH120" s="510"/>
      <c r="IK120" s="521"/>
      <c r="IZ120" s="508"/>
    </row>
    <row r="121" spans="1:262" ht="4.5" customHeight="1">
      <c r="B121" s="14"/>
      <c r="O121" s="82"/>
      <c r="P121" s="82"/>
      <c r="Q121" s="96"/>
      <c r="R121" s="96"/>
      <c r="S121" s="96"/>
      <c r="U121" s="166"/>
      <c r="V121" s="1247"/>
      <c r="W121" s="1247"/>
      <c r="X121" s="1247"/>
      <c r="Y121" s="1247"/>
      <c r="Z121" s="1247"/>
      <c r="AA121" s="1247"/>
      <c r="AB121" s="1247"/>
      <c r="AC121" s="1247"/>
      <c r="AD121" s="1247"/>
      <c r="AE121" s="1247"/>
      <c r="AF121" s="1247"/>
      <c r="AG121" s="1247"/>
      <c r="IK121" s="521"/>
      <c r="IZ121" s="508"/>
    </row>
    <row r="122" spans="1:262" ht="13.9" customHeight="1">
      <c r="A122" s="14" t="s">
        <v>782</v>
      </c>
      <c r="B122" s="14" t="s">
        <v>234</v>
      </c>
      <c r="P122" s="8"/>
      <c r="Q122" s="457"/>
      <c r="R122" s="457"/>
      <c r="S122" s="457"/>
      <c r="T122" s="14" t="s">
        <v>1938</v>
      </c>
      <c r="GS122" s="508"/>
      <c r="GX122" s="508"/>
      <c r="ID122" s="517"/>
      <c r="IJ122" s="508"/>
      <c r="IK122" s="521"/>
      <c r="IZ122" s="508"/>
      <c r="JB122" s="521"/>
    </row>
    <row r="123" spans="1:262" ht="2.25" customHeight="1">
      <c r="P123" s="457"/>
    </row>
    <row r="124" spans="1:262" ht="12" customHeight="1">
      <c r="B124" s="14" t="s">
        <v>1066</v>
      </c>
      <c r="D124" s="116"/>
      <c r="H124" s="2389">
        <f>'Part VII-Pro Forma'!B9*L49</f>
        <v>12547.2</v>
      </c>
      <c r="I124" s="2390"/>
      <c r="K124" s="574" t="s">
        <v>2930</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91"/>
      <c r="H128" s="2391"/>
      <c r="I128" s="2391"/>
      <c r="J128" s="2391"/>
      <c r="K128" s="2392"/>
      <c r="L128" s="2391"/>
      <c r="M128" s="2391"/>
      <c r="N128" s="2391"/>
      <c r="O128" s="2391"/>
      <c r="P128" s="2391"/>
      <c r="T128" s="2304"/>
      <c r="U128" s="2305"/>
    </row>
    <row r="129" spans="2:21" ht="11.25" customHeight="1">
      <c r="B129" s="1" t="s">
        <v>781</v>
      </c>
      <c r="C129" s="2393"/>
      <c r="D129" s="2394"/>
      <c r="E129" s="2394"/>
      <c r="F129" s="2395"/>
      <c r="G129" s="2396"/>
      <c r="H129" s="2396"/>
      <c r="I129" s="2396"/>
      <c r="J129" s="2396"/>
      <c r="K129" s="2397"/>
      <c r="L129" s="2396"/>
      <c r="M129" s="2396"/>
      <c r="N129" s="2396"/>
      <c r="O129" s="2396"/>
      <c r="P129" s="2396"/>
      <c r="T129" s="2306"/>
      <c r="U129" s="2307"/>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09"/>
      <c r="U130" s="2310"/>
    </row>
    <row r="131" spans="2:21" ht="12" customHeight="1">
      <c r="B131" s="415" t="s">
        <v>674</v>
      </c>
      <c r="G131" s="34"/>
      <c r="P131" s="8"/>
      <c r="T131" s="100" t="str">
        <f>B131</f>
        <v>NOT Included in Mgt Fee:</v>
      </c>
    </row>
    <row r="132" spans="2:21" ht="11.25" customHeight="1">
      <c r="B132" s="1" t="s">
        <v>557</v>
      </c>
      <c r="C132" s="1"/>
      <c r="D132" s="1"/>
      <c r="E132" s="1"/>
      <c r="F132" s="1"/>
      <c r="G132" s="2391"/>
      <c r="H132" s="2391"/>
      <c r="I132" s="2391"/>
      <c r="J132" s="2391"/>
      <c r="K132" s="2392"/>
      <c r="L132" s="2391"/>
      <c r="M132" s="2391"/>
      <c r="N132" s="2391"/>
      <c r="O132" s="2391"/>
      <c r="P132" s="2391"/>
      <c r="T132" s="2304"/>
      <c r="U132" s="2305"/>
    </row>
    <row r="133" spans="2:21" ht="11.25" customHeight="1">
      <c r="B133" s="1" t="s">
        <v>781</v>
      </c>
      <c r="C133" s="2393"/>
      <c r="D133" s="2394"/>
      <c r="E133" s="2394"/>
      <c r="F133" s="2395"/>
      <c r="G133" s="2396"/>
      <c r="H133" s="2396"/>
      <c r="I133" s="2396"/>
      <c r="J133" s="2396"/>
      <c r="K133" s="2397"/>
      <c r="L133" s="2396"/>
      <c r="M133" s="2396"/>
      <c r="N133" s="2396"/>
      <c r="O133" s="2396"/>
      <c r="P133" s="2396"/>
      <c r="T133" s="2306"/>
      <c r="U133" s="2307"/>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09"/>
      <c r="U134" s="2310"/>
    </row>
    <row r="135" spans="2:21" ht="6" customHeight="1">
      <c r="B135" s="14"/>
      <c r="G135" s="34"/>
      <c r="P135" s="8"/>
      <c r="T135" s="184" t="s">
        <v>2750</v>
      </c>
    </row>
    <row r="136" spans="2:21" ht="12.75" customHeight="1">
      <c r="B136" s="414" t="s">
        <v>2395</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91"/>
      <c r="H137" s="2391"/>
      <c r="I137" s="2391"/>
      <c r="J137" s="2391"/>
      <c r="K137" s="2392"/>
      <c r="L137" s="2391"/>
      <c r="M137" s="2391"/>
      <c r="N137" s="2391"/>
      <c r="O137" s="2391"/>
      <c r="P137" s="2391"/>
      <c r="T137" s="2304"/>
      <c r="U137" s="2305"/>
    </row>
    <row r="138" spans="2:21" ht="11.25" customHeight="1">
      <c r="B138" s="1" t="s">
        <v>781</v>
      </c>
      <c r="C138" s="2393"/>
      <c r="D138" s="2394"/>
      <c r="E138" s="2394"/>
      <c r="F138" s="2395"/>
      <c r="G138" s="2396"/>
      <c r="H138" s="2396"/>
      <c r="I138" s="2396"/>
      <c r="J138" s="2396"/>
      <c r="K138" s="2397"/>
      <c r="L138" s="2396"/>
      <c r="M138" s="2396"/>
      <c r="N138" s="2396"/>
      <c r="O138" s="2396"/>
      <c r="P138" s="2396"/>
      <c r="T138" s="2306"/>
      <c r="U138" s="2307"/>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09"/>
      <c r="U139" s="2310"/>
    </row>
    <row r="140" spans="2:21" ht="12" customHeight="1">
      <c r="B140" s="415" t="s">
        <v>674</v>
      </c>
      <c r="G140" s="34"/>
      <c r="P140" s="8"/>
      <c r="T140" s="100" t="str">
        <f>B140</f>
        <v>NOT Included in Mgt Fee:</v>
      </c>
    </row>
    <row r="141" spans="2:21" ht="11.25" customHeight="1">
      <c r="B141" s="1" t="s">
        <v>557</v>
      </c>
      <c r="C141" s="1"/>
      <c r="D141" s="1"/>
      <c r="E141" s="1"/>
      <c r="F141" s="1"/>
      <c r="G141" s="2391"/>
      <c r="H141" s="2391"/>
      <c r="I141" s="2391"/>
      <c r="J141" s="2391"/>
      <c r="K141" s="2392"/>
      <c r="L141" s="2391"/>
      <c r="M141" s="2391"/>
      <c r="N141" s="2391"/>
      <c r="O141" s="2391"/>
      <c r="P141" s="2391"/>
      <c r="T141" s="2304"/>
      <c r="U141" s="2305"/>
    </row>
    <row r="142" spans="2:21" ht="11.25" customHeight="1">
      <c r="B142" s="1" t="s">
        <v>781</v>
      </c>
      <c r="C142" s="2393"/>
      <c r="D142" s="2394"/>
      <c r="E142" s="2394"/>
      <c r="F142" s="2395"/>
      <c r="G142" s="2396"/>
      <c r="H142" s="2396"/>
      <c r="I142" s="2396"/>
      <c r="J142" s="2396"/>
      <c r="K142" s="2397"/>
      <c r="L142" s="2396"/>
      <c r="M142" s="2396"/>
      <c r="N142" s="2396"/>
      <c r="O142" s="2396"/>
      <c r="P142" s="2396"/>
      <c r="T142" s="2306"/>
      <c r="U142" s="2307"/>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09"/>
      <c r="U143" s="2310"/>
    </row>
    <row r="144" spans="2:21" ht="6" customHeight="1">
      <c r="B144" s="14"/>
      <c r="G144" s="34"/>
      <c r="P144" s="8"/>
      <c r="T144" s="184" t="s">
        <v>2751</v>
      </c>
    </row>
    <row r="145" spans="2:21" ht="12.75" customHeight="1">
      <c r="B145" s="414" t="s">
        <v>2395</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91"/>
      <c r="H146" s="2391"/>
      <c r="I146" s="2391"/>
      <c r="J146" s="2391"/>
      <c r="K146" s="2392"/>
      <c r="L146" s="2391"/>
      <c r="M146" s="2391"/>
      <c r="N146" s="2391"/>
      <c r="O146" s="2391"/>
      <c r="P146" s="2391"/>
      <c r="T146" s="2304"/>
      <c r="U146" s="2305"/>
    </row>
    <row r="147" spans="2:21" ht="11.25" customHeight="1">
      <c r="B147" s="1" t="s">
        <v>781</v>
      </c>
      <c r="C147" s="2393"/>
      <c r="D147" s="2394"/>
      <c r="E147" s="2394"/>
      <c r="F147" s="2395"/>
      <c r="G147" s="2396"/>
      <c r="H147" s="2396"/>
      <c r="I147" s="2396"/>
      <c r="J147" s="2396"/>
      <c r="K147" s="2397"/>
      <c r="L147" s="2396"/>
      <c r="M147" s="2396"/>
      <c r="N147" s="2396"/>
      <c r="O147" s="2396"/>
      <c r="P147" s="2396"/>
      <c r="T147" s="2306"/>
      <c r="U147" s="2307"/>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09"/>
      <c r="U148" s="2310"/>
    </row>
    <row r="149" spans="2:21" ht="12" customHeight="1">
      <c r="B149" s="415" t="s">
        <v>674</v>
      </c>
      <c r="G149" s="34"/>
      <c r="P149" s="8"/>
      <c r="T149" s="100" t="str">
        <f>B149</f>
        <v>NOT Included in Mgt Fee:</v>
      </c>
    </row>
    <row r="150" spans="2:21" ht="11.25" customHeight="1">
      <c r="B150" s="1" t="s">
        <v>557</v>
      </c>
      <c r="C150" s="1"/>
      <c r="D150" s="1"/>
      <c r="E150" s="1"/>
      <c r="F150" s="1"/>
      <c r="G150" s="2391"/>
      <c r="H150" s="2391"/>
      <c r="I150" s="2391"/>
      <c r="J150" s="2391"/>
      <c r="K150" s="2392"/>
      <c r="L150" s="2391"/>
      <c r="M150" s="2391"/>
      <c r="N150" s="2391"/>
      <c r="O150" s="2391"/>
      <c r="P150" s="2391"/>
      <c r="T150" s="2304"/>
      <c r="U150" s="2305"/>
    </row>
    <row r="151" spans="2:21" ht="11.25" customHeight="1">
      <c r="B151" s="1" t="s">
        <v>781</v>
      </c>
      <c r="C151" s="2393"/>
      <c r="D151" s="2394"/>
      <c r="E151" s="2394"/>
      <c r="F151" s="2395"/>
      <c r="G151" s="2396"/>
      <c r="H151" s="2396"/>
      <c r="I151" s="2396"/>
      <c r="J151" s="2396"/>
      <c r="K151" s="2397"/>
      <c r="L151" s="2396"/>
      <c r="M151" s="2396"/>
      <c r="N151" s="2396"/>
      <c r="O151" s="2396"/>
      <c r="P151" s="2396"/>
      <c r="T151" s="2306"/>
      <c r="U151" s="2307"/>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09"/>
      <c r="U152" s="2310"/>
    </row>
    <row r="153" spans="2:21" ht="6" customHeight="1">
      <c r="B153" s="14"/>
      <c r="G153" s="34"/>
      <c r="P153" s="8"/>
      <c r="T153" s="184" t="s">
        <v>2751</v>
      </c>
    </row>
    <row r="154" spans="2:21" ht="12.75" customHeight="1">
      <c r="B154" s="414" t="s">
        <v>2395</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91"/>
      <c r="H155" s="2391"/>
      <c r="I155" s="2391"/>
      <c r="J155" s="2391"/>
      <c r="K155" s="2392"/>
      <c r="P155" s="8"/>
      <c r="T155" s="2304"/>
      <c r="U155" s="2305"/>
    </row>
    <row r="156" spans="2:21" ht="11.25" customHeight="1">
      <c r="B156" s="1" t="s">
        <v>781</v>
      </c>
      <c r="C156" s="2393"/>
      <c r="D156" s="2394"/>
      <c r="E156" s="2394"/>
      <c r="F156" s="2395"/>
      <c r="G156" s="2396"/>
      <c r="H156" s="2396"/>
      <c r="I156" s="2396"/>
      <c r="J156" s="2396"/>
      <c r="K156" s="2397"/>
      <c r="P156" s="8"/>
      <c r="T156" s="2306"/>
      <c r="U156" s="2307"/>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09"/>
      <c r="U157" s="2310"/>
    </row>
    <row r="158" spans="2:21" ht="12" customHeight="1">
      <c r="B158" s="415" t="s">
        <v>674</v>
      </c>
      <c r="G158" s="34"/>
      <c r="P158" s="8"/>
      <c r="T158" s="100" t="str">
        <f>B158</f>
        <v>NOT Included in Mgt Fee:</v>
      </c>
    </row>
    <row r="159" spans="2:21" ht="11.25" customHeight="1">
      <c r="B159" s="1" t="s">
        <v>557</v>
      </c>
      <c r="C159" s="1"/>
      <c r="D159" s="1"/>
      <c r="E159" s="1"/>
      <c r="F159" s="1"/>
      <c r="G159" s="2391"/>
      <c r="H159" s="2391"/>
      <c r="I159" s="2391"/>
      <c r="J159" s="2391"/>
      <c r="K159" s="2392"/>
      <c r="P159" s="8"/>
      <c r="T159" s="2304"/>
      <c r="U159" s="2305"/>
    </row>
    <row r="160" spans="2:21" ht="11.25" customHeight="1">
      <c r="B160" s="1" t="s">
        <v>781</v>
      </c>
      <c r="C160" s="2393"/>
      <c r="D160" s="2394"/>
      <c r="E160" s="2394"/>
      <c r="F160" s="2395"/>
      <c r="G160" s="2396"/>
      <c r="H160" s="2396"/>
      <c r="I160" s="2396"/>
      <c r="J160" s="2396"/>
      <c r="K160" s="2397"/>
      <c r="P160" s="8"/>
      <c r="T160" s="2306"/>
      <c r="U160" s="2307"/>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09"/>
      <c r="U161" s="2310"/>
    </row>
    <row r="162" spans="1:295" ht="2.25" customHeight="1">
      <c r="B162" s="14"/>
      <c r="F162" s="34"/>
      <c r="G162" s="34"/>
      <c r="J162" s="17"/>
      <c r="P162" s="8"/>
    </row>
    <row r="163" spans="1:295" s="95" customFormat="1" ht="11.25" customHeight="1">
      <c r="A163" s="4" t="s">
        <v>1880</v>
      </c>
      <c r="B163" s="1313" t="s">
        <v>1069</v>
      </c>
      <c r="C163" s="1313"/>
      <c r="D163" s="1313"/>
      <c r="E163" s="1313"/>
      <c r="F163" s="1313"/>
      <c r="G163" s="1313"/>
      <c r="H163" s="1313"/>
      <c r="I163" s="1313"/>
      <c r="J163" s="1313"/>
      <c r="K163" s="1313"/>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100"/>
      <c r="JR163" s="10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3"/>
      <c r="C164" s="1313"/>
      <c r="D164" s="1313"/>
      <c r="E164" s="1313"/>
      <c r="F164" s="1313"/>
      <c r="G164" s="1313"/>
      <c r="H164" s="1313"/>
      <c r="I164" s="1313"/>
      <c r="J164" s="1313"/>
      <c r="K164" s="1"/>
      <c r="L164" s="1"/>
      <c r="M164" s="1"/>
      <c r="N164" s="1"/>
      <c r="O164" s="1"/>
      <c r="P164" s="1"/>
      <c r="T164" s="1527" t="s">
        <v>1938</v>
      </c>
      <c r="U164" s="1527"/>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100"/>
      <c r="JR164" s="10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304"/>
      <c r="U165" s="2305"/>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100"/>
      <c r="JR165" s="10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2299</v>
      </c>
      <c r="C166" s="1"/>
      <c r="D166" s="1"/>
      <c r="E166" s="1"/>
      <c r="F166" s="2398">
        <v>38400</v>
      </c>
      <c r="G166" s="2399"/>
      <c r="H166" s="1"/>
      <c r="I166" s="1" t="s">
        <v>1444</v>
      </c>
      <c r="J166" s="1"/>
      <c r="K166" s="2398">
        <v>0</v>
      </c>
      <c r="L166" s="2399"/>
      <c r="M166" s="1"/>
      <c r="N166" s="1" t="s">
        <v>973</v>
      </c>
      <c r="O166" s="1"/>
      <c r="P166" s="2400">
        <v>123167</v>
      </c>
      <c r="T166" s="2306"/>
      <c r="U166" s="2307"/>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100"/>
      <c r="JR166" s="10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398">
        <v>28800</v>
      </c>
      <c r="G167" s="2399"/>
      <c r="H167" s="1"/>
      <c r="I167" s="1" t="s">
        <v>1445</v>
      </c>
      <c r="J167" s="1"/>
      <c r="K167" s="2398">
        <v>960</v>
      </c>
      <c r="L167" s="2399"/>
      <c r="M167" s="1"/>
      <c r="N167" s="1" t="s">
        <v>152</v>
      </c>
      <c r="O167" s="1"/>
      <c r="P167" s="2400">
        <v>22500</v>
      </c>
      <c r="T167" s="2306"/>
      <c r="U167" s="2307"/>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100"/>
      <c r="JR167" s="10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398">
        <v>0</v>
      </c>
      <c r="G168" s="2399"/>
      <c r="H168" s="1"/>
      <c r="I168" s="1"/>
      <c r="J168" s="132" t="s">
        <v>197</v>
      </c>
      <c r="K168" s="1535">
        <f>SUM(K166:L167)</f>
        <v>960</v>
      </c>
      <c r="L168" s="1536"/>
      <c r="M168" s="1"/>
      <c r="N168" s="2401" t="s">
        <v>53</v>
      </c>
      <c r="O168" s="2402"/>
      <c r="P168" s="2403"/>
      <c r="T168" s="2306"/>
      <c r="U168" s="2307"/>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100"/>
      <c r="JR168" s="10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93" t="s">
        <v>4483</v>
      </c>
      <c r="C169" s="2394"/>
      <c r="D169" s="2394"/>
      <c r="E169" s="2395"/>
      <c r="F169" s="2404">
        <v>7200</v>
      </c>
      <c r="G169" s="2405"/>
      <c r="H169" s="1"/>
      <c r="I169" s="1"/>
      <c r="J169" s="1"/>
      <c r="K169" s="1"/>
      <c r="L169" s="1"/>
      <c r="M169" s="1"/>
      <c r="N169" s="12" t="s">
        <v>197</v>
      </c>
      <c r="O169" s="1"/>
      <c r="P169" s="453">
        <f>SUM(P166:P168)</f>
        <v>145667</v>
      </c>
      <c r="T169" s="2306"/>
      <c r="U169" s="2307"/>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100"/>
      <c r="JR169" s="10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5">
        <f>SUM(F166:G169)</f>
        <v>74400</v>
      </c>
      <c r="G170" s="1536"/>
      <c r="H170" s="1"/>
      <c r="I170" s="1"/>
      <c r="J170" s="13"/>
      <c r="K170" s="1"/>
      <c r="L170" s="1"/>
      <c r="M170" s="1"/>
      <c r="N170" s="1"/>
      <c r="O170" s="1"/>
      <c r="P170" s="1"/>
      <c r="T170" s="2306"/>
      <c r="U170" s="2307"/>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100"/>
      <c r="JR170" s="10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06"/>
      <c r="U171" s="2307"/>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100"/>
      <c r="JR171" s="10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53560</v>
      </c>
      <c r="T172" s="2306"/>
      <c r="U172" s="2307"/>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100"/>
      <c r="JR172" s="10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398">
        <v>5288</v>
      </c>
      <c r="G173" s="2399"/>
      <c r="H173" s="1"/>
      <c r="I173" s="1" t="s">
        <v>1680</v>
      </c>
      <c r="J173" s="1"/>
      <c r="K173" s="2406">
        <v>7200</v>
      </c>
      <c r="L173" s="2407"/>
      <c r="M173" s="1"/>
      <c r="N173" s="438">
        <f>+P172/(M62*0.93)</f>
        <v>599.91039426523298</v>
      </c>
      <c r="O173" s="70" t="s">
        <v>3022</v>
      </c>
      <c r="P173" s="1"/>
      <c r="T173" s="2306"/>
      <c r="U173" s="2307"/>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100"/>
      <c r="JR173" s="10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398">
        <v>5000</v>
      </c>
      <c r="G174" s="2399"/>
      <c r="H174" s="1"/>
      <c r="I174" s="1" t="s">
        <v>2150</v>
      </c>
      <c r="J174" s="1"/>
      <c r="K174" s="2408">
        <v>5088</v>
      </c>
      <c r="L174" s="2409"/>
      <c r="M174" s="1"/>
      <c r="N174" s="438">
        <f>+P172/(M62*0.93)/12</f>
        <v>49.992532855436082</v>
      </c>
      <c r="O174" s="70" t="s">
        <v>3023</v>
      </c>
      <c r="P174" s="1"/>
      <c r="T174" s="2306"/>
      <c r="U174" s="2307"/>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100"/>
      <c r="JR174" s="10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398">
        <v>2596</v>
      </c>
      <c r="G175" s="2399"/>
      <c r="H175" s="1"/>
      <c r="I175" s="1" t="s">
        <v>1681</v>
      </c>
      <c r="J175" s="1"/>
      <c r="K175" s="2408">
        <v>2400</v>
      </c>
      <c r="L175" s="2409"/>
      <c r="M175" s="1"/>
      <c r="N175" s="1545" t="s">
        <v>2583</v>
      </c>
      <c r="O175" s="1546"/>
      <c r="P175" s="1546"/>
      <c r="T175" s="2306"/>
      <c r="U175" s="2307"/>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100"/>
      <c r="JR175" s="10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2451</v>
      </c>
      <c r="C176" s="1"/>
      <c r="D176" s="9"/>
      <c r="E176" s="1"/>
      <c r="F176" s="2398">
        <v>0</v>
      </c>
      <c r="G176" s="2399"/>
      <c r="H176" s="1"/>
      <c r="I176" s="2401" t="s">
        <v>53</v>
      </c>
      <c r="J176" s="2402"/>
      <c r="K176" s="2406"/>
      <c r="L176" s="2407"/>
      <c r="M176" s="1"/>
      <c r="N176" s="1546"/>
      <c r="O176" s="1546"/>
      <c r="P176" s="1546"/>
      <c r="T176" s="2306"/>
      <c r="U176" s="2307"/>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100"/>
      <c r="JR176" s="10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398">
        <v>1248</v>
      </c>
      <c r="G177" s="2399"/>
      <c r="H177" s="1"/>
      <c r="I177" s="10"/>
      <c r="J177" s="12" t="s">
        <v>197</v>
      </c>
      <c r="K177" s="1541">
        <f>SUM(K173:K176)</f>
        <v>14688</v>
      </c>
      <c r="L177" s="1542"/>
      <c r="M177" s="1"/>
      <c r="T177" s="2309"/>
      <c r="U177" s="2310"/>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100"/>
      <c r="JR177" s="10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93" t="s">
        <v>4476</v>
      </c>
      <c r="C178" s="2394"/>
      <c r="D178" s="2394"/>
      <c r="E178" s="2395"/>
      <c r="F178" s="2404">
        <v>1248</v>
      </c>
      <c r="G178" s="2405"/>
      <c r="H178" s="1"/>
      <c r="I178" s="1"/>
      <c r="J178" s="13"/>
      <c r="K178" s="1"/>
      <c r="L178" s="1"/>
      <c r="M178" s="1"/>
      <c r="N178" s="10" t="s">
        <v>2289</v>
      </c>
      <c r="O178" s="5"/>
      <c r="P178" s="451">
        <f>F170+F179+F190+K168+K177+K187+P169+P172</f>
        <v>424323</v>
      </c>
      <c r="T178" s="2304"/>
      <c r="U178" s="2305"/>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100"/>
      <c r="JR178" s="10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5">
        <f>SUM(F173:G178)</f>
        <v>15380</v>
      </c>
      <c r="G179" s="1536"/>
      <c r="H179" s="1"/>
      <c r="I179" s="1"/>
      <c r="J179" s="13"/>
      <c r="K179" s="1"/>
      <c r="L179" s="1"/>
      <c r="M179" s="1"/>
      <c r="N179" s="438">
        <f>+P178/M62</f>
        <v>4420.03125</v>
      </c>
      <c r="O179" s="70" t="s">
        <v>3024</v>
      </c>
      <c r="T179" s="2306"/>
      <c r="U179" s="2307"/>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100"/>
      <c r="JR179" s="10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06"/>
      <c r="U180" s="2307"/>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100"/>
      <c r="JR180" s="10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7" t="s">
        <v>3021</v>
      </c>
      <c r="K181" s="1"/>
      <c r="L181" s="1"/>
      <c r="M181" s="1"/>
      <c r="N181" s="10" t="s">
        <v>4225</v>
      </c>
      <c r="O181" s="10"/>
      <c r="P181" s="452">
        <f>P182*M62</f>
        <v>24000</v>
      </c>
      <c r="T181" s="2306"/>
      <c r="U181" s="2307"/>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100"/>
      <c r="JR181" s="10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10">
        <v>14900</v>
      </c>
      <c r="G182" s="2411"/>
      <c r="H182" s="1"/>
      <c r="I182" s="1" t="s">
        <v>1434</v>
      </c>
      <c r="J182" s="530">
        <f>K182/12/M62</f>
        <v>13.25</v>
      </c>
      <c r="K182" s="2408">
        <v>15264</v>
      </c>
      <c r="L182" s="2409"/>
      <c r="M182" s="1"/>
      <c r="N182" s="109" t="s">
        <v>4226</v>
      </c>
      <c r="O182" s="1"/>
      <c r="P182" s="2412">
        <f>N183</f>
        <v>250</v>
      </c>
      <c r="T182" s="2306"/>
      <c r="U182" s="2307"/>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100"/>
      <c r="JR182" s="10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10">
        <v>14900</v>
      </c>
      <c r="G183" s="2411"/>
      <c r="H183" s="1"/>
      <c r="I183" s="1" t="s">
        <v>1435</v>
      </c>
      <c r="J183" s="530">
        <f>K183/12/M62</f>
        <v>0</v>
      </c>
      <c r="K183" s="2408"/>
      <c r="L183" s="2409"/>
      <c r="M183" s="1"/>
      <c r="N183" s="929">
        <f>ROUND(P190/M62,0)</f>
        <v>250</v>
      </c>
      <c r="O183" s="70" t="s">
        <v>3024</v>
      </c>
      <c r="Q183" s="928"/>
      <c r="T183" s="2306"/>
      <c r="U183" s="2307"/>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100"/>
      <c r="JR183" s="10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10">
        <v>16800</v>
      </c>
      <c r="G184" s="2411"/>
      <c r="H184" s="1"/>
      <c r="I184" s="1" t="s">
        <v>2463</v>
      </c>
      <c r="J184" s="530">
        <f>K184/12/M62</f>
        <v>5.25</v>
      </c>
      <c r="K184" s="2408">
        <v>6048</v>
      </c>
      <c r="L184" s="2409"/>
      <c r="M184" s="1"/>
      <c r="N184" s="937" t="s">
        <v>2887</v>
      </c>
      <c r="O184" s="938" t="s">
        <v>4015</v>
      </c>
      <c r="P184" s="939" t="s">
        <v>4016</v>
      </c>
      <c r="T184" s="2306"/>
      <c r="U184" s="2307"/>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100"/>
      <c r="JR184" s="10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398">
        <v>9600</v>
      </c>
      <c r="G185" s="2399"/>
      <c r="H185" s="1"/>
      <c r="I185" s="1" t="s">
        <v>1437</v>
      </c>
      <c r="J185" s="1"/>
      <c r="K185" s="2408">
        <v>8160</v>
      </c>
      <c r="L185" s="2409"/>
      <c r="M185" s="1"/>
      <c r="N185" s="940" t="s">
        <v>41</v>
      </c>
      <c r="O185" s="941"/>
      <c r="P185" s="942"/>
      <c r="T185" s="2306"/>
      <c r="U185" s="2307"/>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100"/>
      <c r="JR185" s="10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398">
        <v>19500</v>
      </c>
      <c r="G186" s="2399"/>
      <c r="H186" s="1"/>
      <c r="I186" s="2401" t="s">
        <v>53</v>
      </c>
      <c r="J186" s="2402"/>
      <c r="K186" s="2406"/>
      <c r="L186" s="2407"/>
      <c r="M186" s="1"/>
      <c r="N186" s="582" t="s">
        <v>4007</v>
      </c>
      <c r="O186" s="1303" t="str">
        <f>CONCATENATE(SUM(JB48:JF48)," units x $",'DCA Underwriting Assumptions'!$Q$53," =")</f>
        <v>0 units x $350 =</v>
      </c>
      <c r="P186" s="943">
        <f>SUM(JB48:JF48)*'DCA Underwriting Assumptions'!$Q$53</f>
        <v>0</v>
      </c>
      <c r="T186" s="2306"/>
      <c r="U186" s="2307"/>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100"/>
      <c r="JR186" s="10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398">
        <v>0</v>
      </c>
      <c r="G187" s="2399"/>
      <c r="H187" s="1"/>
      <c r="I187" s="1"/>
      <c r="J187" s="12" t="s">
        <v>197</v>
      </c>
      <c r="K187" s="1541">
        <f>SUM(K182:K186)</f>
        <v>29472</v>
      </c>
      <c r="L187" s="1542"/>
      <c r="M187" s="1"/>
      <c r="N187" s="582" t="s">
        <v>4006</v>
      </c>
      <c r="O187" s="1303" t="str">
        <f>CONCATENATE(SUM(JG48:JK48)," units x $",'DCA Underwriting Assumptions'!$Q$54," =")</f>
        <v>96 units x $250 =</v>
      </c>
      <c r="P187" s="943">
        <f>SUM(JG48:JK48)*'DCA Underwriting Assumptions'!$Q$54</f>
        <v>24000</v>
      </c>
      <c r="T187" s="2306"/>
      <c r="U187" s="2307"/>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100"/>
      <c r="JR187" s="10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398">
        <v>9684</v>
      </c>
      <c r="G188" s="2399"/>
      <c r="H188" s="1"/>
      <c r="I188" s="1"/>
      <c r="J188" s="13"/>
      <c r="K188" s="1"/>
      <c r="L188" s="1"/>
      <c r="M188" s="1"/>
      <c r="N188" s="944" t="s">
        <v>4010</v>
      </c>
      <c r="O188" s="1303" t="str">
        <f>CONCATENATE(SUM(JL48:JP48)," units x $",'DCA Underwriting Assumptions'!$Q$55," =")</f>
        <v>0 units x $420 =</v>
      </c>
      <c r="P188" s="943">
        <f>SUM(JL48:JP48)*'DCA Underwriting Assumptions'!$Q$55</f>
        <v>0</v>
      </c>
      <c r="T188" s="2306"/>
      <c r="U188" s="2307"/>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100"/>
      <c r="JR188" s="10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93" t="s">
        <v>4477</v>
      </c>
      <c r="C189" s="2394"/>
      <c r="D189" s="2394"/>
      <c r="E189" s="2395"/>
      <c r="F189" s="2404">
        <v>4812</v>
      </c>
      <c r="G189" s="2405"/>
      <c r="H189" s="1"/>
      <c r="I189" s="1"/>
      <c r="J189" s="13"/>
      <c r="K189" s="1"/>
      <c r="L189" s="1"/>
      <c r="M189" s="1"/>
      <c r="N189" s="944" t="s">
        <v>4005</v>
      </c>
      <c r="O189" s="1303" t="str">
        <f>CONCATENATE(M84," units x $",'DCA Underwriting Assumptions'!$Q$55," =")</f>
        <v>0 units x $420 =</v>
      </c>
      <c r="P189" s="943">
        <f>M84*'DCA Underwriting Assumptions'!$Q$55</f>
        <v>0</v>
      </c>
      <c r="T189" s="2306"/>
      <c r="U189" s="2307"/>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100"/>
      <c r="JR189" s="10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43">
        <f>SUM(F182:G189)</f>
        <v>90196</v>
      </c>
      <c r="G190" s="1544"/>
      <c r="H190" s="1"/>
      <c r="I190" s="1"/>
      <c r="J190" s="13"/>
      <c r="K190" s="1"/>
      <c r="L190" s="1"/>
      <c r="M190" s="1"/>
      <c r="N190" s="945" t="s">
        <v>2890</v>
      </c>
      <c r="O190" s="946">
        <f>SUM(JB48:JF48)+SUM(JG48:JK48)+SUM(JL48:JP48)+M84</f>
        <v>96</v>
      </c>
      <c r="P190" s="947">
        <f>SUM(P186:P189)</f>
        <v>24000</v>
      </c>
      <c r="T190" s="2309"/>
      <c r="U190" s="2310"/>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100"/>
      <c r="JR190" s="10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100"/>
      <c r="JR191" s="10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448323</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100"/>
      <c r="JR192" s="10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100"/>
      <c r="JR193" s="10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1938</v>
      </c>
    </row>
    <row r="195" spans="1:295" ht="145.5" customHeight="1">
      <c r="A195" s="2147" t="s">
        <v>4541</v>
      </c>
      <c r="B195" s="2148"/>
      <c r="C195" s="2148"/>
      <c r="D195" s="2148"/>
      <c r="E195" s="2148"/>
      <c r="F195" s="2148"/>
      <c r="G195" s="2148"/>
      <c r="H195" s="2148"/>
      <c r="I195" s="2148"/>
      <c r="J195" s="2149"/>
      <c r="K195" s="2150"/>
      <c r="L195" s="2151"/>
      <c r="M195" s="2151"/>
      <c r="N195" s="2151"/>
      <c r="O195" s="2151"/>
      <c r="P195" s="2152"/>
      <c r="T195" s="1407" t="s">
        <v>2854</v>
      </c>
      <c r="U195" s="1407"/>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100"/>
      <c r="JR200" s="10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100"/>
      <c r="JR201" s="10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100"/>
      <c r="JR202" s="10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100"/>
      <c r="JR203" s="10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100"/>
      <c r="JR204" s="10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100"/>
      <c r="JR205" s="10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100"/>
      <c r="JR206" s="10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100"/>
      <c r="JR211" s="10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100"/>
      <c r="JR212" s="10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100"/>
      <c r="JR213" s="10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100"/>
      <c r="JR214" s="10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100"/>
      <c r="JR215" s="10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100"/>
      <c r="JR223" s="10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100"/>
      <c r="JR224" s="10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100"/>
      <c r="JR225" s="10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100"/>
      <c r="JR226" s="10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100"/>
      <c r="JR227" s="10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iRt2Iayw40MJf0D4NRtKYFKdJ/x8rJzviLbm/aX85VT02zTyCoK8WzUVAvVstMMKgOrDOTsFJO/+BczADMn3mw==" saltValue="YyO50ByR2OIpQMMcyqNdnw=="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9"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2015-009 The Cove at York, Centerville, Houston County</v>
      </c>
      <c r="B1" s="2413"/>
      <c r="C1" s="2413"/>
      <c r="D1" s="2413"/>
      <c r="E1" s="2413"/>
      <c r="F1" s="2413"/>
      <c r="G1" s="2413"/>
      <c r="H1" s="2413"/>
      <c r="I1" s="2413"/>
      <c r="J1" s="2413"/>
      <c r="K1" s="1657"/>
      <c r="L1" s="10"/>
      <c r="M1" s="1554" t="str">
        <f>A1</f>
        <v>PART SEVEN - OPERATING PRO FORMA  -  2015-009 The Cove at York, Centerville, Houston County</v>
      </c>
      <c r="N1" s="1554"/>
      <c r="O1" s="10"/>
    </row>
    <row r="2" spans="1:15" ht="13.5" customHeight="1">
      <c r="A2" s="577"/>
      <c r="B2" s="2049" t="s">
        <v>4387</v>
      </c>
      <c r="C2" s="2050"/>
      <c r="D2" s="2051"/>
      <c r="E2" s="577"/>
      <c r="F2" s="577"/>
      <c r="G2" s="577"/>
      <c r="H2" s="577"/>
      <c r="I2" s="577"/>
      <c r="J2" s="577"/>
      <c r="K2" s="577"/>
      <c r="M2" s="1555" t="s">
        <v>1938</v>
      </c>
      <c r="N2" s="1555"/>
    </row>
    <row r="3" spans="1:15" ht="13.5">
      <c r="A3" s="14" t="s">
        <v>92</v>
      </c>
      <c r="D3" s="14" t="s">
        <v>82</v>
      </c>
      <c r="E3" s="240"/>
      <c r="F3" s="1325" t="s">
        <v>1095</v>
      </c>
      <c r="M3" s="14" t="str">
        <f>A3</f>
        <v>I.  OPERATING ASSUMPTIONS</v>
      </c>
      <c r="N3" s="30"/>
    </row>
    <row r="4" spans="1:15" ht="2.4500000000000002" customHeight="1">
      <c r="A4" s="17"/>
      <c r="B4" s="17"/>
      <c r="C4" s="17"/>
      <c r="H4" s="17"/>
      <c r="I4" s="17"/>
    </row>
    <row r="5" spans="1:15" ht="13.5" customHeight="1">
      <c r="A5" s="17" t="s">
        <v>2291</v>
      </c>
      <c r="B5" s="81">
        <v>0.02</v>
      </c>
      <c r="C5" s="17"/>
      <c r="D5" s="1557" t="s">
        <v>4221</v>
      </c>
      <c r="E5" s="1557"/>
      <c r="F5" s="1557"/>
      <c r="G5" s="2414">
        <v>4500</v>
      </c>
      <c r="H5" s="102" t="s">
        <v>2004</v>
      </c>
      <c r="K5" s="107">
        <f>IF(($B$14+$B$15+$B$16+$B$17)=0,"",B28/($B$14+$B$15+$B$16+$B$17))</f>
        <v>-7.5615803001112579E-3</v>
      </c>
      <c r="M5" s="2304"/>
      <c r="N5" s="2305"/>
    </row>
    <row r="6" spans="1:15">
      <c r="A6" s="17" t="s">
        <v>2292</v>
      </c>
      <c r="B6" s="81">
        <v>0.03</v>
      </c>
      <c r="C6" s="17"/>
      <c r="D6" s="1557"/>
      <c r="E6" s="1557"/>
      <c r="F6" s="1557"/>
      <c r="G6" s="17"/>
      <c r="H6" s="17"/>
      <c r="I6" s="17"/>
      <c r="J6" s="17"/>
      <c r="K6" s="17"/>
      <c r="M6" s="2306"/>
      <c r="N6" s="2307"/>
    </row>
    <row r="7" spans="1:15">
      <c r="A7" s="17" t="s">
        <v>2294</v>
      </c>
      <c r="B7" s="81">
        <v>0.03</v>
      </c>
      <c r="C7" s="17"/>
      <c r="D7" s="83" t="s">
        <v>282</v>
      </c>
      <c r="G7" s="85"/>
      <c r="H7" s="102" t="s">
        <v>2488</v>
      </c>
      <c r="K7" s="107">
        <f>IF(($B$14+$B$15+$B$16+$B$17)=0,"",-B20/($B$14+$B$15+$B$16+$B$17))</f>
        <v>8.9999609083101992E-2</v>
      </c>
      <c r="M7" s="2306"/>
      <c r="N7" s="2307"/>
    </row>
    <row r="8" spans="1:15" ht="13.15" customHeight="1">
      <c r="A8" s="17" t="s">
        <v>2293</v>
      </c>
      <c r="B8" s="2415">
        <v>7.0000000000000007E-2</v>
      </c>
      <c r="C8" s="17"/>
      <c r="D8" s="82" t="s">
        <v>2632</v>
      </c>
      <c r="G8" s="2416"/>
      <c r="H8" s="181" t="s">
        <v>1518</v>
      </c>
      <c r="K8" s="2417"/>
      <c r="M8" s="2306"/>
      <c r="N8" s="2307"/>
    </row>
    <row r="9" spans="1:15">
      <c r="A9" s="17" t="s">
        <v>1489</v>
      </c>
      <c r="B9" s="81">
        <v>0.02</v>
      </c>
      <c r="D9" s="82" t="s">
        <v>1805</v>
      </c>
      <c r="G9" s="2416" t="s">
        <v>3422</v>
      </c>
      <c r="H9" s="181" t="s">
        <v>2468</v>
      </c>
      <c r="K9" s="2418">
        <v>0.09</v>
      </c>
      <c r="M9" s="2309"/>
      <c r="N9" s="2310"/>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397" t="s">
        <v>2752</v>
      </c>
      <c r="N13" s="1397"/>
    </row>
    <row r="14" spans="1:15" ht="13.15" customHeight="1">
      <c r="A14" s="19" t="s">
        <v>2522</v>
      </c>
      <c r="B14" s="20">
        <f>'Part VI-Revenues &amp; Expenses'!L49</f>
        <v>627360</v>
      </c>
      <c r="C14" s="20">
        <f t="shared" ref="C14:K14" si="1">$B$14*(1+$B$5)^(C13-1)</f>
        <v>639907.19999999995</v>
      </c>
      <c r="D14" s="20">
        <f t="shared" si="1"/>
        <v>652705.34400000004</v>
      </c>
      <c r="E14" s="20">
        <f t="shared" si="1"/>
        <v>665759.4508799999</v>
      </c>
      <c r="F14" s="20">
        <f t="shared" si="1"/>
        <v>679074.63989759993</v>
      </c>
      <c r="G14" s="20">
        <f t="shared" si="1"/>
        <v>692656.13269555196</v>
      </c>
      <c r="H14" s="20">
        <f t="shared" si="1"/>
        <v>706509.25534946308</v>
      </c>
      <c r="I14" s="20">
        <f t="shared" si="1"/>
        <v>720639.4404564522</v>
      </c>
      <c r="J14" s="20">
        <f t="shared" si="1"/>
        <v>735052.22926558135</v>
      </c>
      <c r="K14" s="21">
        <f t="shared" si="1"/>
        <v>749753.2738508929</v>
      </c>
      <c r="M14" s="2304"/>
      <c r="N14" s="2305"/>
    </row>
    <row r="15" spans="1:15" ht="13.15" customHeight="1">
      <c r="A15" s="22" t="s">
        <v>1066</v>
      </c>
      <c r="B15" s="23">
        <f>MIN(B14*B9,'Part VI-Revenues &amp; Expenses'!H124)</f>
        <v>12547.2</v>
      </c>
      <c r="C15" s="23">
        <f t="shared" ref="C15:K15" si="2">$B$15*(1+$B$5)^(C13-1)</f>
        <v>12798.144</v>
      </c>
      <c r="D15" s="23">
        <f t="shared" si="2"/>
        <v>13054.106880000001</v>
      </c>
      <c r="E15" s="23">
        <f t="shared" si="2"/>
        <v>13315.1890176</v>
      </c>
      <c r="F15" s="23">
        <f t="shared" si="2"/>
        <v>13581.492797952</v>
      </c>
      <c r="G15" s="23">
        <f t="shared" si="2"/>
        <v>13853.122653911041</v>
      </c>
      <c r="H15" s="23">
        <f t="shared" si="2"/>
        <v>14130.185106989262</v>
      </c>
      <c r="I15" s="23">
        <f t="shared" si="2"/>
        <v>14412.788809129044</v>
      </c>
      <c r="J15" s="23">
        <f t="shared" si="2"/>
        <v>14701.044585311627</v>
      </c>
      <c r="K15" s="24">
        <f t="shared" si="2"/>
        <v>14995.065477017859</v>
      </c>
      <c r="M15" s="2306"/>
      <c r="N15" s="2307"/>
    </row>
    <row r="16" spans="1:15" ht="13.15" customHeight="1">
      <c r="A16" s="22" t="s">
        <v>2523</v>
      </c>
      <c r="B16" s="23">
        <f t="shared" ref="B16:K16" si="3">-(B14+B15)*$B$8</f>
        <v>-44793.504000000001</v>
      </c>
      <c r="C16" s="23">
        <f t="shared" si="3"/>
        <v>-45689.374080000001</v>
      </c>
      <c r="D16" s="23">
        <f t="shared" si="3"/>
        <v>-46603.161561600005</v>
      </c>
      <c r="E16" s="23">
        <f t="shared" si="3"/>
        <v>-47535.224792831999</v>
      </c>
      <c r="F16" s="23">
        <f t="shared" si="3"/>
        <v>-48485.92928868864</v>
      </c>
      <c r="G16" s="23">
        <f t="shared" si="3"/>
        <v>-49455.647874462411</v>
      </c>
      <c r="H16" s="23">
        <f t="shared" si="3"/>
        <v>-50444.760831951666</v>
      </c>
      <c r="I16" s="23">
        <f t="shared" si="3"/>
        <v>-51453.656048590688</v>
      </c>
      <c r="J16" s="23">
        <f t="shared" si="3"/>
        <v>-52482.729169562517</v>
      </c>
      <c r="K16" s="24">
        <f t="shared" si="3"/>
        <v>-53532.383752953763</v>
      </c>
      <c r="M16" s="2306"/>
      <c r="N16" s="2307"/>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06"/>
      <c r="N17" s="2307"/>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06"/>
      <c r="N18" s="2307"/>
    </row>
    <row r="19" spans="1:14" ht="13.15" customHeight="1">
      <c r="A19" s="22" t="s">
        <v>645</v>
      </c>
      <c r="B19" s="23">
        <f>-('Part VI-Revenues &amp; Expenses'!P178-'Part VI-Revenues &amp; Expenses'!P172)</f>
        <v>-370763</v>
      </c>
      <c r="C19" s="23">
        <f t="shared" ref="C19:K19" si="4">$B$19*(1+$B$6)^(C13-1)</f>
        <v>-381885.89</v>
      </c>
      <c r="D19" s="23">
        <f t="shared" si="4"/>
        <v>-393342.46669999999</v>
      </c>
      <c r="E19" s="23">
        <f t="shared" si="4"/>
        <v>-405142.74070099997</v>
      </c>
      <c r="F19" s="23">
        <f t="shared" si="4"/>
        <v>-417297.02292202995</v>
      </c>
      <c r="G19" s="23">
        <f t="shared" si="4"/>
        <v>-429815.93360969087</v>
      </c>
      <c r="H19" s="23">
        <f t="shared" si="4"/>
        <v>-442710.41161798162</v>
      </c>
      <c r="I19" s="23">
        <f t="shared" si="4"/>
        <v>-455991.72396652109</v>
      </c>
      <c r="J19" s="23">
        <f t="shared" si="4"/>
        <v>-469671.47568551666</v>
      </c>
      <c r="K19" s="24">
        <f t="shared" si="4"/>
        <v>-483761.61995608214</v>
      </c>
      <c r="M19" s="2306"/>
      <c r="N19" s="2307"/>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-53560</v>
      </c>
      <c r="C20" s="23">
        <f>IF(AND('Part VII-Pro Forma'!$G$8="Yes",'Part VII-Pro Forma'!$G$9="Yes"),"Choose One!",IF('Part VII-Pro Forma'!$G$8="Yes",ROUND((-$K$8*(1+'Part VII-Pro Forma'!$B$6)^('Part VII-Pro Forma'!C13-1)),),IF('Part VII-Pro Forma'!$G$9="Yes",ROUND((-(SUM(C14:C17)*'Part VII-Pro Forma'!$K$9)),),"Choose mgt fee")))</f>
        <v>-54631</v>
      </c>
      <c r="D20" s="23">
        <f>IF(AND('Part VII-Pro Forma'!$G$8="Yes",'Part VII-Pro Forma'!$G$9="Yes"),"Choose One!",IF('Part VII-Pro Forma'!$G$8="Yes",ROUND((-$K$8*(1+'Part VII-Pro Forma'!$B$6)^('Part VII-Pro Forma'!D13-1)),),IF('Part VII-Pro Forma'!$G$9="Yes",ROUND((-(SUM(D14:D17)*'Part VII-Pro Forma'!$K$9)),),"Choose mgt fee")))</f>
        <v>-55724</v>
      </c>
      <c r="E20" s="23">
        <f>IF(AND('Part VII-Pro Forma'!$G$8="Yes",'Part VII-Pro Forma'!$G$9="Yes"),"Choose One!",IF('Part VII-Pro Forma'!$G$8="Yes",ROUND((-$K$8*(1+'Part VII-Pro Forma'!$B$6)^('Part VII-Pro Forma'!E13-1)),),IF('Part VII-Pro Forma'!$G$9="Yes",ROUND((-(SUM(E14:E17)*'Part VII-Pro Forma'!$K$9)),),"Choose mgt fee")))</f>
        <v>-56839</v>
      </c>
      <c r="F20" s="23">
        <f>IF(AND('Part VII-Pro Forma'!$G$8="Yes",'Part VII-Pro Forma'!$G$9="Yes"),"Choose One!",IF('Part VII-Pro Forma'!$G$8="Yes",ROUND((-$K$8*(1+'Part VII-Pro Forma'!$B$6)^('Part VII-Pro Forma'!F13-1)),),IF('Part VII-Pro Forma'!$G$9="Yes",ROUND((-(SUM(F14:F17)*'Part VII-Pro Forma'!$K$9)),),"Choose mgt fee")))</f>
        <v>-57975</v>
      </c>
      <c r="G20" s="23">
        <f>IF(AND('Part VII-Pro Forma'!$G$8="Yes",'Part VII-Pro Forma'!$G$9="Yes"),"Choose One!",IF('Part VII-Pro Forma'!$G$8="Yes",ROUND((-$K$8*(1+'Part VII-Pro Forma'!$B$6)^('Part VII-Pro Forma'!G13-1)),),IF('Part VII-Pro Forma'!$G$9="Yes",ROUND((-(SUM(G14:G17)*'Part VII-Pro Forma'!$K$9)),),"Choose mgt fee")))</f>
        <v>-59135</v>
      </c>
      <c r="H20" s="23">
        <f>IF(AND('Part VII-Pro Forma'!$G$8="Yes",'Part VII-Pro Forma'!$G$9="Yes"),"Choose One!",IF('Part VII-Pro Forma'!$G$8="Yes",ROUND((-$K$8*(1+'Part VII-Pro Forma'!$B$6)^('Part VII-Pro Forma'!H13-1)),),IF('Part VII-Pro Forma'!$G$9="Yes",ROUND((-(SUM(H14:H17)*'Part VII-Pro Forma'!$K$9)),),"Choose mgt fee")))</f>
        <v>-60318</v>
      </c>
      <c r="I20" s="23">
        <f>IF(AND('Part VII-Pro Forma'!$G$8="Yes",'Part VII-Pro Forma'!$G$9="Yes"),"Choose One!",IF('Part VII-Pro Forma'!$G$8="Yes",ROUND((-$K$8*(1+'Part VII-Pro Forma'!$B$6)^('Part VII-Pro Forma'!I13-1)),),IF('Part VII-Pro Forma'!$G$9="Yes",ROUND((-(SUM(I14:I17)*'Part VII-Pro Forma'!$K$9)),),"Choose mgt fee")))</f>
        <v>-61524</v>
      </c>
      <c r="J20" s="23">
        <f>IF(AND('Part VII-Pro Forma'!$G$8="Yes",'Part VII-Pro Forma'!$G$9="Yes"),"Choose One!",IF('Part VII-Pro Forma'!$G$8="Yes",ROUND((-$K$8*(1+'Part VII-Pro Forma'!$B$6)^('Part VII-Pro Forma'!J13-1)),),IF('Part VII-Pro Forma'!$G$9="Yes",ROUND((-(SUM(J14:J17)*'Part VII-Pro Forma'!$K$9)),),"Choose mgt fee")))</f>
        <v>-62754</v>
      </c>
      <c r="K20" s="23">
        <f>IF(AND('Part VII-Pro Forma'!$G$8="Yes",'Part VII-Pro Forma'!$G$9="Yes"),"Choose One!",IF('Part VII-Pro Forma'!$G$8="Yes",ROUND((-$K$8*(1+'Part VII-Pro Forma'!$B$6)^('Part VII-Pro Forma'!K13-1)),),IF('Part VII-Pro Forma'!$G$9="Yes",ROUND((-(SUM(K14:K17)*'Part VII-Pro Forma'!$K$9)),),"Choose mgt fee")))</f>
        <v>-64009</v>
      </c>
      <c r="M20" s="2306"/>
      <c r="N20" s="2307"/>
    </row>
    <row r="21" spans="1:14" ht="13.15" customHeight="1">
      <c r="A21" s="22" t="s">
        <v>1260</v>
      </c>
      <c r="B21" s="23">
        <f>-('Part VI-Revenues &amp; Expenses'!P181)</f>
        <v>-24000</v>
      </c>
      <c r="C21" s="23">
        <f t="shared" ref="C21:K21" si="5">$B$21*(1+$B$7)^(C13-1)</f>
        <v>-24720</v>
      </c>
      <c r="D21" s="23">
        <f t="shared" si="5"/>
        <v>-25461.599999999999</v>
      </c>
      <c r="E21" s="23">
        <f t="shared" si="5"/>
        <v>-26225.448</v>
      </c>
      <c r="F21" s="23">
        <f t="shared" si="5"/>
        <v>-27012.211439999999</v>
      </c>
      <c r="G21" s="23">
        <f t="shared" si="5"/>
        <v>-27822.577783199995</v>
      </c>
      <c r="H21" s="23">
        <f t="shared" si="5"/>
        <v>-28657.255116695997</v>
      </c>
      <c r="I21" s="23">
        <f t="shared" si="5"/>
        <v>-29516.97277019688</v>
      </c>
      <c r="J21" s="23">
        <f t="shared" si="5"/>
        <v>-30402.481953302784</v>
      </c>
      <c r="K21" s="24">
        <f t="shared" si="5"/>
        <v>-31314.556411901867</v>
      </c>
      <c r="M21" s="2306"/>
      <c r="N21" s="2307"/>
    </row>
    <row r="22" spans="1:14" ht="13.15" customHeight="1">
      <c r="A22" s="22" t="s">
        <v>1261</v>
      </c>
      <c r="B22" s="23">
        <f t="shared" ref="B22:K22" si="6">SUM(B14:B21)</f>
        <v>146790.696</v>
      </c>
      <c r="C22" s="23">
        <f t="shared" si="6"/>
        <v>145779.07991999993</v>
      </c>
      <c r="D22" s="23">
        <f t="shared" si="6"/>
        <v>144628.22261839997</v>
      </c>
      <c r="E22" s="23">
        <f t="shared" si="6"/>
        <v>143332.22640376791</v>
      </c>
      <c r="F22" s="23">
        <f t="shared" si="6"/>
        <v>141885.96904483344</v>
      </c>
      <c r="G22" s="23">
        <f t="shared" si="6"/>
        <v>140280.0960821097</v>
      </c>
      <c r="H22" s="23">
        <f t="shared" si="6"/>
        <v>138509.01288982306</v>
      </c>
      <c r="I22" s="23">
        <f t="shared" si="6"/>
        <v>136565.87648027259</v>
      </c>
      <c r="J22" s="23">
        <f t="shared" si="6"/>
        <v>134442.587042511</v>
      </c>
      <c r="K22" s="24">
        <f t="shared" si="6"/>
        <v>132130.77920697306</v>
      </c>
      <c r="M22" s="2306"/>
      <c r="N22" s="2307"/>
    </row>
    <row r="23" spans="1:14" ht="13.15" customHeight="1">
      <c r="A23" s="473" t="s">
        <v>1668</v>
      </c>
      <c r="B23" s="2419">
        <f>IF('Part III-Sources of Funds'!$N$36="", 0,-'Part III-Sources of Funds'!$N$36)</f>
        <v>-104913.30853804009</v>
      </c>
      <c r="C23" s="2419">
        <f>IF('Part III-Sources of Funds'!$N$36="", 0,-'Part III-Sources of Funds'!$N$36)</f>
        <v>-104913.30853804009</v>
      </c>
      <c r="D23" s="2419">
        <f>IF('Part III-Sources of Funds'!$N$36="", 0,-'Part III-Sources of Funds'!$N$36)</f>
        <v>-104913.30853804009</v>
      </c>
      <c r="E23" s="2419">
        <f>IF('Part III-Sources of Funds'!$N$36="", 0,-'Part III-Sources of Funds'!$N$36)</f>
        <v>-104913.30853804009</v>
      </c>
      <c r="F23" s="2419">
        <f>IF('Part III-Sources of Funds'!$N$36="", 0,-'Part III-Sources of Funds'!$N$36)</f>
        <v>-104913.30853804009</v>
      </c>
      <c r="G23" s="2419">
        <f>IF('Part III-Sources of Funds'!$N$36="", 0,-'Part III-Sources of Funds'!$N$36)</f>
        <v>-104913.30853804009</v>
      </c>
      <c r="H23" s="2419">
        <f>IF('Part III-Sources of Funds'!$N$36="", 0,-'Part III-Sources of Funds'!$N$36)</f>
        <v>-104913.30853804009</v>
      </c>
      <c r="I23" s="2419">
        <f>IF('Part III-Sources of Funds'!$N$36="", 0,-'Part III-Sources of Funds'!$N$36)</f>
        <v>-104913.30853804009</v>
      </c>
      <c r="J23" s="2419">
        <f>IF('Part III-Sources of Funds'!$N$36="", 0,-'Part III-Sources of Funds'!$N$36)</f>
        <v>-104913.30853804009</v>
      </c>
      <c r="K23" s="2419">
        <f>IF('Part III-Sources of Funds'!$N$36="", 0,-'Part III-Sources of Funds'!$N$36)</f>
        <v>-104913.30853804009</v>
      </c>
      <c r="M23" s="2306"/>
      <c r="N23" s="2307"/>
    </row>
    <row r="24" spans="1:14" ht="13.15" customHeight="1">
      <c r="A24" s="473" t="s">
        <v>1669</v>
      </c>
      <c r="B24" s="2420">
        <f>IF('Part III-Sources of Funds'!$N$37="", 0,-'Part III-Sources of Funds'!$N$37)</f>
        <v>0</v>
      </c>
      <c r="C24" s="2420">
        <f>IF('Part III-Sources of Funds'!$N$37="", 0,-'Part III-Sources of Funds'!$N$37)</f>
        <v>0</v>
      </c>
      <c r="D24" s="2420">
        <f>IF('Part III-Sources of Funds'!$N$37="", 0,-'Part III-Sources of Funds'!$N$37)</f>
        <v>0</v>
      </c>
      <c r="E24" s="2420">
        <f>IF('Part III-Sources of Funds'!$N$37="", 0,-'Part III-Sources of Funds'!$N$37)</f>
        <v>0</v>
      </c>
      <c r="F24" s="2420">
        <f>IF('Part III-Sources of Funds'!$N$37="", 0,-'Part III-Sources of Funds'!$N$37)</f>
        <v>0</v>
      </c>
      <c r="G24" s="2420">
        <f>IF('Part III-Sources of Funds'!$N$37="", 0,-'Part III-Sources of Funds'!$N$37)</f>
        <v>0</v>
      </c>
      <c r="H24" s="2420">
        <f>IF('Part III-Sources of Funds'!$N$37="", 0,-'Part III-Sources of Funds'!$N$37)</f>
        <v>0</v>
      </c>
      <c r="I24" s="2420">
        <f>IF('Part III-Sources of Funds'!$N$37="", 0,-'Part III-Sources of Funds'!$N$37)</f>
        <v>0</v>
      </c>
      <c r="J24" s="2420">
        <f>IF('Part III-Sources of Funds'!$N$37="", 0,-'Part III-Sources of Funds'!$N$37)</f>
        <v>0</v>
      </c>
      <c r="K24" s="2420">
        <f>IF('Part III-Sources of Funds'!$N$37="", 0,-'Part III-Sources of Funds'!$N$37)</f>
        <v>0</v>
      </c>
      <c r="M24" s="2306"/>
      <c r="N24" s="2307"/>
    </row>
    <row r="25" spans="1:14" ht="13.15" customHeight="1">
      <c r="A25" s="473" t="s">
        <v>1670</v>
      </c>
      <c r="B25" s="2420">
        <f>IF('Part III-Sources of Funds'!$N$38="", 0,-'Part III-Sources of Funds'!$N$38)</f>
        <v>0</v>
      </c>
      <c r="C25" s="2420">
        <f>IF('Part III-Sources of Funds'!$N$38="", 0,-'Part III-Sources of Funds'!$N$38)</f>
        <v>0</v>
      </c>
      <c r="D25" s="2420">
        <f>IF('Part III-Sources of Funds'!$N$38="", 0,-'Part III-Sources of Funds'!$N$38)</f>
        <v>0</v>
      </c>
      <c r="E25" s="2420">
        <f>IF('Part III-Sources of Funds'!$N$38="", 0,-'Part III-Sources of Funds'!$N$38)</f>
        <v>0</v>
      </c>
      <c r="F25" s="2420">
        <f>IF('Part III-Sources of Funds'!$N$38="", 0,-'Part III-Sources of Funds'!$N$38)</f>
        <v>0</v>
      </c>
      <c r="G25" s="2420">
        <f>IF('Part III-Sources of Funds'!$N$38="", 0,-'Part III-Sources of Funds'!$N$38)</f>
        <v>0</v>
      </c>
      <c r="H25" s="2420">
        <f>IF('Part III-Sources of Funds'!$N$38="", 0,-'Part III-Sources of Funds'!$N$38)</f>
        <v>0</v>
      </c>
      <c r="I25" s="2420">
        <f>IF('Part III-Sources of Funds'!$N$38="", 0,-'Part III-Sources of Funds'!$N$38)</f>
        <v>0</v>
      </c>
      <c r="J25" s="2420">
        <f>IF('Part III-Sources of Funds'!$N$38="", 0,-'Part III-Sources of Funds'!$N$38)</f>
        <v>0</v>
      </c>
      <c r="K25" s="2420">
        <f>IF('Part III-Sources of Funds'!$N$38="", 0,-'Part III-Sources of Funds'!$N$38)</f>
        <v>0</v>
      </c>
      <c r="M25" s="2306"/>
      <c r="N25" s="2307"/>
    </row>
    <row r="26" spans="1:14" ht="13.15" customHeight="1">
      <c r="A26" s="22" t="s">
        <v>824</v>
      </c>
      <c r="B26" s="2420">
        <f>IF('Part III-Sources of Funds'!$N$39="", 0,-'Part III-Sources of Funds'!$N$39)</f>
        <v>0</v>
      </c>
      <c r="C26" s="2420">
        <f>IF('Part III-Sources of Funds'!$N$39="", 0,-'Part III-Sources of Funds'!$N$39)</f>
        <v>0</v>
      </c>
      <c r="D26" s="2420">
        <f>IF('Part III-Sources of Funds'!$N$39="", 0,-'Part III-Sources of Funds'!$N$39)</f>
        <v>0</v>
      </c>
      <c r="E26" s="2420">
        <f>IF('Part III-Sources of Funds'!$N$39="", 0,-'Part III-Sources of Funds'!$N$39)</f>
        <v>0</v>
      </c>
      <c r="F26" s="2420">
        <f>IF('Part III-Sources of Funds'!$N$39="", 0,-'Part III-Sources of Funds'!$N$39)</f>
        <v>0</v>
      </c>
      <c r="G26" s="2420">
        <f>IF('Part III-Sources of Funds'!$N$39="", 0,-'Part III-Sources of Funds'!$N$39)</f>
        <v>0</v>
      </c>
      <c r="H26" s="2420">
        <f>IF('Part III-Sources of Funds'!$N$39="", 0,-'Part III-Sources of Funds'!$N$39)</f>
        <v>0</v>
      </c>
      <c r="I26" s="2420">
        <f>IF('Part III-Sources of Funds'!$N$39="", 0,-'Part III-Sources of Funds'!$N$39)</f>
        <v>0</v>
      </c>
      <c r="J26" s="2420">
        <f>IF('Part III-Sources of Funds'!$N$39="", 0,-'Part III-Sources of Funds'!$N$39)</f>
        <v>0</v>
      </c>
      <c r="K26" s="2420">
        <f>IF('Part III-Sources of Funds'!$N$39="", 0,-'Part III-Sources of Funds'!$N$39)</f>
        <v>0</v>
      </c>
      <c r="M26" s="2306"/>
      <c r="N26" s="2307"/>
    </row>
    <row r="27" spans="1:14" ht="13.15" customHeight="1">
      <c r="A27" s="22" t="s">
        <v>804</v>
      </c>
      <c r="B27" s="2421"/>
      <c r="C27" s="2421"/>
      <c r="D27" s="2421"/>
      <c r="E27" s="2421"/>
      <c r="F27" s="2421"/>
      <c r="G27" s="2421"/>
      <c r="H27" s="2421"/>
      <c r="I27" s="2421"/>
      <c r="J27" s="2421"/>
      <c r="K27" s="2421"/>
      <c r="M27" s="2306"/>
      <c r="N27" s="2307"/>
    </row>
    <row r="28" spans="1:14" ht="13.15" customHeight="1">
      <c r="A28" s="22" t="s">
        <v>1219</v>
      </c>
      <c r="B28" s="2420">
        <f>-$G$5</f>
        <v>-4500</v>
      </c>
      <c r="C28" s="2420">
        <f>+B28</f>
        <v>-4500</v>
      </c>
      <c r="D28" s="2420">
        <f t="shared" ref="D28:K28" si="7">+C28</f>
        <v>-4500</v>
      </c>
      <c r="E28" s="2420">
        <f t="shared" si="7"/>
        <v>-4500</v>
      </c>
      <c r="F28" s="2420">
        <f t="shared" si="7"/>
        <v>-4500</v>
      </c>
      <c r="G28" s="2420">
        <f t="shared" si="7"/>
        <v>-4500</v>
      </c>
      <c r="H28" s="2420">
        <f t="shared" si="7"/>
        <v>-4500</v>
      </c>
      <c r="I28" s="2420">
        <f t="shared" si="7"/>
        <v>-4500</v>
      </c>
      <c r="J28" s="2420">
        <f t="shared" si="7"/>
        <v>-4500</v>
      </c>
      <c r="K28" s="2420">
        <f t="shared" si="7"/>
        <v>-4500</v>
      </c>
      <c r="M28" s="2306"/>
      <c r="N28" s="2307"/>
    </row>
    <row r="29" spans="1:14" ht="13.15" customHeight="1">
      <c r="A29" s="22" t="s">
        <v>1262</v>
      </c>
      <c r="B29" s="2422">
        <f>IF('Part III-Sources of Funds'!$N$41="", 0,-'Part III-Sources of Funds'!$N$41)</f>
        <v>0</v>
      </c>
      <c r="C29" s="2422">
        <f>IF('Part III-Sources of Funds'!$N$41="", 0,-'Part III-Sources of Funds'!$N$41)</f>
        <v>0</v>
      </c>
      <c r="D29" s="2422">
        <f>IF('Part III-Sources of Funds'!$N$41="", 0,-'Part III-Sources of Funds'!$N$41)</f>
        <v>0</v>
      </c>
      <c r="E29" s="2422">
        <f>IF('Part III-Sources of Funds'!$N$41="", 0,-'Part III-Sources of Funds'!$N$41)</f>
        <v>0</v>
      </c>
      <c r="F29" s="2422">
        <f>IF('Part III-Sources of Funds'!$N$41="", 0,-'Part III-Sources of Funds'!$N$41)</f>
        <v>0</v>
      </c>
      <c r="G29" s="2422">
        <f>IF('Part III-Sources of Funds'!$N$41="", 0,-'Part III-Sources of Funds'!$N$41)</f>
        <v>0</v>
      </c>
      <c r="H29" s="2422">
        <f>IF('Part III-Sources of Funds'!$N$41="", 0,-'Part III-Sources of Funds'!$N$41)</f>
        <v>0</v>
      </c>
      <c r="I29" s="2422">
        <f>IF('Part III-Sources of Funds'!$N$41="", 0,-'Part III-Sources of Funds'!$N$41)</f>
        <v>0</v>
      </c>
      <c r="J29" s="2422">
        <f>IF('Part III-Sources of Funds'!$N$41="", 0,-'Part III-Sources of Funds'!$N$41)</f>
        <v>0</v>
      </c>
      <c r="K29" s="2422">
        <f>IF('Part III-Sources of Funds'!$N$41="", 0,-'Part III-Sources of Funds'!$N$41)</f>
        <v>0</v>
      </c>
      <c r="M29" s="2306"/>
      <c r="N29" s="2307"/>
    </row>
    <row r="30" spans="1:14" ht="13.15" customHeight="1">
      <c r="A30" s="22" t="s">
        <v>1220</v>
      </c>
      <c r="B30" s="23">
        <f t="shared" ref="B30:K30" si="8">SUM(B22:B29)</f>
        <v>37377.387461959908</v>
      </c>
      <c r="C30" s="23">
        <f t="shared" si="8"/>
        <v>36365.771381959843</v>
      </c>
      <c r="D30" s="23">
        <f t="shared" si="8"/>
        <v>35214.914080359886</v>
      </c>
      <c r="E30" s="23">
        <f t="shared" si="8"/>
        <v>33918.917865727824</v>
      </c>
      <c r="F30" s="23">
        <f t="shared" si="8"/>
        <v>32472.660506793356</v>
      </c>
      <c r="G30" s="23">
        <f t="shared" si="8"/>
        <v>30866.787544069608</v>
      </c>
      <c r="H30" s="23">
        <f t="shared" si="8"/>
        <v>29095.704351782973</v>
      </c>
      <c r="I30" s="23">
        <f t="shared" si="8"/>
        <v>27152.567942232505</v>
      </c>
      <c r="J30" s="23">
        <f t="shared" si="8"/>
        <v>25029.278504470916</v>
      </c>
      <c r="K30" s="24">
        <f t="shared" si="8"/>
        <v>22717.470668932976</v>
      </c>
      <c r="M30" s="2306"/>
      <c r="N30" s="2307"/>
    </row>
    <row r="31" spans="1:14" ht="13.15" customHeight="1">
      <c r="A31" s="22" t="str">
        <f>IF('Part III-Sources of Funds'!$E$36 = "Neither", "", "DCR Mortgage A")</f>
        <v>DCR Mortgage A</v>
      </c>
      <c r="B31" s="25">
        <f>IF(B23=0,"",-B22/B23)</f>
        <v>1.399161822704083</v>
      </c>
      <c r="C31" s="25">
        <f t="shared" ref="C31:K31" si="9">IF(C23=0,"",-C22/C23)</f>
        <v>1.3895194227636285</v>
      </c>
      <c r="D31" s="25">
        <f t="shared" si="9"/>
        <v>1.3785498201685233</v>
      </c>
      <c r="E31" s="25">
        <f t="shared" si="9"/>
        <v>1.3661968000160596</v>
      </c>
      <c r="F31" s="25">
        <f t="shared" si="9"/>
        <v>1.3524115388410194</v>
      </c>
      <c r="G31" s="25">
        <f t="shared" si="9"/>
        <v>1.3371048729365551</v>
      </c>
      <c r="H31" s="25">
        <f t="shared" si="9"/>
        <v>1.3202234761245915</v>
      </c>
      <c r="I31" s="25">
        <f t="shared" si="9"/>
        <v>1.301702123241645</v>
      </c>
      <c r="J31" s="25">
        <f t="shared" si="9"/>
        <v>1.2814636094882472</v>
      </c>
      <c r="K31" s="26">
        <f t="shared" si="9"/>
        <v>1.2594281988453764</v>
      </c>
      <c r="M31" s="2306"/>
      <c r="N31" s="2307"/>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306"/>
      <c r="N32" s="2307"/>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306"/>
      <c r="N33" s="2307"/>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306"/>
      <c r="N34" s="2307"/>
    </row>
    <row r="35" spans="1:14" ht="13.15" customHeight="1">
      <c r="A35" s="22" t="s">
        <v>811</v>
      </c>
      <c r="B35" s="296">
        <f>IF(OR(B20="Choose mgt fee",B20="Choose One!"),"",(B14+B15+B16+B17+B18) / -(B19+B20+B21))</f>
        <v>1.3274217383448987</v>
      </c>
      <c r="C35" s="296">
        <f t="shared" ref="C35:K35" si="13">IF(OR(C20="Choose mgt fee",C20="Choose One!"),"",(C14+C15+C16+C17+C18) / -(C19+C20+C21))</f>
        <v>1.3160611891212777</v>
      </c>
      <c r="D35" s="296">
        <f t="shared" si="13"/>
        <v>1.3047832842094775</v>
      </c>
      <c r="E35" s="296">
        <f t="shared" si="13"/>
        <v>1.2935889305217729</v>
      </c>
      <c r="F35" s="296">
        <f t="shared" si="13"/>
        <v>1.2824814305092576</v>
      </c>
      <c r="G35" s="296">
        <f t="shared" si="13"/>
        <v>1.2714537277733222</v>
      </c>
      <c r="H35" s="296">
        <f t="shared" si="13"/>
        <v>1.2605092097751471</v>
      </c>
      <c r="I35" s="296">
        <f t="shared" si="13"/>
        <v>1.249648471279589</v>
      </c>
      <c r="J35" s="296">
        <f t="shared" si="13"/>
        <v>1.2388697740007901</v>
      </c>
      <c r="K35" s="297">
        <f t="shared" si="13"/>
        <v>1.2281715792410641</v>
      </c>
      <c r="M35" s="2306"/>
      <c r="N35" s="2307"/>
    </row>
    <row r="36" spans="1:14" ht="13.15" customHeight="1">
      <c r="A36" s="473" t="s">
        <v>2745</v>
      </c>
      <c r="B36" s="2423">
        <f>IF('Part III-Sources of Funds'!$I$36="","",-FV('Part III-Sources of Funds'!$K$36/12,12,B23/12,'Part III-Sources of Funds'!$I$36))</f>
        <v>728215.72831927647</v>
      </c>
      <c r="C36" s="2423">
        <f>IF('Part III-Sources of Funds'!$I$36="","",-FV('Part III-Sources of Funds'!$K$36/12,12,C23/12,B36))</f>
        <v>665283.42590580042</v>
      </c>
      <c r="D36" s="2423">
        <f>IF('Part III-Sources of Funds'!$I$36="","",-FV('Part III-Sources of Funds'!$K$36/12,12,D23/12,C36))</f>
        <v>598469.59678386629</v>
      </c>
      <c r="E36" s="2423">
        <f>IF('Part III-Sources of Funds'!$I$36="","",-FV('Part III-Sources of Funds'!$K$36/12,12,E23/12,D36))</f>
        <v>527534.83687940286</v>
      </c>
      <c r="F36" s="2423">
        <f>IF('Part III-Sources of Funds'!$I$36="","",-FV('Part III-Sources of Funds'!$K$36/12,12,F23/12,E36))</f>
        <v>452224.97619889869</v>
      </c>
      <c r="G36" s="2423">
        <f>IF('Part III-Sources of Funds'!$I$36="","",-FV('Part III-Sources of Funds'!$K$36/12,12,G23/12,F36))</f>
        <v>372270.16809980082</v>
      </c>
      <c r="H36" s="2423">
        <f>IF('Part III-Sources of Funds'!$I$36="","",-FV('Part III-Sources of Funds'!$K$36/12,12,H23/12,G36))</f>
        <v>287383.92238910479</v>
      </c>
      <c r="I36" s="2423">
        <f>IF('Part III-Sources of Funds'!$I$36="","",-FV('Part III-Sources of Funds'!$K$36/12,12,I23/12,H36))</f>
        <v>197262.07878558093</v>
      </c>
      <c r="J36" s="2423">
        <f>IF('Part III-Sources of Funds'!$I$36="","",-FV('Part III-Sources of Funds'!$K$36/12,12,J23/12,I36))</f>
        <v>101581.71706739724</v>
      </c>
      <c r="K36" s="2423">
        <f>IF('Part III-Sources of Funds'!$I$36="","",-FV('Part III-Sources of Funds'!$K$36/12,12,K23/12,J36))</f>
        <v>3.2348907552659512E-8</v>
      </c>
      <c r="M36" s="2306"/>
      <c r="N36" s="2307"/>
    </row>
    <row r="37" spans="1:14" ht="13.15" customHeight="1">
      <c r="A37" s="473" t="s">
        <v>2746</v>
      </c>
      <c r="B37" s="2420" t="str">
        <f>IF('Part III-Sources of Funds'!$I$37="","",-FV('Part III-Sources of Funds'!$K$37/12,12,B24/12,'Part III-Sources of Funds'!$I$37))</f>
        <v/>
      </c>
      <c r="C37" s="2420" t="str">
        <f>IF('Part III-Sources of Funds'!$I$37="","",-FV('Part III-Sources of Funds'!$K$37/12,12,C24/12,B37))</f>
        <v/>
      </c>
      <c r="D37" s="2420" t="str">
        <f>IF('Part III-Sources of Funds'!$I$37="","",-FV('Part III-Sources of Funds'!$K$37/12,12,D24/12,C37))</f>
        <v/>
      </c>
      <c r="E37" s="2420" t="str">
        <f>IF('Part III-Sources of Funds'!$I$37="","",-FV('Part III-Sources of Funds'!$K$37/12,12,E24/12,D37))</f>
        <v/>
      </c>
      <c r="F37" s="2420" t="str">
        <f>IF('Part III-Sources of Funds'!$I$37="","",-FV('Part III-Sources of Funds'!$K$37/12,12,F24/12,E37))</f>
        <v/>
      </c>
      <c r="G37" s="2420" t="str">
        <f>IF('Part III-Sources of Funds'!$I$37="","",-FV('Part III-Sources of Funds'!$K$37/12,12,G24/12,F37))</f>
        <v/>
      </c>
      <c r="H37" s="2420" t="str">
        <f>IF('Part III-Sources of Funds'!$I$37="","",-FV('Part III-Sources of Funds'!$K$37/12,12,H24/12,G37))</f>
        <v/>
      </c>
      <c r="I37" s="2420" t="str">
        <f>IF('Part III-Sources of Funds'!$I$37="","",-FV('Part III-Sources of Funds'!$K$37/12,12,I24/12,H37))</f>
        <v/>
      </c>
      <c r="J37" s="2420" t="str">
        <f>IF('Part III-Sources of Funds'!$I$37="","",-FV('Part III-Sources of Funds'!$K$37/12,12,J24/12,I37))</f>
        <v/>
      </c>
      <c r="K37" s="2420" t="str">
        <f>IF('Part III-Sources of Funds'!$I$37="","",-FV('Part III-Sources of Funds'!$K$37/12,12,K24/12,J37))</f>
        <v/>
      </c>
      <c r="M37" s="2306"/>
      <c r="N37" s="2307"/>
    </row>
    <row r="38" spans="1:14" ht="13.15" customHeight="1">
      <c r="A38" s="473" t="s">
        <v>2747</v>
      </c>
      <c r="B38" s="2420" t="str">
        <f>IF('Part III-Sources of Funds'!$I$38="","",-FV('Part III-Sources of Funds'!$K$38/12,12,B25/12,'Part III-Sources of Funds'!$I$38))</f>
        <v/>
      </c>
      <c r="C38" s="2420" t="str">
        <f>IF('Part III-Sources of Funds'!$I$38="","",-FV('Part III-Sources of Funds'!$K$38/12,12,C25/12,B38))</f>
        <v/>
      </c>
      <c r="D38" s="2420" t="str">
        <f>IF('Part III-Sources of Funds'!$I$38="","",-FV('Part III-Sources of Funds'!$K$38/12,12,D25/12,C38))</f>
        <v/>
      </c>
      <c r="E38" s="2420" t="str">
        <f>IF('Part III-Sources of Funds'!$I$38="","",-FV('Part III-Sources of Funds'!$K$38/12,12,E25/12,D38))</f>
        <v/>
      </c>
      <c r="F38" s="2420" t="str">
        <f>IF('Part III-Sources of Funds'!$I$38="","",-FV('Part III-Sources of Funds'!$K$38/12,12,F25/12,E38))</f>
        <v/>
      </c>
      <c r="G38" s="2420" t="str">
        <f>IF('Part III-Sources of Funds'!$I$38="","",-FV('Part III-Sources of Funds'!$K$38/12,12,G25/12,F38))</f>
        <v/>
      </c>
      <c r="H38" s="2420" t="str">
        <f>IF('Part III-Sources of Funds'!$I$38="","",-FV('Part III-Sources of Funds'!$K$38/12,12,H25/12,G38))</f>
        <v/>
      </c>
      <c r="I38" s="2420" t="str">
        <f>IF('Part III-Sources of Funds'!$I$38="","",-FV('Part III-Sources of Funds'!$K$38/12,12,I25/12,H38))</f>
        <v/>
      </c>
      <c r="J38" s="2420" t="str">
        <f>IF('Part III-Sources of Funds'!$I$38="","",-FV('Part III-Sources of Funds'!$K$38/12,12,J25/12,I38))</f>
        <v/>
      </c>
      <c r="K38" s="2420" t="str">
        <f>IF('Part III-Sources of Funds'!$I$38="","",-FV('Part III-Sources of Funds'!$K$38/12,12,K25/12,J38))</f>
        <v/>
      </c>
      <c r="M38" s="2306"/>
      <c r="N38" s="2307"/>
    </row>
    <row r="39" spans="1:14" ht="13.15" customHeight="1">
      <c r="A39" s="22" t="s">
        <v>826</v>
      </c>
      <c r="B39" s="2420" t="str">
        <f>IF('Part III-Sources of Funds'!$I$39="","",-FV('Part III-Sources of Funds'!$K$39/12,12,B24/12,'Part III-Sources of Funds'!$I$39))</f>
        <v/>
      </c>
      <c r="C39" s="2420" t="str">
        <f>IF('Part III-Sources of Funds'!$I$39="","",-FV('Part III-Sources of Funds'!$K$39/12,12,C26/12,B39))</f>
        <v/>
      </c>
      <c r="D39" s="2420" t="str">
        <f>IF('Part III-Sources of Funds'!$I$39="","",-FV('Part III-Sources of Funds'!$K$39/12,12,D26/12,C39))</f>
        <v/>
      </c>
      <c r="E39" s="2420" t="str">
        <f>IF('Part III-Sources of Funds'!$I$39="","",-FV('Part III-Sources of Funds'!$K$39/12,12,E26/12,D39))</f>
        <v/>
      </c>
      <c r="F39" s="2420" t="str">
        <f>IF('Part III-Sources of Funds'!$I$39="","",-FV('Part III-Sources of Funds'!$K$39/12,12,F26/12,E39))</f>
        <v/>
      </c>
      <c r="G39" s="2420" t="str">
        <f>IF('Part III-Sources of Funds'!$I$39="","",-FV('Part III-Sources of Funds'!$K$39/12,12,G26/12,F39))</f>
        <v/>
      </c>
      <c r="H39" s="2420" t="str">
        <f>IF('Part III-Sources of Funds'!$I$39="","",-FV('Part III-Sources of Funds'!$K$39/12,12,H26/12,G39))</f>
        <v/>
      </c>
      <c r="I39" s="2420" t="str">
        <f>IF('Part III-Sources of Funds'!$I$39="","",-FV('Part III-Sources of Funds'!$K$39/12,12,I26/12,H39))</f>
        <v/>
      </c>
      <c r="J39" s="2420" t="str">
        <f>IF('Part III-Sources of Funds'!$I$39="","",-FV('Part III-Sources of Funds'!$K$39/12,12,J26/12,I39))</f>
        <v/>
      </c>
      <c r="K39" s="2420" t="str">
        <f>IF('Part III-Sources of Funds'!$I$39="","",-FV('Part III-Sources of Funds'!$K$39/12,12,K26/12,J39))</f>
        <v/>
      </c>
      <c r="M39" s="2306"/>
      <c r="N39" s="2307"/>
    </row>
    <row r="40" spans="1:14" ht="13.15" customHeight="1">
      <c r="A40" s="27" t="s">
        <v>1297</v>
      </c>
      <c r="B40" s="2422" t="str">
        <f>IF('Part III-Sources of Funds'!$I$41="","",-FV('Part III-Sources of Funds'!$K$41/12,12,B29/12,'Part III-Sources of Funds'!$I$41))</f>
        <v/>
      </c>
      <c r="C40" s="2422" t="str">
        <f>IF('Part III-Sources of Funds'!$I$41="","",-FV('Part III-Sources of Funds'!$K$41/12,12,C29/12,B40))</f>
        <v/>
      </c>
      <c r="D40" s="2422" t="str">
        <f>IF('Part III-Sources of Funds'!$I$41="","",-FV('Part III-Sources of Funds'!$K$41/12,12,D29/12,C40))</f>
        <v/>
      </c>
      <c r="E40" s="2422" t="str">
        <f>IF('Part III-Sources of Funds'!$I$41="","",-FV('Part III-Sources of Funds'!$K$41/12,12,E29/12,D40))</f>
        <v/>
      </c>
      <c r="F40" s="2422" t="str">
        <f>IF('Part III-Sources of Funds'!$I$41="","",-FV('Part III-Sources of Funds'!$K$41/12,12,F29/12,E40))</f>
        <v/>
      </c>
      <c r="G40" s="2422" t="str">
        <f>IF('Part III-Sources of Funds'!$I$41="","",-FV('Part III-Sources of Funds'!$K$41/12,12,G29/12,F40))</f>
        <v/>
      </c>
      <c r="H40" s="2422" t="str">
        <f>IF('Part III-Sources of Funds'!$I$41="","",-FV('Part III-Sources of Funds'!$K$41/12,12,H29/12,G40))</f>
        <v/>
      </c>
      <c r="I40" s="2422" t="str">
        <f>IF('Part III-Sources of Funds'!$I$41="","",-FV('Part III-Sources of Funds'!$K$41/12,12,I29/12,H40))</f>
        <v/>
      </c>
      <c r="J40" s="2422" t="str">
        <f>IF('Part III-Sources of Funds'!$I$41="","",-FV('Part III-Sources of Funds'!$K$41/12,12,J29/12,I40))</f>
        <v/>
      </c>
      <c r="K40" s="2422" t="str">
        <f>IF('Part III-Sources of Funds'!$I$41="","",-FV('Part III-Sources of Funds'!$K$41/12,12,K29/12,J40))</f>
        <v/>
      </c>
      <c r="M40" s="2309"/>
      <c r="N40" s="2310"/>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397" t="s">
        <v>2750</v>
      </c>
      <c r="N42" s="1397"/>
    </row>
    <row r="43" spans="1:14" ht="13.15" customHeight="1">
      <c r="A43" s="19" t="s">
        <v>2522</v>
      </c>
      <c r="B43" s="20">
        <f t="shared" ref="B43:K43" si="15">$B$14*(1+$B$5)^(B42-1)</f>
        <v>764748.3393279108</v>
      </c>
      <c r="C43" s="20">
        <f t="shared" si="15"/>
        <v>780043.30611446884</v>
      </c>
      <c r="D43" s="20">
        <f t="shared" si="15"/>
        <v>795644.1722367584</v>
      </c>
      <c r="E43" s="20">
        <f t="shared" si="15"/>
        <v>811557.05568149348</v>
      </c>
      <c r="F43" s="20">
        <f t="shared" si="15"/>
        <v>827788.19679512351</v>
      </c>
      <c r="G43" s="20">
        <f t="shared" si="15"/>
        <v>844343.96073102567</v>
      </c>
      <c r="H43" s="20">
        <f t="shared" si="15"/>
        <v>861230.83994564635</v>
      </c>
      <c r="I43" s="20">
        <f t="shared" si="15"/>
        <v>878455.45674455934</v>
      </c>
      <c r="J43" s="20">
        <f t="shared" si="15"/>
        <v>896024.56587945041</v>
      </c>
      <c r="K43" s="21">
        <f t="shared" si="15"/>
        <v>913945.05719703948</v>
      </c>
      <c r="M43" s="2304"/>
      <c r="N43" s="2305"/>
    </row>
    <row r="44" spans="1:14" ht="13.15" customHeight="1">
      <c r="A44" s="22" t="s">
        <v>1066</v>
      </c>
      <c r="B44" s="23">
        <f t="shared" ref="B44:K44" si="16">$B$15*(1+$B$5)^(B42-1)</f>
        <v>15294.966786558218</v>
      </c>
      <c r="C44" s="23">
        <f t="shared" si="16"/>
        <v>15600.866122289379</v>
      </c>
      <c r="D44" s="23">
        <f t="shared" si="16"/>
        <v>15912.883444735169</v>
      </c>
      <c r="E44" s="23">
        <f t="shared" si="16"/>
        <v>16231.141113629872</v>
      </c>
      <c r="F44" s="23">
        <f t="shared" si="16"/>
        <v>16555.763935902469</v>
      </c>
      <c r="G44" s="23">
        <f t="shared" si="16"/>
        <v>16886.879214620516</v>
      </c>
      <c r="H44" s="23">
        <f t="shared" si="16"/>
        <v>17224.616798912928</v>
      </c>
      <c r="I44" s="23">
        <f t="shared" si="16"/>
        <v>17569.109134891187</v>
      </c>
      <c r="J44" s="23">
        <f t="shared" si="16"/>
        <v>17920.491317589011</v>
      </c>
      <c r="K44" s="24">
        <f t="shared" si="16"/>
        <v>18278.901143940791</v>
      </c>
      <c r="M44" s="2306"/>
      <c r="N44" s="2307"/>
    </row>
    <row r="45" spans="1:14" ht="13.15" customHeight="1">
      <c r="A45" s="22" t="s">
        <v>2523</v>
      </c>
      <c r="B45" s="23">
        <f t="shared" ref="B45:K45" si="17">-(B43+B44)*$B$8</f>
        <v>-54603.031428012837</v>
      </c>
      <c r="C45" s="23">
        <f t="shared" si="17"/>
        <v>-55695.092056573078</v>
      </c>
      <c r="D45" s="23">
        <f t="shared" si="17"/>
        <v>-56808.99389770456</v>
      </c>
      <c r="E45" s="23">
        <f t="shared" si="17"/>
        <v>-57945.173775658644</v>
      </c>
      <c r="F45" s="23">
        <f t="shared" si="17"/>
        <v>-59104.077251171824</v>
      </c>
      <c r="G45" s="23">
        <f t="shared" si="17"/>
        <v>-60286.158796195239</v>
      </c>
      <c r="H45" s="23">
        <f t="shared" si="17"/>
        <v>-61491.881972119154</v>
      </c>
      <c r="I45" s="23">
        <f t="shared" si="17"/>
        <v>-62721.719611561544</v>
      </c>
      <c r="J45" s="23">
        <f t="shared" si="17"/>
        <v>-63976.15400379277</v>
      </c>
      <c r="K45" s="24">
        <f t="shared" si="17"/>
        <v>-65255.677083868621</v>
      </c>
      <c r="M45" s="2306"/>
      <c r="N45" s="2307"/>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06"/>
      <c r="N46" s="2307"/>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06"/>
      <c r="N47" s="2307"/>
    </row>
    <row r="48" spans="1:14" ht="13.15" customHeight="1">
      <c r="A48" s="22" t="s">
        <v>645</v>
      </c>
      <c r="B48" s="23">
        <f t="shared" ref="B48:K48" si="18">$B$19*(1+$B$6)^(B42-1)</f>
        <v>-498274.46855476464</v>
      </c>
      <c r="C48" s="23">
        <f t="shared" si="18"/>
        <v>-513222.70261140756</v>
      </c>
      <c r="D48" s="23">
        <f t="shared" si="18"/>
        <v>-528619.38368974975</v>
      </c>
      <c r="E48" s="23">
        <f t="shared" si="18"/>
        <v>-544477.96520044224</v>
      </c>
      <c r="F48" s="23">
        <f t="shared" si="18"/>
        <v>-560812.30415645556</v>
      </c>
      <c r="G48" s="23">
        <f t="shared" si="18"/>
        <v>-577636.67328114924</v>
      </c>
      <c r="H48" s="23">
        <f t="shared" si="18"/>
        <v>-594965.77347958356</v>
      </c>
      <c r="I48" s="23">
        <f t="shared" si="18"/>
        <v>-612814.74668397114</v>
      </c>
      <c r="J48" s="23">
        <f t="shared" si="18"/>
        <v>-631199.1890844903</v>
      </c>
      <c r="K48" s="24">
        <f t="shared" si="18"/>
        <v>-650135.16475702496</v>
      </c>
      <c r="M48" s="2306"/>
      <c r="N48" s="2307"/>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-65290</v>
      </c>
      <c r="C49" s="23">
        <f>IF(AND('Part VII-Pro Forma'!$G$8="Yes",'Part VII-Pro Forma'!$G$9="Yes"),"Choose One!",IF('Part VII-Pro Forma'!$G$8="Yes",ROUND((-$K$8*(1+'Part VII-Pro Forma'!$B$6)^('Part VII-Pro Forma'!C42-1)),),IF('Part VII-Pro Forma'!$G$9="Yes",ROUND((-(SUM(C43:C46)*'Part VII-Pro Forma'!$K$9)),),"Choose mgt fee")))</f>
        <v>-66595</v>
      </c>
      <c r="D49" s="23">
        <f>IF(AND('Part VII-Pro Forma'!$G$8="Yes",'Part VII-Pro Forma'!$G$9="Yes"),"Choose One!",IF('Part VII-Pro Forma'!$G$8="Yes",ROUND((-$K$8*(1+'Part VII-Pro Forma'!$B$6)^('Part VII-Pro Forma'!D42-1)),),IF('Part VII-Pro Forma'!$G$9="Yes",ROUND((-(SUM(D43:D46)*'Part VII-Pro Forma'!$K$9)),),"Choose mgt fee")))</f>
        <v>-67927</v>
      </c>
      <c r="E49" s="23">
        <f>IF(AND('Part VII-Pro Forma'!$G$8="Yes",'Part VII-Pro Forma'!$G$9="Yes"),"Choose One!",IF('Part VII-Pro Forma'!$G$8="Yes",ROUND((-$K$8*(1+'Part VII-Pro Forma'!$B$6)^('Part VII-Pro Forma'!E42-1)),),IF('Part VII-Pro Forma'!$G$9="Yes",ROUND((-(SUM(E43:E46)*'Part VII-Pro Forma'!$K$9)),),"Choose mgt fee")))</f>
        <v>-69286</v>
      </c>
      <c r="F49" s="23">
        <f>IF(AND('Part VII-Pro Forma'!$G$8="Yes",'Part VII-Pro Forma'!$G$9="Yes"),"Choose One!",IF('Part VII-Pro Forma'!$G$8="Yes",ROUND((-$K$8*(1+'Part VII-Pro Forma'!$B$6)^('Part VII-Pro Forma'!F42-1)),),IF('Part VII-Pro Forma'!$G$9="Yes",ROUND((-(SUM(F43:F46)*'Part VII-Pro Forma'!$K$9)),),"Choose mgt fee")))</f>
        <v>-70672</v>
      </c>
      <c r="G49" s="23">
        <f>IF(AND('Part VII-Pro Forma'!$G$8="Yes",'Part VII-Pro Forma'!$G$9="Yes"),"Choose One!",IF('Part VII-Pro Forma'!$G$8="Yes",ROUND((-$K$8*(1+'Part VII-Pro Forma'!$B$6)^('Part VII-Pro Forma'!G42-1)),),IF('Part VII-Pro Forma'!$G$9="Yes",ROUND((-(SUM(G43:G46)*'Part VII-Pro Forma'!$K$9)),),"Choose mgt fee")))</f>
        <v>-72085</v>
      </c>
      <c r="H49" s="23">
        <f>IF(AND('Part VII-Pro Forma'!$G$8="Yes",'Part VII-Pro Forma'!$G$9="Yes"),"Choose One!",IF('Part VII-Pro Forma'!$G$8="Yes",ROUND((-$K$8*(1+'Part VII-Pro Forma'!$B$6)^('Part VII-Pro Forma'!H42-1)),),IF('Part VII-Pro Forma'!$G$9="Yes",ROUND((-(SUM(H43:H46)*'Part VII-Pro Forma'!$K$9)),),"Choose mgt fee")))</f>
        <v>-73527</v>
      </c>
      <c r="I49" s="23">
        <f>IF(AND('Part VII-Pro Forma'!$G$8="Yes",'Part VII-Pro Forma'!$G$9="Yes"),"Choose One!",IF('Part VII-Pro Forma'!$G$8="Yes",ROUND((-$K$8*(1+'Part VII-Pro Forma'!$B$6)^('Part VII-Pro Forma'!I42-1)),),IF('Part VII-Pro Forma'!$G$9="Yes",ROUND((-(SUM(I43:I46)*'Part VII-Pro Forma'!$K$9)),),"Choose mgt fee")))</f>
        <v>-74997</v>
      </c>
      <c r="J49" s="23">
        <f>IF(AND('Part VII-Pro Forma'!$G$8="Yes",'Part VII-Pro Forma'!$G$9="Yes"),"Choose One!",IF('Part VII-Pro Forma'!$G$8="Yes",ROUND((-$K$8*(1+'Part VII-Pro Forma'!$B$6)^('Part VII-Pro Forma'!J42-1)),),IF('Part VII-Pro Forma'!$G$9="Yes",ROUND((-(SUM(J43:J46)*'Part VII-Pro Forma'!$K$9)),),"Choose mgt fee")))</f>
        <v>-76497</v>
      </c>
      <c r="K49" s="23">
        <f>IF(AND('Part VII-Pro Forma'!$G$8="Yes",'Part VII-Pro Forma'!$G$9="Yes"),"Choose One!",IF('Part VII-Pro Forma'!$G$8="Yes",ROUND((-$K$8*(1+'Part VII-Pro Forma'!$B$6)^('Part VII-Pro Forma'!K42-1)),),IF('Part VII-Pro Forma'!$G$9="Yes",ROUND((-(SUM(K43:K46)*'Part VII-Pro Forma'!$K$9)),),"Choose mgt fee")))</f>
        <v>-78027</v>
      </c>
      <c r="M49" s="2306"/>
      <c r="N49" s="2307"/>
    </row>
    <row r="50" spans="1:14" ht="13.15" customHeight="1">
      <c r="A50" s="22" t="s">
        <v>1260</v>
      </c>
      <c r="B50" s="23">
        <f t="shared" ref="B50:K50" si="19">$B$21*(1+$B$7)^(B42-1)</f>
        <v>-32253.993104258923</v>
      </c>
      <c r="C50" s="23">
        <f t="shared" si="19"/>
        <v>-33221.612897386694</v>
      </c>
      <c r="D50" s="23">
        <f t="shared" si="19"/>
        <v>-34218.26128430829</v>
      </c>
      <c r="E50" s="23">
        <f t="shared" si="19"/>
        <v>-35244.809122837534</v>
      </c>
      <c r="F50" s="23">
        <f t="shared" si="19"/>
        <v>-36302.153396522663</v>
      </c>
      <c r="G50" s="23">
        <f t="shared" si="19"/>
        <v>-37391.217998418346</v>
      </c>
      <c r="H50" s="23">
        <f t="shared" si="19"/>
        <v>-38512.95453837089</v>
      </c>
      <c r="I50" s="23">
        <f t="shared" si="19"/>
        <v>-39668.343174522015</v>
      </c>
      <c r="J50" s="23">
        <f t="shared" si="19"/>
        <v>-40858.393469757677</v>
      </c>
      <c r="K50" s="24">
        <f t="shared" si="19"/>
        <v>-42084.145273850409</v>
      </c>
      <c r="M50" s="2306"/>
      <c r="N50" s="2307"/>
    </row>
    <row r="51" spans="1:14" ht="13.15" customHeight="1">
      <c r="A51" s="22" t="s">
        <v>1261</v>
      </c>
      <c r="B51" s="23">
        <f t="shared" ref="B51:K51" si="20">SUM(B43:B50)</f>
        <v>129621.81302743262</v>
      </c>
      <c r="C51" s="23">
        <f t="shared" si="20"/>
        <v>126909.76467139091</v>
      </c>
      <c r="D51" s="23">
        <f t="shared" si="20"/>
        <v>123983.41680973103</v>
      </c>
      <c r="E51" s="23">
        <f t="shared" si="20"/>
        <v>120834.24869618504</v>
      </c>
      <c r="F51" s="23">
        <f t="shared" si="20"/>
        <v>117453.42592687599</v>
      </c>
      <c r="G51" s="23">
        <f t="shared" si="20"/>
        <v>113831.78986988336</v>
      </c>
      <c r="H51" s="23">
        <f t="shared" si="20"/>
        <v>109957.84675448568</v>
      </c>
      <c r="I51" s="23">
        <f t="shared" si="20"/>
        <v>105822.75640939586</v>
      </c>
      <c r="J51" s="23">
        <f t="shared" si="20"/>
        <v>101414.32063899872</v>
      </c>
      <c r="K51" s="24">
        <f t="shared" si="20"/>
        <v>96721.971226236201</v>
      </c>
      <c r="M51" s="2306"/>
      <c r="N51" s="2307"/>
    </row>
    <row r="52" spans="1:14" ht="13.15" customHeight="1">
      <c r="A52" s="22" t="str">
        <f>$A23</f>
        <v>Mortgage A</v>
      </c>
      <c r="B52" s="2419">
        <f>IF('Part III-Sources of Funds'!$N$36="", 0,-'Part III-Sources of Funds'!$N$36)*0</f>
        <v>0</v>
      </c>
      <c r="C52" s="2419">
        <f>IF('Part III-Sources of Funds'!$N$36="", 0,-'Part III-Sources of Funds'!$N$36)*0</f>
        <v>0</v>
      </c>
      <c r="D52" s="2419">
        <f>IF('Part III-Sources of Funds'!$N$36="", 0,-'Part III-Sources of Funds'!$N$36)*0</f>
        <v>0</v>
      </c>
      <c r="E52" s="2419">
        <f>IF('Part III-Sources of Funds'!$N$36="", 0,-'Part III-Sources of Funds'!$N$36)*0</f>
        <v>0</v>
      </c>
      <c r="F52" s="2419">
        <f>IF('Part III-Sources of Funds'!$N$36="", 0,-'Part III-Sources of Funds'!$N$36)*0</f>
        <v>0</v>
      </c>
      <c r="G52" s="2419">
        <f>IF('Part III-Sources of Funds'!$N$36="", 0,-'Part III-Sources of Funds'!$N$36)*0</f>
        <v>0</v>
      </c>
      <c r="H52" s="2419">
        <f>IF('Part III-Sources of Funds'!$N$36="", 0,-'Part III-Sources of Funds'!$N$36)*0</f>
        <v>0</v>
      </c>
      <c r="I52" s="2419">
        <f>IF('Part III-Sources of Funds'!$N$36="", 0,-'Part III-Sources of Funds'!$N$36)*0</f>
        <v>0</v>
      </c>
      <c r="J52" s="2419">
        <f>IF('Part III-Sources of Funds'!$N$36="", 0,-'Part III-Sources of Funds'!$N$36)*0</f>
        <v>0</v>
      </c>
      <c r="K52" s="2419">
        <f>IF('Part III-Sources of Funds'!$N$36="", 0,-'Part III-Sources of Funds'!$N$36)*0</f>
        <v>0</v>
      </c>
      <c r="M52" s="2306"/>
      <c r="N52" s="2307"/>
    </row>
    <row r="53" spans="1:14" ht="13.15" customHeight="1">
      <c r="A53" s="22" t="str">
        <f>$A24</f>
        <v>Mortgage B</v>
      </c>
      <c r="B53" s="2420">
        <f>IF('Part III-Sources of Funds'!$N$37="", 0,-'Part III-Sources of Funds'!$N$37)</f>
        <v>0</v>
      </c>
      <c r="C53" s="2420">
        <f>IF('Part III-Sources of Funds'!$N$37="", 0,-'Part III-Sources of Funds'!$N$37)</f>
        <v>0</v>
      </c>
      <c r="D53" s="2420">
        <f>IF('Part III-Sources of Funds'!$N$37="", 0,-'Part III-Sources of Funds'!$N$37)</f>
        <v>0</v>
      </c>
      <c r="E53" s="2420">
        <f>IF('Part III-Sources of Funds'!$N$37="", 0,-'Part III-Sources of Funds'!$N$37)</f>
        <v>0</v>
      </c>
      <c r="F53" s="2420">
        <f>IF('Part III-Sources of Funds'!$N$37="", 0,-'Part III-Sources of Funds'!$N$37)</f>
        <v>0</v>
      </c>
      <c r="G53" s="2420">
        <f>IF('Part III-Sources of Funds'!$N$37="", 0,-'Part III-Sources of Funds'!$N$37)</f>
        <v>0</v>
      </c>
      <c r="H53" s="2420">
        <f>IF('Part III-Sources of Funds'!$N$37="", 0,-'Part III-Sources of Funds'!$N$37)</f>
        <v>0</v>
      </c>
      <c r="I53" s="2420">
        <f>IF('Part III-Sources of Funds'!$N$37="", 0,-'Part III-Sources of Funds'!$N$37)</f>
        <v>0</v>
      </c>
      <c r="J53" s="2420">
        <f>IF('Part III-Sources of Funds'!$N$37="", 0,-'Part III-Sources of Funds'!$N$37)</f>
        <v>0</v>
      </c>
      <c r="K53" s="2420">
        <f>IF('Part III-Sources of Funds'!$N$37="", 0,-'Part III-Sources of Funds'!$N$37)</f>
        <v>0</v>
      </c>
      <c r="M53" s="2306"/>
      <c r="N53" s="2307"/>
    </row>
    <row r="54" spans="1:14" ht="13.15" customHeight="1">
      <c r="A54" s="22" t="str">
        <f>$A25</f>
        <v>Mortgage C</v>
      </c>
      <c r="B54" s="2420">
        <f>IF('Part III-Sources of Funds'!$N$38="", 0,-'Part III-Sources of Funds'!$N$38)</f>
        <v>0</v>
      </c>
      <c r="C54" s="2420">
        <f>IF('Part III-Sources of Funds'!$N$38="", 0,-'Part III-Sources of Funds'!$N$38)</f>
        <v>0</v>
      </c>
      <c r="D54" s="2420">
        <f>IF('Part III-Sources of Funds'!$N$38="", 0,-'Part III-Sources of Funds'!$N$38)</f>
        <v>0</v>
      </c>
      <c r="E54" s="2420">
        <f>IF('Part III-Sources of Funds'!$N$38="", 0,-'Part III-Sources of Funds'!$N$38)</f>
        <v>0</v>
      </c>
      <c r="F54" s="2420">
        <f>IF('Part III-Sources of Funds'!$N$38="", 0,-'Part III-Sources of Funds'!$N$38)</f>
        <v>0</v>
      </c>
      <c r="G54" s="2420">
        <f>IF('Part III-Sources of Funds'!$N$38="", 0,-'Part III-Sources of Funds'!$N$38)</f>
        <v>0</v>
      </c>
      <c r="H54" s="2420">
        <f>IF('Part III-Sources of Funds'!$N$38="", 0,-'Part III-Sources of Funds'!$N$38)</f>
        <v>0</v>
      </c>
      <c r="I54" s="2420">
        <f>IF('Part III-Sources of Funds'!$N$38="", 0,-'Part III-Sources of Funds'!$N$38)</f>
        <v>0</v>
      </c>
      <c r="J54" s="2420">
        <f>IF('Part III-Sources of Funds'!$N$38="", 0,-'Part III-Sources of Funds'!$N$38)</f>
        <v>0</v>
      </c>
      <c r="K54" s="2420">
        <f>IF('Part III-Sources of Funds'!$N$38="", 0,-'Part III-Sources of Funds'!$N$38)</f>
        <v>0</v>
      </c>
      <c r="M54" s="2306"/>
      <c r="N54" s="2307"/>
    </row>
    <row r="55" spans="1:14" ht="13.15" customHeight="1">
      <c r="A55" s="22" t="str">
        <f>$A26</f>
        <v>D/S Other Source</v>
      </c>
      <c r="B55" s="2420">
        <f>IF('Part III-Sources of Funds'!$N$39="", 0,-'Part III-Sources of Funds'!$N$39)</f>
        <v>0</v>
      </c>
      <c r="C55" s="2420">
        <f>IF('Part III-Sources of Funds'!$N$39="", 0,-'Part III-Sources of Funds'!$N$39)</f>
        <v>0</v>
      </c>
      <c r="D55" s="2420">
        <f>IF('Part III-Sources of Funds'!$N$39="", 0,-'Part III-Sources of Funds'!$N$39)</f>
        <v>0</v>
      </c>
      <c r="E55" s="2420">
        <f>IF('Part III-Sources of Funds'!$N$39="", 0,-'Part III-Sources of Funds'!$N$39)</f>
        <v>0</v>
      </c>
      <c r="F55" s="2420">
        <f>IF('Part III-Sources of Funds'!$N$39="", 0,-'Part III-Sources of Funds'!$N$39)</f>
        <v>0</v>
      </c>
      <c r="G55" s="2420">
        <f>IF('Part III-Sources of Funds'!$N$39="", 0,-'Part III-Sources of Funds'!$N$39)</f>
        <v>0</v>
      </c>
      <c r="H55" s="2420">
        <f>IF('Part III-Sources of Funds'!$N$39="", 0,-'Part III-Sources of Funds'!$N$39)</f>
        <v>0</v>
      </c>
      <c r="I55" s="2420">
        <f>IF('Part III-Sources of Funds'!$N$39="", 0,-'Part III-Sources of Funds'!$N$39)</f>
        <v>0</v>
      </c>
      <c r="J55" s="2420">
        <f>IF('Part III-Sources of Funds'!$N$39="", 0,-'Part III-Sources of Funds'!$N$39)</f>
        <v>0</v>
      </c>
      <c r="K55" s="2420">
        <f>IF('Part III-Sources of Funds'!$N$39="", 0,-'Part III-Sources of Funds'!$N$39)</f>
        <v>0</v>
      </c>
      <c r="M55" s="2306"/>
      <c r="N55" s="2307"/>
    </row>
    <row r="56" spans="1:14" ht="13.15" customHeight="1">
      <c r="A56" s="22" t="s">
        <v>804</v>
      </c>
      <c r="B56" s="2421"/>
      <c r="C56" s="2421"/>
      <c r="D56" s="2421"/>
      <c r="E56" s="2421"/>
      <c r="F56" s="2421"/>
      <c r="G56" s="2421"/>
      <c r="H56" s="2421"/>
      <c r="I56" s="2421"/>
      <c r="J56" s="2421"/>
      <c r="K56" s="2421"/>
      <c r="M56" s="2306"/>
      <c r="N56" s="2307"/>
    </row>
    <row r="57" spans="1:14" ht="13.15" customHeight="1">
      <c r="A57" s="22" t="s">
        <v>1219</v>
      </c>
      <c r="B57" s="2420">
        <f>+K28</f>
        <v>-4500</v>
      </c>
      <c r="C57" s="2420">
        <f>B57</f>
        <v>-4500</v>
      </c>
      <c r="D57" s="2420">
        <f t="shared" ref="D57:K57" si="21">C57</f>
        <v>-4500</v>
      </c>
      <c r="E57" s="2420">
        <f t="shared" si="21"/>
        <v>-4500</v>
      </c>
      <c r="F57" s="2420">
        <f t="shared" si="21"/>
        <v>-4500</v>
      </c>
      <c r="G57" s="2420">
        <f t="shared" si="21"/>
        <v>-4500</v>
      </c>
      <c r="H57" s="2420">
        <f t="shared" si="21"/>
        <v>-4500</v>
      </c>
      <c r="I57" s="2420">
        <f t="shared" si="21"/>
        <v>-4500</v>
      </c>
      <c r="J57" s="2420">
        <f t="shared" si="21"/>
        <v>-4500</v>
      </c>
      <c r="K57" s="2420">
        <f t="shared" si="21"/>
        <v>-4500</v>
      </c>
      <c r="M57" s="2306"/>
      <c r="N57" s="2307"/>
    </row>
    <row r="58" spans="1:14" ht="13.15" customHeight="1">
      <c r="A58" s="22" t="s">
        <v>1262</v>
      </c>
      <c r="B58" s="2422">
        <f>IF('Part III-Sources of Funds'!$N$41="", 0,-'Part III-Sources of Funds'!$N$41)</f>
        <v>0</v>
      </c>
      <c r="C58" s="2422">
        <f>IF('Part III-Sources of Funds'!$N$41="", 0,-'Part III-Sources of Funds'!$N$41)</f>
        <v>0</v>
      </c>
      <c r="D58" s="2422">
        <f>IF('Part III-Sources of Funds'!$N$41="", 0,-'Part III-Sources of Funds'!$N$41)</f>
        <v>0</v>
      </c>
      <c r="E58" s="2422">
        <f>IF('Part III-Sources of Funds'!$N$41="", 0,-'Part III-Sources of Funds'!$N$41)</f>
        <v>0</v>
      </c>
      <c r="F58" s="2422">
        <f>IF('Part III-Sources of Funds'!$N$41="", 0,-'Part III-Sources of Funds'!$N$41)</f>
        <v>0</v>
      </c>
      <c r="G58" s="2422">
        <f>IF('Part III-Sources of Funds'!$N$41="", 0,-'Part III-Sources of Funds'!$N$41)</f>
        <v>0</v>
      </c>
      <c r="H58" s="2422">
        <f>IF('Part III-Sources of Funds'!$N$41="", 0,-'Part III-Sources of Funds'!$N$41)</f>
        <v>0</v>
      </c>
      <c r="I58" s="2422">
        <f>IF('Part III-Sources of Funds'!$N$41="", 0,-'Part III-Sources of Funds'!$N$41)</f>
        <v>0</v>
      </c>
      <c r="J58" s="2422">
        <f>IF('Part III-Sources of Funds'!$N$41="", 0,-'Part III-Sources of Funds'!$N$41)</f>
        <v>0</v>
      </c>
      <c r="K58" s="2420">
        <f>IF('Part III-Sources of Funds'!$N$41="", 0,-'Part III-Sources of Funds'!$N$41)</f>
        <v>0</v>
      </c>
      <c r="M58" s="2306"/>
      <c r="N58" s="2307"/>
    </row>
    <row r="59" spans="1:14" ht="13.15" customHeight="1">
      <c r="A59" s="22" t="s">
        <v>1220</v>
      </c>
      <c r="B59" s="23">
        <f t="shared" ref="B59:K59" si="22">SUM(B51:B58)</f>
        <v>125121.81302743262</v>
      </c>
      <c r="C59" s="23">
        <f t="shared" si="22"/>
        <v>122409.76467139091</v>
      </c>
      <c r="D59" s="23">
        <f t="shared" si="22"/>
        <v>119483.41680973103</v>
      </c>
      <c r="E59" s="23">
        <f t="shared" si="22"/>
        <v>116334.24869618504</v>
      </c>
      <c r="F59" s="23">
        <f t="shared" si="22"/>
        <v>112953.42592687599</v>
      </c>
      <c r="G59" s="23">
        <f t="shared" si="22"/>
        <v>109331.78986988336</v>
      </c>
      <c r="H59" s="23">
        <f t="shared" si="22"/>
        <v>105457.84675448568</v>
      </c>
      <c r="I59" s="23">
        <f t="shared" si="22"/>
        <v>101322.75640939586</v>
      </c>
      <c r="J59" s="23">
        <f t="shared" si="22"/>
        <v>96914.320638998717</v>
      </c>
      <c r="K59" s="21">
        <f t="shared" si="22"/>
        <v>92221.971226236201</v>
      </c>
      <c r="M59" s="2306"/>
      <c r="N59" s="2307"/>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306"/>
      <c r="N60" s="2307"/>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306"/>
      <c r="N61" s="2307"/>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306"/>
      <c r="N62" s="2307"/>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306"/>
      <c r="N63" s="2307"/>
    </row>
    <row r="64" spans="1:14" ht="13.15" customHeight="1">
      <c r="A64" s="22" t="s">
        <v>811</v>
      </c>
      <c r="B64" s="296">
        <f>IF(OR(B49="Choose mgt fee",B49="Choose One!"),"",(B43+B44+B45+B46+B47) / -(B48+B49+B50))</f>
        <v>1.2175525287795008</v>
      </c>
      <c r="C64" s="296">
        <f t="shared" ref="C64:K64" si="27">IF(OR(C49="Choose mgt fee",C49="Choose One!"),"",(C43+C44+C45+C46+C47) / -(C48+C49+C50))</f>
        <v>1.2070173338981722</v>
      </c>
      <c r="D64" s="296">
        <f t="shared" si="27"/>
        <v>1.1965605044569836</v>
      </c>
      <c r="E64" s="296">
        <f t="shared" si="27"/>
        <v>1.1861827658989337</v>
      </c>
      <c r="F64" s="296">
        <f t="shared" si="27"/>
        <v>1.1758847077511421</v>
      </c>
      <c r="G64" s="296">
        <f t="shared" si="27"/>
        <v>1.1656667940808119</v>
      </c>
      <c r="H64" s="296">
        <f t="shared" si="27"/>
        <v>1.1555261045235738</v>
      </c>
      <c r="I64" s="296">
        <f t="shared" si="27"/>
        <v>1.1454648146177857</v>
      </c>
      <c r="J64" s="296">
        <f t="shared" si="27"/>
        <v>1.1354801947680939</v>
      </c>
      <c r="K64" s="297">
        <f t="shared" si="27"/>
        <v>1.1255727810268368</v>
      </c>
      <c r="M64" s="2306"/>
      <c r="N64" s="2307"/>
    </row>
    <row r="65" spans="1:14" ht="13.15" customHeight="1">
      <c r="A65" s="473" t="s">
        <v>2745</v>
      </c>
      <c r="B65" s="2423">
        <f>IF('Part III-Sources of Funds'!$I$36="","",-FV('Part III-Sources of Funds'!$K$36/12,12,B52/12,K36))</f>
        <v>3.4344117386714468E-8</v>
      </c>
      <c r="C65" s="2423">
        <f>IF('Part III-Sources of Funds'!$I$36="","",-FV('Part III-Sources of Funds'!$K$36/12,12,C52/12,B65))</f>
        <v>3.6462387397544465E-8</v>
      </c>
      <c r="D65" s="2423">
        <f>IF('Part III-Sources of Funds'!$I$36="","",-FV('Part III-Sources of Funds'!$K$36/12,12,D52/12,C65))</f>
        <v>3.8711307667580643E-8</v>
      </c>
      <c r="E65" s="2423">
        <f>IF('Part III-Sources of Funds'!$I$36="","",-FV('Part III-Sources of Funds'!$K$36/12,12,E52/12,D65))</f>
        <v>4.1098936418930368E-8</v>
      </c>
      <c r="F65" s="2423">
        <f>IF('Part III-Sources of Funds'!$I$36="","",-FV('Part III-Sources of Funds'!$K$36/12,12,F52/12,E65))</f>
        <v>4.3633828887208107E-8</v>
      </c>
      <c r="G65" s="2423">
        <f>IF('Part III-Sources of Funds'!$I$36="","",-FV('Part III-Sources of Funds'!$K$36/12,12,G52/12,F65))</f>
        <v>4.6325067976241012E-8</v>
      </c>
      <c r="H65" s="2423">
        <f>IF('Part III-Sources of Funds'!$I$36="","",-FV('Part III-Sources of Funds'!$K$36/12,12,H52/12,G65))</f>
        <v>4.9182296803489668E-8</v>
      </c>
      <c r="I65" s="2423">
        <f>IF('Part III-Sources of Funds'!$I$36="","",-FV('Part III-Sources of Funds'!$K$36/12,12,I52/12,H65))</f>
        <v>5.2215753252799187E-8</v>
      </c>
      <c r="J65" s="2423">
        <f>IF('Part III-Sources of Funds'!$I$36="","",-FV('Part III-Sources of Funds'!$K$36/12,12,J52/12,I65))</f>
        <v>5.5436306658288363E-8</v>
      </c>
      <c r="K65" s="2423">
        <f>IF('Part III-Sources of Funds'!$I$36="","",-FV('Part III-Sources of Funds'!$K$36/12,12,K52/12,J65))</f>
        <v>5.885549675082087E-8</v>
      </c>
      <c r="M65" s="2306"/>
      <c r="N65" s="2307"/>
    </row>
    <row r="66" spans="1:14" ht="13.15" customHeight="1">
      <c r="A66" s="473" t="s">
        <v>2746</v>
      </c>
      <c r="B66" s="2420" t="str">
        <f>IF('Part III-Sources of Funds'!$I$37="","",-FV('Part III-Sources of Funds'!$K$37/12,12,B53/12,K37))</f>
        <v/>
      </c>
      <c r="C66" s="2420" t="str">
        <f>IF('Part III-Sources of Funds'!$I$37="","",-FV('Part III-Sources of Funds'!$K$37/12,12,C53/12,B66))</f>
        <v/>
      </c>
      <c r="D66" s="2420" t="str">
        <f>IF('Part III-Sources of Funds'!$I$37="","",-FV('Part III-Sources of Funds'!$K$37/12,12,D53/12,C66))</f>
        <v/>
      </c>
      <c r="E66" s="2420" t="str">
        <f>IF('Part III-Sources of Funds'!$I$37="","",-FV('Part III-Sources of Funds'!$K$37/12,12,E53/12,D66))</f>
        <v/>
      </c>
      <c r="F66" s="2420" t="str">
        <f>IF('Part III-Sources of Funds'!$I$37="","",-FV('Part III-Sources of Funds'!$K$37/12,12,F53/12,E66))</f>
        <v/>
      </c>
      <c r="G66" s="2420" t="str">
        <f>IF('Part III-Sources of Funds'!$I$37="","",-FV('Part III-Sources of Funds'!$K$37/12,12,G53/12,F66))</f>
        <v/>
      </c>
      <c r="H66" s="2420" t="str">
        <f>IF('Part III-Sources of Funds'!$I$37="","",-FV('Part III-Sources of Funds'!$K$37/12,12,H53/12,G66))</f>
        <v/>
      </c>
      <c r="I66" s="2420" t="str">
        <f>IF('Part III-Sources of Funds'!$I$37="","",-FV('Part III-Sources of Funds'!$K$37/12,12,I53/12,H66))</f>
        <v/>
      </c>
      <c r="J66" s="2420" t="str">
        <f>IF('Part III-Sources of Funds'!$I$37="","",-FV('Part III-Sources of Funds'!$K$37/12,12,J53/12,I66))</f>
        <v/>
      </c>
      <c r="K66" s="2420" t="str">
        <f>IF('Part III-Sources of Funds'!$I$37="","",-FV('Part III-Sources of Funds'!$K$37/12,12,K53/12,J66))</f>
        <v/>
      </c>
      <c r="M66" s="2306"/>
      <c r="N66" s="2307"/>
    </row>
    <row r="67" spans="1:14" ht="13.15" customHeight="1">
      <c r="A67" s="473" t="s">
        <v>2747</v>
      </c>
      <c r="B67" s="2420" t="str">
        <f>IF('Part III-Sources of Funds'!$I$38="","",-FV('Part III-Sources of Funds'!$K$38/12,12,B54/12,K38))</f>
        <v/>
      </c>
      <c r="C67" s="2420" t="str">
        <f>IF('Part III-Sources of Funds'!$I$38="","",-FV('Part III-Sources of Funds'!$K$38/12,12,C54/12,B67))</f>
        <v/>
      </c>
      <c r="D67" s="2420" t="str">
        <f>IF('Part III-Sources of Funds'!$I$38="","",-FV('Part III-Sources of Funds'!$K$38/12,12,D54/12,C67))</f>
        <v/>
      </c>
      <c r="E67" s="2420" t="str">
        <f>IF('Part III-Sources of Funds'!$I$38="","",-FV('Part III-Sources of Funds'!$K$38/12,12,E54/12,D67))</f>
        <v/>
      </c>
      <c r="F67" s="2420" t="str">
        <f>IF('Part III-Sources of Funds'!$I$38="","",-FV('Part III-Sources of Funds'!$K$38/12,12,F54/12,E67))</f>
        <v/>
      </c>
      <c r="G67" s="2420" t="str">
        <f>IF('Part III-Sources of Funds'!$I$38="","",-FV('Part III-Sources of Funds'!$K$38/12,12,G54/12,F67))</f>
        <v/>
      </c>
      <c r="H67" s="2420" t="str">
        <f>IF('Part III-Sources of Funds'!$I$38="","",-FV('Part III-Sources of Funds'!$K$38/12,12,H54/12,G67))</f>
        <v/>
      </c>
      <c r="I67" s="2420" t="str">
        <f>IF('Part III-Sources of Funds'!$I$38="","",-FV('Part III-Sources of Funds'!$K$38/12,12,I54/12,H67))</f>
        <v/>
      </c>
      <c r="J67" s="2420" t="str">
        <f>IF('Part III-Sources of Funds'!$I$38="","",-FV('Part III-Sources of Funds'!$K$38/12,12,J54/12,I67))</f>
        <v/>
      </c>
      <c r="K67" s="2420" t="str">
        <f>IF('Part III-Sources of Funds'!$I$38="","",-FV('Part III-Sources of Funds'!$K$38/12,12,K54/12,J67))</f>
        <v/>
      </c>
      <c r="M67" s="2306"/>
      <c r="N67" s="2307"/>
    </row>
    <row r="68" spans="1:14" ht="13.15" customHeight="1">
      <c r="A68" s="22" t="s">
        <v>826</v>
      </c>
      <c r="B68" s="2420" t="str">
        <f>IF('Part III-Sources of Funds'!$I$39="","",-FV('Part III-Sources of Funds'!$K$39/12,12,B55/12,K39))</f>
        <v/>
      </c>
      <c r="C68" s="2420" t="str">
        <f>IF('Part III-Sources of Funds'!$I$39="","",-FV('Part III-Sources of Funds'!$K$39/12,12,C55/12,B68))</f>
        <v/>
      </c>
      <c r="D68" s="2420" t="str">
        <f>IF('Part III-Sources of Funds'!$I$39="","",-FV('Part III-Sources of Funds'!$K$39/12,12,D55/12,C68))</f>
        <v/>
      </c>
      <c r="E68" s="2420" t="str">
        <f>IF('Part III-Sources of Funds'!$I$39="","",-FV('Part III-Sources of Funds'!$K$39/12,12,E55/12,D68))</f>
        <v/>
      </c>
      <c r="F68" s="2420" t="str">
        <f>IF('Part III-Sources of Funds'!$I$39="","",-FV('Part III-Sources of Funds'!$K$39/12,12,F55/12,E68))</f>
        <v/>
      </c>
      <c r="G68" s="2420" t="str">
        <f>IF('Part III-Sources of Funds'!$I$39="","",-FV('Part III-Sources of Funds'!$K$39/12,12,G55/12,F68))</f>
        <v/>
      </c>
      <c r="H68" s="2420" t="str">
        <f>IF('Part III-Sources of Funds'!$I$39="","",-FV('Part III-Sources of Funds'!$K$39/12,12,H55/12,G68))</f>
        <v/>
      </c>
      <c r="I68" s="2420" t="str">
        <f>IF('Part III-Sources of Funds'!$I$39="","",-FV('Part III-Sources of Funds'!$K$39/12,12,I55/12,H68))</f>
        <v/>
      </c>
      <c r="J68" s="2420" t="str">
        <f>IF('Part III-Sources of Funds'!$I$39="","",-FV('Part III-Sources of Funds'!$K$39/12,12,J55/12,I68))</f>
        <v/>
      </c>
      <c r="K68" s="2420" t="str">
        <f>IF('Part III-Sources of Funds'!$I$39="","",-FV('Part III-Sources of Funds'!$K$39/12,12,K55/12,J68))</f>
        <v/>
      </c>
      <c r="M68" s="2306"/>
      <c r="N68" s="2307"/>
    </row>
    <row r="69" spans="1:14" ht="13.15" customHeight="1">
      <c r="A69" s="27" t="s">
        <v>1297</v>
      </c>
      <c r="B69" s="2422" t="str">
        <f>IF('Part III-Sources of Funds'!$I$41="","",-FV('Part III-Sources of Funds'!$K$41/12,12,B58/12,K40))</f>
        <v/>
      </c>
      <c r="C69" s="2422" t="str">
        <f>IF('Part III-Sources of Funds'!$I$41="","",-FV('Part III-Sources of Funds'!$K$41/12,12,C58/12,B69))</f>
        <v/>
      </c>
      <c r="D69" s="2422" t="str">
        <f>IF('Part III-Sources of Funds'!$I$41="","",-FV('Part III-Sources of Funds'!$K$41/12,12,D58/12,C69))</f>
        <v/>
      </c>
      <c r="E69" s="2422" t="str">
        <f>IF('Part III-Sources of Funds'!$I$41="","",-FV('Part III-Sources of Funds'!$K$41/12,12,E58/12,D69))</f>
        <v/>
      </c>
      <c r="F69" s="2422" t="str">
        <f>IF('Part III-Sources of Funds'!$I$41="","",-FV('Part III-Sources of Funds'!$K$41/12,12,F58/12,E69))</f>
        <v/>
      </c>
      <c r="G69" s="2422" t="str">
        <f>IF('Part III-Sources of Funds'!$I$41="","",-FV('Part III-Sources of Funds'!$K$41/12,12,G58/12,F69))</f>
        <v/>
      </c>
      <c r="H69" s="2422" t="str">
        <f>IF('Part III-Sources of Funds'!$I$41="","",-FV('Part III-Sources of Funds'!$K$41/12,12,H58/12,G69))</f>
        <v/>
      </c>
      <c r="I69" s="2422" t="str">
        <f>IF('Part III-Sources of Funds'!$I$41="","",-FV('Part III-Sources of Funds'!$K$41/12,12,I58/12,H69))</f>
        <v/>
      </c>
      <c r="J69" s="2422" t="str">
        <f>IF('Part III-Sources of Funds'!$I$41="","",-FV('Part III-Sources of Funds'!$K$41/12,12,J58/12,I69))</f>
        <v/>
      </c>
      <c r="K69" s="2422" t="str">
        <f>IF('Part III-Sources of Funds'!$I$41="","",-FV('Part III-Sources of Funds'!$K$41/12,12,K58/12,J69))</f>
        <v/>
      </c>
      <c r="M69" s="2309"/>
      <c r="N69" s="2310"/>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397" t="s">
        <v>2751</v>
      </c>
      <c r="N71" s="1397"/>
    </row>
    <row r="72" spans="1:14" ht="13.15" customHeight="1">
      <c r="A72" s="19" t="s">
        <v>2522</v>
      </c>
      <c r="B72" s="20">
        <f t="shared" ref="B72:K72" si="29">$B$14*(1+$B$5)^(B71-1)</f>
        <v>932223.95834098035</v>
      </c>
      <c r="C72" s="20">
        <f t="shared" si="29"/>
        <v>950868.43750779983</v>
      </c>
      <c r="D72" s="20">
        <f t="shared" si="29"/>
        <v>969885.80625795585</v>
      </c>
      <c r="E72" s="20">
        <f t="shared" si="29"/>
        <v>989283.52238311479</v>
      </c>
      <c r="F72" s="20">
        <f t="shared" si="29"/>
        <v>1009069.1928307771</v>
      </c>
      <c r="G72" s="20">
        <f t="shared" si="29"/>
        <v>1029250.5766873928</v>
      </c>
      <c r="H72" s="20">
        <f t="shared" si="29"/>
        <v>1049835.5882211407</v>
      </c>
      <c r="I72" s="20">
        <f t="shared" si="29"/>
        <v>1070832.2999855634</v>
      </c>
      <c r="J72" s="20">
        <f t="shared" si="29"/>
        <v>1092248.9459852749</v>
      </c>
      <c r="K72" s="21">
        <f t="shared" si="29"/>
        <v>1114093.9249049802</v>
      </c>
      <c r="M72" s="2304"/>
      <c r="N72" s="2305"/>
    </row>
    <row r="73" spans="1:14" ht="13.15" customHeight="1">
      <c r="A73" s="22" t="s">
        <v>1066</v>
      </c>
      <c r="B73" s="23">
        <f t="shared" ref="B73:K73" si="30">$B$15*(1+$B$5)^(B71-1)</f>
        <v>18644.479166819609</v>
      </c>
      <c r="C73" s="23">
        <f t="shared" si="30"/>
        <v>19017.368750155998</v>
      </c>
      <c r="D73" s="23">
        <f t="shared" si="30"/>
        <v>19397.716125159121</v>
      </c>
      <c r="E73" s="23">
        <f t="shared" si="30"/>
        <v>19785.670447662298</v>
      </c>
      <c r="F73" s="23">
        <f t="shared" si="30"/>
        <v>20181.383856615546</v>
      </c>
      <c r="G73" s="23">
        <f t="shared" si="30"/>
        <v>20585.011533747856</v>
      </c>
      <c r="H73" s="23">
        <f t="shared" si="30"/>
        <v>20996.711764422816</v>
      </c>
      <c r="I73" s="23">
        <f t="shared" si="30"/>
        <v>21416.645999711269</v>
      </c>
      <c r="J73" s="23">
        <f t="shared" si="30"/>
        <v>21844.978919705496</v>
      </c>
      <c r="K73" s="24">
        <f t="shared" si="30"/>
        <v>22281.878498099602</v>
      </c>
      <c r="M73" s="2306"/>
      <c r="N73" s="2307"/>
    </row>
    <row r="74" spans="1:14" ht="13.15" customHeight="1">
      <c r="A74" s="22" t="s">
        <v>2523</v>
      </c>
      <c r="B74" s="23">
        <f t="shared" ref="B74:K74" si="31">-(B72+B73)*$B$8</f>
        <v>-66560.790625545997</v>
      </c>
      <c r="C74" s="23">
        <f t="shared" si="31"/>
        <v>-67892.006438056909</v>
      </c>
      <c r="D74" s="23">
        <f t="shared" si="31"/>
        <v>-69249.846566818058</v>
      </c>
      <c r="E74" s="23">
        <f t="shared" si="31"/>
        <v>-70634.843498154398</v>
      </c>
      <c r="F74" s="23">
        <f t="shared" si="31"/>
        <v>-72047.540368117494</v>
      </c>
      <c r="G74" s="23">
        <f t="shared" si="31"/>
        <v>-73488.491175479852</v>
      </c>
      <c r="H74" s="23">
        <f t="shared" si="31"/>
        <v>-74958.260998989441</v>
      </c>
      <c r="I74" s="23">
        <f t="shared" si="31"/>
        <v>-76457.426218969224</v>
      </c>
      <c r="J74" s="23">
        <f t="shared" si="31"/>
        <v>-77986.574743348639</v>
      </c>
      <c r="K74" s="24">
        <f t="shared" si="31"/>
        <v>-79546.306238215591</v>
      </c>
      <c r="M74" s="2306"/>
      <c r="N74" s="2307"/>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06"/>
      <c r="N75" s="2307"/>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06"/>
      <c r="N76" s="2307"/>
    </row>
    <row r="77" spans="1:14" ht="13.15" customHeight="1">
      <c r="A77" s="22" t="s">
        <v>645</v>
      </c>
      <c r="B77" s="23">
        <f t="shared" ref="B77:K77" si="32">$B$19*(1+$B$6)^(B71-1)</f>
        <v>-669639.21969973564</v>
      </c>
      <c r="C77" s="23">
        <f t="shared" si="32"/>
        <v>-689728.39629072766</v>
      </c>
      <c r="D77" s="23">
        <f t="shared" si="32"/>
        <v>-710420.24817944958</v>
      </c>
      <c r="E77" s="23">
        <f t="shared" si="32"/>
        <v>-731732.85562483303</v>
      </c>
      <c r="F77" s="23">
        <f t="shared" si="32"/>
        <v>-753684.84129357792</v>
      </c>
      <c r="G77" s="23">
        <f t="shared" si="32"/>
        <v>-776295.38653238525</v>
      </c>
      <c r="H77" s="23">
        <f t="shared" si="32"/>
        <v>-799584.24812835699</v>
      </c>
      <c r="I77" s="23">
        <f t="shared" si="32"/>
        <v>-823571.77557220752</v>
      </c>
      <c r="J77" s="23">
        <f t="shared" si="32"/>
        <v>-848278.92883937375</v>
      </c>
      <c r="K77" s="24">
        <f t="shared" si="32"/>
        <v>-873727.29670455493</v>
      </c>
      <c r="M77" s="2306"/>
      <c r="N77" s="2307"/>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-79588</v>
      </c>
      <c r="C78" s="23">
        <f>IF(AND('Part VII-Pro Forma'!$G$8="Yes",'Part VII-Pro Forma'!$G$9="Yes"),"Choose One!",IF('Part VII-Pro Forma'!$G$8="Yes",ROUND((-$K$8*(1+'Part VII-Pro Forma'!$B$6)^('Part VII-Pro Forma'!C71-1)),),IF('Part VII-Pro Forma'!$G$9="Yes",ROUND((-(SUM(C72:C75)*'Part VII-Pro Forma'!$K$9)),),"Choose mgt fee")))</f>
        <v>-81179</v>
      </c>
      <c r="D78" s="23">
        <f>IF(AND('Part VII-Pro Forma'!$G$8="Yes",'Part VII-Pro Forma'!$G$9="Yes"),"Choose One!",IF('Part VII-Pro Forma'!$G$8="Yes",ROUND((-$K$8*(1+'Part VII-Pro Forma'!$B$6)^('Part VII-Pro Forma'!D71-1)),),IF('Part VII-Pro Forma'!$G$9="Yes",ROUND((-(SUM(D72:D75)*'Part VII-Pro Forma'!$K$9)),),"Choose mgt fee")))</f>
        <v>-82803</v>
      </c>
      <c r="E78" s="23">
        <f>IF(AND('Part VII-Pro Forma'!$G$8="Yes",'Part VII-Pro Forma'!$G$9="Yes"),"Choose One!",IF('Part VII-Pro Forma'!$G$8="Yes",ROUND((-$K$8*(1+'Part VII-Pro Forma'!$B$6)^('Part VII-Pro Forma'!E71-1)),),IF('Part VII-Pro Forma'!$G$9="Yes",ROUND((-(SUM(E72:E75)*'Part VII-Pro Forma'!$K$9)),),"Choose mgt fee")))</f>
        <v>-84459</v>
      </c>
      <c r="F78" s="23">
        <f>IF(AND('Part VII-Pro Forma'!$G$8="Yes",'Part VII-Pro Forma'!$G$9="Yes"),"Choose One!",IF('Part VII-Pro Forma'!$G$8="Yes",ROUND((-$K$8*(1+'Part VII-Pro Forma'!$B$6)^('Part VII-Pro Forma'!F71-1)),),IF('Part VII-Pro Forma'!$G$9="Yes",ROUND((-(SUM(F72:F75)*'Part VII-Pro Forma'!$K$9)),),"Choose mgt fee")))</f>
        <v>-86148</v>
      </c>
      <c r="G78" s="23">
        <f>IF(AND('Part VII-Pro Forma'!$G$8="Yes",'Part VII-Pro Forma'!$G$9="Yes"),"Choose One!",IF('Part VII-Pro Forma'!$G$8="Yes",ROUND((-$K$8*(1+'Part VII-Pro Forma'!$B$6)^('Part VII-Pro Forma'!G71-1)),),IF('Part VII-Pro Forma'!$G$9="Yes",ROUND((-(SUM(G72:G75)*'Part VII-Pro Forma'!$K$9)),),"Choose mgt fee")))</f>
        <v>-87871</v>
      </c>
      <c r="H78" s="23">
        <f>IF(AND('Part VII-Pro Forma'!$G$8="Yes",'Part VII-Pro Forma'!$G$9="Yes"),"Choose One!",IF('Part VII-Pro Forma'!$G$8="Yes",ROUND((-$K$8*(1+'Part VII-Pro Forma'!$B$6)^('Part VII-Pro Forma'!H71-1)),),IF('Part VII-Pro Forma'!$G$9="Yes",ROUND((-(SUM(H72:H75)*'Part VII-Pro Forma'!$K$9)),),"Choose mgt fee")))</f>
        <v>-89629</v>
      </c>
      <c r="I78" s="23">
        <f>IF(AND('Part VII-Pro Forma'!$G$8="Yes",'Part VII-Pro Forma'!$G$9="Yes"),"Choose One!",IF('Part VII-Pro Forma'!$G$8="Yes",ROUND((-$K$8*(1+'Part VII-Pro Forma'!$B$6)^('Part VII-Pro Forma'!I71-1)),),IF('Part VII-Pro Forma'!$G$9="Yes",ROUND((-(SUM(I72:I75)*'Part VII-Pro Forma'!$K$9)),),"Choose mgt fee")))</f>
        <v>-91421</v>
      </c>
      <c r="J78" s="23">
        <f>IF(AND('Part VII-Pro Forma'!$G$8="Yes",'Part VII-Pro Forma'!$G$9="Yes"),"Choose One!",IF('Part VII-Pro Forma'!$G$8="Yes",ROUND((-$K$8*(1+'Part VII-Pro Forma'!$B$6)^('Part VII-Pro Forma'!J71-1)),),IF('Part VII-Pro Forma'!$G$9="Yes",ROUND((-(SUM(J72:J75)*'Part VII-Pro Forma'!$K$9)),),"Choose mgt fee")))</f>
        <v>-93250</v>
      </c>
      <c r="K78" s="23">
        <f>IF(AND('Part VII-Pro Forma'!$G$8="Yes",'Part VII-Pro Forma'!$G$9="Yes"),"Choose One!",IF('Part VII-Pro Forma'!$G$8="Yes",ROUND((-$K$8*(1+'Part VII-Pro Forma'!$B$6)^('Part VII-Pro Forma'!K71-1)),),IF('Part VII-Pro Forma'!$G$9="Yes",ROUND((-(SUM(K72:K75)*'Part VII-Pro Forma'!$K$9)),),"Choose mgt fee")))</f>
        <v>-95115</v>
      </c>
      <c r="M78" s="2306"/>
      <c r="N78" s="2307"/>
    </row>
    <row r="79" spans="1:14" ht="13.15" customHeight="1">
      <c r="A79" s="22" t="s">
        <v>1260</v>
      </c>
      <c r="B79" s="23">
        <f t="shared" ref="B79:K79" si="33">$B$21*(1+$B$7)^(B71-1)</f>
        <v>-43346.669632065918</v>
      </c>
      <c r="C79" s="23">
        <f t="shared" si="33"/>
        <v>-44647.069721027889</v>
      </c>
      <c r="D79" s="23">
        <f t="shared" si="33"/>
        <v>-45986.481812658734</v>
      </c>
      <c r="E79" s="23">
        <f t="shared" si="33"/>
        <v>-47366.076267038494</v>
      </c>
      <c r="F79" s="23">
        <f t="shared" si="33"/>
        <v>-48787.058555049647</v>
      </c>
      <c r="G79" s="23">
        <f t="shared" si="33"/>
        <v>-50250.670311701135</v>
      </c>
      <c r="H79" s="23">
        <f t="shared" si="33"/>
        <v>-51758.190421052175</v>
      </c>
      <c r="I79" s="23">
        <f t="shared" si="33"/>
        <v>-53310.936133683732</v>
      </c>
      <c r="J79" s="23">
        <f t="shared" si="33"/>
        <v>-54910.264217694246</v>
      </c>
      <c r="K79" s="24">
        <f t="shared" si="33"/>
        <v>-56557.572144225065</v>
      </c>
      <c r="M79" s="2306"/>
      <c r="N79" s="2307"/>
    </row>
    <row r="80" spans="1:14" ht="13.15" customHeight="1">
      <c r="A80" s="22" t="s">
        <v>1261</v>
      </c>
      <c r="B80" s="23">
        <f t="shared" ref="B80:K80" si="34">SUM(B72:B79)</f>
        <v>91733.75755045237</v>
      </c>
      <c r="C80" s="23">
        <f t="shared" si="34"/>
        <v>86439.333808143361</v>
      </c>
      <c r="D80" s="23">
        <f t="shared" si="34"/>
        <v>80823.945824188631</v>
      </c>
      <c r="E80" s="23">
        <f t="shared" si="34"/>
        <v>74876.417440751073</v>
      </c>
      <c r="F80" s="23">
        <f t="shared" si="34"/>
        <v>68583.136470647587</v>
      </c>
      <c r="G80" s="23">
        <f t="shared" si="34"/>
        <v>61930.040201574448</v>
      </c>
      <c r="H80" s="23">
        <f t="shared" si="34"/>
        <v>54902.600437164758</v>
      </c>
      <c r="I80" s="23">
        <f t="shared" si="34"/>
        <v>47487.808060414085</v>
      </c>
      <c r="J80" s="23">
        <f t="shared" si="34"/>
        <v>39668.157104563827</v>
      </c>
      <c r="K80" s="24">
        <f t="shared" si="34"/>
        <v>31429.628316084098</v>
      </c>
      <c r="M80" s="2306"/>
      <c r="N80" s="2307"/>
    </row>
    <row r="81" spans="1:14" ht="13.15" customHeight="1">
      <c r="A81" s="22" t="str">
        <f>$A52</f>
        <v>Mortgage A</v>
      </c>
      <c r="B81" s="2419">
        <f>IF('Part III-Sources of Funds'!$N$36="", 0,-'Part III-Sources of Funds'!$N$36)*0</f>
        <v>0</v>
      </c>
      <c r="C81" s="2419">
        <f>IF('Part III-Sources of Funds'!$N$36="", 0,-'Part III-Sources of Funds'!$N$36)*0</f>
        <v>0</v>
      </c>
      <c r="D81" s="2419">
        <f>IF('Part III-Sources of Funds'!$N$36="", 0,-'Part III-Sources of Funds'!$N$36)*0</f>
        <v>0</v>
      </c>
      <c r="E81" s="2419">
        <f>IF('Part III-Sources of Funds'!$N$36="", 0,-'Part III-Sources of Funds'!$N$36)*0</f>
        <v>0</v>
      </c>
      <c r="F81" s="2419">
        <f>IF('Part III-Sources of Funds'!$N$36="", 0,-'Part III-Sources of Funds'!$N$36)*0</f>
        <v>0</v>
      </c>
      <c r="G81" s="2419">
        <f>IF('Part III-Sources of Funds'!$N$36="", 0,-'Part III-Sources of Funds'!$N$36)*0</f>
        <v>0</v>
      </c>
      <c r="H81" s="2419">
        <f>IF('Part III-Sources of Funds'!$N$36="", 0,-'Part III-Sources of Funds'!$N$36)*0</f>
        <v>0</v>
      </c>
      <c r="I81" s="2419">
        <f>IF('Part III-Sources of Funds'!$N$36="", 0,-'Part III-Sources of Funds'!$N$36)*0</f>
        <v>0</v>
      </c>
      <c r="J81" s="2419">
        <f>IF('Part III-Sources of Funds'!$N$36="", 0,-'Part III-Sources of Funds'!$N$36)*0</f>
        <v>0</v>
      </c>
      <c r="K81" s="2419">
        <f>IF('Part III-Sources of Funds'!$N$36="", 0,-'Part III-Sources of Funds'!$N$36)*0</f>
        <v>0</v>
      </c>
      <c r="M81" s="2306"/>
      <c r="N81" s="2307"/>
    </row>
    <row r="82" spans="1:14" ht="13.15" customHeight="1">
      <c r="A82" s="22" t="str">
        <f>$A53</f>
        <v>Mortgage B</v>
      </c>
      <c r="B82" s="2420">
        <f>IF('Part III-Sources of Funds'!$N$37="", 0,-'Part III-Sources of Funds'!$N$37)</f>
        <v>0</v>
      </c>
      <c r="C82" s="2420">
        <f>IF('Part III-Sources of Funds'!$N$37="", 0,-'Part III-Sources of Funds'!$N$37)</f>
        <v>0</v>
      </c>
      <c r="D82" s="2420">
        <f>IF('Part III-Sources of Funds'!$N$37="", 0,-'Part III-Sources of Funds'!$N$37)</f>
        <v>0</v>
      </c>
      <c r="E82" s="2420">
        <f>IF('Part III-Sources of Funds'!$N$37="", 0,-'Part III-Sources of Funds'!$N$37)</f>
        <v>0</v>
      </c>
      <c r="F82" s="2420">
        <f>IF('Part III-Sources of Funds'!$N$37="", 0,-'Part III-Sources of Funds'!$N$37)</f>
        <v>0</v>
      </c>
      <c r="G82" s="2420">
        <f>IF('Part III-Sources of Funds'!$N$37="", 0,-'Part III-Sources of Funds'!$N$37)</f>
        <v>0</v>
      </c>
      <c r="H82" s="2420">
        <f>IF('Part III-Sources of Funds'!$N$37="", 0,-'Part III-Sources of Funds'!$N$37)</f>
        <v>0</v>
      </c>
      <c r="I82" s="2420">
        <f>IF('Part III-Sources of Funds'!$N$37="", 0,-'Part III-Sources of Funds'!$N$37)</f>
        <v>0</v>
      </c>
      <c r="J82" s="2420">
        <f>IF('Part III-Sources of Funds'!$N$37="", 0,-'Part III-Sources of Funds'!$N$37)</f>
        <v>0</v>
      </c>
      <c r="K82" s="2420">
        <f>IF('Part III-Sources of Funds'!$N$37="", 0,-'Part III-Sources of Funds'!$N$37)</f>
        <v>0</v>
      </c>
      <c r="M82" s="2306"/>
      <c r="N82" s="2307"/>
    </row>
    <row r="83" spans="1:14" ht="13.15" customHeight="1">
      <c r="A83" s="22" t="str">
        <f>$A54</f>
        <v>Mortgage C</v>
      </c>
      <c r="B83" s="2420">
        <f>IF('Part III-Sources of Funds'!$N$38="", 0,-'Part III-Sources of Funds'!$N$38)</f>
        <v>0</v>
      </c>
      <c r="C83" s="2420">
        <f>IF('Part III-Sources of Funds'!$N$38="", 0,-'Part III-Sources of Funds'!$N$38)</f>
        <v>0</v>
      </c>
      <c r="D83" s="2420">
        <f>IF('Part III-Sources of Funds'!$N$38="", 0,-'Part III-Sources of Funds'!$N$38)</f>
        <v>0</v>
      </c>
      <c r="E83" s="2420">
        <f>IF('Part III-Sources of Funds'!$N$38="", 0,-'Part III-Sources of Funds'!$N$38)</f>
        <v>0</v>
      </c>
      <c r="F83" s="2420">
        <f>IF('Part III-Sources of Funds'!$N$38="", 0,-'Part III-Sources of Funds'!$N$38)</f>
        <v>0</v>
      </c>
      <c r="G83" s="2420">
        <f>IF('Part III-Sources of Funds'!$N$38="", 0,-'Part III-Sources of Funds'!$N$38)</f>
        <v>0</v>
      </c>
      <c r="H83" s="2420">
        <f>IF('Part III-Sources of Funds'!$N$38="", 0,-'Part III-Sources of Funds'!$N$38)</f>
        <v>0</v>
      </c>
      <c r="I83" s="2420">
        <f>IF('Part III-Sources of Funds'!$N$38="", 0,-'Part III-Sources of Funds'!$N$38)</f>
        <v>0</v>
      </c>
      <c r="J83" s="2420">
        <f>IF('Part III-Sources of Funds'!$N$38="", 0,-'Part III-Sources of Funds'!$N$38)</f>
        <v>0</v>
      </c>
      <c r="K83" s="2420">
        <f>IF('Part III-Sources of Funds'!$N$38="", 0,-'Part III-Sources of Funds'!$N$38)</f>
        <v>0</v>
      </c>
      <c r="M83" s="2306"/>
      <c r="N83" s="2307"/>
    </row>
    <row r="84" spans="1:14" ht="13.15" customHeight="1">
      <c r="A84" s="22" t="str">
        <f>$A55</f>
        <v>D/S Other Source</v>
      </c>
      <c r="B84" s="2420">
        <f>IF('Part III-Sources of Funds'!$N$39="", 0,-'Part III-Sources of Funds'!$N$39)</f>
        <v>0</v>
      </c>
      <c r="C84" s="2420">
        <f>IF('Part III-Sources of Funds'!$N$39="", 0,-'Part III-Sources of Funds'!$N$39)</f>
        <v>0</v>
      </c>
      <c r="D84" s="2420">
        <f>IF('Part III-Sources of Funds'!$N$39="", 0,-'Part III-Sources of Funds'!$N$39)</f>
        <v>0</v>
      </c>
      <c r="E84" s="2420">
        <f>IF('Part III-Sources of Funds'!$N$39="", 0,-'Part III-Sources of Funds'!$N$39)</f>
        <v>0</v>
      </c>
      <c r="F84" s="2420">
        <f>IF('Part III-Sources of Funds'!$N$39="", 0,-'Part III-Sources of Funds'!$N$39)</f>
        <v>0</v>
      </c>
      <c r="G84" s="2420">
        <f>IF('Part III-Sources of Funds'!$N$39="", 0,-'Part III-Sources of Funds'!$N$39)</f>
        <v>0</v>
      </c>
      <c r="H84" s="2420">
        <f>IF('Part III-Sources of Funds'!$N$39="", 0,-'Part III-Sources of Funds'!$N$39)</f>
        <v>0</v>
      </c>
      <c r="I84" s="2420">
        <f>IF('Part III-Sources of Funds'!$N$39="", 0,-'Part III-Sources of Funds'!$N$39)</f>
        <v>0</v>
      </c>
      <c r="J84" s="2420">
        <f>IF('Part III-Sources of Funds'!$N$39="", 0,-'Part III-Sources of Funds'!$N$39)</f>
        <v>0</v>
      </c>
      <c r="K84" s="2420">
        <f>IF('Part III-Sources of Funds'!$N$39="", 0,-'Part III-Sources of Funds'!$N$39)</f>
        <v>0</v>
      </c>
      <c r="M84" s="2306"/>
      <c r="N84" s="2307"/>
    </row>
    <row r="85" spans="1:14" ht="13.15" customHeight="1">
      <c r="A85" s="22" t="s">
        <v>804</v>
      </c>
      <c r="B85" s="2421"/>
      <c r="C85" s="2421"/>
      <c r="D85" s="2421"/>
      <c r="E85" s="2421"/>
      <c r="F85" s="2421"/>
      <c r="G85" s="2421"/>
      <c r="H85" s="2421"/>
      <c r="I85" s="2421"/>
      <c r="J85" s="2421"/>
      <c r="K85" s="2421"/>
      <c r="M85" s="2306"/>
      <c r="N85" s="2307"/>
    </row>
    <row r="86" spans="1:14" ht="13.15" customHeight="1">
      <c r="A86" s="22" t="s">
        <v>1219</v>
      </c>
      <c r="B86" s="2420">
        <f>+K57</f>
        <v>-4500</v>
      </c>
      <c r="C86" s="2420">
        <f t="shared" ref="C86:K86" si="35">+B86</f>
        <v>-4500</v>
      </c>
      <c r="D86" s="2420">
        <f t="shared" si="35"/>
        <v>-4500</v>
      </c>
      <c r="E86" s="2420">
        <f t="shared" si="35"/>
        <v>-4500</v>
      </c>
      <c r="F86" s="2420">
        <f t="shared" si="35"/>
        <v>-4500</v>
      </c>
      <c r="G86" s="2420">
        <f t="shared" si="35"/>
        <v>-4500</v>
      </c>
      <c r="H86" s="2420">
        <f t="shared" si="35"/>
        <v>-4500</v>
      </c>
      <c r="I86" s="2420">
        <f t="shared" si="35"/>
        <v>-4500</v>
      </c>
      <c r="J86" s="2420">
        <f t="shared" si="35"/>
        <v>-4500</v>
      </c>
      <c r="K86" s="2420">
        <f t="shared" si="35"/>
        <v>-4500</v>
      </c>
      <c r="M86" s="2306"/>
      <c r="N86" s="2307"/>
    </row>
    <row r="87" spans="1:14" ht="13.15" customHeight="1">
      <c r="A87" s="22" t="s">
        <v>1262</v>
      </c>
      <c r="B87" s="2422">
        <f>IF('Part III-Sources of Funds'!$N$41="", 0,-'Part III-Sources of Funds'!$N$41)</f>
        <v>0</v>
      </c>
      <c r="C87" s="2422">
        <f>IF('Part III-Sources of Funds'!$N$41="", 0,-'Part III-Sources of Funds'!$N$41)</f>
        <v>0</v>
      </c>
      <c r="D87" s="2422">
        <f>IF('Part III-Sources of Funds'!$N$41="", 0,-'Part III-Sources of Funds'!$N$41)</f>
        <v>0</v>
      </c>
      <c r="E87" s="2422">
        <f>IF('Part III-Sources of Funds'!$N$41="", 0,-'Part III-Sources of Funds'!$N$41)</f>
        <v>0</v>
      </c>
      <c r="F87" s="2422">
        <f>IF('Part III-Sources of Funds'!$N$41="", 0,-'Part III-Sources of Funds'!$N$41)</f>
        <v>0</v>
      </c>
      <c r="G87" s="2422">
        <f>IF('Part III-Sources of Funds'!$N$41="", 0,-'Part III-Sources of Funds'!$N$41)</f>
        <v>0</v>
      </c>
      <c r="H87" s="2422">
        <f>IF('Part III-Sources of Funds'!$N$41="", 0,-'Part III-Sources of Funds'!$N$41)</f>
        <v>0</v>
      </c>
      <c r="I87" s="2422">
        <f>IF('Part III-Sources of Funds'!$N$41="", 0,-'Part III-Sources of Funds'!$N$41)</f>
        <v>0</v>
      </c>
      <c r="J87" s="2422">
        <f>IF('Part III-Sources of Funds'!$N$41="", 0,-'Part III-Sources of Funds'!$N$41)</f>
        <v>0</v>
      </c>
      <c r="K87" s="2420">
        <f>IF('Part III-Sources of Funds'!$N$41="", 0,-'Part III-Sources of Funds'!$N$41)</f>
        <v>0</v>
      </c>
      <c r="M87" s="2306"/>
      <c r="N87" s="2307"/>
    </row>
    <row r="88" spans="1:14" ht="13.15" customHeight="1">
      <c r="A88" s="22" t="s">
        <v>1220</v>
      </c>
      <c r="B88" s="23">
        <f t="shared" ref="B88:K88" si="36">SUM(B80:B87)</f>
        <v>87233.75755045237</v>
      </c>
      <c r="C88" s="23">
        <f t="shared" si="36"/>
        <v>81939.333808143361</v>
      </c>
      <c r="D88" s="23">
        <f t="shared" si="36"/>
        <v>76323.945824188631</v>
      </c>
      <c r="E88" s="23">
        <f t="shared" si="36"/>
        <v>70376.417440751073</v>
      </c>
      <c r="F88" s="23">
        <f t="shared" si="36"/>
        <v>64083.136470647587</v>
      </c>
      <c r="G88" s="23">
        <f t="shared" si="36"/>
        <v>57430.040201574448</v>
      </c>
      <c r="H88" s="23">
        <f t="shared" si="36"/>
        <v>50402.600437164758</v>
      </c>
      <c r="I88" s="23">
        <f t="shared" si="36"/>
        <v>42987.808060414085</v>
      </c>
      <c r="J88" s="23">
        <f t="shared" si="36"/>
        <v>35168.157104563827</v>
      </c>
      <c r="K88" s="21">
        <f t="shared" si="36"/>
        <v>26929.628316084098</v>
      </c>
      <c r="M88" s="2306"/>
      <c r="N88" s="2307"/>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306"/>
      <c r="N89" s="2307"/>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306"/>
      <c r="N90" s="2307"/>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306"/>
      <c r="N91" s="2307"/>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306"/>
      <c r="N92" s="2307"/>
    </row>
    <row r="93" spans="1:14" ht="13.15" customHeight="1">
      <c r="A93" s="22" t="s">
        <v>811</v>
      </c>
      <c r="B93" s="296">
        <f>IF(OR(B78="Choose mgt fee",B78="Choose One!"),"",(B72+B73+B74+B75+B76) / -(B77+B78+B79))</f>
        <v>1.1157415842045852</v>
      </c>
      <c r="C93" s="296">
        <f t="shared" ref="C93:K93" si="41">IF(OR(C78="Choose mgt fee",C78="Choose One!"),"",(C72+C73+C74+C75+C76) / -(C77+C78+C79))</f>
        <v>1.105988425556482</v>
      </c>
      <c r="D93" s="296">
        <f t="shared" si="41"/>
        <v>1.0963095909588043</v>
      </c>
      <c r="E93" s="296">
        <f t="shared" si="41"/>
        <v>1.0867068840149645</v>
      </c>
      <c r="F93" s="296">
        <f t="shared" si="41"/>
        <v>1.077179383988959</v>
      </c>
      <c r="G93" s="296">
        <f t="shared" si="41"/>
        <v>1.067726252193187</v>
      </c>
      <c r="H93" s="296">
        <f t="shared" si="41"/>
        <v>1.0583467235964166</v>
      </c>
      <c r="I93" s="296">
        <f t="shared" si="41"/>
        <v>1.0490422658576339</v>
      </c>
      <c r="J93" s="296">
        <f t="shared" si="41"/>
        <v>1.0398099125174534</v>
      </c>
      <c r="K93" s="297">
        <f t="shared" si="41"/>
        <v>1.0306510945348279</v>
      </c>
      <c r="M93" s="2306"/>
      <c r="N93" s="2307"/>
    </row>
    <row r="94" spans="1:14" ht="13.15" customHeight="1">
      <c r="A94" s="473" t="s">
        <v>2745</v>
      </c>
      <c r="B94" s="2423">
        <f>IF('Part III-Sources of Funds'!$I$36="","",-FV('Part III-Sources of Funds'!$K$36/12,12,B81/12,K65))</f>
        <v>6.2485575006609545E-8</v>
      </c>
      <c r="C94" s="2423">
        <f>IF('Part III-Sources of Funds'!$I$36="","",-FV('Part III-Sources of Funds'!$K$36/12,12,C81/12,B94))</f>
        <v>6.6339548546112156E-8</v>
      </c>
      <c r="D94" s="2423">
        <f>IF('Part III-Sources of Funds'!$I$36="","",-FV('Part III-Sources of Funds'!$K$36/12,12,D81/12,C94))</f>
        <v>7.0431226740514971E-8</v>
      </c>
      <c r="E94" s="2423">
        <f>IF('Part III-Sources of Funds'!$I$36="","",-FV('Part III-Sources of Funds'!$K$36/12,12,E81/12,D94))</f>
        <v>7.477527069280223E-8</v>
      </c>
      <c r="F94" s="2423">
        <f>IF('Part III-Sources of Funds'!$I$36="","",-FV('Part III-Sources of Funds'!$K$36/12,12,F81/12,E94))</f>
        <v>7.938724577070977E-8</v>
      </c>
      <c r="G94" s="2423">
        <f>IF('Part III-Sources of Funds'!$I$36="","",-FV('Part III-Sources of Funds'!$K$36/12,12,G81/12,F94))</f>
        <v>8.4283677379796241E-8</v>
      </c>
      <c r="H94" s="2423">
        <f>IF('Part III-Sources of Funds'!$I$36="","",-FV('Part III-Sources of Funds'!$K$36/12,12,H81/12,G94))</f>
        <v>8.9482110176475326E-8</v>
      </c>
      <c r="I94" s="2423">
        <f>IF('Part III-Sources of Funds'!$I$36="","",-FV('Part III-Sources of Funds'!$K$36/12,12,I81/12,H94))</f>
        <v>9.5001170933178222E-8</v>
      </c>
      <c r="J94" s="2423">
        <f>IF('Part III-Sources of Funds'!$I$36="","",-FV('Part III-Sources of Funds'!$K$36/12,12,J81/12,I94))</f>
        <v>1.0086063528090177E-7</v>
      </c>
      <c r="K94" s="2423">
        <f>IF('Part III-Sources of Funds'!$I$36="","",-FV('Part III-Sources of Funds'!$K$36/12,12,K81/12,J94))</f>
        <v>1.0708149856829093E-7</v>
      </c>
      <c r="M94" s="2306"/>
      <c r="N94" s="2307"/>
    </row>
    <row r="95" spans="1:14" ht="13.15" customHeight="1">
      <c r="A95" s="473" t="s">
        <v>2746</v>
      </c>
      <c r="B95" s="2420" t="str">
        <f>IF('Part III-Sources of Funds'!$I$37="","",-FV('Part III-Sources of Funds'!$K$37/12,12,B82/12,K66))</f>
        <v/>
      </c>
      <c r="C95" s="2420" t="str">
        <f>IF('Part III-Sources of Funds'!$I$37="","",-FV('Part III-Sources of Funds'!$K$37/12,12,C82/12,B95))</f>
        <v/>
      </c>
      <c r="D95" s="2420" t="str">
        <f>IF('Part III-Sources of Funds'!$I$37="","",-FV('Part III-Sources of Funds'!$K$37/12,12,D82/12,C95))</f>
        <v/>
      </c>
      <c r="E95" s="2420" t="str">
        <f>IF('Part III-Sources of Funds'!$I$37="","",-FV('Part III-Sources of Funds'!$K$37/12,12,E82/12,D95))</f>
        <v/>
      </c>
      <c r="F95" s="2420" t="str">
        <f>IF('Part III-Sources of Funds'!$I$37="","",-FV('Part III-Sources of Funds'!$K$37/12,12,F82/12,E95))</f>
        <v/>
      </c>
      <c r="G95" s="2420" t="str">
        <f>IF('Part III-Sources of Funds'!$I$37="","",-FV('Part III-Sources of Funds'!$K$37/12,12,G82/12,F95))</f>
        <v/>
      </c>
      <c r="H95" s="2420" t="str">
        <f>IF('Part III-Sources of Funds'!$I$37="","",-FV('Part III-Sources of Funds'!$K$37/12,12,H82/12,G95))</f>
        <v/>
      </c>
      <c r="I95" s="2420" t="str">
        <f>IF('Part III-Sources of Funds'!$I$37="","",-FV('Part III-Sources of Funds'!$K$37/12,12,I82/12,H95))</f>
        <v/>
      </c>
      <c r="J95" s="2420" t="str">
        <f>IF('Part III-Sources of Funds'!$I$37="","",-FV('Part III-Sources of Funds'!$K$37/12,12,J82/12,I95))</f>
        <v/>
      </c>
      <c r="K95" s="2420" t="str">
        <f>IF('Part III-Sources of Funds'!$I$37="","",-FV('Part III-Sources of Funds'!$K$37/12,12,K82/12,J95))</f>
        <v/>
      </c>
      <c r="M95" s="2306"/>
      <c r="N95" s="2307"/>
    </row>
    <row r="96" spans="1:14" ht="13.15" customHeight="1">
      <c r="A96" s="473" t="s">
        <v>2747</v>
      </c>
      <c r="B96" s="2420" t="str">
        <f>IF('Part III-Sources of Funds'!$I$38="","",-FV('Part III-Sources of Funds'!$K$38/12,12,B83/12,K67))</f>
        <v/>
      </c>
      <c r="C96" s="2420" t="str">
        <f>IF('Part III-Sources of Funds'!$I$38="","",-FV('Part III-Sources of Funds'!$K$38/12,12,C83/12,B96))</f>
        <v/>
      </c>
      <c r="D96" s="2420" t="str">
        <f>IF('Part III-Sources of Funds'!$I$38="","",-FV('Part III-Sources of Funds'!$K$38/12,12,D83/12,C96))</f>
        <v/>
      </c>
      <c r="E96" s="2420" t="str">
        <f>IF('Part III-Sources of Funds'!$I$38="","",-FV('Part III-Sources of Funds'!$K$38/12,12,E83/12,D96))</f>
        <v/>
      </c>
      <c r="F96" s="2420" t="str">
        <f>IF('Part III-Sources of Funds'!$I$38="","",-FV('Part III-Sources of Funds'!$K$38/12,12,F83/12,E96))</f>
        <v/>
      </c>
      <c r="G96" s="2420" t="str">
        <f>IF('Part III-Sources of Funds'!$I$38="","",-FV('Part III-Sources of Funds'!$K$38/12,12,G83/12,F96))</f>
        <v/>
      </c>
      <c r="H96" s="2420" t="str">
        <f>IF('Part III-Sources of Funds'!$I$38="","",-FV('Part III-Sources of Funds'!$K$38/12,12,H83/12,G96))</f>
        <v/>
      </c>
      <c r="I96" s="2420" t="str">
        <f>IF('Part III-Sources of Funds'!$I$38="","",-FV('Part III-Sources of Funds'!$K$38/12,12,I83/12,H96))</f>
        <v/>
      </c>
      <c r="J96" s="2420" t="str">
        <f>IF('Part III-Sources of Funds'!$I$38="","",-FV('Part III-Sources of Funds'!$K$38/12,12,J83/12,I96))</f>
        <v/>
      </c>
      <c r="K96" s="2420" t="str">
        <f>IF('Part III-Sources of Funds'!$I$38="","",-FV('Part III-Sources of Funds'!$K$38/12,12,K83/12,J96))</f>
        <v/>
      </c>
      <c r="M96" s="2306"/>
      <c r="N96" s="2307"/>
    </row>
    <row r="97" spans="1:14" ht="13.15" customHeight="1">
      <c r="A97" s="22" t="s">
        <v>826</v>
      </c>
      <c r="B97" s="2420" t="str">
        <f>IF('Part III-Sources of Funds'!$I$39="","",-FV('Part III-Sources of Funds'!$K$39/12,12,B84/12,K68))</f>
        <v/>
      </c>
      <c r="C97" s="2420" t="str">
        <f>IF('Part III-Sources of Funds'!$I$39="","",-FV('Part III-Sources of Funds'!$K$39/12,12,C84/12,B97))</f>
        <v/>
      </c>
      <c r="D97" s="2420" t="str">
        <f>IF('Part III-Sources of Funds'!$I$39="","",-FV('Part III-Sources of Funds'!$K$39/12,12,D84/12,C97))</f>
        <v/>
      </c>
      <c r="E97" s="2420" t="str">
        <f>IF('Part III-Sources of Funds'!$I$39="","",-FV('Part III-Sources of Funds'!$K$39/12,12,E84/12,D97))</f>
        <v/>
      </c>
      <c r="F97" s="2420" t="str">
        <f>IF('Part III-Sources of Funds'!$I$39="","",-FV('Part III-Sources of Funds'!$K$39/12,12,F84/12,E97))</f>
        <v/>
      </c>
      <c r="G97" s="2420" t="str">
        <f>IF('Part III-Sources of Funds'!$I$39="","",-FV('Part III-Sources of Funds'!$K$39/12,12,G84/12,F97))</f>
        <v/>
      </c>
      <c r="H97" s="2420" t="str">
        <f>IF('Part III-Sources of Funds'!$I$39="","",-FV('Part III-Sources of Funds'!$K$39/12,12,H84/12,G97))</f>
        <v/>
      </c>
      <c r="I97" s="2420" t="str">
        <f>IF('Part III-Sources of Funds'!$I$39="","",-FV('Part III-Sources of Funds'!$K$39/12,12,I84/12,H97))</f>
        <v/>
      </c>
      <c r="J97" s="2420" t="str">
        <f>IF('Part III-Sources of Funds'!$I$39="","",-FV('Part III-Sources of Funds'!$K$39/12,12,J84/12,I97))</f>
        <v/>
      </c>
      <c r="K97" s="2420" t="str">
        <f>IF('Part III-Sources of Funds'!$I$39="","",-FV('Part III-Sources of Funds'!$K$39/12,12,K84/12,J97))</f>
        <v/>
      </c>
      <c r="M97" s="2306"/>
      <c r="N97" s="2307"/>
    </row>
    <row r="98" spans="1:14" ht="13.15" customHeight="1">
      <c r="A98" s="27" t="s">
        <v>1297</v>
      </c>
      <c r="B98" s="2422" t="str">
        <f>IF('Part III-Sources of Funds'!$I$41="","",-FV('Part III-Sources of Funds'!$K$41/12,12,B87/12,K69))</f>
        <v/>
      </c>
      <c r="C98" s="2422" t="str">
        <f>IF('Part III-Sources of Funds'!$I$41="","",-FV('Part III-Sources of Funds'!$K$41/12,12,C87/12,B98))</f>
        <v/>
      </c>
      <c r="D98" s="2422" t="str">
        <f>IF('Part III-Sources of Funds'!$I$41="","",-FV('Part III-Sources of Funds'!$K$41/12,12,D87/12,C98))</f>
        <v/>
      </c>
      <c r="E98" s="2422" t="str">
        <f>IF('Part III-Sources of Funds'!$I$41="","",-FV('Part III-Sources of Funds'!$K$41/12,12,E87/12,D98))</f>
        <v/>
      </c>
      <c r="F98" s="2422" t="str">
        <f>IF('Part III-Sources of Funds'!$I$41="","",-FV('Part III-Sources of Funds'!$K$41/12,12,F87/12,E98))</f>
        <v/>
      </c>
      <c r="G98" s="2422" t="str">
        <f>IF('Part III-Sources of Funds'!$I$41="","",-FV('Part III-Sources of Funds'!$K$41/12,12,G87/12,F98))</f>
        <v/>
      </c>
      <c r="H98" s="2422" t="str">
        <f>IF('Part III-Sources of Funds'!$I$41="","",-FV('Part III-Sources of Funds'!$K$41/12,12,H87/12,G98))</f>
        <v/>
      </c>
      <c r="I98" s="2422" t="str">
        <f>IF('Part III-Sources of Funds'!$I$41="","",-FV('Part III-Sources of Funds'!$K$41/12,12,I87/12,H98))</f>
        <v/>
      </c>
      <c r="J98" s="2422" t="str">
        <f>IF('Part III-Sources of Funds'!$I$41="","",-FV('Part III-Sources of Funds'!$K$41/12,12,J87/12,I98))</f>
        <v/>
      </c>
      <c r="K98" s="2422" t="str">
        <f>IF('Part III-Sources of Funds'!$I$41="","",-FV('Part III-Sources of Funds'!$K$41/12,12,K87/12,J98))</f>
        <v/>
      </c>
      <c r="M98" s="2309"/>
      <c r="N98" s="2310"/>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397" t="s">
        <v>2751</v>
      </c>
      <c r="N100" s="1397"/>
    </row>
    <row r="101" spans="1:14" ht="13.15" customHeight="1">
      <c r="A101" s="19" t="s">
        <v>2522</v>
      </c>
      <c r="B101" s="20">
        <f>$B$14*(1+$B$5)^(B100-1)</f>
        <v>1136375.8034030797</v>
      </c>
      <c r="C101" s="20">
        <f>$B$14*(1+$B$5)^(C100-1)</f>
        <v>1159103.3194711411</v>
      </c>
      <c r="D101" s="20">
        <f>$B$14*(1+$B$5)^(D100-1)</f>
        <v>1182285.3858605642</v>
      </c>
      <c r="E101" s="20">
        <f>$B$14*(1+$B$5)^(E100-1)</f>
        <v>1205931.0935777756</v>
      </c>
      <c r="F101" s="935">
        <f>$B$14*(1+$B$5)^(F100-1)</f>
        <v>1230049.7154493311</v>
      </c>
      <c r="G101" s="18"/>
      <c r="H101" s="18"/>
      <c r="I101" s="18"/>
      <c r="J101" s="18"/>
      <c r="K101" s="18"/>
      <c r="M101" s="2304"/>
      <c r="N101" s="2305"/>
    </row>
    <row r="102" spans="1:14" ht="13.15" customHeight="1">
      <c r="A102" s="22" t="s">
        <v>1066</v>
      </c>
      <c r="B102" s="23">
        <f>$B$15*(1+$B$5)^(B100-1)</f>
        <v>22727.516068061599</v>
      </c>
      <c r="C102" s="23">
        <f>$B$15*(1+$B$5)^(C100-1)</f>
        <v>23182.066389422824</v>
      </c>
      <c r="D102" s="23">
        <f>$B$15*(1+$B$5)^(D100-1)</f>
        <v>23645.707717211288</v>
      </c>
      <c r="E102" s="23">
        <f>$B$15*(1+$B$5)^(E100-1)</f>
        <v>24118.621871555515</v>
      </c>
      <c r="F102" s="24">
        <f>$B$15*(1+$B$5)^(F100-1)</f>
        <v>24600.994308986621</v>
      </c>
      <c r="G102" s="18"/>
      <c r="H102" s="18"/>
      <c r="I102" s="18"/>
      <c r="J102" s="18"/>
      <c r="K102" s="18"/>
      <c r="M102" s="2306"/>
      <c r="N102" s="2307"/>
    </row>
    <row r="103" spans="1:14" ht="13.15" customHeight="1">
      <c r="A103" s="22" t="s">
        <v>2523</v>
      </c>
      <c r="B103" s="23">
        <f>-(B101+B102)*$B$8</f>
        <v>-81137.232362979907</v>
      </c>
      <c r="C103" s="23">
        <f>-(C101+C102)*$B$8</f>
        <v>-82759.977010239483</v>
      </c>
      <c r="D103" s="23">
        <f>-(D101+D102)*$B$8</f>
        <v>-84415.176550444288</v>
      </c>
      <c r="E103" s="23">
        <f>-(E101+E102)*$B$8</f>
        <v>-86103.480081453192</v>
      </c>
      <c r="F103" s="24">
        <f>-(F101+F102)*$B$8</f>
        <v>-87825.549683082252</v>
      </c>
      <c r="G103" s="18"/>
      <c r="H103" s="18"/>
      <c r="I103" s="18"/>
      <c r="J103" s="18"/>
      <c r="K103" s="18"/>
      <c r="M103" s="2306"/>
      <c r="N103" s="2307"/>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06"/>
      <c r="N104" s="2307"/>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06"/>
      <c r="N105" s="2307"/>
    </row>
    <row r="106" spans="1:14" ht="13.15" customHeight="1">
      <c r="A106" s="22" t="s">
        <v>645</v>
      </c>
      <c r="B106" s="23">
        <f>$B$19*(1+$B$6)^(B100-1)</f>
        <v>-899939.11560569156</v>
      </c>
      <c r="C106" s="23">
        <f>$B$19*(1+$B$6)^(C100-1)</f>
        <v>-926937.28907386248</v>
      </c>
      <c r="D106" s="23">
        <f>$B$19*(1+$B$6)^(D100-1)</f>
        <v>-954745.40774607821</v>
      </c>
      <c r="E106" s="23">
        <f>$B$19*(1+$B$6)^(E100-1)</f>
        <v>-983387.76997846051</v>
      </c>
      <c r="F106" s="24">
        <f>$B$19*(1+$B$6)^(F100-1)</f>
        <v>-1012889.4030778143</v>
      </c>
      <c r="G106" s="18"/>
      <c r="H106" s="18"/>
      <c r="I106" s="18"/>
      <c r="J106" s="18"/>
      <c r="K106" s="18"/>
      <c r="M106" s="2306"/>
      <c r="N106" s="2307"/>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-97017</v>
      </c>
      <c r="C107" s="23">
        <f>IF(AND('Part VII-Pro Forma'!$G$8="Yes",'Part VII-Pro Forma'!$G$9="Yes"),"Choose One!",IF('Part VII-Pro Forma'!$G$8="Yes",ROUND((-$K$8*(1+'Part VII-Pro Forma'!$B$6)^('Part VII-Pro Forma'!C100-1)),),IF('Part VII-Pro Forma'!$G$9="Yes",ROUND((-(SUM(C101:C104)*'Part VII-Pro Forma'!$K$9)),),"Choose mgt fee")))</f>
        <v>-98957</v>
      </c>
      <c r="D107" s="23">
        <f>IF(AND('Part VII-Pro Forma'!$G$8="Yes",'Part VII-Pro Forma'!$G$9="Yes"),"Choose One!",IF('Part VII-Pro Forma'!$G$8="Yes",ROUND((-$K$8*(1+'Part VII-Pro Forma'!$B$6)^('Part VII-Pro Forma'!D100-1)),),IF('Part VII-Pro Forma'!$G$9="Yes",ROUND((-(SUM(D101:D104)*'Part VII-Pro Forma'!$K$9)),),"Choose mgt fee")))</f>
        <v>-100936</v>
      </c>
      <c r="E107" s="23">
        <f>IF(AND('Part VII-Pro Forma'!$G$8="Yes",'Part VII-Pro Forma'!$G$9="Yes"),"Choose One!",IF('Part VII-Pro Forma'!$G$8="Yes",ROUND((-$K$8*(1+'Part VII-Pro Forma'!$B$6)^('Part VII-Pro Forma'!E100-1)),),IF('Part VII-Pro Forma'!$G$9="Yes",ROUND((-(SUM(E101:E104)*'Part VII-Pro Forma'!$K$9)),),"Choose mgt fee")))</f>
        <v>-102955</v>
      </c>
      <c r="F107" s="24">
        <f>IF(AND('Part VII-Pro Forma'!$G$8="Yes",'Part VII-Pro Forma'!$G$9="Yes"),"Choose One!",IF('Part VII-Pro Forma'!$G$8="Yes",ROUND((-$K$8*(1+'Part VII-Pro Forma'!$B$6)^('Part VII-Pro Forma'!F100-1)),),IF('Part VII-Pro Forma'!$G$9="Yes",ROUND((-(SUM(F101:F104)*'Part VII-Pro Forma'!$K$9)),),"Choose mgt fee")))</f>
        <v>-105014</v>
      </c>
      <c r="G107" s="18"/>
      <c r="H107" s="18"/>
      <c r="I107" s="18"/>
      <c r="J107" s="18"/>
      <c r="K107" s="18"/>
      <c r="M107" s="2306"/>
      <c r="N107" s="2307"/>
    </row>
    <row r="108" spans="1:14" ht="13.15" customHeight="1">
      <c r="A108" s="22" t="s">
        <v>1260</v>
      </c>
      <c r="B108" s="23">
        <f>$B$21*(1+$B$7)^(B100-1)</f>
        <v>-58254.299308551817</v>
      </c>
      <c r="C108" s="23">
        <f>$B$21*(1+$B$7)^(C100-1)</f>
        <v>-60001.928287808383</v>
      </c>
      <c r="D108" s="23">
        <f>$B$21*(1+$B$7)^(D100-1)</f>
        <v>-61801.986136442625</v>
      </c>
      <c r="E108" s="23">
        <f>$B$21*(1+$B$7)^(E100-1)</f>
        <v>-63656.045720535905</v>
      </c>
      <c r="F108" s="24">
        <f>$B$21*(1+$B$7)^(F100-1)</f>
        <v>-65565.727092151967</v>
      </c>
      <c r="G108" s="18"/>
      <c r="H108" s="18"/>
      <c r="I108" s="18"/>
      <c r="J108" s="18"/>
      <c r="K108" s="18"/>
      <c r="M108" s="2306"/>
      <c r="N108" s="2307"/>
    </row>
    <row r="109" spans="1:14" ht="13.15" customHeight="1">
      <c r="A109" s="22" t="s">
        <v>1261</v>
      </c>
      <c r="B109" s="23">
        <f>SUM(B101:B108)</f>
        <v>22755.672193917919</v>
      </c>
      <c r="C109" s="23">
        <f>SUM(C101:C108)</f>
        <v>13629.191488653705</v>
      </c>
      <c r="D109" s="23">
        <f>SUM(D101:D108)</f>
        <v>4032.5231448103514</v>
      </c>
      <c r="E109" s="23">
        <f>SUM(E101:E108)</f>
        <v>-6052.5803311185373</v>
      </c>
      <c r="F109" s="24">
        <f>SUM(F101:F108)</f>
        <v>-16643.970094730583</v>
      </c>
      <c r="G109" s="18"/>
      <c r="H109" s="18"/>
      <c r="I109" s="18"/>
      <c r="J109" s="18"/>
      <c r="K109" s="18"/>
      <c r="M109" s="2306"/>
      <c r="N109" s="2307"/>
    </row>
    <row r="110" spans="1:14" ht="13.15" customHeight="1">
      <c r="A110" s="22" t="str">
        <f>$A81</f>
        <v>Mortgage A</v>
      </c>
      <c r="B110" s="2419">
        <f>IF('Part III-Sources of Funds'!$N$36="", 0,-'Part III-Sources of Funds'!$N$36)*0</f>
        <v>0</v>
      </c>
      <c r="C110" s="2419">
        <f>IF('Part III-Sources of Funds'!$N$36="", 0,-'Part III-Sources of Funds'!$N$36)*0</f>
        <v>0</v>
      </c>
      <c r="D110" s="2419">
        <f>IF('Part III-Sources of Funds'!$N$36="", 0,-'Part III-Sources of Funds'!$N$36)*0</f>
        <v>0</v>
      </c>
      <c r="E110" s="2419">
        <f>IF('Part III-Sources of Funds'!$N$36="", 0,-'Part III-Sources of Funds'!$N$36)*0</f>
        <v>0</v>
      </c>
      <c r="F110" s="2419">
        <f>IF('Part III-Sources of Funds'!$N$36="", 0,-'Part III-Sources of Funds'!$N$36)*0</f>
        <v>0</v>
      </c>
      <c r="G110" s="18"/>
      <c r="H110" s="18"/>
      <c r="I110" s="18"/>
      <c r="J110" s="18"/>
      <c r="K110" s="18"/>
      <c r="M110" s="2306"/>
      <c r="N110" s="2307"/>
    </row>
    <row r="111" spans="1:14" ht="13.15" customHeight="1">
      <c r="A111" s="22" t="str">
        <f>$A82</f>
        <v>Mortgage B</v>
      </c>
      <c r="B111" s="2420">
        <f>IF('Part III-Sources of Funds'!$N$37="", 0,-'Part III-Sources of Funds'!$N$37)</f>
        <v>0</v>
      </c>
      <c r="C111" s="2420">
        <f>IF('Part III-Sources of Funds'!$N$37="", 0,-'Part III-Sources of Funds'!$N$37)</f>
        <v>0</v>
      </c>
      <c r="D111" s="2420">
        <f>IF('Part III-Sources of Funds'!$N$37="", 0,-'Part III-Sources of Funds'!$N$37)</f>
        <v>0</v>
      </c>
      <c r="E111" s="2420">
        <f>IF('Part III-Sources of Funds'!$N$37="", 0,-'Part III-Sources of Funds'!$N$37)</f>
        <v>0</v>
      </c>
      <c r="F111" s="2420">
        <f>IF('Part III-Sources of Funds'!$N$37="", 0,-'Part III-Sources of Funds'!$N$37)</f>
        <v>0</v>
      </c>
      <c r="G111" s="18"/>
      <c r="H111" s="18"/>
      <c r="I111" s="18"/>
      <c r="J111" s="18"/>
      <c r="K111" s="18"/>
      <c r="M111" s="2306"/>
      <c r="N111" s="2307"/>
    </row>
    <row r="112" spans="1:14" ht="13.15" customHeight="1">
      <c r="A112" s="22" t="str">
        <f>$A83</f>
        <v>Mortgage C</v>
      </c>
      <c r="B112" s="2420">
        <f>IF('Part III-Sources of Funds'!$N$38="", 0,-'Part III-Sources of Funds'!$N$38)</f>
        <v>0</v>
      </c>
      <c r="C112" s="2420">
        <f>IF('Part III-Sources of Funds'!$N$38="", 0,-'Part III-Sources of Funds'!$N$38)</f>
        <v>0</v>
      </c>
      <c r="D112" s="2420">
        <f>IF('Part III-Sources of Funds'!$N$38="", 0,-'Part III-Sources of Funds'!$N$38)</f>
        <v>0</v>
      </c>
      <c r="E112" s="2420">
        <f>IF('Part III-Sources of Funds'!$N$38="", 0,-'Part III-Sources of Funds'!$N$38)</f>
        <v>0</v>
      </c>
      <c r="F112" s="2420">
        <f>IF('Part III-Sources of Funds'!$N$38="", 0,-'Part III-Sources of Funds'!$N$38)</f>
        <v>0</v>
      </c>
      <c r="G112" s="18"/>
      <c r="H112" s="18"/>
      <c r="I112" s="18"/>
      <c r="J112" s="18"/>
      <c r="K112" s="18"/>
      <c r="M112" s="2306"/>
      <c r="N112" s="2307"/>
    </row>
    <row r="113" spans="1:14" ht="13.15" customHeight="1">
      <c r="A113" s="22" t="str">
        <f>$A84</f>
        <v>D/S Other Source</v>
      </c>
      <c r="B113" s="2420">
        <f>IF('Part III-Sources of Funds'!$N$39="", 0,-'Part III-Sources of Funds'!$N$39)</f>
        <v>0</v>
      </c>
      <c r="C113" s="2420">
        <f>IF('Part III-Sources of Funds'!$N$39="", 0,-'Part III-Sources of Funds'!$N$39)</f>
        <v>0</v>
      </c>
      <c r="D113" s="2420">
        <f>IF('Part III-Sources of Funds'!$N$39="", 0,-'Part III-Sources of Funds'!$N$39)</f>
        <v>0</v>
      </c>
      <c r="E113" s="2420">
        <f>IF('Part III-Sources of Funds'!$N$39="", 0,-'Part III-Sources of Funds'!$N$39)</f>
        <v>0</v>
      </c>
      <c r="F113" s="2420">
        <f>IF('Part III-Sources of Funds'!$N$39="", 0,-'Part III-Sources of Funds'!$N$39)</f>
        <v>0</v>
      </c>
      <c r="G113" s="18"/>
      <c r="H113" s="18"/>
      <c r="I113" s="18"/>
      <c r="J113" s="18"/>
      <c r="K113" s="18"/>
      <c r="M113" s="2306"/>
      <c r="N113" s="2307"/>
    </row>
    <row r="114" spans="1:14" ht="13.15" customHeight="1">
      <c r="A114" s="22" t="s">
        <v>804</v>
      </c>
      <c r="B114" s="2421"/>
      <c r="C114" s="2421"/>
      <c r="D114" s="2421"/>
      <c r="E114" s="2421"/>
      <c r="F114" s="2421"/>
      <c r="G114" s="18"/>
      <c r="H114" s="18"/>
      <c r="I114" s="18"/>
      <c r="J114" s="18"/>
      <c r="K114" s="18"/>
      <c r="M114" s="2306"/>
      <c r="N114" s="2307"/>
    </row>
    <row r="115" spans="1:14" ht="13.15" customHeight="1">
      <c r="A115" s="22" t="s">
        <v>1219</v>
      </c>
      <c r="B115" s="2420">
        <f>+K86</f>
        <v>-4500</v>
      </c>
      <c r="C115" s="2420">
        <f>+B115</f>
        <v>-4500</v>
      </c>
      <c r="D115" s="2420">
        <f>+C115</f>
        <v>-4500</v>
      </c>
      <c r="E115" s="2420">
        <f>+D115</f>
        <v>-4500</v>
      </c>
      <c r="F115" s="2420">
        <f>+E115</f>
        <v>-4500</v>
      </c>
      <c r="G115" s="18"/>
      <c r="H115" s="18"/>
      <c r="I115" s="18"/>
      <c r="J115" s="18"/>
      <c r="K115" s="18"/>
      <c r="M115" s="2306"/>
      <c r="N115" s="2307"/>
    </row>
    <row r="116" spans="1:14" ht="13.15" customHeight="1">
      <c r="A116" s="22" t="s">
        <v>1262</v>
      </c>
      <c r="B116" s="2422">
        <f>IF('Part III-Sources of Funds'!$N$41="", 0,-'Part III-Sources of Funds'!$N$41)</f>
        <v>0</v>
      </c>
      <c r="C116" s="2422">
        <f>IF('Part III-Sources of Funds'!$N$41="", 0,-'Part III-Sources of Funds'!$N$41)</f>
        <v>0</v>
      </c>
      <c r="D116" s="2422">
        <f>IF('Part III-Sources of Funds'!$N$41="", 0,-'Part III-Sources of Funds'!$N$41)</f>
        <v>0</v>
      </c>
      <c r="E116" s="2422">
        <f>IF('Part III-Sources of Funds'!$N$41="", 0,-'Part III-Sources of Funds'!$N$41)</f>
        <v>0</v>
      </c>
      <c r="F116" s="2422">
        <f>IF('Part III-Sources of Funds'!$N$41="", 0,-'Part III-Sources of Funds'!$N$41)</f>
        <v>0</v>
      </c>
      <c r="G116" s="18"/>
      <c r="H116" s="18"/>
      <c r="I116" s="18"/>
      <c r="J116" s="18"/>
      <c r="K116" s="18"/>
      <c r="M116" s="2306"/>
      <c r="N116" s="2307"/>
    </row>
    <row r="117" spans="1:14" ht="13.15" customHeight="1">
      <c r="A117" s="22" t="s">
        <v>1220</v>
      </c>
      <c r="B117" s="23">
        <f>SUM(B109:B116)</f>
        <v>18255.672193917919</v>
      </c>
      <c r="C117" s="23">
        <f>SUM(C109:C116)</f>
        <v>9129.1914886537052</v>
      </c>
      <c r="D117" s="23">
        <f>SUM(D109:D116)</f>
        <v>-467.47685518964863</v>
      </c>
      <c r="E117" s="23">
        <f>SUM(E109:E116)</f>
        <v>-10552.580331118537</v>
      </c>
      <c r="F117" s="24">
        <f>SUM(F109:F116)</f>
        <v>-21143.970094730583</v>
      </c>
      <c r="G117" s="18"/>
      <c r="H117" s="18"/>
      <c r="I117" s="18"/>
      <c r="J117" s="18"/>
      <c r="K117" s="18"/>
      <c r="M117" s="2306"/>
      <c r="N117" s="2307"/>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306"/>
      <c r="N118" s="2307"/>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06"/>
      <c r="N119" s="2307"/>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06"/>
      <c r="N120" s="2307"/>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06"/>
      <c r="N121" s="2307"/>
    </row>
    <row r="122" spans="1:14" ht="13.15" customHeight="1">
      <c r="A122" s="22" t="s">
        <v>811</v>
      </c>
      <c r="B122" s="296">
        <f>IF(OR(B107="Choose mgt fee",B107="Choose One!"),"",(B101+B102+B103+B104+B105) / -(B106+B107+B108))</f>
        <v>1.0215650564781122</v>
      </c>
      <c r="C122" s="296">
        <f>IF(OR(C107="Choose mgt fee",C107="Choose One!"),"",(C101+C102+C103+C104+C105) / -(C106+C107+C108))</f>
        <v>1.0125510995164599</v>
      </c>
      <c r="D122" s="296">
        <f>IF(OR(D107="Choose mgt fee",D107="Choose One!"),"",(D101+D102+D103+D104+D105) / -(D106+D107+D108))</f>
        <v>1.0036085754534572</v>
      </c>
      <c r="E122" s="296">
        <f>IF(OR(E107="Choose mgt fee",E107="Choose One!"),"",(E101+E102+E103+E104+E105) / -(E106+E107+E108))</f>
        <v>0.99473688124849113</v>
      </c>
      <c r="F122" s="936">
        <f>IF(OR(F107="Choose mgt fee",F107="Choose One!"),"",(F101+F102+F103+F104+F105) / -(F106+F107+F108))</f>
        <v>0.98593628708140424</v>
      </c>
      <c r="G122" s="18"/>
      <c r="H122" s="18"/>
      <c r="I122" s="18"/>
      <c r="J122" s="18"/>
      <c r="K122" s="18"/>
      <c r="M122" s="2306"/>
      <c r="N122" s="2307"/>
    </row>
    <row r="123" spans="1:14" ht="13.15" customHeight="1">
      <c r="A123" s="473" t="s">
        <v>2745</v>
      </c>
      <c r="B123" s="2423">
        <f>IF('Part III-Sources of Funds'!$I$36="","",-FV('Part III-Sources of Funds'!$K$36/12,12,B110/12,K94))</f>
        <v>1.1368605109115445E-7</v>
      </c>
      <c r="C123" s="2423">
        <f>IF('Part III-Sources of Funds'!$I$36="","",-FV('Part III-Sources of Funds'!$K$36/12,12,C110/12,B123))</f>
        <v>1.2069795796197234E-7</v>
      </c>
      <c r="D123" s="2423">
        <f>IF('Part III-Sources of Funds'!$I$36="","",-FV('Part III-Sources of Funds'!$K$36/12,12,D110/12,C123))</f>
        <v>1.2814234390557993E-7</v>
      </c>
      <c r="E123" s="2423">
        <f>IF('Part III-Sources of Funds'!$I$36="","",-FV('Part III-Sources of Funds'!$K$36/12,12,E110/12,D123))</f>
        <v>1.3604588328486403E-7</v>
      </c>
      <c r="F123" s="2423">
        <f>IF('Part III-Sources of Funds'!$I$36="","",-FV('Part III-Sources of Funds'!$K$36/12,12,F110/12,E123))</f>
        <v>1.4443689567904728E-7</v>
      </c>
      <c r="G123" s="18"/>
      <c r="H123" s="18"/>
      <c r="I123" s="18"/>
      <c r="J123" s="18"/>
      <c r="K123" s="18"/>
      <c r="M123" s="2306"/>
      <c r="N123" s="2307"/>
    </row>
    <row r="124" spans="1:14" ht="13.15" customHeight="1">
      <c r="A124" s="473" t="s">
        <v>2746</v>
      </c>
      <c r="B124" s="2420" t="str">
        <f>IF('Part III-Sources of Funds'!$I$37="","",-FV('Part III-Sources of Funds'!$K$37/12,12,B111/12,K95))</f>
        <v/>
      </c>
      <c r="C124" s="2420" t="str">
        <f>IF('Part III-Sources of Funds'!$I$37="","",-FV('Part III-Sources of Funds'!$K$37/12,12,C111/12,B124))</f>
        <v/>
      </c>
      <c r="D124" s="2420" t="str">
        <f>IF('Part III-Sources of Funds'!$I$37="","",-FV('Part III-Sources of Funds'!$K$37/12,12,D111/12,C124))</f>
        <v/>
      </c>
      <c r="E124" s="2420" t="str">
        <f>IF('Part III-Sources of Funds'!$I$37="","",-FV('Part III-Sources of Funds'!$K$37/12,12,E111/12,D124))</f>
        <v/>
      </c>
      <c r="F124" s="2420" t="str">
        <f>IF('Part III-Sources of Funds'!$I$37="","",-FV('Part III-Sources of Funds'!$K$37/12,12,F111/12,E124))</f>
        <v/>
      </c>
      <c r="G124" s="18"/>
      <c r="H124" s="18"/>
      <c r="I124" s="18"/>
      <c r="J124" s="18"/>
      <c r="K124" s="18"/>
      <c r="M124" s="2306"/>
      <c r="N124" s="2307"/>
    </row>
    <row r="125" spans="1:14" ht="13.15" customHeight="1">
      <c r="A125" s="473" t="s">
        <v>2747</v>
      </c>
      <c r="B125" s="2420" t="str">
        <f>IF('Part III-Sources of Funds'!$I$38="","",-FV('Part III-Sources of Funds'!$K$38/12,12,B112/12,K96))</f>
        <v/>
      </c>
      <c r="C125" s="2420" t="str">
        <f>IF('Part III-Sources of Funds'!$I$38="","",-FV('Part III-Sources of Funds'!$K$38/12,12,C112/12,B125))</f>
        <v/>
      </c>
      <c r="D125" s="2420" t="str">
        <f>IF('Part III-Sources of Funds'!$I$38="","",-FV('Part III-Sources of Funds'!$K$38/12,12,D112/12,C125))</f>
        <v/>
      </c>
      <c r="E125" s="2420" t="str">
        <f>IF('Part III-Sources of Funds'!$I$38="","",-FV('Part III-Sources of Funds'!$K$38/12,12,E112/12,D125))</f>
        <v/>
      </c>
      <c r="F125" s="2420" t="str">
        <f>IF('Part III-Sources of Funds'!$I$38="","",-FV('Part III-Sources of Funds'!$K$38/12,12,F112/12,E125))</f>
        <v/>
      </c>
      <c r="G125" s="18"/>
      <c r="H125" s="18"/>
      <c r="I125" s="18"/>
      <c r="J125" s="18"/>
      <c r="K125" s="18"/>
      <c r="M125" s="2306"/>
      <c r="N125" s="2307"/>
    </row>
    <row r="126" spans="1:14" ht="13.15" customHeight="1">
      <c r="A126" s="22" t="s">
        <v>826</v>
      </c>
      <c r="B126" s="2420" t="str">
        <f>IF('Part III-Sources of Funds'!$I$39="","",-FV('Part III-Sources of Funds'!$K$39/12,12,B113/12,K97))</f>
        <v/>
      </c>
      <c r="C126" s="2420" t="str">
        <f>IF('Part III-Sources of Funds'!$I$39="","",-FV('Part III-Sources of Funds'!$K$39/12,12,C113/12,B126))</f>
        <v/>
      </c>
      <c r="D126" s="2420" t="str">
        <f>IF('Part III-Sources of Funds'!$I$39="","",-FV('Part III-Sources of Funds'!$K$39/12,12,D113/12,C126))</f>
        <v/>
      </c>
      <c r="E126" s="2420" t="str">
        <f>IF('Part III-Sources of Funds'!$I$39="","",-FV('Part III-Sources of Funds'!$K$39/12,12,E113/12,D126))</f>
        <v/>
      </c>
      <c r="F126" s="2420" t="str">
        <f>IF('Part III-Sources of Funds'!$I$39="","",-FV('Part III-Sources of Funds'!$K$39/12,12,F113/12,E126))</f>
        <v/>
      </c>
      <c r="G126" s="18"/>
      <c r="H126" s="18"/>
      <c r="I126" s="18"/>
      <c r="J126" s="18"/>
      <c r="K126" s="18"/>
      <c r="M126" s="2306"/>
      <c r="N126" s="2307"/>
    </row>
    <row r="127" spans="1:14" ht="13.15" customHeight="1">
      <c r="A127" s="27" t="s">
        <v>1297</v>
      </c>
      <c r="B127" s="2422" t="str">
        <f>IF('Part III-Sources of Funds'!$I$41="","",-FV('Part III-Sources of Funds'!$K$41/12,12,B116/12,K98))</f>
        <v/>
      </c>
      <c r="C127" s="2422" t="str">
        <f>IF('Part III-Sources of Funds'!$I$41="","",-FV('Part III-Sources of Funds'!$K$41/12,12,C116/12,B127))</f>
        <v/>
      </c>
      <c r="D127" s="2422" t="str">
        <f>IF('Part III-Sources of Funds'!$I$41="","",-FV('Part III-Sources of Funds'!$K$41/12,12,D116/12,C127))</f>
        <v/>
      </c>
      <c r="E127" s="2422" t="str">
        <f>IF('Part III-Sources of Funds'!$I$41="","",-FV('Part III-Sources of Funds'!$K$41/12,12,E116/12,D127))</f>
        <v/>
      </c>
      <c r="F127" s="2422" t="str">
        <f>IF('Part III-Sources of Funds'!$I$41="","",-FV('Part III-Sources of Funds'!$K$41/12,12,F116/12,E127))</f>
        <v/>
      </c>
      <c r="G127" s="18"/>
      <c r="H127" s="18"/>
      <c r="I127" s="18"/>
      <c r="J127" s="18"/>
      <c r="K127" s="18"/>
      <c r="M127" s="2309"/>
      <c r="N127" s="2310"/>
    </row>
    <row r="128" spans="1:14" ht="4.1500000000000004" customHeight="1"/>
    <row r="129" spans="1:14" ht="12" customHeight="1">
      <c r="A129" s="14" t="s">
        <v>598</v>
      </c>
      <c r="B129" s="14"/>
      <c r="G129" s="14" t="s">
        <v>1081</v>
      </c>
    </row>
    <row r="130" spans="1:14" ht="12" customHeight="1">
      <c r="B130" s="30"/>
    </row>
    <row r="131" spans="1:14" ht="210" customHeight="1">
      <c r="A131" s="2147" t="s">
        <v>4228</v>
      </c>
      <c r="B131" s="2424"/>
      <c r="C131" s="2424"/>
      <c r="D131" s="2424"/>
      <c r="E131" s="2424"/>
      <c r="F131" s="2425"/>
      <c r="G131" s="2426"/>
      <c r="H131" s="2427"/>
      <c r="I131" s="2427"/>
      <c r="J131" s="2427"/>
      <c r="K131" s="2428"/>
      <c r="M131" s="1407" t="s">
        <v>2854</v>
      </c>
      <c r="N131" s="140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GGAtPs55SIhfXNGMoVw3aEfUja79xut9Ta1ZPpL8L+ko0gb1dbl51bbOxtSaEFTSIqmRIhlVLsYvX0ScyhcKkg==" saltValue="p1cLf7eTbG9xJUd87aSdyA=="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9"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5"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36" t="str">
        <f>CONCATENATE("PART EIGHT - THRESHOLD CRITERIA","  -  ",'Part I-Project Information'!$O$4," ",'Part I-Project Information'!$F$24,", ",'Part I-Project Information'!F28,", ",'Part I-Project Information'!J29," County")</f>
        <v>PART EIGHT - THRESHOLD CRITERIA  -  2015-009 The Cove at York, Centerville, Houston County</v>
      </c>
      <c r="B1" s="1437"/>
      <c r="C1" s="1437"/>
      <c r="D1" s="1437"/>
      <c r="E1" s="1437"/>
      <c r="F1" s="1437"/>
      <c r="G1" s="1437"/>
      <c r="H1" s="1437"/>
      <c r="I1" s="1437"/>
      <c r="J1" s="1437"/>
      <c r="K1" s="1437"/>
      <c r="L1" s="1437"/>
      <c r="M1" s="1437"/>
      <c r="N1" s="1437"/>
      <c r="O1" s="1437"/>
      <c r="P1" s="1437"/>
      <c r="Q1" s="1437"/>
    </row>
    <row r="2" spans="1:32" s="28" customFormat="1" ht="3" customHeight="1">
      <c r="S2" s="35"/>
      <c r="T2" s="35"/>
      <c r="AE2" s="125"/>
      <c r="AF2" s="125"/>
    </row>
    <row r="3" spans="1:32" ht="13.5" customHeight="1">
      <c r="A3" s="159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590"/>
      <c r="C3" s="1590"/>
      <c r="D3" s="1590"/>
      <c r="E3" s="1590"/>
      <c r="F3" s="1590"/>
      <c r="G3" s="1590"/>
      <c r="H3" s="15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590"/>
      <c r="J3" s="1590"/>
      <c r="K3" s="1590"/>
      <c r="L3" s="1590"/>
      <c r="M3" s="1590"/>
      <c r="N3" s="1591"/>
      <c r="O3" s="1592" t="s">
        <v>979</v>
      </c>
      <c r="P3" s="1593"/>
      <c r="Q3" s="657" t="s">
        <v>1935</v>
      </c>
    </row>
    <row r="4" spans="1:32" ht="3" customHeight="1">
      <c r="A4" s="1278"/>
      <c r="B4" s="1584"/>
      <c r="C4" s="1584"/>
      <c r="D4" s="1584"/>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591</v>
      </c>
      <c r="J6" s="1278"/>
      <c r="K6" s="2049" t="s">
        <v>4387</v>
      </c>
      <c r="L6" s="2050"/>
      <c r="M6" s="2051"/>
      <c r="N6" s="1278"/>
      <c r="P6" s="1585"/>
      <c r="Q6" s="1586"/>
    </row>
    <row r="7" spans="1:32" ht="12.6" customHeight="1">
      <c r="A7" s="138" t="s">
        <v>4036</v>
      </c>
      <c r="C7" s="139"/>
      <c r="D7" s="139"/>
      <c r="J7" s="1278"/>
      <c r="K7" s="1278"/>
      <c r="L7" s="1278"/>
      <c r="M7" s="1278"/>
      <c r="N7" s="1278"/>
    </row>
    <row r="8" spans="1:32" ht="24.6" customHeight="1">
      <c r="A8" s="1587" t="s">
        <v>1479</v>
      </c>
      <c r="B8" s="1588"/>
      <c r="C8" s="1588"/>
      <c r="D8" s="1588"/>
      <c r="E8" s="1588"/>
      <c r="F8" s="1588"/>
      <c r="G8" s="1588"/>
      <c r="H8" s="1588"/>
      <c r="I8" s="1588"/>
      <c r="J8" s="1588"/>
      <c r="K8" s="1588"/>
      <c r="L8" s="1588"/>
      <c r="M8" s="1588"/>
      <c r="N8" s="1588"/>
      <c r="O8" s="1588"/>
      <c r="P8" s="1588"/>
      <c r="Q8" s="1589"/>
      <c r="R8" s="1594" t="s">
        <v>2130</v>
      </c>
      <c r="S8" s="1328"/>
    </row>
    <row r="9" spans="1:32" ht="24.6" customHeight="1">
      <c r="A9" s="1565" t="s">
        <v>235</v>
      </c>
      <c r="B9" s="1566"/>
      <c r="C9" s="1566"/>
      <c r="D9" s="1566"/>
      <c r="E9" s="1566"/>
      <c r="F9" s="1566"/>
      <c r="G9" s="1566"/>
      <c r="H9" s="1566"/>
      <c r="I9" s="1566"/>
      <c r="J9" s="1566"/>
      <c r="K9" s="1566"/>
      <c r="L9" s="1566"/>
      <c r="M9" s="1566"/>
      <c r="N9" s="1566"/>
      <c r="O9" s="1566"/>
      <c r="P9" s="1566"/>
      <c r="Q9" s="1567"/>
      <c r="R9" s="1594"/>
      <c r="S9" s="1328"/>
    </row>
    <row r="10" spans="1:32" ht="24.6" customHeight="1">
      <c r="A10" s="1565" t="s">
        <v>1475</v>
      </c>
      <c r="B10" s="1566"/>
      <c r="C10" s="1566"/>
      <c r="D10" s="1566"/>
      <c r="E10" s="1566"/>
      <c r="F10" s="1566"/>
      <c r="G10" s="1566"/>
      <c r="H10" s="1566"/>
      <c r="I10" s="1566"/>
      <c r="J10" s="1566"/>
      <c r="K10" s="1566"/>
      <c r="L10" s="1566"/>
      <c r="M10" s="1566"/>
      <c r="N10" s="1566"/>
      <c r="O10" s="1566"/>
      <c r="P10" s="1566"/>
      <c r="Q10" s="1567"/>
      <c r="R10" s="1594"/>
      <c r="S10" s="1328"/>
    </row>
    <row r="11" spans="1:32" ht="24.6" customHeight="1">
      <c r="A11" s="1565" t="s">
        <v>1476</v>
      </c>
      <c r="B11" s="1566"/>
      <c r="C11" s="1566"/>
      <c r="D11" s="1566"/>
      <c r="E11" s="1566"/>
      <c r="F11" s="1566"/>
      <c r="G11" s="1566"/>
      <c r="H11" s="1566"/>
      <c r="I11" s="1566"/>
      <c r="J11" s="1566"/>
      <c r="K11" s="1566"/>
      <c r="L11" s="1566"/>
      <c r="M11" s="1566"/>
      <c r="N11" s="1566"/>
      <c r="O11" s="1566"/>
      <c r="P11" s="1566"/>
      <c r="Q11" s="1567"/>
      <c r="R11" s="1594"/>
      <c r="S11" s="1328"/>
    </row>
    <row r="12" spans="1:32" ht="24" customHeight="1">
      <c r="A12" s="1565" t="s">
        <v>1477</v>
      </c>
      <c r="B12" s="1566"/>
      <c r="C12" s="1566"/>
      <c r="D12" s="1566"/>
      <c r="E12" s="1566"/>
      <c r="F12" s="1566"/>
      <c r="G12" s="1566"/>
      <c r="H12" s="1566"/>
      <c r="I12" s="1566"/>
      <c r="J12" s="1566"/>
      <c r="K12" s="1566"/>
      <c r="L12" s="1566"/>
      <c r="M12" s="1566"/>
      <c r="N12" s="1566"/>
      <c r="O12" s="1566"/>
      <c r="P12" s="1566"/>
      <c r="Q12" s="1567"/>
      <c r="R12" s="1252"/>
      <c r="S12" s="1252"/>
    </row>
    <row r="13" spans="1:32" ht="11.25" customHeight="1">
      <c r="A13" s="1565" t="s">
        <v>1478</v>
      </c>
      <c r="B13" s="1566"/>
      <c r="C13" s="1566"/>
      <c r="D13" s="1566"/>
      <c r="E13" s="1566"/>
      <c r="F13" s="1566"/>
      <c r="G13" s="1566"/>
      <c r="H13" s="1566"/>
      <c r="I13" s="1566"/>
      <c r="J13" s="1566"/>
      <c r="K13" s="1566"/>
      <c r="L13" s="1566"/>
      <c r="M13" s="1566"/>
      <c r="N13" s="1566"/>
      <c r="O13" s="1566"/>
      <c r="P13" s="1566"/>
      <c r="Q13" s="1567"/>
      <c r="R13" s="1252"/>
      <c r="S13" s="1252"/>
    </row>
    <row r="14" spans="1:32" ht="11.25" customHeight="1">
      <c r="A14" s="1565" t="s">
        <v>1480</v>
      </c>
      <c r="B14" s="1566"/>
      <c r="C14" s="1566"/>
      <c r="D14" s="1566"/>
      <c r="E14" s="1566"/>
      <c r="F14" s="1566"/>
      <c r="G14" s="1566"/>
      <c r="H14" s="1566"/>
      <c r="I14" s="1566"/>
      <c r="J14" s="1566"/>
      <c r="K14" s="1566"/>
      <c r="L14" s="1566"/>
      <c r="M14" s="1566"/>
      <c r="N14" s="1566"/>
      <c r="O14" s="1566"/>
      <c r="P14" s="1566"/>
      <c r="Q14" s="1567"/>
    </row>
    <row r="15" spans="1:32" ht="11.25" customHeight="1">
      <c r="A15" s="1565" t="s">
        <v>2117</v>
      </c>
      <c r="B15" s="1566"/>
      <c r="C15" s="1566"/>
      <c r="D15" s="1566"/>
      <c r="E15" s="1566"/>
      <c r="F15" s="1566"/>
      <c r="G15" s="1566"/>
      <c r="H15" s="1566"/>
      <c r="I15" s="1566"/>
      <c r="J15" s="1566"/>
      <c r="K15" s="1566"/>
      <c r="L15" s="1566"/>
      <c r="M15" s="1566"/>
      <c r="N15" s="1566"/>
      <c r="O15" s="1566"/>
      <c r="P15" s="1566"/>
      <c r="Q15" s="1567"/>
      <c r="R15" s="1594" t="s">
        <v>2130</v>
      </c>
      <c r="S15" s="1635"/>
    </row>
    <row r="16" spans="1:32" ht="11.25" customHeight="1">
      <c r="A16" s="1565" t="s">
        <v>2118</v>
      </c>
      <c r="B16" s="1566"/>
      <c r="C16" s="1566"/>
      <c r="D16" s="1566"/>
      <c r="E16" s="1566"/>
      <c r="F16" s="1566"/>
      <c r="G16" s="1566"/>
      <c r="H16" s="1566"/>
      <c r="I16" s="1566"/>
      <c r="J16" s="1566"/>
      <c r="K16" s="1566"/>
      <c r="L16" s="1566"/>
      <c r="M16" s="1566"/>
      <c r="N16" s="1566"/>
      <c r="O16" s="1566"/>
      <c r="P16" s="1566"/>
      <c r="Q16" s="1567"/>
      <c r="R16" s="1594"/>
      <c r="S16" s="1635"/>
    </row>
    <row r="17" spans="1:19" ht="11.25" customHeight="1">
      <c r="A17" s="1565" t="s">
        <v>2119</v>
      </c>
      <c r="B17" s="1566"/>
      <c r="C17" s="1566"/>
      <c r="D17" s="1566"/>
      <c r="E17" s="1566"/>
      <c r="F17" s="1566"/>
      <c r="G17" s="1566"/>
      <c r="H17" s="1566"/>
      <c r="I17" s="1566"/>
      <c r="J17" s="1566"/>
      <c r="K17" s="1566"/>
      <c r="L17" s="1566"/>
      <c r="M17" s="1566"/>
      <c r="N17" s="1566"/>
      <c r="O17" s="1566"/>
      <c r="P17" s="1566"/>
      <c r="Q17" s="1567"/>
      <c r="R17" s="1594"/>
      <c r="S17" s="1635"/>
    </row>
    <row r="18" spans="1:19" ht="11.25" customHeight="1">
      <c r="A18" s="1565" t="s">
        <v>2120</v>
      </c>
      <c r="B18" s="1566"/>
      <c r="C18" s="1566"/>
      <c r="D18" s="1566"/>
      <c r="E18" s="1566"/>
      <c r="F18" s="1566"/>
      <c r="G18" s="1566"/>
      <c r="H18" s="1566"/>
      <c r="I18" s="1566"/>
      <c r="J18" s="1566"/>
      <c r="K18" s="1566"/>
      <c r="L18" s="1566"/>
      <c r="M18" s="1566"/>
      <c r="N18" s="1566"/>
      <c r="O18" s="1566"/>
      <c r="P18" s="1566"/>
      <c r="Q18" s="1567"/>
      <c r="R18" s="1594"/>
      <c r="S18" s="1635"/>
    </row>
    <row r="19" spans="1:19" ht="11.25" customHeight="1">
      <c r="A19" s="1565" t="s">
        <v>2121</v>
      </c>
      <c r="B19" s="1566"/>
      <c r="C19" s="1566"/>
      <c r="D19" s="1566"/>
      <c r="E19" s="1566"/>
      <c r="F19" s="1566"/>
      <c r="G19" s="1566"/>
      <c r="H19" s="1566"/>
      <c r="I19" s="1566"/>
      <c r="J19" s="1566"/>
      <c r="K19" s="1566"/>
      <c r="L19" s="1566"/>
      <c r="M19" s="1566"/>
      <c r="N19" s="1566"/>
      <c r="O19" s="1566"/>
      <c r="P19" s="1566"/>
      <c r="Q19" s="1567"/>
      <c r="R19" s="1594"/>
      <c r="S19" s="1635"/>
    </row>
    <row r="20" spans="1:19" ht="11.25" customHeight="1">
      <c r="A20" s="1565" t="s">
        <v>2122</v>
      </c>
      <c r="B20" s="1566"/>
      <c r="C20" s="1566"/>
      <c r="D20" s="1566"/>
      <c r="E20" s="1566"/>
      <c r="F20" s="1566"/>
      <c r="G20" s="1566"/>
      <c r="H20" s="1566"/>
      <c r="I20" s="1566"/>
      <c r="J20" s="1566"/>
      <c r="K20" s="1566"/>
      <c r="L20" s="1566"/>
      <c r="M20" s="1566"/>
      <c r="N20" s="1566"/>
      <c r="O20" s="1566"/>
      <c r="P20" s="1566"/>
      <c r="Q20" s="1567"/>
      <c r="R20" s="1594"/>
      <c r="S20" s="1635"/>
    </row>
    <row r="21" spans="1:19" ht="11.25" customHeight="1">
      <c r="A21" s="1565" t="s">
        <v>2123</v>
      </c>
      <c r="B21" s="1566"/>
      <c r="C21" s="1566"/>
      <c r="D21" s="1566"/>
      <c r="E21" s="1566"/>
      <c r="F21" s="1566"/>
      <c r="G21" s="1566"/>
      <c r="H21" s="1566"/>
      <c r="I21" s="1566"/>
      <c r="J21" s="1566"/>
      <c r="K21" s="1566"/>
      <c r="L21" s="1566"/>
      <c r="M21" s="1566"/>
      <c r="N21" s="1566"/>
      <c r="O21" s="1566"/>
      <c r="P21" s="1566"/>
      <c r="Q21" s="1567"/>
    </row>
    <row r="22" spans="1:19" ht="11.25" customHeight="1">
      <c r="A22" s="1565" t="s">
        <v>2124</v>
      </c>
      <c r="B22" s="1566"/>
      <c r="C22" s="1566"/>
      <c r="D22" s="1566"/>
      <c r="E22" s="1566"/>
      <c r="F22" s="1566"/>
      <c r="G22" s="1566"/>
      <c r="H22" s="1566"/>
      <c r="I22" s="1566"/>
      <c r="J22" s="1566"/>
      <c r="K22" s="1566"/>
      <c r="L22" s="1566"/>
      <c r="M22" s="1566"/>
      <c r="N22" s="1566"/>
      <c r="O22" s="1566"/>
      <c r="P22" s="1566"/>
      <c r="Q22" s="1567"/>
      <c r="R22" s="1594" t="s">
        <v>2130</v>
      </c>
      <c r="S22" s="1635"/>
    </row>
    <row r="23" spans="1:19" ht="11.25" customHeight="1">
      <c r="A23" s="1565" t="s">
        <v>2125</v>
      </c>
      <c r="B23" s="1566"/>
      <c r="C23" s="1566"/>
      <c r="D23" s="1566"/>
      <c r="E23" s="1566"/>
      <c r="F23" s="1566"/>
      <c r="G23" s="1566"/>
      <c r="H23" s="1566"/>
      <c r="I23" s="1566"/>
      <c r="J23" s="1566"/>
      <c r="K23" s="1566"/>
      <c r="L23" s="1566"/>
      <c r="M23" s="1566"/>
      <c r="N23" s="1566"/>
      <c r="O23" s="1566"/>
      <c r="P23" s="1566"/>
      <c r="Q23" s="1567"/>
      <c r="R23" s="1594"/>
      <c r="S23" s="1635"/>
    </row>
    <row r="24" spans="1:19" ht="11.25" customHeight="1">
      <c r="A24" s="1565" t="s">
        <v>2126</v>
      </c>
      <c r="B24" s="1566"/>
      <c r="C24" s="1566"/>
      <c r="D24" s="1566"/>
      <c r="E24" s="1566"/>
      <c r="F24" s="1566"/>
      <c r="G24" s="1566"/>
      <c r="H24" s="1566"/>
      <c r="I24" s="1566"/>
      <c r="J24" s="1566"/>
      <c r="K24" s="1566"/>
      <c r="L24" s="1566"/>
      <c r="M24" s="1566"/>
      <c r="N24" s="1566"/>
      <c r="O24" s="1566"/>
      <c r="P24" s="1566"/>
      <c r="Q24" s="1567"/>
      <c r="R24" s="1594"/>
      <c r="S24" s="1635"/>
    </row>
    <row r="25" spans="1:19" ht="11.25" customHeight="1">
      <c r="A25" s="1565" t="s">
        <v>2127</v>
      </c>
      <c r="B25" s="1566"/>
      <c r="C25" s="1566"/>
      <c r="D25" s="1566"/>
      <c r="E25" s="1566"/>
      <c r="F25" s="1566"/>
      <c r="G25" s="1566"/>
      <c r="H25" s="1566"/>
      <c r="I25" s="1566"/>
      <c r="J25" s="1566"/>
      <c r="K25" s="1566"/>
      <c r="L25" s="1566"/>
      <c r="M25" s="1566"/>
      <c r="N25" s="1566"/>
      <c r="O25" s="1566"/>
      <c r="P25" s="1566"/>
      <c r="Q25" s="1567"/>
      <c r="R25" s="1594"/>
      <c r="S25" s="1635"/>
    </row>
    <row r="26" spans="1:19" ht="11.25" customHeight="1">
      <c r="A26" s="1565" t="s">
        <v>2128</v>
      </c>
      <c r="B26" s="1566"/>
      <c r="C26" s="1566"/>
      <c r="D26" s="1566"/>
      <c r="E26" s="1566"/>
      <c r="F26" s="1566"/>
      <c r="G26" s="1566"/>
      <c r="H26" s="1566"/>
      <c r="I26" s="1566"/>
      <c r="J26" s="1566"/>
      <c r="K26" s="1566"/>
      <c r="L26" s="1566"/>
      <c r="M26" s="1566"/>
      <c r="N26" s="1566"/>
      <c r="O26" s="1566"/>
      <c r="P26" s="1566"/>
      <c r="Q26" s="1567"/>
      <c r="R26" s="1594"/>
      <c r="S26" s="1635"/>
    </row>
    <row r="27" spans="1:19" ht="11.25" customHeight="1">
      <c r="A27" s="1602" t="s">
        <v>2129</v>
      </c>
      <c r="B27" s="1603"/>
      <c r="C27" s="1603"/>
      <c r="D27" s="1603"/>
      <c r="E27" s="1603"/>
      <c r="F27" s="1603"/>
      <c r="G27" s="1603"/>
      <c r="H27" s="1603"/>
      <c r="I27" s="1603"/>
      <c r="J27" s="1603"/>
      <c r="K27" s="1603"/>
      <c r="L27" s="1603"/>
      <c r="M27" s="1603"/>
      <c r="N27" s="1603"/>
      <c r="O27" s="1603"/>
      <c r="P27" s="1603"/>
      <c r="Q27" s="1604"/>
      <c r="R27" s="1594"/>
      <c r="S27" s="1635"/>
    </row>
    <row r="28" spans="1:19" ht="6" customHeight="1"/>
    <row r="29" spans="1:19" ht="13.9" customHeight="1">
      <c r="A29" s="140">
        <v>1</v>
      </c>
      <c r="B29" s="141" t="s">
        <v>2789</v>
      </c>
      <c r="C29" s="142"/>
      <c r="D29" s="91"/>
      <c r="E29" s="91"/>
      <c r="F29" s="91"/>
      <c r="G29" s="91"/>
      <c r="I29" s="820"/>
      <c r="J29" s="820"/>
      <c r="K29" s="820"/>
      <c r="L29" s="1278"/>
      <c r="M29" s="1278"/>
      <c r="O29" s="143" t="s">
        <v>1961</v>
      </c>
      <c r="P29" s="1575"/>
      <c r="Q29" s="1576"/>
    </row>
    <row r="30" spans="1:19" ht="3" customHeight="1"/>
    <row r="31" spans="1:19" ht="12" customHeight="1">
      <c r="B31" s="154" t="s">
        <v>2081</v>
      </c>
      <c r="C31" s="53" t="s">
        <v>3808</v>
      </c>
      <c r="E31" s="1305"/>
      <c r="F31" s="1305"/>
      <c r="G31" s="1305"/>
      <c r="H31" s="1305"/>
      <c r="I31" s="42"/>
      <c r="J31" s="32"/>
      <c r="K31" s="42"/>
      <c r="L31" s="32"/>
      <c r="M31" s="32"/>
      <c r="O31" s="69" t="s">
        <v>625</v>
      </c>
      <c r="P31" s="2429" t="s">
        <v>3425</v>
      </c>
      <c r="Q31" s="646"/>
    </row>
    <row r="32" spans="1:19" ht="12" customHeight="1">
      <c r="B32" s="47" t="s">
        <v>2084</v>
      </c>
      <c r="C32" s="53" t="s">
        <v>756</v>
      </c>
      <c r="E32" s="1305"/>
      <c r="F32" s="1305"/>
      <c r="G32" s="1305"/>
      <c r="H32" s="1305"/>
      <c r="J32" s="2430" t="s">
        <v>2259</v>
      </c>
      <c r="K32" s="2431"/>
      <c r="L32" s="2431"/>
      <c r="M32" s="2431"/>
      <c r="N32" s="2432"/>
      <c r="O32" s="69"/>
      <c r="P32" s="69"/>
      <c r="Q32" s="69"/>
    </row>
    <row r="33" spans="1:295" ht="11.25" customHeight="1">
      <c r="B33" s="70" t="s">
        <v>1959</v>
      </c>
      <c r="C33" s="70"/>
      <c r="D33" s="70"/>
      <c r="E33" s="70"/>
      <c r="F33" s="70"/>
      <c r="G33" s="820"/>
      <c r="H33" s="820"/>
      <c r="I33" s="820"/>
      <c r="J33" s="820"/>
      <c r="K33" s="1278"/>
      <c r="L33" s="1278"/>
      <c r="M33" s="1278"/>
      <c r="N33" s="1278"/>
      <c r="O33" s="1278"/>
      <c r="P33" s="1311"/>
      <c r="S33" s="173"/>
      <c r="T33" s="173"/>
    </row>
    <row r="34" spans="1:295" ht="36" customHeight="1">
      <c r="A34" s="2433"/>
      <c r="B34" s="2434"/>
      <c r="C34" s="2434"/>
      <c r="D34" s="2434"/>
      <c r="E34" s="2434"/>
      <c r="F34" s="2434"/>
      <c r="G34" s="2434"/>
      <c r="H34" s="2434"/>
      <c r="I34" s="2434"/>
      <c r="J34" s="2434"/>
      <c r="K34" s="2434"/>
      <c r="L34" s="2434"/>
      <c r="M34" s="2434"/>
      <c r="N34" s="2434"/>
      <c r="O34" s="2434"/>
      <c r="P34" s="2434"/>
      <c r="Q34" s="2435"/>
      <c r="R34" s="503" t="s">
        <v>1314</v>
      </c>
      <c r="S34" s="504"/>
      <c r="T34" s="173"/>
      <c r="U34" s="148"/>
      <c r="V34" s="148"/>
      <c r="W34" s="148"/>
      <c r="X34" s="148"/>
      <c r="Y34" s="148"/>
      <c r="Z34" s="148"/>
      <c r="AA34" s="148"/>
      <c r="AB34" s="148"/>
      <c r="AC34" s="148"/>
      <c r="AD34" s="148"/>
      <c r="AE34" s="535"/>
    </row>
    <row r="35" spans="1:295" ht="11.25" customHeight="1">
      <c r="B35" s="149" t="s">
        <v>1960</v>
      </c>
      <c r="C35" s="150"/>
      <c r="D35" s="1283"/>
      <c r="E35" s="1283"/>
      <c r="F35" s="1283"/>
      <c r="G35" s="1283"/>
      <c r="H35" s="1283"/>
      <c r="I35" s="1283"/>
      <c r="J35" s="1283"/>
      <c r="K35" s="1283"/>
      <c r="L35" s="1283"/>
      <c r="M35" s="1283"/>
      <c r="N35" s="1283"/>
      <c r="O35" s="1283"/>
      <c r="P35" s="1283"/>
    </row>
    <row r="36" spans="1:295" ht="36" customHeight="1">
      <c r="A36" s="1601"/>
      <c r="B36" s="1601"/>
      <c r="C36" s="1601"/>
      <c r="D36" s="1601"/>
      <c r="E36" s="1601"/>
      <c r="F36" s="1601"/>
      <c r="G36" s="1601"/>
      <c r="H36" s="1601"/>
      <c r="I36" s="1601"/>
      <c r="J36" s="1601"/>
      <c r="K36" s="1601"/>
      <c r="L36" s="1601"/>
      <c r="M36" s="1601"/>
      <c r="N36" s="1601"/>
      <c r="O36" s="1601"/>
      <c r="P36" s="1601"/>
      <c r="Q36" s="1601"/>
      <c r="R36" s="503" t="s">
        <v>1314</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7">
        <v>2</v>
      </c>
      <c r="B38" s="4" t="s">
        <v>2884</v>
      </c>
      <c r="C38" s="4"/>
      <c r="D38" s="4"/>
      <c r="E38" s="1283"/>
      <c r="G38" s="896"/>
      <c r="H38" s="896"/>
      <c r="I38" s="896"/>
      <c r="J38" s="42"/>
      <c r="L38" s="897"/>
      <c r="M38" s="897"/>
      <c r="N38" s="897"/>
      <c r="O38" s="143" t="s">
        <v>1961</v>
      </c>
      <c r="P38" s="1575"/>
      <c r="Q38" s="1576"/>
    </row>
    <row r="39" spans="1:295" ht="11.25" customHeight="1">
      <c r="A39" s="1578" t="s">
        <v>4040</v>
      </c>
      <c r="B39" s="1578"/>
      <c r="C39" s="1578"/>
      <c r="D39" s="1578"/>
      <c r="E39" s="1578"/>
      <c r="F39" s="1578"/>
      <c r="G39" s="1570" t="s">
        <v>2888</v>
      </c>
      <c r="H39" s="1571"/>
      <c r="I39" s="912"/>
      <c r="J39" s="42"/>
      <c r="K39" s="1639" t="s">
        <v>4038</v>
      </c>
      <c r="L39" s="1640"/>
      <c r="M39" s="1640"/>
      <c r="N39" s="1641"/>
    </row>
    <row r="40" spans="1:295" ht="11.25" customHeight="1">
      <c r="A40" s="1578"/>
      <c r="B40" s="1578"/>
      <c r="C40" s="1578"/>
      <c r="D40" s="1578"/>
      <c r="E40" s="1578"/>
      <c r="F40" s="1578"/>
      <c r="G40" s="1568" t="s">
        <v>359</v>
      </c>
      <c r="H40" s="1569"/>
      <c r="I40" s="912"/>
      <c r="J40" s="42"/>
      <c r="K40" s="1636" t="s">
        <v>4039</v>
      </c>
      <c r="L40" s="1637"/>
      <c r="M40" s="1637"/>
      <c r="N40" s="1638"/>
      <c r="P40" s="622" t="s">
        <v>2923</v>
      </c>
      <c r="Q40" s="2429" t="s">
        <v>3422</v>
      </c>
    </row>
    <row r="41" spans="1:295" ht="4.5" customHeight="1">
      <c r="A41" s="1578"/>
      <c r="B41" s="1578"/>
      <c r="C41" s="1578"/>
      <c r="D41" s="1578"/>
      <c r="E41" s="1578"/>
      <c r="F41" s="1578"/>
      <c r="G41" s="237"/>
      <c r="H41" s="237"/>
      <c r="I41" s="237"/>
      <c r="J41" s="42"/>
      <c r="K41" s="1642"/>
      <c r="L41" s="1642"/>
      <c r="M41" s="1642"/>
      <c r="N41" s="1642"/>
    </row>
    <row r="42" spans="1:295" s="86" customFormat="1" ht="10.5" customHeight="1">
      <c r="D42" s="913" t="s">
        <v>2887</v>
      </c>
      <c r="E42" s="35"/>
      <c r="F42" s="914" t="s">
        <v>4042</v>
      </c>
      <c r="G42" s="1558" t="s">
        <v>4041</v>
      </c>
      <c r="H42" s="1558"/>
      <c r="I42" s="1558"/>
      <c r="J42" s="35"/>
      <c r="K42" s="914" t="s">
        <v>4042</v>
      </c>
      <c r="L42" s="1558" t="s">
        <v>4041</v>
      </c>
      <c r="M42" s="1558"/>
      <c r="N42" s="1558"/>
      <c r="O42" s="35"/>
      <c r="R42" s="456"/>
      <c r="U42" s="35"/>
      <c r="V42" s="510"/>
      <c r="W42" s="510"/>
      <c r="X42" s="513"/>
      <c r="Y42" s="510"/>
      <c r="Z42" s="524"/>
      <c r="AA42" s="525"/>
      <c r="AB42" s="525"/>
      <c r="AC42" s="525"/>
      <c r="AD42" s="525"/>
      <c r="AE42" s="525"/>
      <c r="AF42" s="525"/>
      <c r="AG42" s="1247"/>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59" t="s">
        <v>3815</v>
      </c>
      <c r="B43" s="1559"/>
      <c r="C43" s="1559"/>
      <c r="D43" s="1221" t="s">
        <v>592</v>
      </c>
      <c r="E43" s="1222">
        <v>0</v>
      </c>
      <c r="F43" s="1223">
        <f>'Part VI-Revenues &amp; Expenses'!H$104</f>
        <v>0</v>
      </c>
      <c r="G43" s="1224">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225">
        <f>F43*G43</f>
        <v>0</v>
      </c>
      <c r="J43" s="42"/>
      <c r="K43" s="1223">
        <f>'Part VI-Revenues &amp; Expenses'!H$105</f>
        <v>0</v>
      </c>
      <c r="L43" s="1224">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225">
        <f>K43*L43</f>
        <v>0</v>
      </c>
      <c r="O43" s="1283"/>
      <c r="P43" s="1579" t="s">
        <v>3817</v>
      </c>
      <c r="Q43" s="1579"/>
      <c r="R43" s="456"/>
      <c r="U43" s="35"/>
      <c r="V43" s="510"/>
      <c r="W43" s="510"/>
      <c r="X43" s="513"/>
      <c r="Y43" s="510"/>
      <c r="Z43" s="524"/>
      <c r="AA43" s="525"/>
      <c r="AB43" s="525"/>
      <c r="AC43" s="525"/>
      <c r="AD43" s="525"/>
      <c r="AE43" s="525"/>
      <c r="AF43" s="525"/>
      <c r="AG43" s="1247"/>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59"/>
      <c r="B44" s="1559"/>
      <c r="C44" s="1559"/>
      <c r="D44" s="1221" t="s">
        <v>2561</v>
      </c>
      <c r="E44" s="1222">
        <v>1</v>
      </c>
      <c r="F44" s="1223">
        <f>'Part VI-Revenues &amp; Expenses'!I$104</f>
        <v>0</v>
      </c>
      <c r="G44" s="1224">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225">
        <f>F44*G44</f>
        <v>0</v>
      </c>
      <c r="J44" s="42"/>
      <c r="K44" s="1223">
        <f>'Part VI-Revenues &amp; Expenses'!I$105</f>
        <v>0</v>
      </c>
      <c r="L44" s="1224">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225">
        <f>K44*L44</f>
        <v>0</v>
      </c>
      <c r="O44" s="1283"/>
      <c r="P44" s="1579"/>
      <c r="Q44" s="1579"/>
      <c r="R44" s="456"/>
      <c r="U44" s="35"/>
      <c r="V44" s="510"/>
      <c r="W44" s="510"/>
      <c r="X44" s="513"/>
      <c r="Y44" s="510"/>
      <c r="Z44" s="524"/>
      <c r="AA44" s="525"/>
      <c r="AB44" s="525"/>
      <c r="AC44" s="525"/>
      <c r="AD44" s="525"/>
      <c r="AE44" s="525"/>
      <c r="AF44" s="525"/>
      <c r="AG44" s="1247"/>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59"/>
      <c r="B45" s="1559"/>
      <c r="C45" s="1559"/>
      <c r="D45" s="1221" t="s">
        <v>2562</v>
      </c>
      <c r="E45" s="1222">
        <v>2</v>
      </c>
      <c r="F45" s="1223">
        <f>'Part VI-Revenues &amp; Expenses'!J$104</f>
        <v>0</v>
      </c>
      <c r="G45" s="1224">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225">
        <f>F45*G45</f>
        <v>0</v>
      </c>
      <c r="J45" s="42"/>
      <c r="K45" s="1223">
        <f>'Part VI-Revenues &amp; Expenses'!J$105</f>
        <v>0</v>
      </c>
      <c r="L45" s="1224">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225">
        <f>K45*L45</f>
        <v>0</v>
      </c>
      <c r="O45" s="1283"/>
      <c r="P45" s="1579"/>
      <c r="Q45" s="1579"/>
      <c r="U45" s="35"/>
      <c r="V45" s="510"/>
      <c r="W45" s="510"/>
      <c r="X45" s="513"/>
      <c r="Y45" s="510"/>
      <c r="Z45" s="524"/>
      <c r="AA45" s="525"/>
      <c r="AB45" s="525"/>
      <c r="AC45" s="525"/>
      <c r="AD45" s="525"/>
      <c r="AE45" s="525"/>
      <c r="AF45" s="525"/>
      <c r="AG45" s="1247"/>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59"/>
      <c r="B46" s="1559"/>
      <c r="C46" s="1559"/>
      <c r="D46" s="1221" t="s">
        <v>2563</v>
      </c>
      <c r="E46" s="1222">
        <v>3</v>
      </c>
      <c r="F46" s="1223">
        <f>'Part VI-Revenues &amp; Expenses'!K$104</f>
        <v>0</v>
      </c>
      <c r="G46" s="1224">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225">
        <f>F46*G46</f>
        <v>0</v>
      </c>
      <c r="J46" s="42"/>
      <c r="K46" s="1223">
        <f>'Part VI-Revenues &amp; Expenses'!K$105</f>
        <v>0</v>
      </c>
      <c r="L46" s="1224">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225">
        <f>K46*L46</f>
        <v>0</v>
      </c>
      <c r="O46" s="1283"/>
      <c r="P46" s="164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44"/>
      <c r="U46" s="35"/>
      <c r="V46" s="510"/>
      <c r="W46" s="510"/>
      <c r="X46" s="513"/>
      <c r="Y46" s="510"/>
      <c r="Z46" s="524"/>
      <c r="AA46" s="525"/>
      <c r="AB46" s="525"/>
      <c r="AC46" s="525"/>
      <c r="AD46" s="525"/>
      <c r="AE46" s="525"/>
      <c r="AF46" s="525"/>
      <c r="AG46" s="1247"/>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6" t="s">
        <v>2564</v>
      </c>
      <c r="E47" s="1222">
        <v>4</v>
      </c>
      <c r="F47" s="1223">
        <f>'Part VI-Revenues &amp; Expenses'!L$104</f>
        <v>0</v>
      </c>
      <c r="G47" s="1224">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225">
        <f>F47*G47</f>
        <v>0</v>
      </c>
      <c r="J47" s="42"/>
      <c r="K47" s="1223">
        <f>'Part VI-Revenues &amp; Expenses'!L$105</f>
        <v>0</v>
      </c>
      <c r="L47" s="1224">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225">
        <f>K47*L47</f>
        <v>0</v>
      </c>
      <c r="O47" s="1283"/>
      <c r="P47" s="1645"/>
      <c r="Q47" s="1646"/>
      <c r="T47" s="35"/>
      <c r="U47" s="35"/>
      <c r="V47" s="510"/>
      <c r="W47" s="510"/>
      <c r="X47" s="513"/>
      <c r="Y47" s="510"/>
      <c r="Z47" s="524"/>
      <c r="AA47" s="525"/>
      <c r="AB47" s="525"/>
      <c r="AC47" s="525"/>
      <c r="AD47" s="525"/>
      <c r="AE47" s="525"/>
      <c r="AF47" s="525"/>
      <c r="AG47" s="1247"/>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3826</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1247"/>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3"/>
      <c r="J49" s="139"/>
      <c r="K49" s="916"/>
      <c r="L49" s="139"/>
      <c r="M49" s="1283"/>
      <c r="N49" s="1293"/>
      <c r="O49" s="1283"/>
      <c r="P49" s="1647" t="str">
        <f>IF('Part IV-Uses of Funds'!$G$130&gt;P60,"CHECK TDC !!!","")</f>
        <v/>
      </c>
      <c r="Q49" s="1647"/>
      <c r="R49" s="456"/>
      <c r="S49" s="456"/>
      <c r="T49" s="35"/>
      <c r="U49" s="35"/>
      <c r="V49" s="510"/>
      <c r="W49" s="510"/>
      <c r="X49" s="513"/>
      <c r="Y49" s="510"/>
      <c r="Z49" s="524"/>
      <c r="AA49" s="525"/>
      <c r="AB49" s="525"/>
      <c r="AC49" s="525"/>
      <c r="AD49" s="525"/>
      <c r="AE49" s="525"/>
      <c r="AF49" s="525"/>
      <c r="AG49" s="1247"/>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59" t="s">
        <v>3810</v>
      </c>
      <c r="B50" s="1559"/>
      <c r="C50" s="1559"/>
      <c r="D50" s="1221" t="s">
        <v>592</v>
      </c>
      <c r="E50" s="1227">
        <f>'Part VI-Revenues &amp; Expenses'!H106</f>
        <v>0</v>
      </c>
      <c r="F50" s="1223">
        <f>'Part VI-Revenues &amp; Expenses'!H$106</f>
        <v>0</v>
      </c>
      <c r="G50" s="1224">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225">
        <f>F50*G50</f>
        <v>0</v>
      </c>
      <c r="J50" s="42"/>
      <c r="K50" s="1223">
        <f>'Part VI-Revenues &amp; Expenses'!H$107</f>
        <v>0</v>
      </c>
      <c r="L50" s="1224">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225">
        <f>K50*L50</f>
        <v>0</v>
      </c>
      <c r="P50" s="1562" t="s">
        <v>3828</v>
      </c>
      <c r="Q50" s="1563"/>
      <c r="R50" s="456"/>
      <c r="S50" s="456"/>
      <c r="T50" s="35"/>
      <c r="U50" s="35"/>
      <c r="V50" s="510"/>
      <c r="W50" s="510"/>
      <c r="X50" s="513"/>
      <c r="Y50" s="510"/>
      <c r="Z50" s="524"/>
      <c r="AA50" s="525"/>
      <c r="AB50" s="525"/>
      <c r="AC50" s="525"/>
      <c r="AD50" s="525"/>
      <c r="AE50" s="525"/>
      <c r="AF50" s="525"/>
      <c r="AG50" s="1247"/>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59"/>
      <c r="B51" s="1559"/>
      <c r="C51" s="1559"/>
      <c r="D51" s="1221" t="s">
        <v>2561</v>
      </c>
      <c r="E51" s="1222">
        <v>1</v>
      </c>
      <c r="F51" s="1223">
        <f>'Part VI-Revenues &amp; Expenses'!I$106</f>
        <v>0</v>
      </c>
      <c r="G51" s="1224">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225">
        <f>F51*G51</f>
        <v>0</v>
      </c>
      <c r="J51" s="42"/>
      <c r="K51" s="1223">
        <f>'Part VI-Revenues &amp; Expenses'!I$107</f>
        <v>0</v>
      </c>
      <c r="L51" s="1224">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225">
        <f>K51*L51</f>
        <v>0</v>
      </c>
      <c r="P51" s="1648">
        <f>'Part IV-Uses of Funds'!$G$130</f>
        <v>14368613</v>
      </c>
      <c r="Q51" s="1649"/>
      <c r="R51" s="456"/>
      <c r="S51" s="456"/>
      <c r="T51" s="35"/>
      <c r="U51" s="35"/>
      <c r="V51" s="510"/>
      <c r="W51" s="510"/>
      <c r="X51" s="513"/>
      <c r="Y51" s="510"/>
      <c r="Z51" s="524"/>
      <c r="AA51" s="525"/>
      <c r="AB51" s="525"/>
      <c r="AC51" s="525"/>
      <c r="AD51" s="525"/>
      <c r="AE51" s="525"/>
      <c r="AF51" s="525"/>
      <c r="AG51" s="1247"/>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59"/>
      <c r="B52" s="1559"/>
      <c r="C52" s="1559"/>
      <c r="D52" s="1221" t="s">
        <v>2562</v>
      </c>
      <c r="E52" s="1222">
        <v>2</v>
      </c>
      <c r="F52" s="1223">
        <f>'Part VI-Revenues &amp; Expenses'!J$106</f>
        <v>0</v>
      </c>
      <c r="G52" s="1224">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225">
        <f>F52*G52</f>
        <v>0</v>
      </c>
      <c r="J52" s="42"/>
      <c r="K52" s="1223">
        <f>'Part VI-Revenues &amp; Expenses'!J$107</f>
        <v>0</v>
      </c>
      <c r="L52" s="1224">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225">
        <f>K52*L52</f>
        <v>0</v>
      </c>
      <c r="O52" s="767"/>
      <c r="P52" s="898"/>
      <c r="Q52" s="899"/>
      <c r="R52" s="456"/>
      <c r="S52" s="456"/>
      <c r="T52" s="35"/>
      <c r="U52" s="35"/>
      <c r="V52" s="510"/>
      <c r="W52" s="510"/>
      <c r="X52" s="513"/>
      <c r="Y52" s="510"/>
      <c r="Z52" s="524"/>
      <c r="AA52" s="525"/>
      <c r="AB52" s="525"/>
      <c r="AC52" s="525"/>
      <c r="AD52" s="525"/>
      <c r="AE52" s="525"/>
      <c r="AF52" s="525"/>
      <c r="AG52" s="1247"/>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1" t="s">
        <v>2563</v>
      </c>
      <c r="E53" s="1222">
        <v>3</v>
      </c>
      <c r="F53" s="1223">
        <f>'Part VI-Revenues &amp; Expenses'!K$106</f>
        <v>0</v>
      </c>
      <c r="G53" s="1224">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225">
        <f>F53*G53</f>
        <v>0</v>
      </c>
      <c r="J53" s="42"/>
      <c r="K53" s="1223">
        <f>'Part VI-Revenues &amp; Expenses'!K$107</f>
        <v>0</v>
      </c>
      <c r="L53" s="1224">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225">
        <f>K53*L53</f>
        <v>0</v>
      </c>
      <c r="O53" s="767"/>
      <c r="P53" s="1560" t="s">
        <v>4043</v>
      </c>
      <c r="Q53" s="1561"/>
      <c r="R53" s="456"/>
      <c r="S53" s="456"/>
      <c r="T53" s="35"/>
      <c r="U53" s="35"/>
      <c r="V53" s="510"/>
      <c r="W53" s="510"/>
      <c r="X53" s="513"/>
      <c r="Y53" s="510"/>
      <c r="Z53" s="524"/>
      <c r="AA53" s="525"/>
      <c r="AB53" s="525"/>
      <c r="AC53" s="525"/>
      <c r="AD53" s="525"/>
      <c r="AE53" s="525"/>
      <c r="AF53" s="525"/>
      <c r="AG53" s="1247"/>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6" t="s">
        <v>2564</v>
      </c>
      <c r="E54" s="1222">
        <v>4</v>
      </c>
      <c r="F54" s="1223">
        <f>'Part VI-Revenues &amp; Expenses'!L$106</f>
        <v>0</v>
      </c>
      <c r="G54" s="1224">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225">
        <f>F54*G54</f>
        <v>0</v>
      </c>
      <c r="J54" s="42"/>
      <c r="K54" s="1223">
        <f>'Part VI-Revenues &amp; Expenses'!L$107</f>
        <v>0</v>
      </c>
      <c r="L54" s="1224">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225">
        <f>K54*L54</f>
        <v>0</v>
      </c>
      <c r="O54" s="767"/>
      <c r="P54" s="1650">
        <f>'Part I-Project Information'!$O$165</f>
        <v>0</v>
      </c>
      <c r="Q54" s="1651"/>
      <c r="R54" s="456"/>
      <c r="S54" s="456"/>
      <c r="T54" s="35"/>
      <c r="U54" s="35"/>
      <c r="V54" s="510"/>
      <c r="W54" s="510"/>
      <c r="X54" s="513"/>
      <c r="Y54" s="510"/>
      <c r="Z54" s="524"/>
      <c r="AA54" s="525"/>
      <c r="AB54" s="525"/>
      <c r="AC54" s="525"/>
      <c r="AD54" s="525"/>
      <c r="AE54" s="525"/>
      <c r="AF54" s="525"/>
      <c r="AG54" s="1247"/>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3826</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1247"/>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3"/>
      <c r="J56" s="35"/>
      <c r="K56" s="916"/>
      <c r="L56" s="35"/>
      <c r="M56" s="1283"/>
      <c r="N56" s="1293"/>
      <c r="O56" s="767"/>
      <c r="R56" s="456"/>
      <c r="S56" s="456"/>
      <c r="T56" s="35"/>
      <c r="U56" s="35"/>
      <c r="V56" s="510"/>
      <c r="W56" s="510"/>
      <c r="X56" s="513"/>
      <c r="Y56" s="510"/>
      <c r="Z56" s="524"/>
      <c r="AA56" s="525"/>
      <c r="AB56" s="525"/>
      <c r="AC56" s="525"/>
      <c r="AD56" s="525"/>
      <c r="AE56" s="525"/>
      <c r="AF56" s="525"/>
      <c r="AG56" s="1247"/>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3811</v>
      </c>
      <c r="B57" s="787"/>
      <c r="C57" s="1"/>
      <c r="D57" s="1221" t="s">
        <v>592</v>
      </c>
      <c r="E57" s="1222">
        <v>0</v>
      </c>
      <c r="F57" s="1223">
        <f>'Part VI-Revenues &amp; Expenses'!H$108</f>
        <v>0</v>
      </c>
      <c r="G57" s="1224">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225">
        <f>F57*G57</f>
        <v>0</v>
      </c>
      <c r="J57" s="42"/>
      <c r="K57" s="1223">
        <f>'Part VI-Revenues &amp; Expenses'!H$109</f>
        <v>0</v>
      </c>
      <c r="L57" s="1224">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225">
        <f>K57*L57</f>
        <v>0</v>
      </c>
      <c r="O57" s="767"/>
      <c r="P57" s="1652" t="s">
        <v>3073</v>
      </c>
      <c r="Q57" s="1652"/>
      <c r="R57" s="456"/>
      <c r="U57" s="35"/>
      <c r="V57" s="510"/>
      <c r="W57" s="510"/>
      <c r="X57" s="513"/>
      <c r="Y57" s="510"/>
      <c r="Z57" s="524"/>
      <c r="AA57" s="525"/>
      <c r="AB57" s="525"/>
      <c r="AC57" s="525"/>
      <c r="AD57" s="525"/>
      <c r="AE57" s="525"/>
      <c r="AF57" s="525"/>
      <c r="AG57" s="1247"/>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1" t="s">
        <v>2561</v>
      </c>
      <c r="E58" s="1222">
        <v>1</v>
      </c>
      <c r="F58" s="1223">
        <f>'Part VI-Revenues &amp; Expenses'!I$108</f>
        <v>0</v>
      </c>
      <c r="G58" s="1224">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225">
        <f>F58*G58</f>
        <v>0</v>
      </c>
      <c r="J58" s="42"/>
      <c r="K58" s="1223">
        <f>'Part VI-Revenues &amp; Expenses'!I$109</f>
        <v>0</v>
      </c>
      <c r="L58" s="1224">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225">
        <f>K58*L58</f>
        <v>0</v>
      </c>
      <c r="P58" s="1652"/>
      <c r="Q58" s="1652"/>
      <c r="U58" s="35"/>
      <c r="V58" s="510"/>
      <c r="W58" s="510"/>
      <c r="X58" s="513"/>
      <c r="Y58" s="510"/>
      <c r="Z58" s="524"/>
      <c r="AA58" s="525"/>
      <c r="AB58" s="525"/>
      <c r="AC58" s="525"/>
      <c r="AD58" s="525"/>
      <c r="AE58" s="525"/>
      <c r="AF58" s="525"/>
      <c r="AG58" s="1247"/>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1" t="s">
        <v>2562</v>
      </c>
      <c r="E59" s="1222">
        <v>2</v>
      </c>
      <c r="F59" s="1223">
        <f>'Part VI-Revenues &amp; Expenses'!J$108</f>
        <v>0</v>
      </c>
      <c r="G59" s="1224">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225">
        <f>F59*G59</f>
        <v>0</v>
      </c>
      <c r="J59" s="42"/>
      <c r="K59" s="1223">
        <f>'Part VI-Revenues &amp; Expenses'!J$109</f>
        <v>0</v>
      </c>
      <c r="L59" s="1224">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225">
        <f>K59*L59</f>
        <v>0</v>
      </c>
      <c r="P59" s="1652"/>
      <c r="Q59" s="1652"/>
      <c r="U59" s="35"/>
      <c r="V59" s="510"/>
      <c r="W59" s="510"/>
      <c r="X59" s="513"/>
      <c r="Y59" s="510"/>
      <c r="Z59" s="524"/>
      <c r="AA59" s="525"/>
      <c r="AB59" s="525"/>
      <c r="AC59" s="525"/>
      <c r="AD59" s="525"/>
      <c r="AE59" s="525"/>
      <c r="AF59" s="525"/>
      <c r="AG59" s="1247"/>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1" t="s">
        <v>2563</v>
      </c>
      <c r="E60" s="1222">
        <v>3</v>
      </c>
      <c r="F60" s="1223">
        <f>'Part VI-Revenues &amp; Expenses'!K$108</f>
        <v>0</v>
      </c>
      <c r="G60" s="1224">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225">
        <f>F60*G60</f>
        <v>0</v>
      </c>
      <c r="J60" s="42"/>
      <c r="K60" s="1223">
        <f>'Part VI-Revenues &amp; Expenses'!K$109</f>
        <v>0</v>
      </c>
      <c r="L60" s="1224">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225">
        <f>K60*L60</f>
        <v>0</v>
      </c>
      <c r="O60" s="767"/>
      <c r="P60" s="1580">
        <f>IF(AND('Part I-Project Information'!I165="Yes",'Part I-Project Information'!O165&gt;1),'Part I-Project Information'!O165, IF(AND('Part IV-Uses of Funds'!$T$163="Yes",'Part IX A-Scoring Criteria'!$O$300&gt;0),I71+N71,I71))</f>
        <v>17206590</v>
      </c>
      <c r="Q60" s="1581"/>
      <c r="U60" s="35"/>
      <c r="V60" s="510"/>
      <c r="W60" s="510"/>
      <c r="X60" s="513"/>
      <c r="Y60" s="510"/>
      <c r="Z60" s="524"/>
      <c r="AA60" s="525"/>
      <c r="AB60" s="525"/>
      <c r="AC60" s="525"/>
      <c r="AD60" s="525"/>
      <c r="AE60" s="525"/>
      <c r="AF60" s="525"/>
      <c r="AG60" s="1247"/>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6" t="s">
        <v>2564</v>
      </c>
      <c r="E61" s="1222">
        <v>4</v>
      </c>
      <c r="F61" s="1223">
        <f>'Part VI-Revenues &amp; Expenses'!L$108</f>
        <v>0</v>
      </c>
      <c r="G61" s="1224">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225">
        <f>F61*G61</f>
        <v>0</v>
      </c>
      <c r="J61" s="42"/>
      <c r="K61" s="1223">
        <f>'Part VI-Revenues &amp; Expenses'!L$109</f>
        <v>0</v>
      </c>
      <c r="L61" s="1224">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225">
        <f>K61*L61</f>
        <v>0</v>
      </c>
      <c r="O61" s="767"/>
      <c r="P61" s="1582"/>
      <c r="Q61" s="1583"/>
      <c r="R61" s="456"/>
      <c r="U61" s="35"/>
      <c r="V61" s="510"/>
      <c r="W61" s="510"/>
      <c r="X61" s="513"/>
      <c r="Y61" s="510"/>
      <c r="Z61" s="524"/>
      <c r="AA61" s="525"/>
      <c r="AB61" s="525"/>
      <c r="AC61" s="525"/>
      <c r="AD61" s="525"/>
      <c r="AE61" s="525"/>
      <c r="AF61" s="525"/>
      <c r="AG61" s="1247"/>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3826</v>
      </c>
      <c r="E62" s="35"/>
      <c r="F62" s="884">
        <f>SUM(F57:F61)</f>
        <v>0</v>
      </c>
      <c r="G62" s="915"/>
      <c r="H62" s="885"/>
      <c r="I62" s="886">
        <f>SUM(I57:I61)</f>
        <v>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1247"/>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3"/>
      <c r="J63" s="35"/>
      <c r="K63" s="916"/>
      <c r="L63" s="35"/>
      <c r="M63" s="1283"/>
      <c r="N63" s="1293"/>
      <c r="O63" s="767"/>
      <c r="Q63" s="456"/>
      <c r="R63" s="456"/>
      <c r="U63" s="35"/>
      <c r="V63" s="510"/>
      <c r="W63" s="510"/>
      <c r="X63" s="513"/>
      <c r="Y63" s="510"/>
      <c r="Z63" s="524"/>
      <c r="AA63" s="525"/>
      <c r="AB63" s="525"/>
      <c r="AC63" s="525"/>
      <c r="AD63" s="525"/>
      <c r="AE63" s="525"/>
      <c r="AF63" s="525"/>
      <c r="AG63" s="1247"/>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3812</v>
      </c>
      <c r="B64" s="8"/>
      <c r="C64" s="1"/>
      <c r="D64" s="1221" t="s">
        <v>592</v>
      </c>
      <c r="E64" s="1222">
        <v>0</v>
      </c>
      <c r="F64" s="1223">
        <f>'Part VI-Revenues &amp; Expenses'!H$110</f>
        <v>0</v>
      </c>
      <c r="G64" s="1224">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225">
        <f>F64*G64</f>
        <v>0</v>
      </c>
      <c r="J64" s="42"/>
      <c r="K64" s="1223">
        <f>'Part VI-Revenues &amp; Expenses'!H$111</f>
        <v>0</v>
      </c>
      <c r="L64" s="1224">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225">
        <f>K64*L64</f>
        <v>0</v>
      </c>
      <c r="O64" s="767"/>
      <c r="P64" s="1622" t="s">
        <v>2919</v>
      </c>
      <c r="Q64" s="1622"/>
      <c r="R64" s="456"/>
      <c r="S64" s="456"/>
      <c r="T64" s="35"/>
      <c r="U64" s="35"/>
      <c r="V64" s="510"/>
      <c r="W64" s="510"/>
      <c r="X64" s="513"/>
      <c r="Y64" s="510"/>
      <c r="Z64" s="524"/>
      <c r="AA64" s="525"/>
      <c r="AB64" s="525"/>
      <c r="AC64" s="525"/>
      <c r="AD64" s="525"/>
      <c r="AE64" s="525"/>
      <c r="AF64" s="525"/>
      <c r="AG64" s="1247"/>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1" t="s">
        <v>2561</v>
      </c>
      <c r="E65" s="1222">
        <v>1</v>
      </c>
      <c r="F65" s="1223">
        <f>'Part VI-Revenues &amp; Expenses'!I$110</f>
        <v>18</v>
      </c>
      <c r="G65" s="1224">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18 units = </v>
      </c>
      <c r="I65" s="1225">
        <f>F65*G65</f>
        <v>2408922</v>
      </c>
      <c r="J65" s="42"/>
      <c r="K65" s="1223">
        <f>'Part VI-Revenues &amp; Expenses'!I$111</f>
        <v>0</v>
      </c>
      <c r="L65" s="1224">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225">
        <f>K65*L65</f>
        <v>0</v>
      </c>
      <c r="O65" s="767"/>
      <c r="P65" s="1622"/>
      <c r="Q65" s="1622"/>
      <c r="R65" s="456"/>
      <c r="U65" s="35"/>
      <c r="V65" s="510"/>
      <c r="W65" s="510"/>
      <c r="X65" s="513"/>
      <c r="Y65" s="510"/>
      <c r="Z65" s="524"/>
      <c r="AA65" s="525"/>
      <c r="AB65" s="525"/>
      <c r="AC65" s="525"/>
      <c r="AD65" s="525"/>
      <c r="AE65" s="525"/>
      <c r="AF65" s="525"/>
      <c r="AG65" s="1247"/>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1" t="s">
        <v>2562</v>
      </c>
      <c r="E66" s="1222">
        <v>2</v>
      </c>
      <c r="F66" s="1223">
        <f>'Part VI-Revenues &amp; Expenses'!J$110</f>
        <v>54</v>
      </c>
      <c r="G66" s="1224">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54 units = </v>
      </c>
      <c r="I66" s="1225">
        <f>F66*G66</f>
        <v>9291564</v>
      </c>
      <c r="J66" s="42"/>
      <c r="K66" s="1223">
        <f>'Part VI-Revenues &amp; Expenses'!J$111</f>
        <v>0</v>
      </c>
      <c r="L66" s="1224">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225">
        <f>K66*L66</f>
        <v>0</v>
      </c>
      <c r="P66" s="1622"/>
      <c r="Q66" s="1622"/>
      <c r="R66" s="456"/>
      <c r="U66" s="35"/>
      <c r="V66" s="510"/>
      <c r="W66" s="510"/>
      <c r="X66" s="513"/>
      <c r="Y66" s="510"/>
      <c r="Z66" s="524"/>
      <c r="AA66" s="525"/>
      <c r="AB66" s="525"/>
      <c r="AC66" s="525"/>
      <c r="AD66" s="525"/>
      <c r="AE66" s="525"/>
      <c r="AF66" s="525"/>
      <c r="AG66" s="1247"/>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1" t="s">
        <v>2563</v>
      </c>
      <c r="E67" s="1222">
        <v>3</v>
      </c>
      <c r="F67" s="1223">
        <f>'Part VI-Revenues &amp; Expenses'!K$110</f>
        <v>24</v>
      </c>
      <c r="G67" s="1224">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24 units = </v>
      </c>
      <c r="I67" s="1225">
        <f>F67*G67</f>
        <v>5506104</v>
      </c>
      <c r="J67" s="42"/>
      <c r="K67" s="1223">
        <f>'Part VI-Revenues &amp; Expenses'!K$111</f>
        <v>0</v>
      </c>
      <c r="L67" s="1224">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225">
        <f>K67*L67</f>
        <v>0</v>
      </c>
      <c r="P67" s="1622"/>
      <c r="Q67" s="1622"/>
      <c r="R67" s="456"/>
      <c r="U67" s="35"/>
      <c r="V67" s="510"/>
      <c r="W67" s="510"/>
      <c r="X67" s="513"/>
      <c r="Y67" s="510"/>
      <c r="Z67" s="524"/>
      <c r="AA67" s="525"/>
      <c r="AB67" s="525"/>
      <c r="AC67" s="525"/>
      <c r="AD67" s="525"/>
      <c r="AE67" s="525"/>
      <c r="AF67" s="525"/>
      <c r="AG67" s="1247"/>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6" t="s">
        <v>2564</v>
      </c>
      <c r="E68" s="1222">
        <v>4</v>
      </c>
      <c r="F68" s="1223">
        <f>'Part VI-Revenues &amp; Expenses'!L$110</f>
        <v>0</v>
      </c>
      <c r="G68" s="1224">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225">
        <f>F68*G68</f>
        <v>0</v>
      </c>
      <c r="J68" s="42"/>
      <c r="K68" s="1223">
        <f>'Part VI-Revenues &amp; Expenses'!L$111</f>
        <v>0</v>
      </c>
      <c r="L68" s="1224">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225">
        <f>K68*L68</f>
        <v>0</v>
      </c>
      <c r="O68" s="767"/>
      <c r="P68" s="1622"/>
      <c r="Q68" s="1622"/>
      <c r="R68" s="456"/>
      <c r="U68" s="35"/>
      <c r="V68" s="510"/>
      <c r="W68" s="510"/>
      <c r="X68" s="513"/>
      <c r="Y68" s="510"/>
      <c r="Z68" s="524"/>
      <c r="AA68" s="525"/>
      <c r="AB68" s="525"/>
      <c r="AC68" s="525"/>
      <c r="AD68" s="525"/>
      <c r="AE68" s="525"/>
      <c r="AF68" s="525"/>
      <c r="AG68" s="1247"/>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3826</v>
      </c>
      <c r="E69" s="35"/>
      <c r="F69" s="884">
        <f>SUM(F64:F68)</f>
        <v>96</v>
      </c>
      <c r="G69" s="915"/>
      <c r="H69" s="885"/>
      <c r="I69" s="886">
        <f>SUM(I64:I68)</f>
        <v>17206590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1247"/>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00"/>
      <c r="O70" s="767"/>
      <c r="R70" s="456"/>
      <c r="S70" s="456"/>
      <c r="T70" s="35"/>
      <c r="U70" s="35"/>
      <c r="V70" s="510"/>
      <c r="W70" s="510"/>
      <c r="X70" s="513"/>
      <c r="Y70" s="510"/>
      <c r="Z70" s="524"/>
      <c r="AA70" s="525"/>
      <c r="AB70" s="525"/>
      <c r="AC70" s="525"/>
      <c r="AD70" s="525"/>
      <c r="AE70" s="525"/>
      <c r="AF70" s="525"/>
      <c r="AG70" s="1247"/>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94">
        <f>F48+F55+F62+F69</f>
        <v>96</v>
      </c>
      <c r="G71" s="370"/>
      <c r="H71" s="895"/>
      <c r="I71" s="894">
        <f>I48+I55+I62+I69</f>
        <v>17206590</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1247"/>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20"/>
      <c r="J72" s="820"/>
      <c r="K72" s="149" t="s">
        <v>1960</v>
      </c>
      <c r="L72" s="1278"/>
      <c r="M72" s="1278"/>
      <c r="N72" s="1278"/>
      <c r="O72" s="1278"/>
      <c r="P72" s="1278"/>
      <c r="Q72" s="1311"/>
    </row>
    <row r="73" spans="1:295" ht="10.5" customHeight="1">
      <c r="A73" s="2433"/>
      <c r="B73" s="2434"/>
      <c r="C73" s="2434"/>
      <c r="D73" s="2434"/>
      <c r="E73" s="2434"/>
      <c r="F73" s="2434"/>
      <c r="G73" s="2434"/>
      <c r="H73" s="2434"/>
      <c r="I73" s="2434"/>
      <c r="J73" s="2435"/>
      <c r="K73" s="1572"/>
      <c r="L73" s="1573"/>
      <c r="M73" s="1573"/>
      <c r="N73" s="1573"/>
      <c r="O73" s="1573"/>
      <c r="P73" s="1573"/>
      <c r="Q73" s="1574"/>
      <c r="R73" s="503" t="s">
        <v>1314</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7">
        <v>3</v>
      </c>
      <c r="B75" s="4" t="s">
        <v>1247</v>
      </c>
      <c r="C75" s="4"/>
      <c r="D75" s="4"/>
      <c r="E75" s="1283"/>
      <c r="F75" s="1283"/>
      <c r="G75" s="152" t="s">
        <v>101</v>
      </c>
      <c r="H75" s="1283"/>
      <c r="K75" s="2436" t="str">
        <f>'Part I-Project Information'!$H$67</f>
        <v>Family</v>
      </c>
      <c r="L75" s="2437"/>
      <c r="M75" s="2438"/>
      <c r="O75" s="143" t="s">
        <v>1961</v>
      </c>
      <c r="P75" s="1575"/>
      <c r="Q75" s="1576"/>
    </row>
    <row r="76" spans="1:295" ht="10.5" customHeight="1">
      <c r="B76" s="101" t="s">
        <v>1959</v>
      </c>
      <c r="D76" s="101"/>
      <c r="E76" s="101"/>
      <c r="F76" s="101"/>
      <c r="G76" s="101"/>
      <c r="H76" s="40"/>
      <c r="I76" s="820"/>
      <c r="J76" s="820"/>
      <c r="K76" s="149" t="s">
        <v>1960</v>
      </c>
      <c r="L76" s="1278"/>
      <c r="M76" s="1278"/>
      <c r="N76" s="1278"/>
      <c r="O76" s="1278"/>
      <c r="P76" s="1278"/>
      <c r="Q76" s="1311"/>
    </row>
    <row r="77" spans="1:295" ht="10.5" customHeight="1">
      <c r="A77" s="2433" t="s">
        <v>4505</v>
      </c>
      <c r="B77" s="2434"/>
      <c r="C77" s="2434"/>
      <c r="D77" s="2434"/>
      <c r="E77" s="2434"/>
      <c r="F77" s="2434"/>
      <c r="G77" s="2434"/>
      <c r="H77" s="2434"/>
      <c r="I77" s="2434"/>
      <c r="J77" s="2435"/>
      <c r="K77" s="1572"/>
      <c r="L77" s="1573"/>
      <c r="M77" s="1573"/>
      <c r="N77" s="1573"/>
      <c r="O77" s="1573"/>
      <c r="P77" s="1573"/>
      <c r="Q77" s="1574"/>
      <c r="R77" s="503" t="s">
        <v>1314</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7">
        <v>4</v>
      </c>
      <c r="B79" s="1287" t="s">
        <v>2790</v>
      </c>
      <c r="C79" s="121"/>
      <c r="D79" s="1283"/>
      <c r="E79" s="1283"/>
      <c r="F79" s="1283"/>
      <c r="G79" s="1283"/>
      <c r="H79" s="1283"/>
      <c r="I79" s="1283"/>
      <c r="J79" s="1283"/>
      <c r="K79" s="1283"/>
      <c r="L79" s="1283"/>
      <c r="M79" s="1283"/>
      <c r="O79" s="143" t="s">
        <v>1961</v>
      </c>
      <c r="P79" s="1575"/>
      <c r="Q79" s="1576"/>
    </row>
    <row r="80" spans="1:295" ht="1.5" customHeight="1"/>
    <row r="81" spans="1:31" ht="10.5" customHeight="1">
      <c r="B81" s="950" t="s">
        <v>2081</v>
      </c>
      <c r="C81" s="1553" t="s">
        <v>3829</v>
      </c>
      <c r="D81" s="1605"/>
      <c r="E81" s="1605"/>
      <c r="F81" s="1605"/>
      <c r="G81" s="1605"/>
      <c r="H81" s="1605"/>
      <c r="I81" s="1605"/>
      <c r="J81" s="1605"/>
      <c r="K81" s="1605"/>
      <c r="L81" s="1605"/>
      <c r="M81" s="1605"/>
      <c r="O81" s="155"/>
      <c r="P81" s="2429" t="s">
        <v>4447</v>
      </c>
    </row>
    <row r="82" spans="1:31" ht="10.5" customHeight="1">
      <c r="B82" s="121" t="s">
        <v>2084</v>
      </c>
      <c r="C82" s="1305" t="s">
        <v>2895</v>
      </c>
      <c r="D82" s="1305"/>
      <c r="E82" s="1305"/>
      <c r="F82" s="1305"/>
      <c r="G82" s="1305"/>
      <c r="H82" s="1305"/>
      <c r="I82" s="1305"/>
      <c r="J82" s="1305"/>
      <c r="K82" s="1305"/>
      <c r="L82" s="1305"/>
      <c r="M82" s="1305"/>
      <c r="O82" s="1305"/>
      <c r="P82" s="1305"/>
      <c r="Q82" s="1305"/>
    </row>
    <row r="83" spans="1:31" ht="10.9" customHeight="1">
      <c r="A83" s="156"/>
      <c r="B83" s="69" t="s">
        <v>1825</v>
      </c>
      <c r="C83" s="1305" t="s">
        <v>4229</v>
      </c>
      <c r="E83" s="1277"/>
      <c r="F83" s="1277"/>
      <c r="G83" s="1277"/>
      <c r="H83" s="32"/>
      <c r="I83" s="36" t="s">
        <v>2876</v>
      </c>
      <c r="J83" s="2439" t="s">
        <v>4448</v>
      </c>
      <c r="K83" s="2440"/>
      <c r="L83" s="2440"/>
      <c r="M83" s="2440"/>
      <c r="N83" s="2440"/>
      <c r="O83" s="2440"/>
      <c r="P83" s="2440"/>
      <c r="Q83" s="2441"/>
    </row>
    <row r="84" spans="1:31" ht="10.9" customHeight="1">
      <c r="A84" s="156"/>
      <c r="B84" s="69" t="s">
        <v>1826</v>
      </c>
      <c r="C84" s="1305" t="s">
        <v>1899</v>
      </c>
      <c r="E84" s="1277"/>
      <c r="F84" s="1277"/>
      <c r="G84" s="1277"/>
      <c r="H84" s="32"/>
      <c r="I84" s="36" t="s">
        <v>2876</v>
      </c>
      <c r="J84" s="2442" t="s">
        <v>1017</v>
      </c>
      <c r="K84" s="2443"/>
      <c r="L84" s="2443"/>
      <c r="M84" s="2443"/>
      <c r="N84" s="2443"/>
      <c r="O84" s="2443"/>
      <c r="P84" s="2443"/>
      <c r="Q84" s="2444"/>
    </row>
    <row r="85" spans="1:31" ht="10.9" customHeight="1">
      <c r="A85" s="156"/>
      <c r="B85" s="69" t="s">
        <v>1827</v>
      </c>
      <c r="C85" s="1305" t="s">
        <v>3830</v>
      </c>
      <c r="E85" s="1277"/>
      <c r="F85" s="1277"/>
      <c r="G85" s="1277"/>
      <c r="H85" s="32"/>
      <c r="I85" s="36" t="s">
        <v>2876</v>
      </c>
      <c r="J85" s="2442" t="s">
        <v>1017</v>
      </c>
      <c r="K85" s="2443"/>
      <c r="L85" s="2443"/>
      <c r="M85" s="2443"/>
      <c r="N85" s="2443"/>
      <c r="O85" s="2443"/>
      <c r="P85" s="2443"/>
      <c r="Q85" s="2444"/>
    </row>
    <row r="86" spans="1:31" ht="10.9" customHeight="1">
      <c r="A86" s="156"/>
      <c r="B86" s="533" t="s">
        <v>2477</v>
      </c>
      <c r="C86" s="1305" t="s">
        <v>3831</v>
      </c>
      <c r="E86" s="1277"/>
      <c r="I86" s="36" t="s">
        <v>2876</v>
      </c>
      <c r="J86" s="2445" t="s">
        <v>1017</v>
      </c>
      <c r="K86" s="2446"/>
      <c r="L86" s="2446"/>
      <c r="M86" s="2446"/>
      <c r="N86" s="2446"/>
      <c r="O86" s="2446"/>
      <c r="P86" s="2446"/>
      <c r="Q86" s="2447"/>
    </row>
    <row r="87" spans="1:31" ht="10.9" customHeight="1">
      <c r="A87" s="156"/>
      <c r="B87" s="121" t="s">
        <v>789</v>
      </c>
      <c r="C87" s="40" t="s">
        <v>4369</v>
      </c>
      <c r="D87" s="1305"/>
      <c r="E87" s="1277"/>
      <c r="J87" s="36"/>
      <c r="K87" s="36"/>
      <c r="L87" s="36"/>
      <c r="M87" s="36"/>
      <c r="N87" s="36"/>
      <c r="O87" s="36"/>
      <c r="P87" s="36"/>
      <c r="Q87" s="36"/>
    </row>
    <row r="88" spans="1:31" ht="10.9" customHeight="1">
      <c r="A88" s="156"/>
      <c r="B88" s="47"/>
      <c r="C88" s="56" t="s">
        <v>4230</v>
      </c>
      <c r="D88" s="145"/>
      <c r="E88" s="145"/>
      <c r="F88" s="145"/>
      <c r="G88" s="145"/>
      <c r="H88" s="145"/>
      <c r="I88" s="42"/>
      <c r="J88" s="42"/>
      <c r="K88" s="533" t="s">
        <v>789</v>
      </c>
      <c r="L88" s="2448"/>
      <c r="M88" s="2449"/>
      <c r="N88" s="2449"/>
      <c r="O88" s="2449"/>
      <c r="P88" s="2450"/>
      <c r="Q88" s="647"/>
    </row>
    <row r="89" spans="1:31" ht="10.5" customHeight="1">
      <c r="B89" s="101" t="s">
        <v>1959</v>
      </c>
      <c r="D89" s="101"/>
      <c r="E89" s="101"/>
      <c r="F89" s="101"/>
      <c r="G89" s="101"/>
      <c r="H89" s="40"/>
      <c r="I89" s="820"/>
      <c r="J89" s="820"/>
      <c r="K89" s="149" t="s">
        <v>1960</v>
      </c>
      <c r="L89" s="1278"/>
      <c r="M89" s="1278"/>
      <c r="N89" s="1278"/>
      <c r="O89" s="1278"/>
      <c r="P89" s="1278"/>
      <c r="Q89" s="1311"/>
    </row>
    <row r="90" spans="1:31" ht="21.75" customHeight="1">
      <c r="A90" s="2433" t="s">
        <v>4506</v>
      </c>
      <c r="B90" s="2434"/>
      <c r="C90" s="2434"/>
      <c r="D90" s="2434"/>
      <c r="E90" s="2434"/>
      <c r="F90" s="2434"/>
      <c r="G90" s="2434"/>
      <c r="H90" s="2434"/>
      <c r="I90" s="2434"/>
      <c r="J90" s="2435"/>
      <c r="K90" s="1572"/>
      <c r="L90" s="1573"/>
      <c r="M90" s="1573"/>
      <c r="N90" s="1573"/>
      <c r="O90" s="1573"/>
      <c r="P90" s="1573"/>
      <c r="Q90" s="1574"/>
      <c r="R90" s="503" t="s">
        <v>1314</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7">
        <v>5</v>
      </c>
      <c r="B92" s="1287" t="s">
        <v>2791</v>
      </c>
      <c r="C92" s="1287"/>
      <c r="D92" s="1283"/>
      <c r="E92" s="1283"/>
      <c r="F92" s="1283"/>
      <c r="G92" s="1283"/>
      <c r="H92" s="1283"/>
      <c r="I92" s="1283"/>
      <c r="J92" s="1283"/>
      <c r="K92" s="1283"/>
      <c r="O92" s="143" t="s">
        <v>1961</v>
      </c>
      <c r="P92" s="1575"/>
      <c r="Q92" s="1576"/>
    </row>
    <row r="93" spans="1:31" ht="3" customHeight="1"/>
    <row r="94" spans="1:31" ht="12" customHeight="1">
      <c r="B94" s="47" t="s">
        <v>2081</v>
      </c>
      <c r="C94" s="157" t="s">
        <v>2581</v>
      </c>
      <c r="D94" s="145"/>
      <c r="E94" s="145"/>
      <c r="F94" s="145"/>
      <c r="G94" s="145"/>
      <c r="H94" s="145"/>
      <c r="I94" s="42"/>
      <c r="J94" s="42"/>
      <c r="K94" s="42"/>
      <c r="L94" s="533" t="s">
        <v>2081</v>
      </c>
      <c r="M94" s="2451" t="s">
        <v>4449</v>
      </c>
      <c r="N94" s="2452"/>
      <c r="O94" s="2452"/>
      <c r="P94" s="2453"/>
      <c r="Q94" s="649"/>
    </row>
    <row r="95" spans="1:31" ht="12" customHeight="1">
      <c r="B95" s="47" t="s">
        <v>2084</v>
      </c>
      <c r="C95" s="53" t="s">
        <v>2136</v>
      </c>
      <c r="D95" s="145"/>
      <c r="E95" s="145"/>
      <c r="F95" s="145"/>
      <c r="L95" s="533" t="s">
        <v>2084</v>
      </c>
      <c r="M95" s="2454" t="s">
        <v>4450</v>
      </c>
      <c r="N95" s="2455"/>
      <c r="O95" s="2455"/>
      <c r="P95" s="2456"/>
      <c r="Q95" s="650"/>
    </row>
    <row r="96" spans="1:31" ht="12" customHeight="1">
      <c r="B96" s="47" t="s">
        <v>789</v>
      </c>
      <c r="C96" s="53" t="s">
        <v>3265</v>
      </c>
      <c r="D96" s="145"/>
      <c r="E96" s="145"/>
      <c r="F96" s="145"/>
      <c r="L96" s="533" t="s">
        <v>789</v>
      </c>
      <c r="M96" s="2457">
        <v>4.1000000000000002E-2</v>
      </c>
      <c r="N96" s="2458"/>
      <c r="O96" s="2458"/>
      <c r="P96" s="2459"/>
      <c r="Q96" s="650"/>
    </row>
    <row r="97" spans="1:31" ht="12" customHeight="1">
      <c r="B97" s="47" t="s">
        <v>2216</v>
      </c>
      <c r="C97" s="53" t="s">
        <v>2582</v>
      </c>
      <c r="D97" s="145"/>
      <c r="E97" s="145"/>
      <c r="F97" s="145"/>
      <c r="L97" s="533" t="s">
        <v>2216</v>
      </c>
      <c r="M97" s="2460">
        <v>3.5000000000000003E-2</v>
      </c>
      <c r="N97" s="2461"/>
      <c r="O97" s="2461"/>
      <c r="P97" s="2462"/>
      <c r="Q97" s="651"/>
    </row>
    <row r="98" spans="1:31" ht="12" customHeight="1">
      <c r="B98" s="154" t="s">
        <v>1823</v>
      </c>
      <c r="C98" s="1564" t="s">
        <v>4078</v>
      </c>
      <c r="D98" s="1564"/>
      <c r="E98" s="1564"/>
      <c r="F98" s="1564"/>
      <c r="G98" s="1564"/>
      <c r="H98" s="1564"/>
      <c r="I98" s="1564"/>
      <c r="J98" s="1564"/>
      <c r="K98" s="1564"/>
      <c r="L98" s="1564"/>
      <c r="M98" s="1564"/>
      <c r="N98" s="1564"/>
      <c r="O98" s="1564"/>
      <c r="P98" s="1564"/>
      <c r="Q98" s="1564"/>
    </row>
    <row r="99" spans="1:31" ht="12" customHeight="1">
      <c r="B99" s="47"/>
      <c r="C99" s="53"/>
      <c r="D99" s="1299" t="s">
        <v>2492</v>
      </c>
      <c r="E99" s="1305" t="s">
        <v>648</v>
      </c>
      <c r="F99" s="1305"/>
      <c r="H99" s="53"/>
      <c r="I99" s="1299" t="s">
        <v>2492</v>
      </c>
      <c r="J99" s="1305" t="s">
        <v>648</v>
      </c>
      <c r="K99" s="1305"/>
      <c r="M99" s="53"/>
      <c r="N99" s="1299" t="s">
        <v>2492</v>
      </c>
      <c r="O99" s="1305" t="s">
        <v>648</v>
      </c>
      <c r="P99" s="1305"/>
      <c r="Q99" s="533"/>
    </row>
    <row r="100" spans="1:31" ht="12" customHeight="1">
      <c r="B100" s="47"/>
      <c r="C100" s="53">
        <v>1</v>
      </c>
      <c r="D100" s="2463" t="s">
        <v>1017</v>
      </c>
      <c r="E100" s="2464"/>
      <c r="F100" s="2464"/>
      <c r="G100" s="2464"/>
      <c r="H100" s="53">
        <v>3</v>
      </c>
      <c r="I100" s="2463" t="s">
        <v>1017</v>
      </c>
      <c r="J100" s="2464"/>
      <c r="K100" s="2464"/>
      <c r="L100" s="2464"/>
      <c r="M100" s="53">
        <v>5</v>
      </c>
      <c r="N100" s="2463" t="s">
        <v>1017</v>
      </c>
      <c r="O100" s="2464"/>
      <c r="P100" s="2464"/>
      <c r="Q100" s="2464"/>
    </row>
    <row r="101" spans="1:31" ht="12" customHeight="1">
      <c r="B101" s="47"/>
      <c r="C101" s="53">
        <v>2</v>
      </c>
      <c r="D101" s="2465" t="s">
        <v>1017</v>
      </c>
      <c r="E101" s="2466"/>
      <c r="F101" s="2466"/>
      <c r="G101" s="2466"/>
      <c r="H101" s="53">
        <v>4</v>
      </c>
      <c r="I101" s="2465" t="s">
        <v>1017</v>
      </c>
      <c r="J101" s="2466"/>
      <c r="K101" s="2466"/>
      <c r="L101" s="2466"/>
      <c r="M101" s="53">
        <v>6</v>
      </c>
      <c r="N101" s="2465" t="s">
        <v>1017</v>
      </c>
      <c r="O101" s="2466"/>
      <c r="P101" s="2466"/>
      <c r="Q101" s="2466"/>
    </row>
    <row r="102" spans="1:31" ht="12" customHeight="1">
      <c r="B102" s="47" t="s">
        <v>1824</v>
      </c>
      <c r="C102" s="53" t="s">
        <v>0</v>
      </c>
      <c r="D102" s="145"/>
      <c r="E102" s="145"/>
      <c r="F102" s="145"/>
      <c r="G102" s="145"/>
      <c r="H102" s="145"/>
      <c r="I102" s="42"/>
      <c r="J102" s="42"/>
      <c r="K102" s="145"/>
      <c r="L102" s="1277"/>
      <c r="M102" s="1277"/>
      <c r="O102" s="533" t="s">
        <v>1824</v>
      </c>
      <c r="P102" s="2467"/>
      <c r="Q102" s="658"/>
    </row>
    <row r="103" spans="1:31" ht="11.25" customHeight="1">
      <c r="B103" s="153" t="s">
        <v>1959</v>
      </c>
      <c r="D103" s="153"/>
      <c r="E103" s="153"/>
      <c r="F103" s="153"/>
      <c r="G103" s="153"/>
      <c r="H103" s="40"/>
      <c r="I103" s="820"/>
      <c r="J103" s="820"/>
      <c r="K103" s="820"/>
      <c r="L103" s="1278"/>
      <c r="M103" s="1278"/>
      <c r="N103" s="1278"/>
      <c r="O103" s="1278"/>
      <c r="P103" s="1278"/>
      <c r="Q103" s="1311"/>
    </row>
    <row r="104" spans="1:31" ht="44.25" customHeight="1">
      <c r="A104" s="2433" t="s">
        <v>4542</v>
      </c>
      <c r="B104" s="2434"/>
      <c r="C104" s="2434"/>
      <c r="D104" s="2434"/>
      <c r="E104" s="2434"/>
      <c r="F104" s="2434"/>
      <c r="G104" s="2434"/>
      <c r="H104" s="2434"/>
      <c r="I104" s="2434"/>
      <c r="J104" s="2434"/>
      <c r="K104" s="2434"/>
      <c r="L104" s="2434"/>
      <c r="M104" s="2434"/>
      <c r="N104" s="2434"/>
      <c r="O104" s="2434"/>
      <c r="P104" s="2434"/>
      <c r="Q104" s="2435"/>
      <c r="U104" s="148"/>
      <c r="V104" s="148"/>
      <c r="W104" s="148"/>
      <c r="X104" s="148"/>
      <c r="Y104" s="148"/>
      <c r="Z104" s="148"/>
      <c r="AA104" s="148"/>
      <c r="AB104" s="148"/>
      <c r="AC104" s="148"/>
      <c r="AD104" s="148"/>
      <c r="AE104" s="535"/>
    </row>
    <row r="105" spans="1:31" ht="11.25" customHeight="1">
      <c r="B105" s="149" t="s">
        <v>1960</v>
      </c>
      <c r="C105" s="150"/>
      <c r="D105" s="1283"/>
      <c r="E105" s="1283"/>
      <c r="F105" s="1283"/>
      <c r="G105" s="1283"/>
      <c r="H105" s="1283"/>
      <c r="I105" s="1283"/>
      <c r="J105" s="1283"/>
      <c r="K105" s="1283"/>
      <c r="L105" s="1283"/>
      <c r="M105" s="1283"/>
      <c r="N105" s="1283"/>
      <c r="O105" s="1283"/>
      <c r="P105" s="1283"/>
      <c r="Q105" s="1283"/>
    </row>
    <row r="106" spans="1:31" ht="44.25" customHeight="1">
      <c r="A106" s="1572"/>
      <c r="B106" s="1573"/>
      <c r="C106" s="1573"/>
      <c r="D106" s="1573"/>
      <c r="E106" s="1573"/>
      <c r="F106" s="1573"/>
      <c r="G106" s="1573"/>
      <c r="H106" s="1573"/>
      <c r="I106" s="1573"/>
      <c r="J106" s="1573"/>
      <c r="K106" s="1573"/>
      <c r="L106" s="1573"/>
      <c r="M106" s="1573"/>
      <c r="N106" s="1573"/>
      <c r="O106" s="1573"/>
      <c r="P106" s="1573"/>
      <c r="Q106" s="1574"/>
    </row>
    <row r="107" spans="1:31" ht="13.9" customHeight="1">
      <c r="A107" s="1287">
        <v>6</v>
      </c>
      <c r="B107" s="1287" t="s">
        <v>2792</v>
      </c>
      <c r="C107" s="1287"/>
      <c r="D107" s="1283"/>
      <c r="E107" s="1283"/>
      <c r="F107" s="1283"/>
      <c r="G107" s="1283"/>
      <c r="H107" s="1283"/>
      <c r="I107" s="1283"/>
      <c r="J107" s="1283"/>
      <c r="K107" s="1283"/>
      <c r="L107" s="1283"/>
      <c r="M107" s="1283"/>
      <c r="O107" s="143" t="s">
        <v>1961</v>
      </c>
      <c r="P107" s="1575"/>
      <c r="Q107" s="1576"/>
    </row>
    <row r="108" spans="1:31" ht="3" customHeight="1"/>
    <row r="109" spans="1:31" ht="12" customHeight="1">
      <c r="B109" s="47" t="s">
        <v>2081</v>
      </c>
      <c r="C109" s="53" t="s">
        <v>516</v>
      </c>
      <c r="D109" s="53"/>
      <c r="E109" s="53"/>
      <c r="F109" s="53"/>
      <c r="G109" s="53"/>
      <c r="H109" s="53"/>
      <c r="I109" s="53"/>
      <c r="J109" s="53"/>
      <c r="K109" s="53"/>
      <c r="L109" s="53"/>
      <c r="M109" s="53"/>
      <c r="O109" s="533" t="s">
        <v>2081</v>
      </c>
      <c r="P109" s="2468" t="s">
        <v>3425</v>
      </c>
      <c r="Q109" s="649"/>
    </row>
    <row r="110" spans="1:31" ht="12" customHeight="1">
      <c r="B110" s="47" t="s">
        <v>2084</v>
      </c>
      <c r="C110" s="53" t="s">
        <v>1369</v>
      </c>
      <c r="D110" s="53"/>
      <c r="E110" s="53"/>
      <c r="F110" s="53"/>
      <c r="G110" s="53"/>
      <c r="H110" s="53"/>
      <c r="I110" s="53"/>
      <c r="J110" s="53"/>
      <c r="K110" s="53"/>
      <c r="L110" s="1305"/>
      <c r="M110" s="1305"/>
      <c r="O110" s="533" t="s">
        <v>2084</v>
      </c>
      <c r="P110" s="2469" t="s">
        <v>3425</v>
      </c>
      <c r="Q110" s="650"/>
    </row>
    <row r="111" spans="1:31" ht="12" customHeight="1">
      <c r="A111" s="144"/>
      <c r="B111" s="36"/>
      <c r="D111" s="39" t="s">
        <v>578</v>
      </c>
      <c r="E111" s="42"/>
      <c r="F111" s="42"/>
      <c r="G111" s="42"/>
      <c r="H111" s="42"/>
      <c r="I111" s="42"/>
      <c r="L111" s="69" t="s">
        <v>579</v>
      </c>
      <c r="M111" s="2448" t="s">
        <v>1017</v>
      </c>
      <c r="N111" s="2449"/>
      <c r="O111" s="2449"/>
      <c r="P111" s="2470"/>
      <c r="Q111" s="650"/>
    </row>
    <row r="112" spans="1:31">
      <c r="A112" s="156"/>
      <c r="B112" s="820"/>
      <c r="C112" s="162" t="s">
        <v>1825</v>
      </c>
      <c r="D112" s="1540" t="s">
        <v>4174</v>
      </c>
      <c r="E112" s="1577"/>
      <c r="F112" s="1577"/>
      <c r="G112" s="1577"/>
      <c r="H112" s="1577"/>
      <c r="I112" s="1577"/>
      <c r="J112" s="1577"/>
      <c r="K112" s="1577"/>
      <c r="L112" s="1577"/>
      <c r="M112" s="1577"/>
      <c r="N112" s="1577"/>
      <c r="O112" s="162" t="s">
        <v>1825</v>
      </c>
      <c r="P112" s="2468"/>
      <c r="Q112" s="650"/>
    </row>
    <row r="113" spans="1:32" ht="12" customHeight="1">
      <c r="A113" s="156"/>
      <c r="B113" s="820"/>
      <c r="C113" s="69" t="s">
        <v>1826</v>
      </c>
      <c r="D113" s="1540" t="s">
        <v>4175</v>
      </c>
      <c r="E113" s="1577"/>
      <c r="F113" s="1577"/>
      <c r="G113" s="1577"/>
      <c r="H113" s="1577"/>
      <c r="I113" s="1577"/>
      <c r="J113" s="1577"/>
      <c r="K113" s="1577"/>
      <c r="L113" s="1577"/>
      <c r="M113" s="1577"/>
      <c r="N113" s="1577"/>
      <c r="O113" s="69" t="s">
        <v>1826</v>
      </c>
      <c r="P113" s="2471"/>
      <c r="Q113" s="650"/>
    </row>
    <row r="114" spans="1:32" ht="12" customHeight="1">
      <c r="A114" s="156"/>
      <c r="B114" s="820"/>
      <c r="C114" s="162" t="s">
        <v>1827</v>
      </c>
      <c r="D114" s="53" t="s">
        <v>3266</v>
      </c>
      <c r="E114" s="53"/>
      <c r="F114" s="53"/>
      <c r="G114" s="53"/>
      <c r="H114" s="53"/>
      <c r="I114" s="53"/>
      <c r="J114" s="53"/>
      <c r="K114" s="53"/>
      <c r="L114" s="53"/>
      <c r="M114" s="53"/>
      <c r="O114" s="162" t="s">
        <v>1827</v>
      </c>
      <c r="P114" s="2471"/>
      <c r="Q114" s="650"/>
    </row>
    <row r="115" spans="1:32" s="144" customFormat="1" ht="24.75" customHeight="1">
      <c r="A115" s="156"/>
      <c r="B115" s="490"/>
      <c r="C115" s="177" t="s">
        <v>2477</v>
      </c>
      <c r="D115" s="1564" t="s">
        <v>2846</v>
      </c>
      <c r="E115" s="1564"/>
      <c r="F115" s="1564"/>
      <c r="G115" s="1564"/>
      <c r="H115" s="1564"/>
      <c r="I115" s="1564"/>
      <c r="J115" s="1564"/>
      <c r="K115" s="1564"/>
      <c r="L115" s="1564"/>
      <c r="M115" s="1564"/>
      <c r="N115" s="1564"/>
      <c r="O115" s="177" t="s">
        <v>2477</v>
      </c>
      <c r="P115" s="2472"/>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69" t="s">
        <v>3425</v>
      </c>
      <c r="Q116" s="651"/>
    </row>
    <row r="117" spans="1:32" ht="12" customHeight="1">
      <c r="B117" s="47" t="s">
        <v>2216</v>
      </c>
      <c r="C117" s="53" t="s">
        <v>1500</v>
      </c>
      <c r="D117" s="53"/>
      <c r="E117" s="53"/>
      <c r="G117" s="53"/>
      <c r="I117" s="53"/>
      <c r="K117" s="53"/>
      <c r="L117" s="1305"/>
      <c r="M117" s="1305"/>
      <c r="N117" s="1305"/>
      <c r="O117" s="1305"/>
      <c r="P117" s="1305"/>
      <c r="Q117" s="1305"/>
    </row>
    <row r="118" spans="1:32" ht="12" customHeight="1">
      <c r="B118" s="47"/>
      <c r="C118" s="69" t="s">
        <v>1825</v>
      </c>
      <c r="D118" s="53" t="s">
        <v>1501</v>
      </c>
      <c r="E118" s="53"/>
      <c r="F118" s="53"/>
      <c r="G118" s="53"/>
      <c r="H118" s="53"/>
      <c r="I118" s="53"/>
      <c r="J118" s="53"/>
      <c r="K118" s="53"/>
      <c r="L118" s="1305"/>
      <c r="M118" s="1305"/>
      <c r="O118" s="69" t="s">
        <v>1825</v>
      </c>
      <c r="P118" s="2468" t="s">
        <v>3425</v>
      </c>
      <c r="Q118" s="649"/>
    </row>
    <row r="119" spans="1:32" ht="12" customHeight="1">
      <c r="B119" s="47"/>
      <c r="C119" s="69" t="s">
        <v>1826</v>
      </c>
      <c r="D119" s="53" t="s">
        <v>1502</v>
      </c>
      <c r="E119" s="53"/>
      <c r="F119" s="53"/>
      <c r="G119" s="53"/>
      <c r="H119" s="53"/>
      <c r="I119" s="53"/>
      <c r="J119" s="53"/>
      <c r="K119" s="53"/>
      <c r="L119" s="1305"/>
      <c r="M119" s="1305"/>
      <c r="O119" s="69" t="s">
        <v>1826</v>
      </c>
      <c r="P119" s="2471" t="s">
        <v>3425</v>
      </c>
      <c r="Q119" s="650"/>
    </row>
    <row r="120" spans="1:32" ht="12" customHeight="1">
      <c r="B120" s="47"/>
      <c r="C120" s="69" t="s">
        <v>1827</v>
      </c>
      <c r="D120" s="53" t="s">
        <v>1503</v>
      </c>
      <c r="E120" s="53"/>
      <c r="F120" s="53"/>
      <c r="G120" s="53"/>
      <c r="H120" s="53"/>
      <c r="I120" s="53"/>
      <c r="J120" s="53"/>
      <c r="K120" s="53"/>
      <c r="L120" s="1305"/>
      <c r="M120" s="1305"/>
      <c r="O120" s="69" t="s">
        <v>1827</v>
      </c>
      <c r="P120" s="2469" t="s">
        <v>3425</v>
      </c>
      <c r="Q120" s="651"/>
    </row>
    <row r="121" spans="1:32" ht="11.25" customHeight="1">
      <c r="B121" s="153" t="s">
        <v>1959</v>
      </c>
      <c r="D121" s="153"/>
      <c r="E121" s="153"/>
      <c r="F121" s="153"/>
      <c r="G121" s="153"/>
      <c r="H121" s="40"/>
      <c r="I121" s="820"/>
      <c r="J121" s="820"/>
      <c r="K121" s="820"/>
      <c r="L121" s="1278"/>
      <c r="M121" s="1278"/>
      <c r="N121" s="1278"/>
      <c r="O121" s="1278"/>
      <c r="P121" s="1278"/>
      <c r="Q121" s="1311"/>
    </row>
    <row r="122" spans="1:32" ht="24" customHeight="1">
      <c r="A122" s="2433"/>
      <c r="B122" s="2434"/>
      <c r="C122" s="2434"/>
      <c r="D122" s="2434"/>
      <c r="E122" s="2434"/>
      <c r="F122" s="2434"/>
      <c r="G122" s="2434"/>
      <c r="H122" s="2434"/>
      <c r="I122" s="2434"/>
      <c r="J122" s="2434"/>
      <c r="K122" s="2434"/>
      <c r="L122" s="2434"/>
      <c r="M122" s="2434"/>
      <c r="N122" s="2434"/>
      <c r="O122" s="2434"/>
      <c r="P122" s="2434"/>
      <c r="Q122" s="2435"/>
      <c r="U122" s="148"/>
      <c r="V122" s="148"/>
      <c r="W122" s="148"/>
      <c r="X122" s="148"/>
      <c r="Y122" s="148"/>
      <c r="Z122" s="148"/>
      <c r="AA122" s="148"/>
      <c r="AB122" s="148"/>
      <c r="AC122" s="148"/>
      <c r="AD122" s="148"/>
      <c r="AE122" s="535"/>
    </row>
    <row r="123" spans="1:32" ht="11.25" customHeight="1">
      <c r="B123" s="149" t="s">
        <v>1960</v>
      </c>
      <c r="C123" s="150"/>
      <c r="D123" s="1283"/>
      <c r="E123" s="1283"/>
      <c r="F123" s="1283"/>
      <c r="G123" s="1283"/>
      <c r="H123" s="1283"/>
      <c r="I123" s="1283"/>
      <c r="J123" s="1283"/>
      <c r="K123" s="1283"/>
      <c r="L123" s="1283"/>
      <c r="M123" s="1283"/>
      <c r="N123" s="1283"/>
      <c r="O123" s="1283"/>
      <c r="P123" s="1283"/>
      <c r="Q123" s="1283"/>
    </row>
    <row r="124" spans="1:32" ht="24" customHeight="1">
      <c r="A124" s="1572"/>
      <c r="B124" s="1573"/>
      <c r="C124" s="1573"/>
      <c r="D124" s="1573"/>
      <c r="E124" s="1573"/>
      <c r="F124" s="1573"/>
      <c r="G124" s="1573"/>
      <c r="H124" s="1573"/>
      <c r="I124" s="1573"/>
      <c r="J124" s="1573"/>
      <c r="K124" s="1573"/>
      <c r="L124" s="1573"/>
      <c r="M124" s="1573"/>
      <c r="N124" s="1573"/>
      <c r="O124" s="1573"/>
      <c r="P124" s="1573"/>
      <c r="Q124" s="1574"/>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7">
        <v>7</v>
      </c>
      <c r="B126" s="1287" t="s">
        <v>2793</v>
      </c>
      <c r="C126" s="40"/>
      <c r="D126" s="1283"/>
      <c r="E126" s="1283"/>
      <c r="F126" s="1283"/>
      <c r="G126" s="1283"/>
      <c r="H126" s="1283"/>
      <c r="I126" s="1283"/>
      <c r="J126" s="1283"/>
      <c r="K126" s="1283"/>
      <c r="L126" s="1283"/>
      <c r="M126" s="1283"/>
      <c r="O126" s="143" t="s">
        <v>1961</v>
      </c>
      <c r="P126" s="1575"/>
      <c r="Q126" s="1576"/>
    </row>
    <row r="127" spans="1:32" ht="6.6" customHeight="1"/>
    <row r="128" spans="1:32" ht="12" customHeight="1">
      <c r="B128" s="47" t="s">
        <v>2081</v>
      </c>
      <c r="C128" s="53" t="s">
        <v>4176</v>
      </c>
      <c r="D128" s="145"/>
      <c r="E128" s="145"/>
      <c r="F128" s="145"/>
      <c r="G128" s="145"/>
      <c r="H128" s="145"/>
      <c r="I128" s="42"/>
      <c r="J128" s="42"/>
      <c r="K128" s="42"/>
      <c r="L128" s="533" t="s">
        <v>2081</v>
      </c>
      <c r="M128" s="2473" t="s">
        <v>4470</v>
      </c>
      <c r="N128" s="2474"/>
      <c r="O128" s="2474"/>
      <c r="P128" s="2475"/>
      <c r="Q128" s="649"/>
    </row>
    <row r="129" spans="2:17" ht="12" customHeight="1">
      <c r="B129" s="47" t="s">
        <v>2084</v>
      </c>
      <c r="C129" s="53" t="s">
        <v>1614</v>
      </c>
      <c r="D129" s="145"/>
      <c r="E129" s="145"/>
      <c r="F129" s="145"/>
      <c r="G129" s="145"/>
      <c r="H129" s="145"/>
      <c r="I129" s="42"/>
      <c r="J129" s="42"/>
      <c r="K129" s="145"/>
      <c r="L129" s="145"/>
      <c r="M129" s="1277"/>
      <c r="O129" s="533" t="s">
        <v>2084</v>
      </c>
      <c r="P129" s="2468" t="s">
        <v>3422</v>
      </c>
      <c r="Q129" s="650"/>
    </row>
    <row r="130" spans="2:17" ht="12" customHeight="1">
      <c r="B130" s="47" t="s">
        <v>789</v>
      </c>
      <c r="C130" s="53" t="s">
        <v>156</v>
      </c>
      <c r="D130" s="145"/>
      <c r="E130" s="145"/>
      <c r="F130" s="145"/>
      <c r="G130" s="145"/>
      <c r="H130" s="145"/>
      <c r="I130" s="42"/>
      <c r="J130" s="42"/>
      <c r="K130" s="145"/>
      <c r="L130" s="1277"/>
      <c r="M130" s="1277"/>
      <c r="O130" s="533" t="s">
        <v>789</v>
      </c>
      <c r="P130" s="2469" t="s">
        <v>3422</v>
      </c>
      <c r="Q130" s="650"/>
    </row>
    <row r="131" spans="2:17" ht="12" customHeight="1">
      <c r="B131" s="47"/>
      <c r="C131" s="68" t="s">
        <v>1825</v>
      </c>
      <c r="D131" s="53" t="s">
        <v>2845</v>
      </c>
      <c r="E131" s="145"/>
      <c r="F131" s="145"/>
      <c r="G131" s="145"/>
      <c r="H131" s="145"/>
      <c r="I131" s="42"/>
      <c r="J131" s="42"/>
      <c r="K131" s="145"/>
      <c r="L131" s="69" t="s">
        <v>1825</v>
      </c>
      <c r="M131" s="2473" t="s">
        <v>4526</v>
      </c>
      <c r="N131" s="2474"/>
      <c r="O131" s="2474"/>
      <c r="P131" s="2475"/>
      <c r="Q131" s="650"/>
    </row>
    <row r="132" spans="2:17" ht="12" customHeight="1">
      <c r="B132" s="151"/>
      <c r="C132" s="69" t="s">
        <v>1826</v>
      </c>
      <c r="D132" s="36" t="s">
        <v>4177</v>
      </c>
      <c r="E132" s="42"/>
      <c r="F132" s="42"/>
      <c r="G132" s="42"/>
      <c r="H132" s="53"/>
      <c r="I132" s="42"/>
      <c r="J132" s="42"/>
      <c r="K132" s="145"/>
      <c r="L132" s="1277"/>
      <c r="M132" s="1277"/>
      <c r="O132" s="533" t="s">
        <v>1826</v>
      </c>
      <c r="P132" s="2467">
        <v>68</v>
      </c>
      <c r="Q132" s="651"/>
    </row>
    <row r="133" spans="2:17" ht="12" customHeight="1">
      <c r="B133" s="151"/>
      <c r="C133" s="533" t="s">
        <v>1827</v>
      </c>
      <c r="D133" s="53" t="s">
        <v>1450</v>
      </c>
      <c r="E133" s="42"/>
      <c r="F133" s="42"/>
      <c r="G133" s="42"/>
      <c r="H133" s="53"/>
      <c r="I133" s="42"/>
      <c r="J133" s="42"/>
      <c r="K133" s="145"/>
      <c r="L133" s="1277"/>
      <c r="M133" s="1277"/>
      <c r="N133" s="1277"/>
      <c r="O133" s="1277"/>
    </row>
    <row r="134" spans="2:17" ht="11.45" customHeight="1">
      <c r="B134" s="1278"/>
      <c r="C134" s="69"/>
      <c r="D134" s="2476" t="s">
        <v>4530</v>
      </c>
      <c r="E134" s="2477"/>
      <c r="F134" s="2477"/>
      <c r="G134" s="2477"/>
      <c r="H134" s="2477"/>
      <c r="I134" s="2477"/>
      <c r="J134" s="2477"/>
      <c r="K134" s="2477"/>
      <c r="L134" s="2477"/>
      <c r="M134" s="2477"/>
      <c r="N134" s="2477"/>
      <c r="O134" s="2477"/>
      <c r="P134" s="2477"/>
      <c r="Q134" s="2478"/>
    </row>
    <row r="135" spans="2:17" ht="12" customHeight="1">
      <c r="B135" s="47" t="s">
        <v>2216</v>
      </c>
      <c r="C135" s="53" t="s">
        <v>1320</v>
      </c>
      <c r="D135" s="145"/>
      <c r="E135" s="145"/>
      <c r="F135" s="145"/>
      <c r="G135" s="145"/>
      <c r="H135" s="145"/>
      <c r="I135" s="42"/>
      <c r="J135" s="42"/>
      <c r="K135" s="145"/>
      <c r="L135" s="1277"/>
      <c r="M135" s="1277"/>
      <c r="N135" s="1277"/>
      <c r="O135" s="533" t="s">
        <v>2216</v>
      </c>
    </row>
    <row r="136" spans="2:17" ht="12" customHeight="1">
      <c r="B136" s="47"/>
      <c r="C136" s="69" t="s">
        <v>1825</v>
      </c>
      <c r="D136" s="53" t="s">
        <v>154</v>
      </c>
      <c r="E136" s="145"/>
      <c r="F136" s="145"/>
      <c r="G136" s="145"/>
      <c r="H136" s="145"/>
      <c r="I136" s="42"/>
      <c r="J136" s="42"/>
      <c r="K136" s="145"/>
      <c r="L136" s="1277"/>
      <c r="M136" s="1277"/>
      <c r="O136" s="69" t="s">
        <v>1825</v>
      </c>
      <c r="P136" s="2468" t="s">
        <v>3425</v>
      </c>
      <c r="Q136" s="649"/>
    </row>
    <row r="137" spans="2:17" ht="12" customHeight="1">
      <c r="B137" s="47"/>
      <c r="C137" s="69" t="s">
        <v>1826</v>
      </c>
      <c r="D137" s="53" t="s">
        <v>1321</v>
      </c>
      <c r="E137" s="145"/>
      <c r="F137" s="145"/>
      <c r="G137" s="145"/>
      <c r="H137" s="42"/>
      <c r="I137" s="42"/>
      <c r="J137" s="42"/>
      <c r="K137" s="145"/>
      <c r="L137" s="1277"/>
      <c r="M137" s="1277"/>
      <c r="O137" s="69" t="s">
        <v>1826</v>
      </c>
      <c r="P137" s="2471" t="s">
        <v>3425</v>
      </c>
      <c r="Q137" s="650"/>
    </row>
    <row r="138" spans="2:17" ht="12" customHeight="1">
      <c r="B138" s="47"/>
      <c r="C138" s="69"/>
      <c r="D138" s="53" t="s">
        <v>2769</v>
      </c>
      <c r="E138" s="500" t="s">
        <v>2556</v>
      </c>
      <c r="F138" s="53" t="s">
        <v>2770</v>
      </c>
      <c r="G138" s="42"/>
      <c r="H138" s="53"/>
      <c r="I138" s="42"/>
      <c r="J138" s="42"/>
      <c r="K138" s="145"/>
      <c r="L138" s="1277"/>
      <c r="M138" s="1277"/>
      <c r="O138" s="500" t="s">
        <v>2556</v>
      </c>
      <c r="P138" s="2479"/>
      <c r="Q138" s="1228"/>
    </row>
    <row r="139" spans="2:17" ht="12" customHeight="1">
      <c r="B139" s="47"/>
      <c r="C139" s="69"/>
      <c r="E139" s="500" t="s">
        <v>2557</v>
      </c>
      <c r="F139" s="53" t="s">
        <v>2771</v>
      </c>
      <c r="G139" s="42"/>
      <c r="H139" s="53"/>
      <c r="I139" s="42"/>
      <c r="J139" s="42"/>
      <c r="K139" s="145"/>
      <c r="L139" s="1277"/>
      <c r="M139" s="1277"/>
      <c r="O139" s="500" t="s">
        <v>2557</v>
      </c>
      <c r="P139" s="2471"/>
      <c r="Q139" s="650"/>
    </row>
    <row r="140" spans="2:17" ht="12" customHeight="1">
      <c r="B140" s="47"/>
      <c r="C140" s="69"/>
      <c r="E140" s="500" t="s">
        <v>2558</v>
      </c>
      <c r="F140" s="53" t="s">
        <v>2772</v>
      </c>
      <c r="G140" s="42"/>
      <c r="H140" s="53"/>
      <c r="I140" s="42"/>
      <c r="J140" s="42"/>
      <c r="K140" s="145"/>
      <c r="L140" s="1277"/>
      <c r="M140" s="1277"/>
      <c r="O140" s="500" t="s">
        <v>2558</v>
      </c>
      <c r="P140" s="2471"/>
      <c r="Q140" s="650"/>
    </row>
    <row r="141" spans="2:17" ht="12" customHeight="1">
      <c r="B141" s="47"/>
      <c r="C141" s="69" t="s">
        <v>1827</v>
      </c>
      <c r="D141" s="53" t="s">
        <v>1322</v>
      </c>
      <c r="E141" s="145"/>
      <c r="F141" s="145"/>
      <c r="G141" s="145"/>
      <c r="H141" s="53"/>
      <c r="I141" s="42"/>
      <c r="J141" s="42"/>
      <c r="K141" s="145"/>
      <c r="L141" s="1277"/>
      <c r="M141" s="1277"/>
      <c r="O141" s="69" t="s">
        <v>1827</v>
      </c>
      <c r="P141" s="2471" t="s">
        <v>3422</v>
      </c>
      <c r="Q141" s="650"/>
    </row>
    <row r="142" spans="2:17" ht="12" customHeight="1">
      <c r="B142" s="47"/>
      <c r="C142" s="69"/>
      <c r="D142" s="53" t="s">
        <v>2769</v>
      </c>
      <c r="E142" s="500" t="s">
        <v>2556</v>
      </c>
      <c r="F142" s="53" t="s">
        <v>2773</v>
      </c>
      <c r="G142" s="42"/>
      <c r="H142" s="53"/>
      <c r="I142" s="42"/>
      <c r="J142" s="42"/>
      <c r="K142" s="145"/>
      <c r="L142" s="1277"/>
      <c r="O142" s="500" t="s">
        <v>2556</v>
      </c>
      <c r="P142" s="2479" t="s">
        <v>4531</v>
      </c>
      <c r="Q142" s="1228"/>
    </row>
    <row r="143" spans="2:17" ht="12" customHeight="1">
      <c r="B143" s="47"/>
      <c r="C143" s="69"/>
      <c r="E143" s="500" t="s">
        <v>2557</v>
      </c>
      <c r="F143" s="53" t="s">
        <v>2774</v>
      </c>
      <c r="G143" s="42"/>
      <c r="H143" s="53"/>
      <c r="I143" s="42"/>
      <c r="J143" s="42"/>
      <c r="O143" s="500" t="s">
        <v>2557</v>
      </c>
      <c r="P143" s="2471" t="s">
        <v>3425</v>
      </c>
      <c r="Q143" s="650"/>
    </row>
    <row r="144" spans="2:17" ht="12" customHeight="1">
      <c r="B144" s="47"/>
      <c r="C144" s="69"/>
      <c r="E144" s="500" t="s">
        <v>2558</v>
      </c>
      <c r="F144" s="53" t="s">
        <v>2772</v>
      </c>
      <c r="G144" s="42"/>
      <c r="H144" s="53"/>
      <c r="I144" s="42"/>
      <c r="J144" s="42"/>
      <c r="O144" s="500" t="s">
        <v>2558</v>
      </c>
      <c r="P144" s="2471" t="s">
        <v>3422</v>
      </c>
      <c r="Q144" s="650"/>
    </row>
    <row r="145" spans="1:32" ht="12" customHeight="1">
      <c r="B145" s="36"/>
      <c r="C145" s="69" t="s">
        <v>2477</v>
      </c>
      <c r="D145" s="53" t="s">
        <v>2775</v>
      </c>
      <c r="E145" s="145"/>
      <c r="F145" s="145"/>
      <c r="G145" s="145"/>
      <c r="H145" s="145"/>
      <c r="I145" s="42"/>
      <c r="J145" s="42"/>
      <c r="O145" s="69" t="s">
        <v>2477</v>
      </c>
      <c r="P145" s="2469" t="s">
        <v>3422</v>
      </c>
      <c r="Q145" s="651"/>
    </row>
    <row r="146" spans="1:32" ht="12" customHeight="1">
      <c r="B146" s="47" t="s">
        <v>1823</v>
      </c>
      <c r="C146" s="158" t="s">
        <v>2534</v>
      </c>
      <c r="D146" s="145"/>
      <c r="E146" s="145"/>
      <c r="F146" s="145"/>
      <c r="G146" s="145"/>
      <c r="H146" s="145"/>
      <c r="I146" s="42"/>
      <c r="J146" s="42"/>
      <c r="K146" s="145"/>
      <c r="L146" s="1277"/>
      <c r="M146" s="1277"/>
      <c r="N146" s="1277"/>
      <c r="O146" s="1277"/>
      <c r="P146" s="1277"/>
      <c r="Q146" s="1277"/>
    </row>
    <row r="147" spans="1:32" ht="12" customHeight="1">
      <c r="C147" s="69" t="s">
        <v>1825</v>
      </c>
      <c r="D147" s="53" t="s">
        <v>2618</v>
      </c>
      <c r="E147" s="145"/>
      <c r="F147" s="2468" t="s">
        <v>3425</v>
      </c>
      <c r="G147" s="649"/>
      <c r="H147" s="69" t="s">
        <v>1626</v>
      </c>
      <c r="I147" s="56" t="s">
        <v>2777</v>
      </c>
      <c r="L147" s="2468" t="s">
        <v>3425</v>
      </c>
      <c r="M147" s="649"/>
      <c r="N147" s="533" t="s">
        <v>536</v>
      </c>
      <c r="O147" s="53" t="s">
        <v>1629</v>
      </c>
      <c r="P147" s="2468" t="s">
        <v>3425</v>
      </c>
      <c r="Q147" s="649"/>
    </row>
    <row r="148" spans="1:32" ht="12" customHeight="1">
      <c r="B148" s="36"/>
      <c r="C148" s="69" t="s">
        <v>1826</v>
      </c>
      <c r="D148" s="53" t="s">
        <v>3112</v>
      </c>
      <c r="E148" s="145"/>
      <c r="F148" s="2471" t="s">
        <v>3422</v>
      </c>
      <c r="G148" s="650"/>
      <c r="H148" s="69" t="s">
        <v>1627</v>
      </c>
      <c r="I148" s="56" t="s">
        <v>2778</v>
      </c>
      <c r="L148" s="2471" t="s">
        <v>3425</v>
      </c>
      <c r="M148" s="650"/>
      <c r="N148" s="533" t="s">
        <v>537</v>
      </c>
      <c r="O148" s="53" t="s">
        <v>1628</v>
      </c>
      <c r="P148" s="2471" t="s">
        <v>3425</v>
      </c>
      <c r="Q148" s="650"/>
    </row>
    <row r="149" spans="1:32" ht="12" customHeight="1">
      <c r="B149" s="36"/>
      <c r="C149" s="69" t="s">
        <v>1827</v>
      </c>
      <c r="D149" s="53" t="s">
        <v>2776</v>
      </c>
      <c r="E149" s="145"/>
      <c r="F149" s="2471" t="s">
        <v>3425</v>
      </c>
      <c r="G149" s="650"/>
      <c r="H149" s="533" t="s">
        <v>100</v>
      </c>
      <c r="I149" s="56" t="s">
        <v>3113</v>
      </c>
      <c r="L149" s="2471" t="s">
        <v>3425</v>
      </c>
      <c r="M149" s="650"/>
      <c r="N149" s="533" t="s">
        <v>3115</v>
      </c>
      <c r="O149" s="53" t="s">
        <v>1630</v>
      </c>
      <c r="P149" s="2469" t="s">
        <v>3425</v>
      </c>
      <c r="Q149" s="651"/>
    </row>
    <row r="150" spans="1:32" ht="12" customHeight="1">
      <c r="B150" s="36"/>
      <c r="C150" s="69" t="s">
        <v>2477</v>
      </c>
      <c r="D150" s="53" t="s">
        <v>3116</v>
      </c>
      <c r="E150" s="145"/>
      <c r="F150" s="2469" t="s">
        <v>3425</v>
      </c>
      <c r="G150" s="651"/>
      <c r="H150" s="533" t="s">
        <v>535</v>
      </c>
      <c r="I150" s="53" t="s">
        <v>3111</v>
      </c>
      <c r="L150" s="2469" t="s">
        <v>3425</v>
      </c>
      <c r="M150" s="651"/>
      <c r="O150" s="69"/>
    </row>
    <row r="151" spans="1:32" ht="12" customHeight="1">
      <c r="B151" s="36"/>
      <c r="C151" s="533" t="s">
        <v>3290</v>
      </c>
      <c r="D151" s="53" t="s">
        <v>3114</v>
      </c>
      <c r="E151" s="145"/>
      <c r="F151" s="145"/>
      <c r="G151" s="145"/>
      <c r="H151" s="145"/>
      <c r="I151" s="145"/>
      <c r="J151" s="145"/>
      <c r="K151" s="145"/>
      <c r="L151" s="145"/>
      <c r="M151" s="53"/>
      <c r="O151" s="69"/>
      <c r="P151" s="69"/>
    </row>
    <row r="152" spans="1:32" ht="12" customHeight="1">
      <c r="B152" s="36"/>
      <c r="D152" s="2448"/>
      <c r="E152" s="2449"/>
      <c r="F152" s="2449"/>
      <c r="G152" s="2449"/>
      <c r="H152" s="2449"/>
      <c r="I152" s="2449"/>
      <c r="J152" s="2449"/>
      <c r="K152" s="2449"/>
      <c r="L152" s="2449"/>
      <c r="M152" s="2449"/>
      <c r="N152" s="2449"/>
      <c r="O152" s="2449"/>
      <c r="P152" s="2450"/>
      <c r="Q152" s="649"/>
    </row>
    <row r="153" spans="1:32" ht="12" customHeight="1">
      <c r="B153" s="47" t="s">
        <v>1824</v>
      </c>
      <c r="C153" s="53" t="s">
        <v>1349</v>
      </c>
      <c r="D153" s="145"/>
      <c r="E153" s="145"/>
      <c r="F153" s="145"/>
      <c r="G153" s="145"/>
      <c r="H153" s="145"/>
      <c r="I153" s="42"/>
      <c r="J153" s="42"/>
      <c r="K153" s="145"/>
      <c r="L153" s="145"/>
      <c r="M153" s="1277"/>
      <c r="O153" s="533" t="s">
        <v>1824</v>
      </c>
      <c r="P153" s="2468" t="s">
        <v>1017</v>
      </c>
      <c r="Q153" s="650"/>
    </row>
    <row r="154" spans="1:32" ht="12" customHeight="1">
      <c r="A154" s="156"/>
      <c r="B154" s="42"/>
      <c r="C154" s="69" t="s">
        <v>1825</v>
      </c>
      <c r="D154" s="53" t="s">
        <v>3117</v>
      </c>
      <c r="E154" s="145"/>
      <c r="F154" s="145"/>
      <c r="G154" s="145"/>
      <c r="H154" s="145"/>
      <c r="O154" s="69" t="s">
        <v>1825</v>
      </c>
      <c r="P154" s="2471" t="s">
        <v>3425</v>
      </c>
      <c r="Q154" s="650"/>
    </row>
    <row r="155" spans="1:32" ht="12" customHeight="1">
      <c r="A155" s="156"/>
      <c r="B155" s="820"/>
      <c r="C155" s="69" t="s">
        <v>1826</v>
      </c>
      <c r="D155" s="53" t="s">
        <v>513</v>
      </c>
      <c r="E155" s="53"/>
      <c r="F155" s="53"/>
      <c r="G155" s="53"/>
      <c r="H155" s="53"/>
      <c r="I155" s="42"/>
      <c r="J155" s="42"/>
      <c r="K155" s="53"/>
      <c r="L155" s="53"/>
      <c r="M155" s="53"/>
      <c r="O155" s="69" t="s">
        <v>1826</v>
      </c>
      <c r="P155" s="2471" t="s">
        <v>3425</v>
      </c>
      <c r="Q155" s="650"/>
    </row>
    <row r="156" spans="1:32" ht="12" customHeight="1">
      <c r="A156" s="156"/>
      <c r="B156" s="820"/>
      <c r="C156" s="69" t="s">
        <v>1827</v>
      </c>
      <c r="D156" s="53" t="s">
        <v>717</v>
      </c>
      <c r="E156" s="53"/>
      <c r="F156" s="53"/>
      <c r="G156" s="53"/>
      <c r="H156" s="53"/>
      <c r="I156" s="42"/>
      <c r="J156" s="42"/>
      <c r="K156" s="53"/>
      <c r="L156" s="53"/>
      <c r="M156" s="53"/>
      <c r="O156" s="69" t="s">
        <v>1827</v>
      </c>
      <c r="P156" s="2471" t="s">
        <v>3422</v>
      </c>
      <c r="Q156" s="650"/>
    </row>
    <row r="157" spans="1:32" ht="12" customHeight="1">
      <c r="B157" s="47" t="s">
        <v>2044</v>
      </c>
      <c r="C157" s="53" t="s">
        <v>1841</v>
      </c>
      <c r="D157" s="145"/>
      <c r="E157" s="145"/>
      <c r="F157" s="145"/>
      <c r="G157" s="145"/>
      <c r="H157" s="145"/>
      <c r="I157" s="42"/>
      <c r="J157" s="42"/>
      <c r="K157" s="145"/>
      <c r="L157" s="145"/>
      <c r="M157" s="1277"/>
      <c r="O157" s="533" t="s">
        <v>2044</v>
      </c>
      <c r="P157" s="2469" t="s">
        <v>1017</v>
      </c>
      <c r="Q157" s="651"/>
    </row>
    <row r="158" spans="1:32" ht="12" customHeight="1">
      <c r="A158" s="459" t="s">
        <v>4079</v>
      </c>
      <c r="C158" s="53"/>
      <c r="D158" s="145"/>
      <c r="E158" s="145"/>
      <c r="F158" s="145"/>
      <c r="G158" s="145"/>
      <c r="H158" s="145"/>
      <c r="I158" s="42"/>
      <c r="J158" s="42"/>
      <c r="K158" s="145"/>
      <c r="L158" s="145"/>
      <c r="M158" s="1277"/>
      <c r="N158" s="1277"/>
      <c r="O158" s="1277"/>
      <c r="P158" s="1277"/>
      <c r="Q158" s="1277"/>
      <c r="R158" s="1277"/>
    </row>
    <row r="159" spans="1:32" s="1" customFormat="1" ht="23.45" customHeight="1">
      <c r="B159" s="154" t="s">
        <v>3838</v>
      </c>
      <c r="C159" s="1564" t="s">
        <v>153</v>
      </c>
      <c r="D159" s="1564"/>
      <c r="E159" s="1564"/>
      <c r="F159" s="1564"/>
      <c r="G159" s="1564"/>
      <c r="H159" s="1564"/>
      <c r="I159" s="1564"/>
      <c r="J159" s="1564"/>
      <c r="K159" s="1564"/>
      <c r="L159" s="1564"/>
      <c r="M159" s="177" t="s">
        <v>3838</v>
      </c>
      <c r="N159" s="2480"/>
      <c r="O159" s="2481"/>
      <c r="P159" s="1620" t="s">
        <v>1859</v>
      </c>
      <c r="Q159" s="1621"/>
      <c r="AE159" s="5"/>
      <c r="AF159" s="5"/>
    </row>
    <row r="160" spans="1:32" s="1" customFormat="1" ht="12" customHeight="1">
      <c r="B160" s="47" t="s">
        <v>647</v>
      </c>
      <c r="C160" s="123" t="s">
        <v>1</v>
      </c>
      <c r="D160" s="1288"/>
      <c r="E160" s="1288"/>
      <c r="G160" s="533" t="s">
        <v>647</v>
      </c>
      <c r="H160" s="2476" t="s">
        <v>1017</v>
      </c>
      <c r="I160" s="2477"/>
      <c r="J160" s="2477"/>
      <c r="K160" s="2477"/>
      <c r="L160" s="2477"/>
      <c r="M160" s="2477"/>
      <c r="N160" s="2477"/>
      <c r="O160" s="2477"/>
      <c r="P160" s="2478"/>
      <c r="Q160" s="646"/>
      <c r="AE160" s="5"/>
      <c r="AF160" s="5"/>
    </row>
    <row r="161" spans="1:32" s="1" customFormat="1" ht="12" customHeight="1">
      <c r="B161" s="47" t="s">
        <v>3839</v>
      </c>
      <c r="C161" s="1305" t="s">
        <v>1486</v>
      </c>
      <c r="D161" s="11"/>
      <c r="E161" s="11"/>
      <c r="F161" s="11"/>
      <c r="G161" s="7"/>
      <c r="H161" s="7"/>
      <c r="I161" s="1305"/>
      <c r="K161" s="7"/>
      <c r="L161" s="7"/>
      <c r="M161" s="7"/>
      <c r="O161" s="533" t="s">
        <v>3839</v>
      </c>
      <c r="P161" s="2429"/>
      <c r="Q161" s="646"/>
      <c r="AE161" s="5"/>
      <c r="AF161" s="5"/>
    </row>
    <row r="162" spans="1:32" ht="11.25" customHeight="1">
      <c r="B162" s="153" t="s">
        <v>1959</v>
      </c>
      <c r="D162" s="153"/>
      <c r="E162" s="153"/>
      <c r="F162" s="153"/>
      <c r="G162" s="153"/>
      <c r="H162" s="40"/>
      <c r="I162" s="820"/>
      <c r="J162" s="820"/>
      <c r="K162" s="820"/>
      <c r="L162" s="1278"/>
      <c r="M162" s="1278"/>
      <c r="N162" s="1278"/>
      <c r="O162" s="1278"/>
      <c r="P162" s="1278"/>
      <c r="Q162" s="1311"/>
    </row>
    <row r="163" spans="1:32" ht="25.5" customHeight="1">
      <c r="A163" s="2433" t="s">
        <v>4543</v>
      </c>
      <c r="B163" s="2434"/>
      <c r="C163" s="2434"/>
      <c r="D163" s="2434"/>
      <c r="E163" s="2434"/>
      <c r="F163" s="2434"/>
      <c r="G163" s="2434"/>
      <c r="H163" s="2434"/>
      <c r="I163" s="2434"/>
      <c r="J163" s="2434"/>
      <c r="K163" s="2434"/>
      <c r="L163" s="2434"/>
      <c r="M163" s="2434"/>
      <c r="N163" s="2434"/>
      <c r="O163" s="2434"/>
      <c r="P163" s="2434"/>
      <c r="Q163" s="2435"/>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1960</v>
      </c>
      <c r="C165" s="150"/>
      <c r="D165" s="1283"/>
      <c r="E165" s="1283"/>
      <c r="F165" s="1283"/>
      <c r="G165" s="1283"/>
      <c r="H165" s="1283"/>
      <c r="I165" s="1283"/>
      <c r="J165" s="1283"/>
      <c r="K165" s="1283"/>
      <c r="L165" s="1283"/>
      <c r="M165" s="1283"/>
      <c r="N165" s="1283"/>
      <c r="O165" s="1283"/>
      <c r="P165" s="1283"/>
      <c r="Q165" s="1283"/>
    </row>
    <row r="166" spans="1:32" ht="11.45" customHeight="1">
      <c r="A166" s="1572"/>
      <c r="B166" s="1573"/>
      <c r="C166" s="1573"/>
      <c r="D166" s="1573"/>
      <c r="E166" s="1573"/>
      <c r="F166" s="1573"/>
      <c r="G166" s="1573"/>
      <c r="H166" s="1573"/>
      <c r="I166" s="1573"/>
      <c r="J166" s="1573"/>
      <c r="K166" s="1573"/>
      <c r="L166" s="1573"/>
      <c r="M166" s="1573"/>
      <c r="N166" s="1573"/>
      <c r="O166" s="1573"/>
      <c r="P166" s="1573"/>
      <c r="Q166" s="1574"/>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7">
        <v>8</v>
      </c>
      <c r="B168" s="1287" t="s">
        <v>2794</v>
      </c>
      <c r="C168" s="1287"/>
      <c r="D168" s="1283"/>
      <c r="E168" s="1283"/>
      <c r="F168" s="1283"/>
      <c r="G168" s="1283"/>
      <c r="H168" s="1283"/>
      <c r="I168" s="1283"/>
      <c r="J168" s="1283"/>
      <c r="K168" s="1283"/>
      <c r="O168" s="143" t="s">
        <v>1961</v>
      </c>
      <c r="P168" s="1575"/>
      <c r="Q168" s="1576"/>
    </row>
    <row r="169" spans="1:32" ht="12" customHeight="1">
      <c r="B169" s="47" t="s">
        <v>2081</v>
      </c>
      <c r="C169" s="53" t="s">
        <v>3837</v>
      </c>
      <c r="D169" s="53"/>
      <c r="E169" s="53"/>
      <c r="F169" s="53"/>
      <c r="G169" s="53"/>
      <c r="I169" s="53" t="s">
        <v>2878</v>
      </c>
      <c r="K169" s="2482">
        <v>42430</v>
      </c>
      <c r="L169" s="2483"/>
      <c r="N169" s="53"/>
      <c r="O169" s="533" t="s">
        <v>2081</v>
      </c>
      <c r="P169" s="2429" t="s">
        <v>3422</v>
      </c>
      <c r="Q169" s="646"/>
    </row>
    <row r="170" spans="1:32" ht="12" customHeight="1">
      <c r="A170" s="151"/>
      <c r="B170" s="47" t="s">
        <v>2084</v>
      </c>
      <c r="C170" s="152" t="s">
        <v>155</v>
      </c>
      <c r="D170" s="152"/>
      <c r="E170" s="152"/>
      <c r="F170" s="152"/>
      <c r="G170" s="152"/>
      <c r="H170" s="152"/>
      <c r="M170" s="533" t="s">
        <v>2084</v>
      </c>
      <c r="N170" s="2484" t="s">
        <v>4451</v>
      </c>
      <c r="O170" s="2485"/>
      <c r="P170" s="1595"/>
      <c r="Q170" s="1596"/>
    </row>
    <row r="171" spans="1:32" ht="12" customHeight="1">
      <c r="A171" s="151"/>
      <c r="B171" s="47" t="s">
        <v>789</v>
      </c>
      <c r="C171" s="152" t="s">
        <v>718</v>
      </c>
      <c r="D171" s="152"/>
      <c r="E171" s="152"/>
      <c r="F171" s="152"/>
      <c r="G171" s="152"/>
      <c r="H171" s="152"/>
      <c r="J171" s="533" t="s">
        <v>789</v>
      </c>
      <c r="K171" s="2448" t="s">
        <v>4411</v>
      </c>
      <c r="L171" s="2449"/>
      <c r="M171" s="2449"/>
      <c r="N171" s="2449"/>
      <c r="O171" s="2449"/>
      <c r="P171" s="2450"/>
      <c r="Q171" s="646"/>
    </row>
    <row r="172" spans="1:32" ht="12" customHeight="1">
      <c r="A172" s="151"/>
      <c r="B172" s="47" t="s">
        <v>2216</v>
      </c>
      <c r="C172" s="152" t="s">
        <v>3276</v>
      </c>
      <c r="D172" s="152"/>
      <c r="E172" s="152"/>
      <c r="F172" s="152"/>
      <c r="G172" s="152"/>
      <c r="H172" s="152"/>
      <c r="J172" s="533"/>
      <c r="K172" s="533"/>
      <c r="L172" s="533"/>
      <c r="M172" s="533"/>
      <c r="N172" s="533"/>
      <c r="O172" s="533" t="s">
        <v>2216</v>
      </c>
      <c r="P172" s="2429" t="s">
        <v>3422</v>
      </c>
      <c r="Q172" s="646"/>
    </row>
    <row r="173" spans="1:32" ht="12" customHeight="1">
      <c r="B173" s="153" t="s">
        <v>1959</v>
      </c>
      <c r="D173" s="153"/>
      <c r="E173" s="153"/>
      <c r="F173" s="153"/>
      <c r="G173" s="153"/>
      <c r="H173" s="40"/>
      <c r="I173" s="820"/>
      <c r="J173" s="820"/>
      <c r="K173" s="820"/>
      <c r="L173" s="1278"/>
      <c r="M173" s="1278"/>
      <c r="N173" s="1278"/>
      <c r="O173" s="1278"/>
      <c r="P173" s="1278"/>
      <c r="Q173" s="1311"/>
    </row>
    <row r="174" spans="1:32" ht="11.45" customHeight="1">
      <c r="A174" s="2433" t="s">
        <v>4544</v>
      </c>
      <c r="B174" s="2434"/>
      <c r="C174" s="2434"/>
      <c r="D174" s="2434"/>
      <c r="E174" s="2434"/>
      <c r="F174" s="2434"/>
      <c r="G174" s="2434"/>
      <c r="H174" s="2434"/>
      <c r="I174" s="2434"/>
      <c r="J174" s="2434"/>
      <c r="K174" s="2434"/>
      <c r="L174" s="2434"/>
      <c r="M174" s="2434"/>
      <c r="N174" s="2434"/>
      <c r="O174" s="2434"/>
      <c r="P174" s="2434"/>
      <c r="Q174" s="2435"/>
      <c r="U174" s="148"/>
      <c r="V174" s="148"/>
      <c r="W174" s="148"/>
      <c r="X174" s="148"/>
      <c r="Y174" s="148"/>
      <c r="Z174" s="148"/>
      <c r="AA174" s="148"/>
      <c r="AB174" s="148"/>
      <c r="AC174" s="148"/>
      <c r="AD174" s="148"/>
      <c r="AE174" s="535"/>
    </row>
    <row r="175" spans="1:32" ht="12" customHeight="1">
      <c r="B175" s="149" t="s">
        <v>1960</v>
      </c>
      <c r="C175" s="150"/>
      <c r="D175" s="1283"/>
      <c r="E175" s="1283"/>
      <c r="F175" s="1283"/>
      <c r="G175" s="1283"/>
      <c r="H175" s="1283"/>
      <c r="I175" s="1283"/>
      <c r="J175" s="1283"/>
      <c r="K175" s="1283"/>
      <c r="L175" s="1283"/>
      <c r="M175" s="1283"/>
      <c r="N175" s="1283"/>
      <c r="O175" s="1283"/>
      <c r="P175" s="1283"/>
      <c r="Q175" s="1283"/>
    </row>
    <row r="176" spans="1:32" ht="11.45" customHeight="1">
      <c r="A176" s="1572"/>
      <c r="B176" s="1573"/>
      <c r="C176" s="1573"/>
      <c r="D176" s="1573"/>
      <c r="E176" s="1573"/>
      <c r="F176" s="1573"/>
      <c r="G176" s="1573"/>
      <c r="H176" s="1573"/>
      <c r="I176" s="1573"/>
      <c r="J176" s="1573"/>
      <c r="K176" s="1573"/>
      <c r="L176" s="1573"/>
      <c r="M176" s="1573"/>
      <c r="N176" s="1573"/>
      <c r="O176" s="1573"/>
      <c r="P176" s="1573"/>
      <c r="Q176" s="1574"/>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7">
        <v>9</v>
      </c>
      <c r="B178" s="1287" t="s">
        <v>2795</v>
      </c>
      <c r="C178" s="1287"/>
      <c r="D178" s="1283"/>
      <c r="E178" s="1283"/>
      <c r="F178" s="1283"/>
      <c r="G178" s="1283"/>
      <c r="H178" s="1283"/>
      <c r="I178" s="1283"/>
      <c r="J178" s="1283"/>
      <c r="K178" s="1283"/>
      <c r="L178" s="1283"/>
      <c r="M178" s="1283"/>
      <c r="O178" s="143" t="s">
        <v>1961</v>
      </c>
      <c r="P178" s="1575"/>
      <c r="Q178" s="1576"/>
    </row>
    <row r="179" spans="1:31" ht="21.75" customHeight="1">
      <c r="B179" s="154" t="s">
        <v>2081</v>
      </c>
      <c r="C179" s="1564" t="s">
        <v>3267</v>
      </c>
      <c r="D179" s="1564"/>
      <c r="E179" s="1564"/>
      <c r="F179" s="1564"/>
      <c r="G179" s="1564"/>
      <c r="H179" s="1564"/>
      <c r="I179" s="1564"/>
      <c r="J179" s="1564"/>
      <c r="K179" s="1564"/>
      <c r="L179" s="1564"/>
      <c r="M179" s="1564"/>
      <c r="N179" s="1564"/>
      <c r="O179" s="177" t="s">
        <v>2081</v>
      </c>
      <c r="P179" s="2468" t="s">
        <v>3422</v>
      </c>
      <c r="Q179" s="649"/>
    </row>
    <row r="180" spans="1:31" ht="22.15" customHeight="1">
      <c r="B180" s="154" t="s">
        <v>2084</v>
      </c>
      <c r="C180" s="1564" t="s">
        <v>2633</v>
      </c>
      <c r="D180" s="1564"/>
      <c r="E180" s="1564"/>
      <c r="F180" s="1564"/>
      <c r="G180" s="1564"/>
      <c r="H180" s="1564"/>
      <c r="I180" s="1564"/>
      <c r="J180" s="1564"/>
      <c r="K180" s="1564"/>
      <c r="L180" s="1564"/>
      <c r="M180" s="1564"/>
      <c r="N180" s="1564"/>
      <c r="O180" s="177" t="s">
        <v>2084</v>
      </c>
      <c r="P180" s="2471"/>
      <c r="Q180" s="650"/>
    </row>
    <row r="181" spans="1:31" ht="21.75" customHeight="1">
      <c r="B181" s="154" t="s">
        <v>789</v>
      </c>
      <c r="C181" s="1564" t="s">
        <v>2779</v>
      </c>
      <c r="D181" s="1564"/>
      <c r="E181" s="1564"/>
      <c r="F181" s="1564"/>
      <c r="G181" s="1564"/>
      <c r="H181" s="1564"/>
      <c r="I181" s="1564"/>
      <c r="J181" s="1564"/>
      <c r="K181" s="1564"/>
      <c r="L181" s="1564"/>
      <c r="M181" s="1564"/>
      <c r="N181" s="1564"/>
      <c r="O181" s="177" t="s">
        <v>789</v>
      </c>
      <c r="P181" s="2469"/>
      <c r="Q181" s="651"/>
    </row>
    <row r="182" spans="1:31" ht="12" customHeight="1">
      <c r="B182" s="153" t="s">
        <v>1959</v>
      </c>
      <c r="D182" s="153"/>
      <c r="E182" s="153"/>
      <c r="F182" s="153"/>
      <c r="G182" s="153"/>
      <c r="H182" s="40"/>
      <c r="I182" s="820"/>
      <c r="J182" s="820"/>
      <c r="K182" s="820"/>
      <c r="L182" s="1278"/>
      <c r="M182" s="1278"/>
      <c r="N182" s="1278"/>
      <c r="O182" s="1278"/>
      <c r="P182" s="1278"/>
      <c r="Q182" s="1311"/>
    </row>
    <row r="183" spans="1:31" ht="11.45" customHeight="1">
      <c r="A183" s="2433"/>
      <c r="B183" s="2434"/>
      <c r="C183" s="2434"/>
      <c r="D183" s="2434"/>
      <c r="E183" s="2434"/>
      <c r="F183" s="2434"/>
      <c r="G183" s="2434"/>
      <c r="H183" s="2434"/>
      <c r="I183" s="2434"/>
      <c r="J183" s="2434"/>
      <c r="K183" s="2434"/>
      <c r="L183" s="2434"/>
      <c r="M183" s="2434"/>
      <c r="N183" s="2434"/>
      <c r="O183" s="2434"/>
      <c r="P183" s="2434"/>
      <c r="Q183" s="2435"/>
      <c r="U183" s="148"/>
      <c r="V183" s="148"/>
      <c r="W183" s="148"/>
      <c r="X183" s="148"/>
      <c r="Y183" s="148"/>
      <c r="Z183" s="148"/>
      <c r="AA183" s="148"/>
      <c r="AB183" s="148"/>
      <c r="AC183" s="148"/>
      <c r="AD183" s="148"/>
      <c r="AE183" s="535"/>
    </row>
    <row r="184" spans="1:31" ht="12" customHeight="1">
      <c r="B184" s="149" t="s">
        <v>1960</v>
      </c>
      <c r="C184" s="150"/>
      <c r="D184" s="1283"/>
      <c r="E184" s="1283"/>
      <c r="F184" s="1283"/>
      <c r="G184" s="1283"/>
      <c r="H184" s="1283"/>
      <c r="I184" s="1283"/>
      <c r="J184" s="1283"/>
      <c r="K184" s="1283"/>
      <c r="L184" s="1283"/>
      <c r="M184" s="1283"/>
      <c r="N184" s="1283"/>
      <c r="O184" s="1283"/>
      <c r="P184" s="1283"/>
      <c r="Q184" s="1283"/>
    </row>
    <row r="185" spans="1:31" ht="11.45" customHeight="1">
      <c r="A185" s="1572"/>
      <c r="B185" s="1573"/>
      <c r="C185" s="1573"/>
      <c r="D185" s="1573"/>
      <c r="E185" s="1573"/>
      <c r="F185" s="1573"/>
      <c r="G185" s="1573"/>
      <c r="H185" s="1573"/>
      <c r="I185" s="1573"/>
      <c r="J185" s="1573"/>
      <c r="K185" s="1573"/>
      <c r="L185" s="1573"/>
      <c r="M185" s="1573"/>
      <c r="N185" s="1573"/>
      <c r="O185" s="1573"/>
      <c r="P185" s="1573"/>
      <c r="Q185" s="1574"/>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67">
        <v>10</v>
      </c>
      <c r="B187" s="1608" t="s">
        <v>2796</v>
      </c>
      <c r="C187" s="1608"/>
      <c r="D187" s="1608"/>
      <c r="O187" s="143" t="s">
        <v>1961</v>
      </c>
      <c r="P187" s="1575"/>
      <c r="Q187" s="1576"/>
    </row>
    <row r="188" spans="1:31" ht="12" customHeight="1">
      <c r="B188" s="154" t="s">
        <v>2081</v>
      </c>
      <c r="C188" s="1301" t="s">
        <v>489</v>
      </c>
      <c r="D188" s="1301"/>
      <c r="E188" s="1301"/>
      <c r="F188" s="1301"/>
      <c r="G188" s="1301"/>
      <c r="H188" s="1301"/>
      <c r="I188" s="1301"/>
      <c r="J188" s="1301"/>
      <c r="K188" s="1301"/>
      <c r="L188" s="1301"/>
      <c r="M188" s="1301"/>
      <c r="O188" s="177" t="s">
        <v>2081</v>
      </c>
      <c r="P188" s="2468" t="s">
        <v>3422</v>
      </c>
      <c r="Q188" s="649"/>
    </row>
    <row r="189" spans="1:31" ht="12" customHeight="1">
      <c r="B189" s="154" t="s">
        <v>2084</v>
      </c>
      <c r="C189" s="1301" t="s">
        <v>2780</v>
      </c>
      <c r="D189" s="1301"/>
      <c r="E189" s="1301"/>
      <c r="F189" s="1301"/>
      <c r="G189" s="1301"/>
      <c r="H189" s="1301"/>
      <c r="I189" s="1301"/>
      <c r="J189" s="1301"/>
      <c r="K189" s="1301"/>
      <c r="L189" s="1301"/>
      <c r="M189" s="1301"/>
      <c r="O189" s="177" t="s">
        <v>2084</v>
      </c>
      <c r="P189" s="2471" t="s">
        <v>3422</v>
      </c>
      <c r="Q189" s="650"/>
    </row>
    <row r="190" spans="1:31" ht="12" customHeight="1">
      <c r="B190" s="154" t="s">
        <v>789</v>
      </c>
      <c r="C190" s="1301" t="s">
        <v>2781</v>
      </c>
      <c r="D190" s="1301"/>
      <c r="E190" s="1301"/>
      <c r="F190" s="1301"/>
      <c r="G190" s="1301"/>
      <c r="H190" s="1301"/>
      <c r="I190" s="1301"/>
      <c r="J190" s="1301"/>
      <c r="K190" s="1301"/>
      <c r="L190" s="1301"/>
      <c r="M190" s="1301"/>
      <c r="O190" s="177" t="s">
        <v>789</v>
      </c>
      <c r="P190" s="2471" t="s">
        <v>3422</v>
      </c>
      <c r="Q190" s="650"/>
    </row>
    <row r="191" spans="1:31" ht="12" customHeight="1">
      <c r="B191" s="154"/>
      <c r="C191" s="1301" t="s">
        <v>2769</v>
      </c>
      <c r="D191" s="1301"/>
      <c r="E191" s="500" t="s">
        <v>1825</v>
      </c>
      <c r="F191" s="1301" t="s">
        <v>2782</v>
      </c>
      <c r="G191" s="1301"/>
      <c r="H191" s="1301"/>
      <c r="I191" s="1301"/>
      <c r="J191" s="1301"/>
      <c r="K191" s="1301"/>
      <c r="L191" s="1301"/>
      <c r="M191" s="1301"/>
      <c r="O191" s="500" t="s">
        <v>1825</v>
      </c>
      <c r="P191" s="2471" t="s">
        <v>3422</v>
      </c>
      <c r="Q191" s="650"/>
    </row>
    <row r="192" spans="1:31" ht="12" customHeight="1">
      <c r="B192" s="154"/>
      <c r="C192" s="1301"/>
      <c r="D192" s="1301"/>
      <c r="E192" s="500" t="s">
        <v>1826</v>
      </c>
      <c r="F192" s="1301" t="s">
        <v>2783</v>
      </c>
      <c r="G192" s="1301"/>
      <c r="H192" s="1301"/>
      <c r="I192" s="1301"/>
      <c r="J192" s="1301"/>
      <c r="K192" s="1301"/>
      <c r="L192" s="1301"/>
      <c r="M192" s="1301"/>
      <c r="O192" s="500" t="s">
        <v>1826</v>
      </c>
      <c r="P192" s="2471" t="s">
        <v>3422</v>
      </c>
      <c r="Q192" s="650"/>
    </row>
    <row r="193" spans="1:32" s="144" customFormat="1" ht="21.75" customHeight="1">
      <c r="B193" s="154"/>
      <c r="C193" s="1301"/>
      <c r="D193" s="1301"/>
      <c r="E193" s="177" t="s">
        <v>1827</v>
      </c>
      <c r="F193" s="1564" t="s">
        <v>4178</v>
      </c>
      <c r="G193" s="1564"/>
      <c r="H193" s="1564"/>
      <c r="I193" s="1564"/>
      <c r="J193" s="1564"/>
      <c r="K193" s="1564"/>
      <c r="L193" s="1564"/>
      <c r="M193" s="1564"/>
      <c r="N193" s="1564"/>
      <c r="O193" s="177" t="s">
        <v>1827</v>
      </c>
      <c r="P193" s="2472" t="s">
        <v>3422</v>
      </c>
      <c r="Q193" s="653"/>
      <c r="AE193" s="536"/>
      <c r="AF193" s="536"/>
    </row>
    <row r="194" spans="1:32" ht="12" customHeight="1">
      <c r="B194" s="154"/>
      <c r="C194" s="1301"/>
      <c r="D194" s="1301"/>
      <c r="E194" s="500" t="s">
        <v>2477</v>
      </c>
      <c r="F194" s="1301" t="s">
        <v>2784</v>
      </c>
      <c r="G194" s="1301"/>
      <c r="H194" s="1301"/>
      <c r="I194" s="1301"/>
      <c r="J194" s="1301"/>
      <c r="K194" s="1301"/>
      <c r="L194" s="1301"/>
      <c r="M194" s="1301"/>
      <c r="O194" s="500" t="s">
        <v>2477</v>
      </c>
      <c r="P194" s="2471" t="s">
        <v>3422</v>
      </c>
      <c r="Q194" s="650"/>
    </row>
    <row r="195" spans="1:32" s="144" customFormat="1" ht="21.75" customHeight="1">
      <c r="B195" s="154"/>
      <c r="C195" s="1301"/>
      <c r="D195" s="1301"/>
      <c r="E195" s="177" t="s">
        <v>1626</v>
      </c>
      <c r="F195" s="1564" t="s">
        <v>2785</v>
      </c>
      <c r="G195" s="1564"/>
      <c r="H195" s="1564"/>
      <c r="I195" s="1564"/>
      <c r="J195" s="1564"/>
      <c r="K195" s="1564"/>
      <c r="L195" s="1564"/>
      <c r="M195" s="1564"/>
      <c r="N195" s="1564"/>
      <c r="O195" s="177" t="s">
        <v>1626</v>
      </c>
      <c r="P195" s="2472" t="s">
        <v>3425</v>
      </c>
      <c r="Q195" s="653"/>
      <c r="AE195" s="536"/>
      <c r="AF195" s="536"/>
    </row>
    <row r="196" spans="1:32" ht="21.75" customHeight="1">
      <c r="B196" s="154" t="s">
        <v>2216</v>
      </c>
      <c r="C196" s="1564" t="s">
        <v>2786</v>
      </c>
      <c r="D196" s="1564"/>
      <c r="E196" s="1564"/>
      <c r="F196" s="1564"/>
      <c r="G196" s="1564"/>
      <c r="H196" s="1564"/>
      <c r="I196" s="1564"/>
      <c r="J196" s="1564"/>
      <c r="K196" s="1564"/>
      <c r="L196" s="1564"/>
      <c r="M196" s="1564"/>
      <c r="N196" s="1564"/>
      <c r="O196" s="177" t="s">
        <v>2216</v>
      </c>
      <c r="P196" s="2471" t="s">
        <v>3422</v>
      </c>
      <c r="Q196" s="650"/>
    </row>
    <row r="197" spans="1:32" ht="12" customHeight="1">
      <c r="B197" s="154" t="s">
        <v>1823</v>
      </c>
      <c r="C197" s="1301" t="s">
        <v>2493</v>
      </c>
      <c r="D197" s="1301"/>
      <c r="E197" s="1301"/>
      <c r="F197" s="1301"/>
      <c r="G197" s="1301"/>
      <c r="H197" s="1301"/>
      <c r="I197" s="1301"/>
      <c r="J197" s="1301"/>
      <c r="K197" s="1301"/>
      <c r="L197" s="1301"/>
      <c r="M197" s="1301"/>
      <c r="O197" s="177" t="s">
        <v>1823</v>
      </c>
      <c r="P197" s="2469" t="s">
        <v>3422</v>
      </c>
      <c r="Q197" s="651"/>
    </row>
    <row r="198" spans="1:32" ht="12" customHeight="1">
      <c r="B198" s="153" t="s">
        <v>1959</v>
      </c>
      <c r="D198" s="153"/>
      <c r="E198" s="153"/>
      <c r="F198" s="153"/>
      <c r="G198" s="153"/>
      <c r="H198" s="40"/>
      <c r="I198" s="820"/>
      <c r="J198" s="820"/>
      <c r="K198" s="820"/>
      <c r="L198" s="1278"/>
      <c r="M198" s="1278"/>
      <c r="N198" s="1278"/>
      <c r="O198" s="1278"/>
      <c r="P198" s="1278"/>
      <c r="Q198" s="1311"/>
    </row>
    <row r="199" spans="1:32" ht="11.45" customHeight="1">
      <c r="A199" s="2433" t="s">
        <v>4527</v>
      </c>
      <c r="B199" s="2434"/>
      <c r="C199" s="2434"/>
      <c r="D199" s="2434"/>
      <c r="E199" s="2434"/>
      <c r="F199" s="2434"/>
      <c r="G199" s="2434"/>
      <c r="H199" s="2434"/>
      <c r="I199" s="2434"/>
      <c r="J199" s="2434"/>
      <c r="K199" s="2434"/>
      <c r="L199" s="2434"/>
      <c r="M199" s="2434"/>
      <c r="N199" s="2434"/>
      <c r="O199" s="2434"/>
      <c r="P199" s="2434"/>
      <c r="Q199" s="2435"/>
      <c r="U199" s="148"/>
      <c r="V199" s="148"/>
      <c r="W199" s="148"/>
      <c r="X199" s="148"/>
      <c r="Y199" s="148"/>
      <c r="Z199" s="148"/>
      <c r="AA199" s="148"/>
      <c r="AB199" s="148"/>
      <c r="AC199" s="148"/>
      <c r="AD199" s="148"/>
      <c r="AE199" s="535"/>
    </row>
    <row r="200" spans="1:32" ht="12" customHeight="1">
      <c r="B200" s="149" t="s">
        <v>1960</v>
      </c>
      <c r="C200" s="150"/>
      <c r="D200" s="1283"/>
      <c r="E200" s="1283"/>
      <c r="F200" s="1283"/>
      <c r="G200" s="1283"/>
      <c r="H200" s="1283"/>
      <c r="I200" s="1283"/>
      <c r="J200" s="1283"/>
      <c r="K200" s="1283"/>
      <c r="L200" s="1283"/>
      <c r="M200" s="1283"/>
      <c r="N200" s="1283"/>
      <c r="O200" s="1283"/>
      <c r="P200" s="1283"/>
      <c r="Q200" s="1283"/>
    </row>
    <row r="201" spans="1:32" ht="11.45" customHeight="1">
      <c r="A201" s="1572"/>
      <c r="B201" s="1573"/>
      <c r="C201" s="1573"/>
      <c r="D201" s="1573"/>
      <c r="E201" s="1573"/>
      <c r="F201" s="1573"/>
      <c r="G201" s="1573"/>
      <c r="H201" s="1573"/>
      <c r="I201" s="1573"/>
      <c r="J201" s="1573"/>
      <c r="K201" s="1573"/>
      <c r="L201" s="1573"/>
      <c r="M201" s="1573"/>
      <c r="N201" s="1573"/>
      <c r="O201" s="1573"/>
      <c r="P201" s="1573"/>
      <c r="Q201" s="1574"/>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7">
        <v>11</v>
      </c>
      <c r="B203" s="1287" t="s">
        <v>2797</v>
      </c>
      <c r="C203" s="1287"/>
      <c r="D203" s="1283"/>
      <c r="E203" s="159"/>
      <c r="F203" s="159"/>
      <c r="G203" s="1283"/>
      <c r="J203" s="1312"/>
      <c r="K203" s="576"/>
      <c r="L203" s="576"/>
      <c r="M203" s="576"/>
      <c r="N203" s="576"/>
      <c r="O203" s="143" t="s">
        <v>1961</v>
      </c>
      <c r="P203" s="1575"/>
      <c r="Q203" s="1576"/>
    </row>
    <row r="204" spans="1:32" ht="12" customHeight="1">
      <c r="A204" s="151"/>
      <c r="B204" s="47" t="s">
        <v>2081</v>
      </c>
      <c r="C204" s="1564" t="s">
        <v>99</v>
      </c>
      <c r="D204" s="1564"/>
      <c r="E204" s="1564"/>
      <c r="F204" s="1564"/>
      <c r="G204" s="1564"/>
      <c r="H204" s="69" t="s">
        <v>1825</v>
      </c>
      <c r="I204" s="53" t="s">
        <v>157</v>
      </c>
      <c r="K204" s="2451" t="s">
        <v>1017</v>
      </c>
      <c r="L204" s="2452"/>
      <c r="M204" s="2452"/>
      <c r="N204" s="2486"/>
      <c r="O204" s="69" t="s">
        <v>1825</v>
      </c>
      <c r="P204" s="2468"/>
      <c r="Q204" s="649"/>
    </row>
    <row r="205" spans="1:32" ht="12" customHeight="1">
      <c r="A205" s="151"/>
      <c r="B205" s="820"/>
      <c r="C205" s="110"/>
      <c r="D205" s="110"/>
      <c r="E205" s="110"/>
      <c r="F205" s="110"/>
      <c r="H205" s="69" t="s">
        <v>1826</v>
      </c>
      <c r="I205" s="53" t="s">
        <v>1673</v>
      </c>
      <c r="K205" s="2487" t="s">
        <v>4452</v>
      </c>
      <c r="L205" s="2488"/>
      <c r="M205" s="2488"/>
      <c r="N205" s="2489"/>
      <c r="O205" s="69" t="s">
        <v>1826</v>
      </c>
      <c r="P205" s="2469" t="s">
        <v>3422</v>
      </c>
      <c r="Q205" s="651"/>
    </row>
    <row r="206" spans="1:32" ht="12" customHeight="1">
      <c r="B206" s="153" t="s">
        <v>1959</v>
      </c>
      <c r="D206" s="153"/>
      <c r="E206" s="153"/>
      <c r="F206" s="153"/>
      <c r="G206" s="153"/>
      <c r="J206" s="820"/>
      <c r="K206" s="820"/>
      <c r="L206" s="1278"/>
      <c r="M206" s="1278"/>
      <c r="N206" s="1278"/>
      <c r="O206" s="1278"/>
      <c r="P206" s="1278"/>
      <c r="Q206" s="1311"/>
    </row>
    <row r="207" spans="1:32" ht="11.45" customHeight="1">
      <c r="A207" s="2433" t="s">
        <v>4453</v>
      </c>
      <c r="B207" s="2434"/>
      <c r="C207" s="2434"/>
      <c r="D207" s="2434"/>
      <c r="E207" s="2434"/>
      <c r="F207" s="2434"/>
      <c r="G207" s="2434"/>
      <c r="H207" s="2434"/>
      <c r="I207" s="2434"/>
      <c r="J207" s="2434"/>
      <c r="K207" s="2434"/>
      <c r="L207" s="2434"/>
      <c r="M207" s="2434"/>
      <c r="N207" s="2434"/>
      <c r="O207" s="2434"/>
      <c r="P207" s="2434"/>
      <c r="Q207" s="2435"/>
      <c r="U207" s="148"/>
      <c r="V207" s="148"/>
      <c r="W207" s="148"/>
      <c r="X207" s="148"/>
      <c r="Y207" s="148"/>
      <c r="Z207" s="148"/>
      <c r="AA207" s="148"/>
      <c r="AB207" s="148"/>
      <c r="AC207" s="148"/>
      <c r="AD207" s="148"/>
      <c r="AE207" s="535"/>
    </row>
    <row r="208" spans="1:32" ht="12" customHeight="1">
      <c r="B208" s="149" t="s">
        <v>1960</v>
      </c>
      <c r="C208" s="150"/>
      <c r="D208" s="1283"/>
      <c r="E208" s="1283"/>
      <c r="F208" s="1283"/>
      <c r="G208" s="1283"/>
      <c r="H208" s="1283"/>
      <c r="I208" s="1283"/>
      <c r="J208" s="1283"/>
      <c r="K208" s="1283"/>
      <c r="L208" s="1283"/>
      <c r="M208" s="1283"/>
      <c r="N208" s="1283"/>
      <c r="O208" s="1283"/>
      <c r="P208" s="1283"/>
      <c r="Q208" s="1283"/>
    </row>
    <row r="209" spans="1:31" ht="11.45" customHeight="1">
      <c r="A209" s="1572"/>
      <c r="B209" s="1573"/>
      <c r="C209" s="1573"/>
      <c r="D209" s="1573"/>
      <c r="E209" s="1573"/>
      <c r="F209" s="1573"/>
      <c r="G209" s="1573"/>
      <c r="H209" s="1573"/>
      <c r="I209" s="1573"/>
      <c r="J209" s="1573"/>
      <c r="K209" s="1573"/>
      <c r="L209" s="1573"/>
      <c r="M209" s="1573"/>
      <c r="N209" s="1573"/>
      <c r="O209" s="1573"/>
      <c r="P209" s="1573"/>
      <c r="Q209" s="1574"/>
    </row>
    <row r="210" spans="1:31" ht="4.1500000000000004" customHeight="1">
      <c r="B210" s="820"/>
      <c r="C210" s="1283"/>
      <c r="D210" s="1283"/>
      <c r="E210" s="1283"/>
      <c r="F210" s="1283"/>
      <c r="G210" s="1283"/>
      <c r="H210" s="1283"/>
      <c r="I210" s="1283"/>
      <c r="J210" s="1283"/>
      <c r="K210" s="1283"/>
      <c r="L210" s="1283"/>
      <c r="M210" s="1283"/>
      <c r="Q210" s="1311"/>
    </row>
    <row r="211" spans="1:31" ht="13.9" customHeight="1">
      <c r="A211" s="1287">
        <v>12</v>
      </c>
      <c r="B211" s="4" t="s">
        <v>2798</v>
      </c>
      <c r="C211" s="4"/>
      <c r="D211" s="91"/>
      <c r="E211" s="91"/>
      <c r="F211" s="91"/>
      <c r="G211" s="1283"/>
      <c r="H211" s="1283"/>
      <c r="I211" s="1283"/>
      <c r="J211" s="1283"/>
      <c r="K211" s="1283"/>
      <c r="L211" s="1283"/>
      <c r="M211" s="1283"/>
      <c r="O211" s="143" t="s">
        <v>1961</v>
      </c>
      <c r="P211" s="1575"/>
      <c r="Q211" s="1576"/>
    </row>
    <row r="212" spans="1:31" ht="4.1500000000000004" customHeight="1"/>
    <row r="213" spans="1:31" ht="11.45" customHeight="1">
      <c r="B213" s="154" t="s">
        <v>2081</v>
      </c>
      <c r="C213" s="621" t="s">
        <v>1825</v>
      </c>
      <c r="D213" s="454" t="s">
        <v>538</v>
      </c>
      <c r="E213" s="454"/>
      <c r="F213" s="454"/>
      <c r="G213" s="454"/>
      <c r="H213" s="454"/>
      <c r="I213" s="454"/>
      <c r="J213" s="454"/>
      <c r="K213" s="454"/>
      <c r="L213" s="454"/>
      <c r="M213" s="454"/>
      <c r="N213" s="454"/>
      <c r="O213" s="177" t="s">
        <v>1562</v>
      </c>
      <c r="P213" s="2468" t="s">
        <v>3425</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71"/>
      <c r="Q214" s="650"/>
    </row>
    <row r="215" spans="1:31" ht="11.45" customHeight="1">
      <c r="A215" s="151"/>
      <c r="B215" s="154" t="s">
        <v>2084</v>
      </c>
      <c r="C215" s="1564" t="s">
        <v>1942</v>
      </c>
      <c r="D215" s="1564"/>
      <c r="E215" s="1564"/>
      <c r="F215" s="1564"/>
      <c r="G215" s="1564"/>
      <c r="H215" s="69" t="s">
        <v>1825</v>
      </c>
      <c r="I215" s="53" t="s">
        <v>666</v>
      </c>
      <c r="K215" s="2451" t="s">
        <v>4407</v>
      </c>
      <c r="L215" s="2452"/>
      <c r="M215" s="2452"/>
      <c r="N215" s="2486"/>
      <c r="O215" s="69" t="s">
        <v>1520</v>
      </c>
      <c r="P215" s="2471" t="s">
        <v>3422</v>
      </c>
      <c r="Q215" s="650"/>
    </row>
    <row r="216" spans="1:31" ht="11.45" customHeight="1">
      <c r="A216" s="151"/>
      <c r="B216" s="163"/>
      <c r="C216" s="1564"/>
      <c r="D216" s="1564"/>
      <c r="E216" s="1564"/>
      <c r="F216" s="1564"/>
      <c r="G216" s="1564"/>
      <c r="H216" s="69" t="s">
        <v>1826</v>
      </c>
      <c r="I216" s="53" t="s">
        <v>118</v>
      </c>
      <c r="K216" s="2487" t="s">
        <v>4407</v>
      </c>
      <c r="L216" s="2488"/>
      <c r="M216" s="2488"/>
      <c r="N216" s="2489"/>
      <c r="O216" s="69" t="s">
        <v>1826</v>
      </c>
      <c r="P216" s="2469" t="s">
        <v>3422</v>
      </c>
      <c r="Q216" s="651"/>
    </row>
    <row r="217" spans="1:31" ht="11.25" customHeight="1">
      <c r="B217" s="153" t="s">
        <v>1959</v>
      </c>
      <c r="D217" s="153"/>
      <c r="E217" s="153"/>
      <c r="F217" s="153"/>
      <c r="G217" s="153"/>
      <c r="H217" s="40"/>
      <c r="I217" s="820"/>
      <c r="J217" s="820"/>
      <c r="K217" s="820"/>
      <c r="L217" s="1278"/>
      <c r="M217" s="1278"/>
      <c r="N217" s="1278"/>
      <c r="O217" s="1278"/>
      <c r="P217" s="1278"/>
      <c r="Q217" s="1311"/>
    </row>
    <row r="218" spans="1:31" ht="11.45" customHeight="1">
      <c r="A218" s="2433" t="s">
        <v>4507</v>
      </c>
      <c r="B218" s="2434"/>
      <c r="C218" s="2434"/>
      <c r="D218" s="2434"/>
      <c r="E218" s="2434"/>
      <c r="F218" s="2434"/>
      <c r="G218" s="2434"/>
      <c r="H218" s="2434"/>
      <c r="I218" s="2434"/>
      <c r="J218" s="2434"/>
      <c r="K218" s="2434"/>
      <c r="L218" s="2434"/>
      <c r="M218" s="2434"/>
      <c r="N218" s="2434"/>
      <c r="O218" s="2434"/>
      <c r="P218" s="2434"/>
      <c r="Q218" s="2435"/>
      <c r="U218" s="148"/>
      <c r="V218" s="148"/>
      <c r="W218" s="148"/>
      <c r="X218" s="148"/>
      <c r="Y218" s="148"/>
      <c r="Z218" s="148"/>
      <c r="AA218" s="148"/>
      <c r="AB218" s="148"/>
      <c r="AC218" s="148"/>
      <c r="AD218" s="148"/>
      <c r="AE218" s="535"/>
    </row>
    <row r="219" spans="1:31" ht="11.25" customHeight="1">
      <c r="B219" s="149" t="s">
        <v>1960</v>
      </c>
      <c r="C219" s="150"/>
      <c r="D219" s="1283"/>
      <c r="E219" s="1283"/>
      <c r="F219" s="1283"/>
      <c r="G219" s="1283"/>
      <c r="H219" s="1283"/>
      <c r="I219" s="1283"/>
      <c r="J219" s="1283"/>
      <c r="K219" s="1283"/>
      <c r="L219" s="1283"/>
      <c r="M219" s="1283"/>
      <c r="N219" s="1283"/>
      <c r="O219" s="1283"/>
      <c r="P219" s="1283"/>
      <c r="Q219" s="1283"/>
    </row>
    <row r="220" spans="1:31" ht="11.45" customHeight="1">
      <c r="A220" s="1572"/>
      <c r="B220" s="1573"/>
      <c r="C220" s="1573"/>
      <c r="D220" s="1573"/>
      <c r="E220" s="1573"/>
      <c r="F220" s="1573"/>
      <c r="G220" s="1573"/>
      <c r="H220" s="1573"/>
      <c r="I220" s="1573"/>
      <c r="J220" s="1573"/>
      <c r="K220" s="1573"/>
      <c r="L220" s="1573"/>
      <c r="M220" s="1573"/>
      <c r="N220" s="1573"/>
      <c r="O220" s="1573"/>
      <c r="P220" s="1573"/>
      <c r="Q220" s="1574"/>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7">
        <v>13</v>
      </c>
      <c r="B222" s="4" t="s">
        <v>2799</v>
      </c>
      <c r="C222" s="4"/>
      <c r="D222" s="91"/>
      <c r="E222" s="91"/>
      <c r="F222" s="91"/>
      <c r="G222" s="91"/>
      <c r="H222" s="1283"/>
      <c r="I222" s="1283"/>
      <c r="J222" s="1283"/>
      <c r="K222" s="1283"/>
      <c r="L222" s="1283"/>
      <c r="M222" s="1283"/>
      <c r="O222" s="143" t="s">
        <v>1961</v>
      </c>
      <c r="P222" s="1575"/>
      <c r="Q222" s="1576"/>
    </row>
    <row r="223" spans="1:31" ht="10.9" customHeight="1">
      <c r="B223" s="157" t="s">
        <v>149</v>
      </c>
    </row>
    <row r="224" spans="1:31" ht="11.45" customHeight="1">
      <c r="B224" s="47" t="s">
        <v>2081</v>
      </c>
      <c r="C224" s="53" t="s">
        <v>3331</v>
      </c>
      <c r="D224" s="42"/>
      <c r="E224" s="53"/>
      <c r="F224" s="53"/>
      <c r="G224" s="53"/>
      <c r="H224" s="53"/>
      <c r="I224" s="42"/>
      <c r="J224" s="42"/>
      <c r="K224" s="42"/>
      <c r="L224" s="1301"/>
      <c r="M224" s="1301"/>
      <c r="O224" s="177" t="s">
        <v>2081</v>
      </c>
      <c r="P224" s="2429" t="s">
        <v>3422</v>
      </c>
      <c r="Q224" s="646"/>
    </row>
    <row r="225" spans="1:32" ht="11.45" customHeight="1">
      <c r="B225" s="47"/>
      <c r="C225" s="53"/>
      <c r="D225" s="36" t="s">
        <v>3301</v>
      </c>
      <c r="E225" s="53"/>
      <c r="F225" s="53"/>
      <c r="G225" s="2490">
        <v>42154</v>
      </c>
      <c r="H225" s="2491"/>
      <c r="L225" s="1632" t="s">
        <v>4366</v>
      </c>
      <c r="M225" s="2490"/>
      <c r="N225" s="2491"/>
    </row>
    <row r="226" spans="1:32" ht="11.45" customHeight="1">
      <c r="B226" s="47"/>
      <c r="C226" s="53"/>
      <c r="D226" s="56" t="s">
        <v>3303</v>
      </c>
      <c r="E226" s="53"/>
      <c r="F226" s="53"/>
      <c r="G226" s="2492" t="s">
        <v>4472</v>
      </c>
      <c r="H226" s="2493"/>
      <c r="I226" s="2449"/>
      <c r="J226" s="2449"/>
      <c r="K226" s="2450"/>
      <c r="L226" s="1632"/>
      <c r="M226" s="2492"/>
      <c r="N226" s="2493"/>
      <c r="O226" s="2449"/>
      <c r="P226" s="2449"/>
      <c r="Q226" s="2450"/>
    </row>
    <row r="227" spans="1:32" ht="11.45" customHeight="1">
      <c r="B227" s="47"/>
      <c r="C227" s="53"/>
      <c r="D227" s="36" t="s">
        <v>3302</v>
      </c>
      <c r="E227" s="42"/>
      <c r="G227" s="2490">
        <v>42157</v>
      </c>
      <c r="H227" s="2491"/>
      <c r="I227" s="36"/>
      <c r="J227" s="42"/>
      <c r="K227" s="42"/>
      <c r="L227" s="1632"/>
      <c r="M227" s="2490"/>
      <c r="N227" s="2491"/>
    </row>
    <row r="228" spans="1:32" ht="11.45" customHeight="1">
      <c r="B228" s="47" t="s">
        <v>2084</v>
      </c>
      <c r="C228" s="53" t="s">
        <v>3118</v>
      </c>
      <c r="D228" s="53"/>
      <c r="E228" s="53"/>
      <c r="F228" s="53"/>
      <c r="G228" s="53"/>
      <c r="H228" s="53"/>
      <c r="I228" s="42"/>
      <c r="J228" s="42"/>
      <c r="K228" s="42"/>
      <c r="L228" s="152"/>
      <c r="M228" s="152"/>
      <c r="O228" s="177" t="s">
        <v>2084</v>
      </c>
      <c r="P228" s="2468" t="s">
        <v>3422</v>
      </c>
      <c r="Q228" s="649"/>
    </row>
    <row r="229" spans="1:32" ht="11.45" customHeight="1">
      <c r="B229" s="47" t="s">
        <v>789</v>
      </c>
      <c r="C229" s="53" t="s">
        <v>3119</v>
      </c>
      <c r="D229" s="53"/>
      <c r="E229" s="53"/>
      <c r="F229" s="53"/>
      <c r="G229" s="53"/>
      <c r="H229" s="53"/>
      <c r="I229" s="42"/>
      <c r="J229" s="42"/>
      <c r="K229" s="42"/>
      <c r="L229" s="152"/>
      <c r="M229" s="152"/>
      <c r="O229" s="177" t="s">
        <v>789</v>
      </c>
      <c r="P229" s="2471" t="s">
        <v>3422</v>
      </c>
      <c r="Q229" s="650"/>
    </row>
    <row r="230" spans="1:32" s="160" customFormat="1" ht="11.45" customHeight="1">
      <c r="B230" s="47" t="s">
        <v>2216</v>
      </c>
      <c r="C230" s="53" t="s">
        <v>4179</v>
      </c>
      <c r="D230" s="53"/>
      <c r="E230" s="53"/>
      <c r="F230" s="53"/>
      <c r="G230" s="53"/>
      <c r="H230" s="53"/>
      <c r="I230" s="100"/>
      <c r="J230" s="100"/>
      <c r="K230" s="100"/>
      <c r="L230" s="1301"/>
      <c r="M230" s="1301"/>
      <c r="N230" s="35"/>
      <c r="O230" s="533" t="s">
        <v>2216</v>
      </c>
      <c r="P230" s="2471" t="s">
        <v>3425</v>
      </c>
      <c r="Q230" s="650"/>
      <c r="AE230" s="1302"/>
      <c r="AF230" s="1302"/>
    </row>
    <row r="231" spans="1:32" s="160" customFormat="1" ht="11.45" customHeight="1">
      <c r="B231" s="47" t="s">
        <v>1823</v>
      </c>
      <c r="C231" s="53" t="s">
        <v>150</v>
      </c>
      <c r="D231" s="53"/>
      <c r="E231" s="53"/>
      <c r="F231" s="53"/>
      <c r="G231" s="53"/>
      <c r="H231" s="53"/>
      <c r="I231" s="100"/>
      <c r="J231" s="100"/>
      <c r="K231" s="100"/>
      <c r="L231" s="100"/>
      <c r="M231" s="100"/>
      <c r="O231" s="533" t="s">
        <v>1823</v>
      </c>
      <c r="P231" s="2469" t="s">
        <v>3425</v>
      </c>
      <c r="Q231" s="651"/>
      <c r="AE231" s="1302"/>
      <c r="AF231" s="1302"/>
    </row>
    <row r="232" spans="1:32" ht="11.25" customHeight="1">
      <c r="B232" s="153" t="s">
        <v>1959</v>
      </c>
      <c r="D232" s="153"/>
      <c r="E232" s="153"/>
      <c r="F232" s="153"/>
      <c r="G232" s="153"/>
      <c r="H232" s="40"/>
      <c r="I232" s="820"/>
      <c r="J232" s="820"/>
      <c r="K232" s="820"/>
      <c r="L232" s="1278"/>
      <c r="M232" s="1278"/>
      <c r="N232" s="1278"/>
      <c r="O232" s="1278"/>
      <c r="P232" s="1278"/>
      <c r="Q232" s="1311"/>
    </row>
    <row r="233" spans="1:32" ht="25.5" customHeight="1">
      <c r="A233" s="2433" t="s">
        <v>4508</v>
      </c>
      <c r="B233" s="2434"/>
      <c r="C233" s="2434"/>
      <c r="D233" s="2434"/>
      <c r="E233" s="2434"/>
      <c r="F233" s="2434"/>
      <c r="G233" s="2434"/>
      <c r="H233" s="2434"/>
      <c r="I233" s="2434"/>
      <c r="J233" s="2434"/>
      <c r="K233" s="2434"/>
      <c r="L233" s="2434"/>
      <c r="M233" s="2434"/>
      <c r="N233" s="2434"/>
      <c r="O233" s="2434"/>
      <c r="P233" s="2434"/>
      <c r="Q233" s="2435"/>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1960</v>
      </c>
      <c r="C235" s="150"/>
      <c r="D235" s="1283"/>
      <c r="E235" s="1283"/>
      <c r="F235" s="1283"/>
      <c r="G235" s="1283"/>
      <c r="H235" s="1283"/>
      <c r="I235" s="1283"/>
      <c r="J235" s="1283"/>
      <c r="K235" s="1283"/>
      <c r="L235" s="1283"/>
      <c r="M235" s="1283"/>
      <c r="N235" s="1283"/>
      <c r="O235" s="1283"/>
      <c r="P235" s="1283"/>
      <c r="Q235" s="1283"/>
    </row>
    <row r="236" spans="1:32" ht="13.15" customHeight="1">
      <c r="A236" s="1572"/>
      <c r="B236" s="1573"/>
      <c r="C236" s="1573"/>
      <c r="D236" s="1573"/>
      <c r="E236" s="1573"/>
      <c r="F236" s="1573"/>
      <c r="G236" s="1573"/>
      <c r="H236" s="1573"/>
      <c r="I236" s="1573"/>
      <c r="J236" s="1573"/>
      <c r="K236" s="1573"/>
      <c r="L236" s="1573"/>
      <c r="M236" s="1573"/>
      <c r="N236" s="1573"/>
      <c r="O236" s="1573"/>
      <c r="P236" s="1573"/>
      <c r="Q236" s="1574"/>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7">
        <v>14</v>
      </c>
      <c r="B238" s="1287" t="s">
        <v>2800</v>
      </c>
      <c r="C238" s="121"/>
      <c r="D238" s="1283"/>
      <c r="E238" s="1283"/>
      <c r="F238" s="1283"/>
      <c r="G238" s="1283"/>
      <c r="H238" s="1283"/>
      <c r="I238" s="1283"/>
      <c r="J238" s="1283"/>
      <c r="K238" s="1283"/>
      <c r="L238" s="1283"/>
      <c r="M238" s="1283"/>
      <c r="O238" s="143" t="s">
        <v>1961</v>
      </c>
      <c r="P238" s="1575"/>
      <c r="Q238" s="1576"/>
    </row>
    <row r="239" spans="1:32" s="28" customFormat="1" ht="11.45" customHeight="1">
      <c r="B239" s="157" t="s">
        <v>1248</v>
      </c>
      <c r="N239" s="130"/>
      <c r="P239" s="2429" t="s">
        <v>3425</v>
      </c>
      <c r="Q239" s="64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2448" t="s">
        <v>556</v>
      </c>
      <c r="M241" s="2450"/>
      <c r="Q241" s="649"/>
    </row>
    <row r="242" spans="1:32" ht="11.45" customHeight="1">
      <c r="B242" s="47"/>
      <c r="C242" s="69" t="s">
        <v>1826</v>
      </c>
      <c r="D242" s="1305" t="s">
        <v>2898</v>
      </c>
      <c r="E242" s="1305"/>
      <c r="F242" s="1305"/>
      <c r="G242" s="1305"/>
      <c r="H242" s="1305"/>
      <c r="I242" s="42"/>
      <c r="K242" s="69" t="s">
        <v>1563</v>
      </c>
      <c r="L242" s="2494" t="s">
        <v>4454</v>
      </c>
      <c r="M242" s="2495"/>
      <c r="N242" s="2496" t="s">
        <v>2899</v>
      </c>
      <c r="O242" s="2497"/>
      <c r="P242" s="2498"/>
      <c r="Q242" s="650"/>
    </row>
    <row r="243" spans="1:32" ht="11.45" customHeight="1">
      <c r="B243" s="47"/>
      <c r="C243" s="69" t="s">
        <v>1827</v>
      </c>
      <c r="D243" s="1305" t="s">
        <v>582</v>
      </c>
      <c r="E243" s="1305"/>
      <c r="F243" s="1305"/>
      <c r="G243" s="1305"/>
      <c r="H243" s="1305"/>
      <c r="I243" s="42"/>
      <c r="K243" s="69" t="s">
        <v>1564</v>
      </c>
      <c r="L243" s="2448" t="s">
        <v>4455</v>
      </c>
      <c r="M243" s="2449"/>
      <c r="N243" s="2499"/>
      <c r="Q243" s="651"/>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3" t="s">
        <v>2084</v>
      </c>
      <c r="P245" s="2429" t="s">
        <v>4447</v>
      </c>
      <c r="Q245" s="646"/>
    </row>
    <row r="246" spans="1:32" ht="10.9" customHeight="1">
      <c r="B246" s="47"/>
      <c r="C246" s="53" t="s">
        <v>2634</v>
      </c>
      <c r="D246" s="53"/>
      <c r="E246" s="53"/>
      <c r="F246" s="53"/>
      <c r="G246" s="53"/>
      <c r="H246" s="53"/>
      <c r="I246" s="53"/>
      <c r="J246" s="53"/>
      <c r="K246" s="42"/>
      <c r="L246" s="42"/>
      <c r="M246" s="42"/>
      <c r="N246" s="42"/>
      <c r="O246" s="42"/>
      <c r="P246" s="1607" t="s">
        <v>3</v>
      </c>
      <c r="Q246" s="1607"/>
    </row>
    <row r="247" spans="1:32" ht="10.9"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2500" t="s">
        <v>4456</v>
      </c>
      <c r="E248" s="2501"/>
      <c r="F248" s="2501"/>
      <c r="G248" s="2501"/>
      <c r="H248" s="2502"/>
      <c r="I248" s="660"/>
      <c r="J248" s="661"/>
      <c r="K248" s="69" t="s">
        <v>1827</v>
      </c>
      <c r="L248" s="2500"/>
      <c r="M248" s="2501"/>
      <c r="N248" s="2501"/>
      <c r="O248" s="2502"/>
      <c r="P248" s="649"/>
      <c r="Q248" s="661"/>
      <c r="AE248" s="55"/>
      <c r="AF248" s="55"/>
    </row>
    <row r="249" spans="1:32" s="43" customFormat="1" ht="11.45" customHeight="1">
      <c r="A249" s="100"/>
      <c r="B249" s="52"/>
      <c r="C249" s="69" t="s">
        <v>1826</v>
      </c>
      <c r="D249" s="2503" t="s">
        <v>1734</v>
      </c>
      <c r="E249" s="2504"/>
      <c r="F249" s="2504"/>
      <c r="G249" s="2504"/>
      <c r="H249" s="2505"/>
      <c r="I249" s="662"/>
      <c r="J249" s="663"/>
      <c r="K249" s="69" t="s">
        <v>2477</v>
      </c>
      <c r="L249" s="2503"/>
      <c r="M249" s="2504"/>
      <c r="N249" s="2504"/>
      <c r="O249" s="2505"/>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68" t="s">
        <v>4447</v>
      </c>
      <c r="Q251" s="649"/>
    </row>
    <row r="252" spans="1:32" ht="11.45" customHeight="1">
      <c r="B252" s="47"/>
      <c r="C252" s="69" t="s">
        <v>1825</v>
      </c>
      <c r="D252" s="53" t="s">
        <v>4094</v>
      </c>
      <c r="E252" s="53"/>
      <c r="F252" s="53"/>
      <c r="G252" s="53"/>
      <c r="H252" s="53"/>
      <c r="I252" s="42"/>
      <c r="J252" s="32"/>
      <c r="K252" s="42"/>
      <c r="L252" s="32"/>
      <c r="M252" s="32"/>
      <c r="O252" s="69" t="s">
        <v>1825</v>
      </c>
      <c r="P252" s="2471" t="s">
        <v>3422</v>
      </c>
      <c r="Q252" s="650"/>
    </row>
    <row r="253" spans="1:32" ht="11.45" customHeight="1">
      <c r="C253" s="69" t="s">
        <v>1826</v>
      </c>
      <c r="D253" s="1305" t="s">
        <v>3120</v>
      </c>
      <c r="E253" s="1305"/>
      <c r="F253" s="1305"/>
      <c r="G253" s="1305"/>
      <c r="H253" s="1305"/>
      <c r="I253" s="42"/>
      <c r="J253" s="32"/>
      <c r="K253" s="42"/>
      <c r="L253" s="32"/>
      <c r="M253" s="32"/>
      <c r="O253" s="69" t="s">
        <v>1826</v>
      </c>
      <c r="P253" s="2471" t="s">
        <v>3422</v>
      </c>
      <c r="Q253" s="650"/>
    </row>
    <row r="254" spans="1:32" ht="11.45" customHeight="1">
      <c r="C254" s="69" t="s">
        <v>1827</v>
      </c>
      <c r="D254" s="1305" t="s">
        <v>3121</v>
      </c>
      <c r="E254" s="1305"/>
      <c r="F254" s="1305"/>
      <c r="G254" s="1305"/>
      <c r="H254" s="1305"/>
      <c r="I254" s="42"/>
      <c r="J254" s="32"/>
      <c r="K254" s="42"/>
      <c r="L254" s="32"/>
      <c r="M254" s="32"/>
      <c r="O254" s="69" t="s">
        <v>1827</v>
      </c>
      <c r="P254" s="2471" t="s">
        <v>3422</v>
      </c>
      <c r="Q254" s="650"/>
    </row>
    <row r="255" spans="1:32" ht="11.45" customHeight="1">
      <c r="B255" s="47"/>
      <c r="C255" s="69" t="s">
        <v>2477</v>
      </c>
      <c r="D255" s="1305" t="s">
        <v>3122</v>
      </c>
      <c r="E255" s="1305"/>
      <c r="F255" s="1305"/>
      <c r="G255" s="1305"/>
      <c r="H255" s="1305"/>
      <c r="I255" s="42"/>
      <c r="J255" s="32"/>
      <c r="K255" s="42"/>
      <c r="L255" s="32"/>
      <c r="M255" s="32"/>
      <c r="O255" s="69" t="s">
        <v>2477</v>
      </c>
      <c r="P255" s="2471" t="s">
        <v>3422</v>
      </c>
      <c r="Q255" s="650"/>
    </row>
    <row r="256" spans="1:32" ht="11.45" customHeight="1">
      <c r="B256" s="47"/>
      <c r="C256" s="69" t="s">
        <v>1626</v>
      </c>
      <c r="D256" s="1305" t="s">
        <v>3123</v>
      </c>
      <c r="E256" s="1305"/>
      <c r="F256" s="1305"/>
      <c r="G256" s="1305"/>
      <c r="H256" s="1305"/>
      <c r="I256" s="42"/>
      <c r="J256" s="32"/>
      <c r="K256" s="42"/>
      <c r="L256" s="32"/>
      <c r="M256" s="32"/>
      <c r="O256" s="69" t="s">
        <v>1626</v>
      </c>
      <c r="P256" s="2471" t="s">
        <v>3422</v>
      </c>
      <c r="Q256" s="650"/>
    </row>
    <row r="257" spans="1:31" ht="11.45" customHeight="1">
      <c r="B257" s="47"/>
      <c r="C257" s="533" t="s">
        <v>1627</v>
      </c>
      <c r="D257" s="53" t="s">
        <v>816</v>
      </c>
      <c r="E257" s="53"/>
      <c r="F257" s="53"/>
      <c r="G257" s="53"/>
      <c r="H257" s="53"/>
      <c r="I257" s="42"/>
      <c r="J257" s="32"/>
      <c r="K257" s="42"/>
      <c r="L257" s="32"/>
      <c r="M257" s="32"/>
      <c r="O257" s="533" t="s">
        <v>3108</v>
      </c>
      <c r="P257" s="2471" t="s">
        <v>3422</v>
      </c>
      <c r="Q257" s="650"/>
    </row>
    <row r="258" spans="1:31" ht="11.45" customHeight="1">
      <c r="B258" s="47"/>
      <c r="C258" s="69"/>
      <c r="D258" s="53" t="s">
        <v>1565</v>
      </c>
      <c r="E258" s="53"/>
      <c r="F258" s="53"/>
      <c r="G258" s="53"/>
      <c r="H258" s="53"/>
      <c r="I258" s="42"/>
      <c r="J258" s="32"/>
      <c r="K258" s="42"/>
      <c r="L258" s="32"/>
      <c r="M258" s="32"/>
      <c r="O258" s="533" t="s">
        <v>3109</v>
      </c>
      <c r="P258" s="2469" t="s">
        <v>3425</v>
      </c>
      <c r="Q258" s="651"/>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3" t="s">
        <v>2216</v>
      </c>
      <c r="P260" s="2468"/>
      <c r="Q260" s="649"/>
    </row>
    <row r="261" spans="1:31" ht="11.45" customHeight="1">
      <c r="B261" s="47"/>
      <c r="C261" s="69" t="s">
        <v>1825</v>
      </c>
      <c r="D261" s="39" t="s">
        <v>1315</v>
      </c>
      <c r="E261" s="42"/>
      <c r="F261" s="42"/>
      <c r="G261" s="39"/>
      <c r="H261" s="1305"/>
      <c r="I261" s="42"/>
      <c r="J261" s="1305"/>
      <c r="K261" s="42"/>
      <c r="L261" s="1305"/>
      <c r="M261" s="1305"/>
      <c r="O261" s="69" t="s">
        <v>1825</v>
      </c>
      <c r="P261" s="2471"/>
      <c r="Q261" s="650"/>
    </row>
    <row r="262" spans="1:31" ht="11.45" customHeight="1">
      <c r="B262" s="47"/>
      <c r="C262" s="69" t="s">
        <v>1826</v>
      </c>
      <c r="D262" s="39" t="s">
        <v>151</v>
      </c>
      <c r="E262" s="42"/>
      <c r="F262" s="42"/>
      <c r="G262" s="1305"/>
      <c r="H262" s="1305"/>
      <c r="I262" s="42"/>
      <c r="J262" s="1305"/>
      <c r="K262" s="42"/>
      <c r="L262" s="1305"/>
      <c r="M262" s="1305"/>
      <c r="O262" s="69" t="s">
        <v>1826</v>
      </c>
      <c r="P262" s="2471"/>
      <c r="Q262" s="650"/>
    </row>
    <row r="263" spans="1:31" ht="11.45" customHeight="1">
      <c r="B263" s="47"/>
      <c r="C263" s="69" t="s">
        <v>1827</v>
      </c>
      <c r="D263" s="1305" t="s">
        <v>1720</v>
      </c>
      <c r="E263" s="42"/>
      <c r="F263" s="42"/>
      <c r="G263" s="1305"/>
      <c r="H263" s="1305"/>
      <c r="I263" s="42"/>
      <c r="J263" s="1305"/>
      <c r="K263" s="42"/>
      <c r="L263" s="1305"/>
      <c r="M263" s="1305"/>
      <c r="O263" s="69" t="s">
        <v>2483</v>
      </c>
      <c r="P263" s="2471"/>
      <c r="Q263" s="650"/>
    </row>
    <row r="264" spans="1:31" ht="11.45" customHeight="1">
      <c r="B264" s="36"/>
      <c r="C264" s="42"/>
      <c r="D264" s="1305" t="s">
        <v>1350</v>
      </c>
      <c r="E264" s="42"/>
      <c r="F264" s="42"/>
      <c r="G264" s="1305"/>
      <c r="H264" s="1305"/>
      <c r="I264" s="42"/>
      <c r="J264" s="1305"/>
      <c r="K264" s="42"/>
      <c r="L264" s="1305"/>
      <c r="M264" s="1305"/>
      <c r="O264" s="69" t="s">
        <v>2484</v>
      </c>
      <c r="P264" s="2469"/>
      <c r="Q264" s="651"/>
    </row>
    <row r="265" spans="1:31" ht="11.25" customHeight="1">
      <c r="B265" s="153" t="s">
        <v>1959</v>
      </c>
      <c r="D265" s="153"/>
      <c r="E265" s="153"/>
      <c r="F265" s="153"/>
      <c r="G265" s="153"/>
      <c r="H265" s="40"/>
      <c r="I265" s="820"/>
      <c r="J265" s="820"/>
      <c r="K265" s="820"/>
      <c r="L265" s="1278"/>
      <c r="M265" s="1278"/>
      <c r="N265" s="1278"/>
      <c r="O265" s="1278"/>
      <c r="P265" s="1278"/>
      <c r="Q265" s="1311"/>
    </row>
    <row r="266" spans="1:31" ht="11.45" customHeight="1">
      <c r="A266" s="2433"/>
      <c r="B266" s="2434"/>
      <c r="C266" s="2434"/>
      <c r="D266" s="2434"/>
      <c r="E266" s="2434"/>
      <c r="F266" s="2434"/>
      <c r="G266" s="2434"/>
      <c r="H266" s="2434"/>
      <c r="I266" s="2434"/>
      <c r="J266" s="2434"/>
      <c r="K266" s="2434"/>
      <c r="L266" s="2434"/>
      <c r="M266" s="2434"/>
      <c r="N266" s="2434"/>
      <c r="O266" s="2434"/>
      <c r="P266" s="2434"/>
      <c r="Q266" s="2435"/>
      <c r="R266" s="503" t="s">
        <v>1314</v>
      </c>
      <c r="S266" s="504"/>
      <c r="U266" s="148"/>
      <c r="V266" s="148"/>
      <c r="W266" s="148"/>
      <c r="X266" s="148"/>
      <c r="Y266" s="148"/>
      <c r="Z266" s="148"/>
      <c r="AA266" s="148"/>
      <c r="AB266" s="148"/>
      <c r="AC266" s="148"/>
      <c r="AD266" s="148"/>
      <c r="AE266" s="535"/>
    </row>
    <row r="267" spans="1:31" ht="11.25" customHeight="1">
      <c r="B267" s="149" t="s">
        <v>1960</v>
      </c>
      <c r="C267" s="150"/>
      <c r="D267" s="1283"/>
      <c r="E267" s="1283"/>
      <c r="F267" s="1283"/>
      <c r="G267" s="1283"/>
      <c r="H267" s="1283"/>
      <c r="I267" s="1283"/>
      <c r="J267" s="1283"/>
      <c r="K267" s="1283"/>
      <c r="L267" s="1283"/>
      <c r="M267" s="1283"/>
      <c r="N267" s="1283"/>
      <c r="O267" s="1283"/>
      <c r="P267" s="1283"/>
      <c r="Q267" s="1283"/>
    </row>
    <row r="268" spans="1:31" ht="13.15" customHeight="1">
      <c r="A268" s="1572"/>
      <c r="B268" s="1573"/>
      <c r="C268" s="1573"/>
      <c r="D268" s="1573"/>
      <c r="E268" s="1573"/>
      <c r="F268" s="1573"/>
      <c r="G268" s="1573"/>
      <c r="H268" s="1573"/>
      <c r="I268" s="1573"/>
      <c r="J268" s="1573"/>
      <c r="K268" s="1573"/>
      <c r="L268" s="1573"/>
      <c r="M268" s="1573"/>
      <c r="N268" s="1573"/>
      <c r="O268" s="1573"/>
      <c r="P268" s="1573"/>
      <c r="Q268" s="1574"/>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7">
        <v>15</v>
      </c>
      <c r="B270" s="4" t="s">
        <v>2801</v>
      </c>
      <c r="C270" s="4"/>
      <c r="D270" s="91"/>
      <c r="E270" s="91"/>
      <c r="F270" s="91"/>
      <c r="G270" s="91"/>
      <c r="H270" s="1283"/>
      <c r="I270" s="1283"/>
      <c r="J270" s="1283"/>
      <c r="K270" s="1283"/>
      <c r="L270" s="1283"/>
      <c r="M270" s="1283"/>
      <c r="O270" s="143" t="s">
        <v>1961</v>
      </c>
      <c r="P270" s="1575"/>
      <c r="Q270" s="1576"/>
    </row>
    <row r="271" spans="1:31" ht="4.9000000000000004" customHeight="1"/>
    <row r="272" spans="1:31" ht="11.45" customHeight="1">
      <c r="B272" s="47" t="s">
        <v>2081</v>
      </c>
      <c r="C272" s="53" t="s">
        <v>1328</v>
      </c>
      <c r="D272" s="42"/>
      <c r="E272" s="53"/>
      <c r="F272" s="53"/>
      <c r="G272" s="53"/>
      <c r="H272" s="53"/>
      <c r="I272" s="42"/>
      <c r="J272" s="42"/>
      <c r="K272" s="42"/>
      <c r="L272" s="533" t="s">
        <v>2081</v>
      </c>
      <c r="M272" s="2451" t="s">
        <v>1859</v>
      </c>
      <c r="N272" s="2452"/>
      <c r="O272" s="2486"/>
      <c r="P272" s="1599" t="s">
        <v>1859</v>
      </c>
      <c r="Q272" s="1600"/>
    </row>
    <row r="273" spans="1:32" ht="11.45" customHeight="1">
      <c r="B273" s="47" t="s">
        <v>2084</v>
      </c>
      <c r="C273" s="53" t="s">
        <v>3124</v>
      </c>
      <c r="D273" s="53"/>
      <c r="E273" s="53"/>
      <c r="F273" s="53"/>
      <c r="G273" s="53"/>
      <c r="H273" s="53"/>
      <c r="I273" s="42"/>
      <c r="J273" s="42"/>
      <c r="K273" s="42"/>
      <c r="L273" s="533" t="s">
        <v>2084</v>
      </c>
      <c r="M273" s="2506"/>
      <c r="N273" s="2507"/>
      <c r="O273" s="2508"/>
      <c r="P273" s="1611"/>
      <c r="Q273" s="1612"/>
    </row>
    <row r="274" spans="1:32" s="160" customFormat="1" ht="11.45" customHeight="1">
      <c r="B274" s="47" t="s">
        <v>789</v>
      </c>
      <c r="C274" s="53" t="s">
        <v>2042</v>
      </c>
      <c r="D274" s="53"/>
      <c r="E274" s="53"/>
      <c r="F274" s="53"/>
      <c r="G274" s="53"/>
      <c r="H274" s="53"/>
      <c r="I274" s="100"/>
      <c r="J274" s="100"/>
      <c r="K274" s="100"/>
      <c r="L274" s="533" t="s">
        <v>789</v>
      </c>
      <c r="M274" s="2487"/>
      <c r="N274" s="2488"/>
      <c r="O274" s="2489"/>
      <c r="P274" s="1597"/>
      <c r="Q274" s="1598"/>
      <c r="AE274" s="1302"/>
      <c r="AF274" s="1302"/>
    </row>
    <row r="275" spans="1:32" s="160" customFormat="1" ht="11.45" customHeight="1">
      <c r="B275" s="47" t="s">
        <v>2216</v>
      </c>
      <c r="C275" s="53" t="s">
        <v>2671</v>
      </c>
      <c r="D275" s="53"/>
      <c r="E275" s="53"/>
      <c r="F275" s="53"/>
      <c r="G275" s="53"/>
      <c r="H275" s="53"/>
      <c r="I275" s="100"/>
      <c r="J275" s="100"/>
      <c r="K275" s="100"/>
      <c r="L275" s="100"/>
      <c r="M275" s="100"/>
      <c r="O275" s="533" t="s">
        <v>2216</v>
      </c>
      <c r="P275" s="2468"/>
      <c r="Q275" s="649"/>
      <c r="AE275" s="1302"/>
      <c r="AF275" s="1302"/>
    </row>
    <row r="276" spans="1:32" s="160" customFormat="1" ht="22.15" customHeight="1">
      <c r="B276" s="154" t="s">
        <v>1823</v>
      </c>
      <c r="C276" s="1564" t="s">
        <v>2931</v>
      </c>
      <c r="D276" s="1564"/>
      <c r="E276" s="1564"/>
      <c r="F276" s="1564"/>
      <c r="G276" s="1564"/>
      <c r="H276" s="1564"/>
      <c r="I276" s="1564"/>
      <c r="J276" s="1564"/>
      <c r="K276" s="1564"/>
      <c r="L276" s="1564"/>
      <c r="M276" s="1564"/>
      <c r="N276" s="1564"/>
      <c r="O276" s="177" t="s">
        <v>1823</v>
      </c>
      <c r="P276" s="2469"/>
      <c r="Q276" s="651"/>
      <c r="T276" s="1302"/>
      <c r="AE276" s="1302"/>
      <c r="AF276" s="1302"/>
    </row>
    <row r="277" spans="1:32" ht="11.25" customHeight="1">
      <c r="B277" s="153" t="s">
        <v>1959</v>
      </c>
      <c r="D277" s="153"/>
      <c r="E277" s="153"/>
      <c r="F277" s="153"/>
      <c r="G277" s="153"/>
      <c r="H277" s="40"/>
      <c r="I277" s="820"/>
      <c r="J277" s="820"/>
      <c r="K277" s="820"/>
      <c r="L277" s="1278"/>
      <c r="M277" s="1278"/>
      <c r="N277" s="1278"/>
      <c r="O277" s="1278"/>
      <c r="P277" s="1278"/>
      <c r="Q277" s="1311"/>
    </row>
    <row r="278" spans="1:32" ht="13.15" customHeight="1">
      <c r="A278" s="2433" t="s">
        <v>4509</v>
      </c>
      <c r="B278" s="2434"/>
      <c r="C278" s="2434"/>
      <c r="D278" s="2434"/>
      <c r="E278" s="2434"/>
      <c r="F278" s="2434"/>
      <c r="G278" s="2434"/>
      <c r="H278" s="2434"/>
      <c r="I278" s="2434"/>
      <c r="J278" s="2434"/>
      <c r="K278" s="2434"/>
      <c r="L278" s="2434"/>
      <c r="M278" s="2434"/>
      <c r="N278" s="2434"/>
      <c r="O278" s="2434"/>
      <c r="P278" s="2434"/>
      <c r="Q278" s="2435"/>
      <c r="R278" s="503" t="s">
        <v>1314</v>
      </c>
      <c r="S278" s="504"/>
      <c r="U278" s="148"/>
      <c r="V278" s="148"/>
      <c r="W278" s="148"/>
      <c r="X278" s="148"/>
      <c r="Y278" s="148"/>
      <c r="Z278" s="148"/>
      <c r="AA278" s="148"/>
      <c r="AB278" s="148"/>
      <c r="AC278" s="148"/>
      <c r="AD278" s="148"/>
      <c r="AE278" s="535"/>
    </row>
    <row r="279" spans="1:32" ht="10.9" customHeight="1">
      <c r="B279" s="149" t="s">
        <v>1960</v>
      </c>
      <c r="C279" s="150"/>
      <c r="D279" s="1283"/>
      <c r="E279" s="1283"/>
      <c r="F279" s="1283"/>
      <c r="G279" s="1283"/>
      <c r="H279" s="1283"/>
      <c r="I279" s="1283"/>
      <c r="J279" s="1283"/>
      <c r="K279" s="1283"/>
      <c r="L279" s="1283"/>
      <c r="M279" s="1283"/>
      <c r="N279" s="1283"/>
      <c r="O279" s="1283"/>
      <c r="P279" s="1283"/>
      <c r="Q279" s="1283"/>
    </row>
    <row r="280" spans="1:32" ht="13.15" customHeight="1">
      <c r="A280" s="1572"/>
      <c r="B280" s="1573"/>
      <c r="C280" s="1573"/>
      <c r="D280" s="1573"/>
      <c r="E280" s="1573"/>
      <c r="F280" s="1573"/>
      <c r="G280" s="1573"/>
      <c r="H280" s="1573"/>
      <c r="I280" s="1573"/>
      <c r="J280" s="1573"/>
      <c r="K280" s="1573"/>
      <c r="L280" s="1573"/>
      <c r="M280" s="1573"/>
      <c r="N280" s="1573"/>
      <c r="O280" s="1573"/>
      <c r="P280" s="1573"/>
      <c r="Q280" s="1574"/>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7">
        <v>16</v>
      </c>
      <c r="B282" s="4" t="s">
        <v>2802</v>
      </c>
      <c r="C282" s="4"/>
      <c r="D282" s="91"/>
      <c r="E282" s="91"/>
      <c r="F282" s="91"/>
      <c r="G282" s="91"/>
      <c r="H282" s="1283"/>
      <c r="I282" s="1283"/>
      <c r="J282" s="1283"/>
      <c r="K282" s="1283"/>
      <c r="L282" s="1283"/>
      <c r="M282" s="1283"/>
      <c r="O282" s="143" t="s">
        <v>1961</v>
      </c>
      <c r="P282" s="1575"/>
      <c r="Q282" s="1576"/>
    </row>
    <row r="283" spans="1:32" ht="3" customHeight="1"/>
    <row r="284" spans="1:32" s="465" customFormat="1" ht="23.25" customHeight="1">
      <c r="B284" s="154" t="s">
        <v>2081</v>
      </c>
      <c r="C284" s="1564" t="s">
        <v>3125</v>
      </c>
      <c r="D284" s="1564"/>
      <c r="E284" s="1564"/>
      <c r="F284" s="1564"/>
      <c r="G284" s="1564"/>
      <c r="H284" s="1564"/>
      <c r="I284" s="1564"/>
      <c r="J284" s="1564"/>
      <c r="K284" s="1564"/>
      <c r="L284" s="1564"/>
      <c r="M284" s="1564"/>
      <c r="N284" s="1564"/>
      <c r="O284" s="177" t="s">
        <v>2081</v>
      </c>
      <c r="P284" s="2509" t="s">
        <v>3422</v>
      </c>
      <c r="Q284" s="652"/>
      <c r="AE284" s="1304"/>
      <c r="AF284" s="1304"/>
    </row>
    <row r="285" spans="1:32" s="160" customFormat="1" ht="11.45" customHeight="1">
      <c r="B285" s="47" t="s">
        <v>2084</v>
      </c>
      <c r="C285" s="53" t="s">
        <v>1474</v>
      </c>
      <c r="D285" s="53"/>
      <c r="E285" s="53"/>
      <c r="F285" s="53"/>
      <c r="G285" s="53"/>
      <c r="H285" s="53"/>
      <c r="I285" s="53"/>
      <c r="J285" s="53"/>
      <c r="K285" s="53"/>
      <c r="L285" s="53"/>
      <c r="M285" s="53"/>
      <c r="O285" s="533" t="s">
        <v>2084</v>
      </c>
      <c r="P285" s="2469" t="s">
        <v>3422</v>
      </c>
      <c r="Q285" s="651"/>
      <c r="AE285" s="1302"/>
      <c r="AF285" s="1302"/>
    </row>
    <row r="286" spans="1:32" ht="11.25" customHeight="1">
      <c r="B286" s="153" t="s">
        <v>1959</v>
      </c>
      <c r="D286" s="153"/>
      <c r="E286" s="153"/>
      <c r="F286" s="153"/>
      <c r="G286" s="153"/>
      <c r="H286" s="40"/>
      <c r="I286" s="820"/>
      <c r="J286" s="820"/>
      <c r="K286" s="820"/>
      <c r="L286" s="1278"/>
      <c r="M286" s="1278"/>
      <c r="N286" s="1278"/>
      <c r="O286" s="1278"/>
      <c r="P286" s="1278"/>
      <c r="Q286" s="1311"/>
    </row>
    <row r="287" spans="1:32" ht="13.15" customHeight="1">
      <c r="A287" s="2433"/>
      <c r="B287" s="2434"/>
      <c r="C287" s="2434"/>
      <c r="D287" s="2434"/>
      <c r="E287" s="2434"/>
      <c r="F287" s="2434"/>
      <c r="G287" s="2434"/>
      <c r="H287" s="2434"/>
      <c r="I287" s="2434"/>
      <c r="J287" s="2434"/>
      <c r="K287" s="2434"/>
      <c r="L287" s="2434"/>
      <c r="M287" s="2434"/>
      <c r="N287" s="2434"/>
      <c r="O287" s="2434"/>
      <c r="P287" s="2434"/>
      <c r="Q287" s="2435"/>
      <c r="R287" s="503" t="s">
        <v>1314</v>
      </c>
      <c r="S287" s="504"/>
      <c r="U287" s="148"/>
      <c r="V287" s="148"/>
      <c r="W287" s="148"/>
      <c r="X287" s="148"/>
      <c r="Y287" s="148"/>
      <c r="Z287" s="148"/>
      <c r="AA287" s="148"/>
      <c r="AB287" s="148"/>
      <c r="AC287" s="148"/>
      <c r="AD287" s="148"/>
      <c r="AE287" s="535"/>
    </row>
    <row r="288" spans="1:32" ht="11.25" customHeight="1">
      <c r="B288" s="149" t="s">
        <v>1960</v>
      </c>
      <c r="C288" s="150"/>
      <c r="D288" s="1283"/>
      <c r="E288" s="1283"/>
      <c r="F288" s="1283"/>
      <c r="G288" s="1283"/>
      <c r="H288" s="1283"/>
      <c r="I288" s="1283"/>
      <c r="J288" s="1283"/>
      <c r="K288" s="1283"/>
      <c r="L288" s="1283"/>
      <c r="M288" s="1283"/>
      <c r="N288" s="1283"/>
      <c r="O288" s="1283"/>
      <c r="P288" s="1283"/>
      <c r="Q288" s="1283"/>
    </row>
    <row r="289" spans="1:32" ht="13.15" customHeight="1">
      <c r="A289" s="1572"/>
      <c r="B289" s="1573"/>
      <c r="C289" s="1573"/>
      <c r="D289" s="1573"/>
      <c r="E289" s="1573"/>
      <c r="F289" s="1573"/>
      <c r="G289" s="1573"/>
      <c r="H289" s="1573"/>
      <c r="I289" s="1573"/>
      <c r="J289" s="1573"/>
      <c r="K289" s="1573"/>
      <c r="L289" s="1573"/>
      <c r="M289" s="1573"/>
      <c r="N289" s="1573"/>
      <c r="O289" s="1573"/>
      <c r="P289" s="1573"/>
      <c r="Q289" s="1574"/>
    </row>
    <row r="290" spans="1:32" ht="3" customHeight="1">
      <c r="A290" s="1278"/>
      <c r="B290" s="820"/>
      <c r="C290" s="1283"/>
      <c r="D290" s="1283"/>
      <c r="E290" s="1283"/>
      <c r="F290" s="1283"/>
      <c r="G290" s="1283"/>
      <c r="H290" s="1283"/>
      <c r="I290" s="1283"/>
      <c r="J290" s="1283"/>
      <c r="K290" s="1283"/>
      <c r="L290" s="1283"/>
      <c r="M290" s="1283"/>
      <c r="N290" s="1283"/>
      <c r="O290" s="1283"/>
      <c r="P290" s="143"/>
      <c r="Q290" s="1311"/>
    </row>
    <row r="291" spans="1:32" ht="13.9" customHeight="1">
      <c r="A291" s="1287">
        <v>17</v>
      </c>
      <c r="B291" s="1287" t="s">
        <v>2803</v>
      </c>
      <c r="C291" s="1287"/>
      <c r="D291" s="1283"/>
      <c r="E291" s="1283"/>
      <c r="F291" s="1283"/>
      <c r="G291" s="1283"/>
      <c r="H291" s="1283"/>
      <c r="I291" s="1283"/>
      <c r="J291" s="1283"/>
      <c r="K291" s="1283"/>
      <c r="L291" s="1283"/>
      <c r="M291" s="1283"/>
      <c r="O291" s="143" t="s">
        <v>1961</v>
      </c>
      <c r="P291" s="1575"/>
      <c r="Q291" s="1576"/>
    </row>
    <row r="292" spans="1:32" ht="3" customHeight="1"/>
    <row r="293" spans="1:32" s="465" customFormat="1" ht="24" customHeight="1">
      <c r="B293" s="154" t="s">
        <v>2081</v>
      </c>
      <c r="C293" s="1606" t="s">
        <v>3126</v>
      </c>
      <c r="D293" s="1441"/>
      <c r="E293" s="1441"/>
      <c r="F293" s="1441"/>
      <c r="G293" s="1441"/>
      <c r="H293" s="1441"/>
      <c r="I293" s="1441"/>
      <c r="J293" s="1441"/>
      <c r="K293" s="1441"/>
      <c r="L293" s="1441"/>
      <c r="M293" s="1441"/>
      <c r="N293" s="1441"/>
      <c r="O293" s="177" t="s">
        <v>2081</v>
      </c>
      <c r="P293" s="2468" t="s">
        <v>4447</v>
      </c>
      <c r="Q293" s="649"/>
      <c r="AE293" s="1304"/>
      <c r="AF293" s="1304"/>
    </row>
    <row r="294" spans="1:32" s="465" customFormat="1" ht="24" customHeight="1">
      <c r="B294" s="154" t="s">
        <v>2084</v>
      </c>
      <c r="C294" s="1606" t="s">
        <v>3127</v>
      </c>
      <c r="D294" s="1441"/>
      <c r="E294" s="1441"/>
      <c r="F294" s="1441"/>
      <c r="G294" s="1441"/>
      <c r="H294" s="1441"/>
      <c r="I294" s="1441"/>
      <c r="J294" s="1441"/>
      <c r="K294" s="1441"/>
      <c r="L294" s="1441"/>
      <c r="M294" s="1441"/>
      <c r="N294" s="1441"/>
      <c r="O294" s="177" t="s">
        <v>2084</v>
      </c>
      <c r="P294" s="2469" t="s">
        <v>4447</v>
      </c>
      <c r="Q294" s="651"/>
      <c r="AE294" s="1304"/>
      <c r="AF294" s="1304"/>
    </row>
    <row r="295" spans="1:32" ht="11.25" customHeight="1">
      <c r="B295" s="153" t="s">
        <v>1959</v>
      </c>
      <c r="D295" s="153"/>
      <c r="E295" s="153"/>
      <c r="F295" s="153"/>
      <c r="G295" s="153"/>
      <c r="H295" s="40"/>
      <c r="I295" s="820"/>
      <c r="J295" s="820"/>
      <c r="K295" s="820"/>
      <c r="L295" s="1278"/>
      <c r="M295" s="1278"/>
      <c r="N295" s="1278"/>
      <c r="O295" s="1278"/>
      <c r="P295" s="1278"/>
      <c r="Q295" s="1311"/>
    </row>
    <row r="296" spans="1:32" ht="13.15" customHeight="1">
      <c r="A296" s="2433"/>
      <c r="B296" s="2434"/>
      <c r="C296" s="2434"/>
      <c r="D296" s="2434"/>
      <c r="E296" s="2434"/>
      <c r="F296" s="2434"/>
      <c r="G296" s="2434"/>
      <c r="H296" s="2434"/>
      <c r="I296" s="2434"/>
      <c r="J296" s="2434"/>
      <c r="K296" s="2434"/>
      <c r="L296" s="2434"/>
      <c r="M296" s="2434"/>
      <c r="N296" s="2434"/>
      <c r="O296" s="2434"/>
      <c r="P296" s="2434"/>
      <c r="Q296" s="2435"/>
      <c r="R296" s="503" t="s">
        <v>1314</v>
      </c>
      <c r="S296" s="504"/>
      <c r="U296" s="148"/>
      <c r="V296" s="148"/>
      <c r="W296" s="148"/>
      <c r="X296" s="148"/>
      <c r="Y296" s="148"/>
      <c r="Z296" s="148"/>
      <c r="AA296" s="148"/>
      <c r="AB296" s="148"/>
      <c r="AC296" s="148"/>
      <c r="AD296" s="148"/>
      <c r="AE296" s="535"/>
    </row>
    <row r="297" spans="1:32" ht="11.25" customHeight="1">
      <c r="B297" s="149" t="s">
        <v>1960</v>
      </c>
      <c r="C297" s="150"/>
      <c r="D297" s="1283"/>
      <c r="E297" s="1283"/>
      <c r="F297" s="1283"/>
      <c r="G297" s="1283"/>
      <c r="H297" s="1283"/>
      <c r="I297" s="1283"/>
      <c r="J297" s="1283"/>
      <c r="K297" s="1283"/>
      <c r="L297" s="1283"/>
      <c r="M297" s="1283"/>
      <c r="N297" s="1283"/>
      <c r="O297" s="1283"/>
      <c r="P297" s="1283"/>
      <c r="Q297" s="1283"/>
    </row>
    <row r="298" spans="1:32" ht="13.15" customHeight="1">
      <c r="A298" s="1572"/>
      <c r="B298" s="1573"/>
      <c r="C298" s="1573"/>
      <c r="D298" s="1573"/>
      <c r="E298" s="1573"/>
      <c r="F298" s="1573"/>
      <c r="G298" s="1573"/>
      <c r="H298" s="1573"/>
      <c r="I298" s="1573"/>
      <c r="J298" s="1573"/>
      <c r="K298" s="1573"/>
      <c r="L298" s="1573"/>
      <c r="M298" s="1573"/>
      <c r="N298" s="1573"/>
      <c r="O298" s="1573"/>
      <c r="P298" s="1573"/>
      <c r="Q298" s="1574"/>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7">
        <v>18</v>
      </c>
      <c r="B300" s="1287" t="s">
        <v>2804</v>
      </c>
      <c r="C300" s="161"/>
      <c r="D300" s="1286"/>
      <c r="E300" s="1283"/>
      <c r="F300" s="1283"/>
      <c r="G300" s="1283"/>
      <c r="H300" s="1283"/>
      <c r="I300" s="1283"/>
      <c r="J300" s="1283"/>
      <c r="K300" s="1283"/>
      <c r="L300" s="1283"/>
      <c r="M300" s="1283"/>
      <c r="O300" s="143" t="s">
        <v>1961</v>
      </c>
      <c r="P300" s="1575"/>
      <c r="Q300" s="1576"/>
    </row>
    <row r="301" spans="1:32" s="160" customFormat="1" ht="46.5" customHeight="1">
      <c r="B301" s="154" t="s">
        <v>2081</v>
      </c>
      <c r="C301" s="162" t="s">
        <v>1825</v>
      </c>
      <c r="D301" s="1606" t="s">
        <v>4180</v>
      </c>
      <c r="E301" s="1606"/>
      <c r="F301" s="1606"/>
      <c r="G301" s="1606"/>
      <c r="H301" s="1606"/>
      <c r="I301" s="1606"/>
      <c r="J301" s="1606"/>
      <c r="K301" s="1606"/>
      <c r="L301" s="1606"/>
      <c r="M301" s="1606"/>
      <c r="N301" s="1606"/>
      <c r="O301" s="177" t="s">
        <v>2903</v>
      </c>
      <c r="P301" s="2509" t="s">
        <v>3422</v>
      </c>
      <c r="Q301" s="649"/>
      <c r="AE301" s="1302"/>
      <c r="AF301" s="1302"/>
    </row>
    <row r="302" spans="1:32" s="465" customFormat="1" ht="21.75" customHeight="1">
      <c r="B302" s="154"/>
      <c r="C302" s="162" t="s">
        <v>1826</v>
      </c>
      <c r="D302" s="1606" t="s">
        <v>4082</v>
      </c>
      <c r="E302" s="1606"/>
      <c r="F302" s="1606"/>
      <c r="G302" s="1606"/>
      <c r="H302" s="1606"/>
      <c r="I302" s="1606"/>
      <c r="J302" s="1606"/>
      <c r="K302" s="1606"/>
      <c r="L302" s="1606"/>
      <c r="M302" s="1606"/>
      <c r="N302" s="1606"/>
      <c r="O302" s="162" t="s">
        <v>1826</v>
      </c>
      <c r="P302" s="2472" t="s">
        <v>3422</v>
      </c>
      <c r="Q302" s="653"/>
      <c r="AE302" s="1304"/>
      <c r="AF302" s="1304"/>
    </row>
    <row r="303" spans="1:32" s="100" customFormat="1" ht="12.75" customHeight="1">
      <c r="B303" s="47"/>
      <c r="C303" s="533" t="s">
        <v>1827</v>
      </c>
      <c r="D303" s="1618" t="s">
        <v>4080</v>
      </c>
      <c r="E303" s="1618"/>
      <c r="F303" s="1618"/>
      <c r="G303" s="1618"/>
      <c r="H303" s="1618"/>
      <c r="I303" s="1618"/>
      <c r="J303" s="1618"/>
      <c r="K303" s="1618"/>
      <c r="L303" s="1618"/>
      <c r="M303" s="1618"/>
      <c r="N303" s="1618"/>
      <c r="O303" s="533" t="s">
        <v>1827</v>
      </c>
      <c r="P303" s="2471" t="s">
        <v>3422</v>
      </c>
      <c r="Q303" s="650"/>
      <c r="AE303" s="537"/>
      <c r="AF303" s="537"/>
    </row>
    <row r="304" spans="1:32" s="100" customFormat="1" ht="22.5" customHeight="1">
      <c r="B304" s="154" t="s">
        <v>2084</v>
      </c>
      <c r="C304" s="162" t="s">
        <v>1825</v>
      </c>
      <c r="D304" s="1606" t="s">
        <v>2901</v>
      </c>
      <c r="E304" s="1606"/>
      <c r="F304" s="1606"/>
      <c r="G304" s="1606"/>
      <c r="H304" s="1606"/>
      <c r="I304" s="1606"/>
      <c r="J304" s="1606"/>
      <c r="K304" s="1606"/>
      <c r="L304" s="1606"/>
      <c r="M304" s="1606"/>
      <c r="N304" s="1606"/>
      <c r="O304" s="533" t="s">
        <v>2904</v>
      </c>
      <c r="P304" s="2471" t="s">
        <v>3422</v>
      </c>
      <c r="Q304" s="650"/>
      <c r="AE304" s="537"/>
      <c r="AF304" s="537"/>
    </row>
    <row r="305" spans="1:256 1523:1523" s="100" customFormat="1" ht="12" customHeight="1">
      <c r="B305" s="154"/>
      <c r="C305" s="162" t="s">
        <v>1826</v>
      </c>
      <c r="D305" s="1606" t="s">
        <v>2902</v>
      </c>
      <c r="E305" s="1606"/>
      <c r="F305" s="1606"/>
      <c r="G305" s="1606"/>
      <c r="H305" s="1606"/>
      <c r="I305" s="1606"/>
      <c r="J305" s="1606"/>
      <c r="K305" s="1606"/>
      <c r="L305" s="1606"/>
      <c r="M305" s="1606"/>
      <c r="N305" s="1606"/>
      <c r="O305" s="533" t="s">
        <v>3128</v>
      </c>
      <c r="P305" s="2471" t="s">
        <v>3422</v>
      </c>
      <c r="Q305" s="650"/>
      <c r="AE305" s="537"/>
      <c r="AF305" s="537"/>
    </row>
    <row r="306" spans="1:256 1523:1523" s="465" customFormat="1" ht="36" customHeight="1">
      <c r="B306" s="154" t="s">
        <v>789</v>
      </c>
      <c r="C306" s="162"/>
      <c r="D306" s="1606" t="s">
        <v>4181</v>
      </c>
      <c r="E306" s="1606"/>
      <c r="F306" s="1606"/>
      <c r="G306" s="1606"/>
      <c r="H306" s="1606"/>
      <c r="I306" s="1606"/>
      <c r="J306" s="1606"/>
      <c r="K306" s="1606"/>
      <c r="L306" s="1606"/>
      <c r="M306" s="1606"/>
      <c r="N306" s="1606"/>
      <c r="O306" s="177" t="s">
        <v>789</v>
      </c>
      <c r="P306" s="2510" t="s">
        <v>3422</v>
      </c>
      <c r="Q306" s="654"/>
      <c r="AE306" s="1304"/>
      <c r="AF306" s="1304"/>
    </row>
    <row r="307" spans="1:256 1523:1523" ht="11.25" customHeight="1">
      <c r="B307" s="153" t="s">
        <v>1959</v>
      </c>
      <c r="D307" s="153"/>
      <c r="E307" s="153"/>
      <c r="F307" s="153"/>
      <c r="G307" s="153"/>
      <c r="H307" s="40"/>
      <c r="I307" s="820"/>
      <c r="J307" s="820"/>
      <c r="K307" s="820"/>
      <c r="L307" s="1278"/>
      <c r="M307" s="1278"/>
      <c r="N307" s="1278"/>
      <c r="O307" s="1278"/>
      <c r="P307" s="1278"/>
      <c r="Q307" s="1311"/>
    </row>
    <row r="308" spans="1:256 1523:1523" ht="11.45" customHeight="1">
      <c r="A308" s="2433"/>
      <c r="B308" s="2434"/>
      <c r="C308" s="2434"/>
      <c r="D308" s="2434"/>
      <c r="E308" s="2434"/>
      <c r="F308" s="2434"/>
      <c r="G308" s="2434"/>
      <c r="H308" s="2434"/>
      <c r="I308" s="2434"/>
      <c r="J308" s="2434"/>
      <c r="K308" s="2434"/>
      <c r="L308" s="2434"/>
      <c r="M308" s="2434"/>
      <c r="N308" s="2434"/>
      <c r="O308" s="2434"/>
      <c r="P308" s="2434"/>
      <c r="Q308" s="2435"/>
      <c r="R308" s="503" t="s">
        <v>1314</v>
      </c>
      <c r="S308" s="504"/>
      <c r="U308" s="148"/>
      <c r="V308" s="148"/>
      <c r="W308" s="148"/>
      <c r="X308" s="148"/>
      <c r="Y308" s="148"/>
      <c r="Z308" s="148"/>
      <c r="AA308" s="148"/>
      <c r="AB308" s="148"/>
      <c r="AC308" s="148"/>
      <c r="AD308" s="148"/>
      <c r="AE308" s="535"/>
    </row>
    <row r="309" spans="1:256 1523:1523" ht="11.25" customHeight="1">
      <c r="B309" s="149" t="s">
        <v>1960</v>
      </c>
      <c r="C309" s="150"/>
      <c r="D309" s="1283"/>
      <c r="E309" s="1283"/>
      <c r="F309" s="1283"/>
      <c r="G309" s="1283"/>
      <c r="H309" s="1283"/>
      <c r="I309" s="1283"/>
      <c r="J309" s="1283"/>
      <c r="K309" s="1283"/>
      <c r="L309" s="1283"/>
      <c r="M309" s="1283"/>
      <c r="N309" s="1283"/>
      <c r="O309" s="1283"/>
      <c r="P309" s="1283"/>
      <c r="Q309" s="1283"/>
    </row>
    <row r="310" spans="1:256 1523:1523" ht="11.45" customHeight="1">
      <c r="A310" s="1613"/>
      <c r="B310" s="1614"/>
      <c r="C310" s="1614"/>
      <c r="D310" s="1614"/>
      <c r="E310" s="1614"/>
      <c r="F310" s="1614"/>
      <c r="G310" s="1614"/>
      <c r="H310" s="1614"/>
      <c r="I310" s="1614"/>
      <c r="J310" s="1614"/>
      <c r="K310" s="1614"/>
      <c r="L310" s="1614"/>
      <c r="M310" s="1614"/>
      <c r="N310" s="1614"/>
      <c r="O310" s="1614"/>
      <c r="P310" s="1614"/>
      <c r="Q310" s="1615"/>
    </row>
    <row r="311" spans="1:256 1523:1523" ht="13.9" customHeight="1">
      <c r="A311" s="1287">
        <v>19</v>
      </c>
      <c r="B311" s="10" t="s">
        <v>2805</v>
      </c>
      <c r="C311" s="10"/>
      <c r="D311" s="10"/>
      <c r="E311" s="10"/>
      <c r="F311" s="10"/>
      <c r="G311" s="10"/>
      <c r="H311" s="1283"/>
      <c r="I311" s="1283"/>
      <c r="J311" s="1283"/>
      <c r="K311" s="1283"/>
      <c r="L311" s="1283"/>
      <c r="M311" s="1283"/>
      <c r="O311" s="143" t="s">
        <v>1961</v>
      </c>
      <c r="P311" s="1616"/>
      <c r="Q311" s="1617"/>
    </row>
    <row r="312" spans="1:256 1523:1523" ht="11.45" customHeight="1">
      <c r="B312" s="157" t="s">
        <v>2361</v>
      </c>
      <c r="P312" s="2468" t="s">
        <v>3425</v>
      </c>
      <c r="Q312" s="649"/>
    </row>
    <row r="313" spans="1:256 1523:1523" ht="12" customHeight="1">
      <c r="B313" s="1301" t="s">
        <v>2316</v>
      </c>
      <c r="C313" s="1301"/>
      <c r="D313" s="1301"/>
      <c r="E313" s="1301"/>
      <c r="F313" s="1301"/>
      <c r="G313" s="1301"/>
      <c r="H313" s="1301"/>
      <c r="I313" s="1301"/>
      <c r="J313" s="1301"/>
      <c r="K313" s="1301"/>
      <c r="L313" s="1301"/>
      <c r="P313" s="2469" t="s">
        <v>3422</v>
      </c>
      <c r="Q313" s="651"/>
    </row>
    <row r="314" spans="1:256 1523:1523" ht="11.45" customHeight="1">
      <c r="B314" s="154" t="s">
        <v>2081</v>
      </c>
      <c r="C314" s="1310" t="s">
        <v>478</v>
      </c>
      <c r="D314" s="1305"/>
      <c r="E314" s="1305"/>
      <c r="F314" s="1305"/>
      <c r="G314" s="1305"/>
      <c r="H314" s="1305"/>
      <c r="I314" s="1305"/>
      <c r="J314" s="1305"/>
      <c r="K314" s="1305"/>
      <c r="L314" s="1305"/>
      <c r="M314" s="1305"/>
      <c r="N314" s="177"/>
    </row>
    <row r="315" spans="1:256 1523:1523" ht="22.5" customHeight="1">
      <c r="A315" s="156"/>
      <c r="C315" s="1606" t="s">
        <v>3268</v>
      </c>
      <c r="D315" s="1606"/>
      <c r="E315" s="1606"/>
      <c r="F315" s="1606"/>
      <c r="G315" s="1606"/>
      <c r="H315" s="1606"/>
      <c r="I315" s="1606"/>
      <c r="J315" s="1606"/>
      <c r="K315" s="1606"/>
      <c r="L315" s="1606"/>
      <c r="M315" s="1606"/>
      <c r="N315" s="1606"/>
      <c r="O315" s="177" t="s">
        <v>2081</v>
      </c>
      <c r="P315" s="2511"/>
      <c r="Q315" s="659"/>
    </row>
    <row r="316" spans="1:256 1523:1523" ht="12.6" customHeight="1">
      <c r="B316" s="154" t="s">
        <v>2084</v>
      </c>
      <c r="C316" s="1626" t="s">
        <v>479</v>
      </c>
      <c r="D316" s="1626"/>
      <c r="E316" s="1626"/>
      <c r="F316" s="1626"/>
      <c r="G316" s="1626"/>
      <c r="H316" s="1626"/>
      <c r="I316" s="1626"/>
      <c r="J316" s="1626"/>
      <c r="K316" s="1626"/>
      <c r="L316" s="1626"/>
      <c r="M316" s="1626"/>
      <c r="O316" s="177" t="s">
        <v>2084</v>
      </c>
      <c r="P316" s="1278"/>
      <c r="Q316" s="1311"/>
    </row>
    <row r="317" spans="1:256 1523:1523" ht="23.25" customHeight="1">
      <c r="A317" s="156"/>
      <c r="C317" s="235" t="s">
        <v>1825</v>
      </c>
      <c r="D317" s="236" t="s">
        <v>1183</v>
      </c>
      <c r="E317" s="144"/>
      <c r="F317" s="144"/>
      <c r="G317" s="2512" t="s">
        <v>1517</v>
      </c>
      <c r="H317" s="2513"/>
      <c r="I317" s="2513"/>
      <c r="J317" s="2513"/>
      <c r="K317" s="2513"/>
      <c r="L317" s="2513"/>
      <c r="M317" s="2513"/>
      <c r="N317" s="2514"/>
      <c r="O317" s="239" t="s">
        <v>1825</v>
      </c>
      <c r="P317" s="2509" t="s">
        <v>3422</v>
      </c>
      <c r="Q317" s="652"/>
      <c r="BFO317" s="160" t="s">
        <v>2905</v>
      </c>
    </row>
    <row r="318" spans="1:256 1523:1523" ht="23.25" customHeight="1">
      <c r="A318" s="156"/>
      <c r="C318" s="235" t="s">
        <v>1826</v>
      </c>
      <c r="D318" s="1564" t="s">
        <v>1184</v>
      </c>
      <c r="E318" s="1627"/>
      <c r="F318" s="1628"/>
      <c r="G318" s="2503" t="s">
        <v>2788</v>
      </c>
      <c r="H318" s="2515"/>
      <c r="I318" s="2515"/>
      <c r="J318" s="2515"/>
      <c r="K318" s="2515"/>
      <c r="L318" s="2515"/>
      <c r="M318" s="2515"/>
      <c r="N318" s="2516"/>
      <c r="O318" s="239" t="s">
        <v>1826</v>
      </c>
      <c r="P318" s="2510" t="s">
        <v>3422</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1"/>
      <c r="AF319" s="1311"/>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789</v>
      </c>
      <c r="C320" s="1619" t="s">
        <v>2812</v>
      </c>
      <c r="D320" s="1619"/>
      <c r="E320" s="1619"/>
      <c r="F320" s="1619"/>
      <c r="G320" s="1619"/>
      <c r="H320" s="1619"/>
      <c r="I320" s="1619"/>
      <c r="J320" s="1619"/>
      <c r="K320" s="1619"/>
      <c r="L320" s="1619"/>
      <c r="M320" s="1619"/>
      <c r="N320" s="1619"/>
      <c r="O320" s="500" t="s">
        <v>789</v>
      </c>
      <c r="P320" s="1278"/>
      <c r="Q320" s="1311"/>
      <c r="AE320" s="536"/>
      <c r="AF320" s="536"/>
    </row>
    <row r="321" spans="1:256" s="144" customFormat="1" ht="11.25" customHeight="1">
      <c r="A321" s="156"/>
      <c r="C321" s="235" t="s">
        <v>1825</v>
      </c>
      <c r="D321" s="2500"/>
      <c r="E321" s="2501"/>
      <c r="F321" s="2501"/>
      <c r="G321" s="2501"/>
      <c r="H321" s="2501"/>
      <c r="I321" s="2501"/>
      <c r="J321" s="2501"/>
      <c r="K321" s="2501"/>
      <c r="L321" s="2501"/>
      <c r="M321" s="2501"/>
      <c r="N321" s="2502"/>
      <c r="O321" s="239" t="s">
        <v>1825</v>
      </c>
      <c r="P321" s="2509"/>
      <c r="Q321" s="652"/>
      <c r="AE321" s="536"/>
      <c r="AF321" s="536"/>
    </row>
    <row r="322" spans="1:256" s="144" customFormat="1" ht="11.25" customHeight="1">
      <c r="A322" s="156"/>
      <c r="C322" s="235" t="s">
        <v>1826</v>
      </c>
      <c r="D322" s="2503"/>
      <c r="E322" s="2504"/>
      <c r="F322" s="2504"/>
      <c r="G322" s="2504"/>
      <c r="H322" s="2504"/>
      <c r="I322" s="2504"/>
      <c r="J322" s="2504"/>
      <c r="K322" s="2504"/>
      <c r="L322" s="2504"/>
      <c r="M322" s="2504"/>
      <c r="N322" s="2505"/>
      <c r="O322" s="239" t="s">
        <v>1826</v>
      </c>
      <c r="P322" s="2510"/>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1"/>
      <c r="AF323" s="1311"/>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1959</v>
      </c>
      <c r="D324" s="153"/>
      <c r="E324" s="153"/>
      <c r="F324" s="153"/>
      <c r="G324" s="153"/>
      <c r="H324" s="40"/>
      <c r="I324" s="820"/>
      <c r="J324" s="820"/>
      <c r="K324" s="820"/>
      <c r="L324" s="1278"/>
      <c r="M324" s="1278"/>
      <c r="N324" s="1278"/>
      <c r="O324" s="1278"/>
      <c r="P324" s="1278"/>
      <c r="Q324" s="1311"/>
    </row>
    <row r="325" spans="1:256" ht="11.45" customHeight="1">
      <c r="A325" s="2433" t="s">
        <v>4545</v>
      </c>
      <c r="B325" s="2434"/>
      <c r="C325" s="2434"/>
      <c r="D325" s="2434"/>
      <c r="E325" s="2434"/>
      <c r="F325" s="2434"/>
      <c r="G325" s="2434"/>
      <c r="H325" s="2434"/>
      <c r="I325" s="2434"/>
      <c r="J325" s="2434"/>
      <c r="K325" s="2434"/>
      <c r="L325" s="2434"/>
      <c r="M325" s="2434"/>
      <c r="N325" s="2434"/>
      <c r="O325" s="2434"/>
      <c r="P325" s="2434"/>
      <c r="Q325" s="2435"/>
      <c r="R325" s="534" t="s">
        <v>1314</v>
      </c>
      <c r="S325" s="131"/>
      <c r="U325" s="148"/>
      <c r="V325" s="148"/>
      <c r="W325" s="148"/>
      <c r="X325" s="148"/>
      <c r="Y325" s="148"/>
      <c r="Z325" s="148"/>
      <c r="AA325" s="148"/>
      <c r="AB325" s="148"/>
      <c r="AC325" s="148"/>
      <c r="AD325" s="148"/>
      <c r="AE325" s="535"/>
    </row>
    <row r="326" spans="1:256" ht="11.25" customHeight="1">
      <c r="B326" s="149" t="s">
        <v>1960</v>
      </c>
      <c r="C326" s="150"/>
      <c r="D326" s="1283"/>
      <c r="E326" s="1283"/>
      <c r="F326" s="1283"/>
      <c r="G326" s="1283"/>
      <c r="H326" s="1283"/>
      <c r="I326" s="1283"/>
      <c r="J326" s="1283"/>
      <c r="K326" s="1283"/>
      <c r="L326" s="1283"/>
      <c r="M326" s="1283"/>
      <c r="N326" s="1283"/>
      <c r="O326" s="1283"/>
      <c r="P326" s="1283"/>
      <c r="Q326" s="1283"/>
    </row>
    <row r="327" spans="1:256" ht="11.45" customHeight="1">
      <c r="A327" s="1572"/>
      <c r="B327" s="1573"/>
      <c r="C327" s="1573"/>
      <c r="D327" s="1573"/>
      <c r="E327" s="1573"/>
      <c r="F327" s="1573"/>
      <c r="G327" s="1573"/>
      <c r="H327" s="1573"/>
      <c r="I327" s="1573"/>
      <c r="J327" s="1573"/>
      <c r="K327" s="1573"/>
      <c r="L327" s="1573"/>
      <c r="M327" s="1573"/>
      <c r="N327" s="1573"/>
      <c r="O327" s="1573"/>
      <c r="P327" s="1573"/>
      <c r="Q327" s="1574"/>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7">
        <v>20</v>
      </c>
      <c r="B329" s="1287" t="s">
        <v>3278</v>
      </c>
      <c r="C329" s="1287"/>
      <c r="D329" s="1283"/>
      <c r="E329" s="1283"/>
      <c r="F329" s="1283"/>
      <c r="G329" s="1283"/>
      <c r="H329" s="1283"/>
      <c r="O329" s="143" t="s">
        <v>1961</v>
      </c>
      <c r="P329" s="1575"/>
      <c r="Q329" s="1576"/>
    </row>
    <row r="330" spans="1:256" ht="11.45" customHeight="1">
      <c r="B330" s="56" t="s">
        <v>3279</v>
      </c>
      <c r="P330" s="2468" t="s">
        <v>3425</v>
      </c>
      <c r="Q330" s="649"/>
    </row>
    <row r="331" spans="1:256" ht="11.45" customHeight="1">
      <c r="B331" s="157" t="s">
        <v>2460</v>
      </c>
      <c r="P331" s="2469"/>
      <c r="Q331" s="651"/>
    </row>
    <row r="332" spans="1:256" ht="11.45" customHeight="1">
      <c r="B332" s="56" t="s">
        <v>3280</v>
      </c>
      <c r="M332" s="2517"/>
      <c r="N332" s="2518"/>
      <c r="O332" s="2519"/>
    </row>
    <row r="333" spans="1:256" ht="11.45" customHeight="1">
      <c r="B333" s="459" t="s">
        <v>2461</v>
      </c>
      <c r="M333" s="1629" t="s">
        <v>3281</v>
      </c>
      <c r="N333" s="1630"/>
      <c r="O333" s="1631"/>
    </row>
    <row r="334" spans="1:256" ht="11.25" customHeight="1">
      <c r="B334" s="153" t="s">
        <v>1959</v>
      </c>
      <c r="D334" s="153"/>
      <c r="E334" s="153"/>
      <c r="F334" s="153"/>
      <c r="G334" s="153"/>
      <c r="H334" s="40"/>
      <c r="I334" s="820"/>
      <c r="J334" s="820"/>
      <c r="K334" s="820"/>
      <c r="L334" s="1278"/>
      <c r="M334" s="1278"/>
      <c r="N334" s="1278"/>
      <c r="O334" s="1278"/>
      <c r="P334" s="1278"/>
      <c r="Q334" s="1311"/>
    </row>
    <row r="335" spans="1:256" ht="27.75" customHeight="1">
      <c r="A335" s="2433" t="s">
        <v>4528</v>
      </c>
      <c r="B335" s="2434"/>
      <c r="C335" s="2434"/>
      <c r="D335" s="2434"/>
      <c r="E335" s="2434"/>
      <c r="F335" s="2434"/>
      <c r="G335" s="2434"/>
      <c r="H335" s="2434"/>
      <c r="I335" s="2434"/>
      <c r="J335" s="2434"/>
      <c r="K335" s="2434"/>
      <c r="L335" s="2434"/>
      <c r="M335" s="2434"/>
      <c r="N335" s="2434"/>
      <c r="O335" s="2434"/>
      <c r="P335" s="2434"/>
      <c r="Q335" s="2435"/>
      <c r="R335" s="503" t="s">
        <v>1314</v>
      </c>
      <c r="S335" s="504"/>
      <c r="U335" s="148"/>
      <c r="V335" s="148"/>
      <c r="W335" s="148"/>
      <c r="X335" s="148"/>
      <c r="Y335" s="148"/>
      <c r="Z335" s="148"/>
      <c r="AA335" s="148"/>
      <c r="AB335" s="148"/>
      <c r="AC335" s="148"/>
      <c r="AD335" s="148"/>
      <c r="AE335" s="535"/>
    </row>
    <row r="336" spans="1:256" ht="11.25" customHeight="1">
      <c r="B336" s="149" t="s">
        <v>1960</v>
      </c>
      <c r="C336" s="150"/>
      <c r="D336" s="1283"/>
      <c r="E336" s="1283"/>
      <c r="F336" s="1283"/>
      <c r="G336" s="1283"/>
      <c r="H336" s="1283"/>
      <c r="I336" s="1283"/>
      <c r="J336" s="1283"/>
      <c r="K336" s="1283"/>
      <c r="L336" s="1283"/>
      <c r="M336" s="1283"/>
      <c r="N336" s="1283"/>
      <c r="O336" s="1283"/>
      <c r="P336" s="1283"/>
      <c r="Q336" s="1283"/>
    </row>
    <row r="337" spans="1:31" ht="13.15" customHeight="1">
      <c r="A337" s="1572"/>
      <c r="B337" s="1573"/>
      <c r="C337" s="1573"/>
      <c r="D337" s="1573"/>
      <c r="E337" s="1573"/>
      <c r="F337" s="1573"/>
      <c r="G337" s="1573"/>
      <c r="H337" s="1573"/>
      <c r="I337" s="1573"/>
      <c r="J337" s="1573"/>
      <c r="K337" s="1573"/>
      <c r="L337" s="1573"/>
      <c r="M337" s="1573"/>
      <c r="N337" s="1573"/>
      <c r="O337" s="1573"/>
      <c r="P337" s="1573"/>
      <c r="Q337" s="1574"/>
    </row>
    <row r="338" spans="1:31" ht="4.1500000000000004" customHeight="1">
      <c r="B338" s="820"/>
      <c r="C338" s="1283"/>
      <c r="D338" s="1283"/>
      <c r="E338" s="1283"/>
      <c r="F338" s="1283"/>
      <c r="G338" s="1283"/>
      <c r="H338" s="1283"/>
      <c r="I338" s="1283"/>
      <c r="J338" s="1283"/>
      <c r="K338" s="1283"/>
      <c r="L338" s="1283"/>
      <c r="M338" s="1283"/>
      <c r="Q338" s="1311"/>
    </row>
    <row r="339" spans="1:31" ht="13.9" customHeight="1">
      <c r="A339" s="1287">
        <v>21</v>
      </c>
      <c r="B339" s="4" t="s">
        <v>2806</v>
      </c>
      <c r="C339" s="4"/>
      <c r="D339" s="91"/>
      <c r="E339" s="1283"/>
      <c r="F339" s="1283"/>
      <c r="G339" s="1283"/>
      <c r="H339" s="1283"/>
      <c r="I339" s="1283"/>
      <c r="J339" s="1283"/>
      <c r="K339" s="1283"/>
      <c r="L339" s="1283"/>
      <c r="M339" s="1283"/>
      <c r="O339" s="143" t="s">
        <v>1961</v>
      </c>
      <c r="P339" s="1575"/>
      <c r="Q339" s="1576"/>
    </row>
    <row r="340" spans="1:31" ht="22.15" customHeight="1">
      <c r="B340" s="154" t="s">
        <v>2081</v>
      </c>
      <c r="C340" s="1564" t="s">
        <v>4182</v>
      </c>
      <c r="D340" s="1564"/>
      <c r="E340" s="1564"/>
      <c r="F340" s="1564"/>
      <c r="G340" s="1564"/>
      <c r="H340" s="1564"/>
      <c r="I340" s="1564"/>
      <c r="J340" s="1564"/>
      <c r="K340" s="1564"/>
      <c r="L340" s="1564"/>
      <c r="M340" s="1564"/>
      <c r="N340" s="1564"/>
      <c r="O340" s="177" t="s">
        <v>2081</v>
      </c>
      <c r="P340" s="2468" t="s">
        <v>3422</v>
      </c>
      <c r="Q340" s="649"/>
    </row>
    <row r="341" spans="1:31" ht="12" customHeight="1">
      <c r="B341" s="154" t="s">
        <v>2084</v>
      </c>
      <c r="C341" s="1564" t="s">
        <v>3304</v>
      </c>
      <c r="D341" s="1564"/>
      <c r="E341" s="1564"/>
      <c r="F341" s="1564"/>
      <c r="G341" s="1564"/>
      <c r="H341" s="1564"/>
      <c r="I341" s="1564"/>
      <c r="J341" s="1564"/>
      <c r="K341" s="1564"/>
      <c r="L341" s="1564"/>
      <c r="M341" s="1564"/>
      <c r="N341" s="1564"/>
      <c r="O341" s="177" t="s">
        <v>2084</v>
      </c>
      <c r="P341" s="2471" t="s">
        <v>3422</v>
      </c>
      <c r="Q341" s="650"/>
    </row>
    <row r="342" spans="1:31" ht="12" customHeight="1">
      <c r="B342" s="154" t="s">
        <v>789</v>
      </c>
      <c r="C342" s="1301" t="s">
        <v>3129</v>
      </c>
      <c r="D342" s="1301"/>
      <c r="E342" s="1301"/>
      <c r="F342" s="1301"/>
      <c r="G342" s="1301"/>
      <c r="H342" s="1301"/>
      <c r="I342" s="1301"/>
      <c r="J342" s="1301"/>
      <c r="K342" s="1301"/>
      <c r="L342" s="1301"/>
      <c r="M342" s="1301"/>
      <c r="O342" s="177" t="s">
        <v>789</v>
      </c>
      <c r="P342" s="2471" t="s">
        <v>3422</v>
      </c>
      <c r="Q342" s="650"/>
    </row>
    <row r="343" spans="1:31" ht="12" customHeight="1">
      <c r="B343" s="154" t="s">
        <v>2216</v>
      </c>
      <c r="C343" s="1564" t="s">
        <v>3035</v>
      </c>
      <c r="D343" s="1564"/>
      <c r="E343" s="1564"/>
      <c r="F343" s="1564"/>
      <c r="G343" s="1564"/>
      <c r="H343" s="1564"/>
      <c r="I343" s="1564"/>
      <c r="J343" s="1564"/>
      <c r="K343" s="1564"/>
      <c r="L343" s="1564"/>
      <c r="M343" s="1564"/>
      <c r="N343" s="1564"/>
      <c r="O343" s="177" t="s">
        <v>2216</v>
      </c>
      <c r="P343" s="2471" t="s">
        <v>3422</v>
      </c>
      <c r="Q343" s="650"/>
    </row>
    <row r="344" spans="1:31" ht="12" customHeight="1">
      <c r="B344" s="154" t="s">
        <v>1823</v>
      </c>
      <c r="C344" s="1564" t="s">
        <v>3130</v>
      </c>
      <c r="D344" s="1564"/>
      <c r="E344" s="1564"/>
      <c r="F344" s="1564"/>
      <c r="G344" s="1564"/>
      <c r="H344" s="1564"/>
      <c r="I344" s="1564"/>
      <c r="J344" s="1564"/>
      <c r="K344" s="1564"/>
      <c r="L344" s="1564"/>
      <c r="M344" s="1564"/>
      <c r="N344" s="1564"/>
      <c r="O344" s="177" t="s">
        <v>1823</v>
      </c>
      <c r="P344" s="2469" t="s">
        <v>3422</v>
      </c>
      <c r="Q344" s="651"/>
    </row>
    <row r="345" spans="1:31" ht="11.25" customHeight="1">
      <c r="B345" s="153" t="s">
        <v>1959</v>
      </c>
      <c r="D345" s="153"/>
      <c r="E345" s="153"/>
      <c r="F345" s="153"/>
      <c r="G345" s="153"/>
      <c r="H345" s="40"/>
      <c r="I345" s="820"/>
      <c r="J345" s="820"/>
      <c r="K345" s="820"/>
      <c r="L345" s="1278"/>
      <c r="M345" s="1278"/>
      <c r="N345" s="1278"/>
      <c r="O345" s="1278"/>
      <c r="P345" s="1278"/>
      <c r="Q345" s="1311"/>
    </row>
    <row r="346" spans="1:31" ht="11.45" customHeight="1">
      <c r="A346" s="2433"/>
      <c r="B346" s="2434"/>
      <c r="C346" s="2434"/>
      <c r="D346" s="2434"/>
      <c r="E346" s="2434"/>
      <c r="F346" s="2434"/>
      <c r="G346" s="2434"/>
      <c r="H346" s="2434"/>
      <c r="I346" s="2434"/>
      <c r="J346" s="2434"/>
      <c r="K346" s="2434"/>
      <c r="L346" s="2434"/>
      <c r="M346" s="2434"/>
      <c r="N346" s="2434"/>
      <c r="O346" s="2434"/>
      <c r="P346" s="2434"/>
      <c r="Q346" s="2435"/>
      <c r="U346" s="148"/>
      <c r="V346" s="148"/>
      <c r="W346" s="148"/>
      <c r="X346" s="148"/>
      <c r="Y346" s="148"/>
      <c r="Z346" s="148"/>
      <c r="AA346" s="148"/>
      <c r="AB346" s="148"/>
      <c r="AC346" s="148"/>
      <c r="AD346" s="148"/>
      <c r="AE346" s="535"/>
    </row>
    <row r="347" spans="1:31" ht="11.25" customHeight="1">
      <c r="B347" s="149" t="s">
        <v>1960</v>
      </c>
      <c r="C347" s="150"/>
      <c r="D347" s="1283"/>
      <c r="E347" s="1283"/>
      <c r="F347" s="1283"/>
      <c r="G347" s="1283"/>
      <c r="H347" s="1283"/>
      <c r="I347" s="1283"/>
      <c r="J347" s="1283"/>
      <c r="K347" s="1283"/>
      <c r="L347" s="1283"/>
      <c r="M347" s="1283"/>
      <c r="N347" s="1283"/>
      <c r="O347" s="1283"/>
      <c r="P347" s="1283"/>
      <c r="Q347" s="1283"/>
    </row>
    <row r="348" spans="1:31" ht="11.45" customHeight="1">
      <c r="A348" s="1572"/>
      <c r="B348" s="1573"/>
      <c r="C348" s="1573"/>
      <c r="D348" s="1573"/>
      <c r="E348" s="1573"/>
      <c r="F348" s="1573"/>
      <c r="G348" s="1573"/>
      <c r="H348" s="1573"/>
      <c r="I348" s="1573"/>
      <c r="J348" s="1573"/>
      <c r="K348" s="1573"/>
      <c r="L348" s="1573"/>
      <c r="M348" s="1573"/>
      <c r="N348" s="1573"/>
      <c r="O348" s="1573"/>
      <c r="P348" s="1573"/>
      <c r="Q348" s="1574"/>
    </row>
    <row r="349" spans="1:31" ht="2.25" customHeight="1">
      <c r="A349" s="1278"/>
      <c r="B349" s="820"/>
      <c r="C349" s="1283"/>
      <c r="D349" s="1283"/>
      <c r="E349" s="1283"/>
      <c r="F349" s="1283"/>
      <c r="G349" s="1283"/>
      <c r="H349" s="1283"/>
      <c r="I349" s="1283"/>
      <c r="J349" s="1283"/>
      <c r="K349" s="1283"/>
      <c r="L349" s="1283"/>
      <c r="M349" s="1283"/>
      <c r="N349" s="1283"/>
      <c r="O349" s="1283"/>
      <c r="P349" s="1283"/>
      <c r="Q349" s="1311"/>
      <c r="R349" s="8"/>
      <c r="S349" s="8"/>
    </row>
    <row r="350" spans="1:31" ht="13.9" customHeight="1">
      <c r="A350" s="1287">
        <v>22</v>
      </c>
      <c r="B350" s="4" t="s">
        <v>2834</v>
      </c>
      <c r="C350" s="4"/>
      <c r="D350" s="4"/>
      <c r="E350" s="4"/>
      <c r="F350" s="4"/>
      <c r="G350" s="4"/>
      <c r="H350" s="1283"/>
      <c r="I350" s="1283"/>
      <c r="J350" s="1283"/>
      <c r="K350" s="1283"/>
      <c r="L350" s="1283"/>
      <c r="M350" s="1283"/>
      <c r="O350" s="143" t="s">
        <v>1961</v>
      </c>
      <c r="P350" s="1575"/>
      <c r="Q350" s="1576"/>
    </row>
    <row r="351" spans="1:31" ht="12" customHeight="1">
      <c r="B351" s="47" t="s">
        <v>2081</v>
      </c>
      <c r="C351" s="126" t="s">
        <v>2830</v>
      </c>
      <c r="D351" s="163"/>
      <c r="E351" s="163"/>
      <c r="F351" s="163"/>
      <c r="G351" s="163"/>
      <c r="H351" s="163"/>
      <c r="I351" s="42"/>
      <c r="J351" s="533" t="s">
        <v>2081</v>
      </c>
      <c r="K351" s="2448" t="s">
        <v>4457</v>
      </c>
      <c r="L351" s="2449"/>
      <c r="M351" s="2449"/>
      <c r="N351" s="2449"/>
      <c r="O351" s="2449"/>
      <c r="P351" s="2450"/>
      <c r="Q351" s="646"/>
    </row>
    <row r="352" spans="1:31" ht="22.5" customHeight="1">
      <c r="B352" s="154" t="s">
        <v>2084</v>
      </c>
      <c r="C352" s="1540" t="s">
        <v>2829</v>
      </c>
      <c r="D352" s="1540"/>
      <c r="E352" s="1540"/>
      <c r="F352" s="1540"/>
      <c r="G352" s="1540"/>
      <c r="H352" s="1540"/>
      <c r="I352" s="1540"/>
      <c r="J352" s="1540"/>
      <c r="K352" s="1540"/>
      <c r="L352" s="1540"/>
      <c r="M352" s="1540"/>
      <c r="N352" s="1540"/>
      <c r="O352" s="177" t="s">
        <v>2084</v>
      </c>
      <c r="P352" s="2509" t="s">
        <v>3422</v>
      </c>
      <c r="Q352" s="649"/>
    </row>
    <row r="353" spans="1:32" ht="11.45" customHeight="1">
      <c r="B353" s="47" t="s">
        <v>789</v>
      </c>
      <c r="C353" s="53" t="s">
        <v>2831</v>
      </c>
      <c r="D353" s="53"/>
      <c r="E353" s="53"/>
      <c r="F353" s="53"/>
      <c r="G353" s="53"/>
      <c r="H353" s="53"/>
      <c r="I353" s="53"/>
      <c r="J353" s="53"/>
      <c r="K353" s="53"/>
      <c r="L353" s="1305"/>
      <c r="M353" s="1305"/>
      <c r="O353" s="533" t="s">
        <v>789</v>
      </c>
      <c r="P353" s="2471" t="s">
        <v>3422</v>
      </c>
      <c r="Q353" s="650"/>
    </row>
    <row r="354" spans="1:32" ht="11.45" customHeight="1">
      <c r="B354" s="47" t="s">
        <v>2216</v>
      </c>
      <c r="C354" s="53" t="s">
        <v>2832</v>
      </c>
      <c r="D354" s="53"/>
      <c r="E354" s="53"/>
      <c r="F354" s="53"/>
      <c r="G354" s="53"/>
      <c r="H354" s="53"/>
      <c r="I354" s="53"/>
      <c r="J354" s="53"/>
      <c r="K354" s="53"/>
      <c r="L354" s="53"/>
      <c r="M354" s="53"/>
      <c r="O354" s="533" t="s">
        <v>2216</v>
      </c>
      <c r="P354" s="2471" t="s">
        <v>3422</v>
      </c>
      <c r="Q354" s="650"/>
    </row>
    <row r="355" spans="1:32" s="144" customFormat="1" ht="11.45" customHeight="1">
      <c r="B355" s="154" t="s">
        <v>1823</v>
      </c>
      <c r="C355" s="1564" t="s">
        <v>2835</v>
      </c>
      <c r="D355" s="1564"/>
      <c r="E355" s="1564"/>
      <c r="F355" s="1564"/>
      <c r="G355" s="1564"/>
      <c r="H355" s="1564"/>
      <c r="I355" s="1564"/>
      <c r="J355" s="1564"/>
      <c r="K355" s="1564"/>
      <c r="L355" s="1564"/>
      <c r="M355" s="1564"/>
      <c r="N355" s="1564"/>
      <c r="O355" s="177" t="s">
        <v>1823</v>
      </c>
      <c r="P355" s="2472" t="s">
        <v>3425</v>
      </c>
      <c r="Q355" s="653"/>
      <c r="AE355" s="536"/>
      <c r="AF355" s="536"/>
    </row>
    <row r="356" spans="1:32" s="144" customFormat="1" ht="11.45" customHeight="1">
      <c r="B356" s="154" t="s">
        <v>1824</v>
      </c>
      <c r="C356" s="1564" t="s">
        <v>2836</v>
      </c>
      <c r="D356" s="1564"/>
      <c r="E356" s="1564"/>
      <c r="F356" s="1564"/>
      <c r="G356" s="1564"/>
      <c r="H356" s="1564"/>
      <c r="I356" s="1564"/>
      <c r="J356" s="1564"/>
      <c r="K356" s="1564"/>
      <c r="L356" s="1564"/>
      <c r="M356" s="1564"/>
      <c r="N356" s="1564"/>
      <c r="O356" s="177" t="s">
        <v>1824</v>
      </c>
      <c r="P356" s="2472" t="s">
        <v>3422</v>
      </c>
      <c r="Q356" s="653"/>
      <c r="AE356" s="536"/>
      <c r="AF356" s="536"/>
    </row>
    <row r="357" spans="1:32" ht="11.45" customHeight="1">
      <c r="B357" s="47" t="s">
        <v>2044</v>
      </c>
      <c r="C357" s="53" t="s">
        <v>2833</v>
      </c>
      <c r="D357" s="53"/>
      <c r="E357" s="53"/>
      <c r="F357" s="53"/>
      <c r="G357" s="53"/>
      <c r="H357" s="53"/>
      <c r="I357" s="53"/>
      <c r="J357" s="53"/>
      <c r="K357" s="53"/>
      <c r="L357" s="53"/>
      <c r="M357" s="53"/>
      <c r="O357" s="533" t="s">
        <v>2044</v>
      </c>
      <c r="P357" s="2469" t="s">
        <v>3425</v>
      </c>
      <c r="Q357" s="651"/>
    </row>
    <row r="358" spans="1:32" ht="11.25" customHeight="1">
      <c r="B358" s="153" t="s">
        <v>1959</v>
      </c>
      <c r="D358" s="153"/>
      <c r="E358" s="153"/>
      <c r="F358" s="153"/>
      <c r="G358" s="153"/>
      <c r="H358" s="40"/>
      <c r="I358" s="820"/>
      <c r="J358" s="820"/>
      <c r="K358" s="820"/>
      <c r="L358" s="1278"/>
      <c r="M358" s="1278"/>
      <c r="N358" s="1278"/>
      <c r="O358" s="1278"/>
      <c r="P358" s="1278"/>
      <c r="Q358" s="1311"/>
    </row>
    <row r="359" spans="1:32" ht="11.45" customHeight="1">
      <c r="A359" s="2433" t="s">
        <v>4529</v>
      </c>
      <c r="B359" s="2434"/>
      <c r="C359" s="2434"/>
      <c r="D359" s="2434"/>
      <c r="E359" s="2434"/>
      <c r="F359" s="2434"/>
      <c r="G359" s="2434"/>
      <c r="H359" s="2434"/>
      <c r="I359" s="2434"/>
      <c r="J359" s="2434"/>
      <c r="K359" s="2434"/>
      <c r="L359" s="2434"/>
      <c r="M359" s="2434"/>
      <c r="N359" s="2434"/>
      <c r="O359" s="2434"/>
      <c r="P359" s="2434"/>
      <c r="Q359" s="2435"/>
      <c r="U359" s="148"/>
      <c r="V359" s="148"/>
      <c r="W359" s="148"/>
      <c r="X359" s="148"/>
      <c r="Y359" s="148"/>
      <c r="Z359" s="148"/>
      <c r="AA359" s="148"/>
      <c r="AB359" s="148"/>
      <c r="AC359" s="148"/>
      <c r="AD359" s="148"/>
      <c r="AE359" s="535"/>
    </row>
    <row r="360" spans="1:32" ht="11.25" customHeight="1">
      <c r="B360" s="149" t="s">
        <v>1960</v>
      </c>
      <c r="C360" s="150"/>
      <c r="D360" s="1283"/>
      <c r="E360" s="1283"/>
      <c r="F360" s="1283"/>
      <c r="G360" s="1283"/>
      <c r="H360" s="1283"/>
      <c r="I360" s="1283"/>
      <c r="J360" s="1283"/>
      <c r="K360" s="1283"/>
      <c r="L360" s="1283"/>
      <c r="M360" s="1283"/>
      <c r="N360" s="1283"/>
      <c r="O360" s="1283"/>
      <c r="P360" s="1283"/>
      <c r="Q360" s="1283"/>
    </row>
    <row r="361" spans="1:32" ht="11.45" customHeight="1">
      <c r="A361" s="1572"/>
      <c r="B361" s="1573"/>
      <c r="C361" s="1573"/>
      <c r="D361" s="1573"/>
      <c r="E361" s="1573"/>
      <c r="F361" s="1573"/>
      <c r="G361" s="1573"/>
      <c r="H361" s="1573"/>
      <c r="I361" s="1573"/>
      <c r="J361" s="1573"/>
      <c r="K361" s="1573"/>
      <c r="L361" s="1573"/>
      <c r="M361" s="1573"/>
      <c r="N361" s="1573"/>
      <c r="O361" s="1573"/>
      <c r="P361" s="1573"/>
      <c r="Q361" s="1574"/>
    </row>
    <row r="362" spans="1:32" ht="3" customHeight="1">
      <c r="A362" s="1278"/>
      <c r="B362" s="820"/>
      <c r="C362" s="1283"/>
      <c r="D362" s="1283"/>
      <c r="E362" s="1283"/>
      <c r="F362" s="1283"/>
      <c r="G362" s="1283"/>
      <c r="H362" s="1283"/>
      <c r="I362" s="1283"/>
      <c r="J362" s="1283"/>
      <c r="K362" s="1283"/>
      <c r="L362" s="1283"/>
      <c r="M362" s="1283"/>
      <c r="Q362" s="1311"/>
    </row>
    <row r="363" spans="1:32" ht="13.9" customHeight="1">
      <c r="A363" s="1287">
        <v>23</v>
      </c>
      <c r="B363" s="4" t="s">
        <v>2837</v>
      </c>
      <c r="C363" s="4"/>
      <c r="D363" s="4"/>
      <c r="E363" s="4"/>
      <c r="F363" s="4"/>
      <c r="G363" s="4"/>
      <c r="H363" s="1283"/>
      <c r="I363" s="1283"/>
      <c r="J363" s="1283"/>
      <c r="O363" s="143" t="s">
        <v>1961</v>
      </c>
      <c r="P363" s="1575"/>
      <c r="Q363" s="1576"/>
    </row>
    <row r="364" spans="1:32" ht="11.45" customHeight="1">
      <c r="B364" s="47" t="s">
        <v>2081</v>
      </c>
      <c r="C364" s="126" t="s">
        <v>1084</v>
      </c>
      <c r="E364" s="2473" t="s">
        <v>1017</v>
      </c>
      <c r="F364" s="2474"/>
      <c r="G364" s="2474"/>
      <c r="H364" s="2474"/>
      <c r="I364" s="2475"/>
      <c r="J364" s="1623" t="s">
        <v>2811</v>
      </c>
      <c r="K364" s="1624"/>
      <c r="L364" s="1625"/>
      <c r="M364" s="2473"/>
      <c r="N364" s="2474"/>
      <c r="O364" s="2474"/>
      <c r="P364" s="2474"/>
      <c r="Q364" s="2475"/>
    </row>
    <row r="365" spans="1:32" ht="11.45" customHeight="1">
      <c r="B365" s="47" t="s">
        <v>2084</v>
      </c>
      <c r="C365" s="53" t="s">
        <v>4083</v>
      </c>
      <c r="D365" s="53"/>
      <c r="E365" s="53"/>
      <c r="F365" s="53"/>
      <c r="G365" s="53"/>
      <c r="H365" s="53"/>
      <c r="I365" s="53"/>
      <c r="J365" s="53"/>
      <c r="K365" s="53"/>
      <c r="L365" s="1305"/>
      <c r="M365" s="1305"/>
      <c r="O365" s="533" t="s">
        <v>2084</v>
      </c>
      <c r="P365" s="2468"/>
      <c r="Q365" s="649"/>
    </row>
    <row r="366" spans="1:32" ht="22.5" customHeight="1">
      <c r="B366" s="154" t="s">
        <v>789</v>
      </c>
      <c r="C366" s="1540" t="s">
        <v>4183</v>
      </c>
      <c r="D366" s="1540"/>
      <c r="E366" s="1540"/>
      <c r="F366" s="1540"/>
      <c r="G366" s="1540"/>
      <c r="H366" s="1540"/>
      <c r="I366" s="1540"/>
      <c r="J366" s="1540"/>
      <c r="K366" s="1540"/>
      <c r="L366" s="1540"/>
      <c r="M366" s="1540"/>
      <c r="N366" s="1540"/>
      <c r="O366" s="533" t="s">
        <v>789</v>
      </c>
      <c r="P366" s="2469"/>
      <c r="Q366" s="651"/>
    </row>
    <row r="367" spans="1:32">
      <c r="B367" s="47" t="s">
        <v>2216</v>
      </c>
      <c r="C367" s="1305" t="s">
        <v>4184</v>
      </c>
      <c r="D367" s="1277"/>
      <c r="E367" s="1633">
        <f>'Part III-Sources of Funds'!H10</f>
        <v>0</v>
      </c>
      <c r="F367" s="1634"/>
      <c r="G367" s="1277"/>
      <c r="H367" s="1277"/>
      <c r="I367" s="1277"/>
      <c r="J367" s="1277"/>
      <c r="K367" s="1277"/>
      <c r="L367" s="1277"/>
      <c r="M367" s="1277"/>
      <c r="N367" s="1277"/>
      <c r="O367" s="533" t="s">
        <v>2216</v>
      </c>
      <c r="P367" s="2469"/>
      <c r="Q367" s="651"/>
    </row>
    <row r="368" spans="1:32" ht="11.25" customHeight="1">
      <c r="B368" s="153" t="s">
        <v>1959</v>
      </c>
      <c r="D368" s="153"/>
      <c r="E368" s="153"/>
      <c r="F368" s="153"/>
      <c r="G368" s="153"/>
      <c r="H368" s="40"/>
      <c r="I368" s="820"/>
      <c r="J368" s="820"/>
      <c r="K368" s="820"/>
      <c r="L368" s="1278"/>
      <c r="M368" s="1278"/>
      <c r="N368" s="1278"/>
      <c r="O368" s="1278"/>
      <c r="P368" s="1278"/>
      <c r="Q368" s="1311"/>
    </row>
    <row r="369" spans="1:31" ht="11.45" customHeight="1">
      <c r="A369" s="2433" t="s">
        <v>4510</v>
      </c>
      <c r="B369" s="2434"/>
      <c r="C369" s="2434"/>
      <c r="D369" s="2434"/>
      <c r="E369" s="2434"/>
      <c r="F369" s="2434"/>
      <c r="G369" s="2434"/>
      <c r="H369" s="2434"/>
      <c r="I369" s="2434"/>
      <c r="J369" s="2434"/>
      <c r="K369" s="2434"/>
      <c r="L369" s="2434"/>
      <c r="M369" s="2434"/>
      <c r="N369" s="2434"/>
      <c r="O369" s="2434"/>
      <c r="P369" s="2434"/>
      <c r="Q369" s="2435"/>
      <c r="U369" s="148"/>
      <c r="V369" s="148"/>
      <c r="W369" s="148"/>
      <c r="X369" s="148"/>
      <c r="Y369" s="148"/>
      <c r="Z369" s="148"/>
      <c r="AA369" s="148"/>
      <c r="AB369" s="148"/>
      <c r="AC369" s="148"/>
      <c r="AD369" s="148"/>
      <c r="AE369" s="535"/>
    </row>
    <row r="370" spans="1:31" ht="11.25" customHeight="1">
      <c r="B370" s="149" t="s">
        <v>1960</v>
      </c>
      <c r="C370" s="150"/>
      <c r="D370" s="1283"/>
      <c r="E370" s="1283"/>
      <c r="F370" s="1283"/>
      <c r="G370" s="1283"/>
      <c r="H370" s="1283"/>
      <c r="I370" s="1283"/>
      <c r="J370" s="1283"/>
      <c r="K370" s="1283"/>
      <c r="L370" s="1283"/>
      <c r="M370" s="1283"/>
      <c r="N370" s="1283"/>
      <c r="O370" s="1283"/>
      <c r="P370" s="1283"/>
      <c r="Q370" s="1283"/>
    </row>
    <row r="371" spans="1:31" ht="11.45" customHeight="1">
      <c r="A371" s="1572"/>
      <c r="B371" s="1573"/>
      <c r="C371" s="1573"/>
      <c r="D371" s="1573"/>
      <c r="E371" s="1573"/>
      <c r="F371" s="1573"/>
      <c r="G371" s="1573"/>
      <c r="H371" s="1573"/>
      <c r="I371" s="1573"/>
      <c r="J371" s="1573"/>
      <c r="K371" s="1573"/>
      <c r="L371" s="1573"/>
      <c r="M371" s="1573"/>
      <c r="N371" s="1573"/>
      <c r="O371" s="1573"/>
      <c r="P371" s="1573"/>
      <c r="Q371" s="1574"/>
    </row>
    <row r="372" spans="1:31" ht="3.6" customHeight="1">
      <c r="A372" s="1278"/>
      <c r="B372" s="820"/>
      <c r="C372" s="1283"/>
      <c r="D372" s="1283"/>
      <c r="E372" s="1283"/>
      <c r="F372" s="1283"/>
      <c r="G372" s="1283"/>
      <c r="H372" s="1283"/>
      <c r="I372" s="1283"/>
      <c r="J372" s="1283"/>
      <c r="K372" s="1283"/>
      <c r="L372" s="1283"/>
      <c r="M372" s="1283"/>
      <c r="Q372" s="1311"/>
    </row>
    <row r="373" spans="1:31" ht="13.9" customHeight="1">
      <c r="A373" s="1287">
        <v>24</v>
      </c>
      <c r="B373" s="4" t="s">
        <v>2807</v>
      </c>
      <c r="C373" s="4"/>
      <c r="D373" s="4"/>
      <c r="E373" s="1283"/>
      <c r="G373" s="152" t="s">
        <v>739</v>
      </c>
      <c r="H373" s="1283"/>
      <c r="I373" s="1283"/>
      <c r="J373" s="1283"/>
      <c r="K373" s="1283"/>
      <c r="L373" s="1283"/>
      <c r="M373" s="1283"/>
      <c r="O373" s="143" t="s">
        <v>1961</v>
      </c>
      <c r="P373" s="1575"/>
      <c r="Q373" s="1610"/>
    </row>
    <row r="374" spans="1:31" ht="12" customHeight="1">
      <c r="A374" s="156"/>
      <c r="B374" s="47" t="s">
        <v>2081</v>
      </c>
      <c r="C374" s="53" t="s">
        <v>2813</v>
      </c>
      <c r="D374" s="1312"/>
      <c r="E374" s="1312"/>
      <c r="H374" s="152"/>
      <c r="O374" s="533" t="s">
        <v>2081</v>
      </c>
      <c r="P374" s="2468" t="s">
        <v>3425</v>
      </c>
      <c r="Q374" s="649"/>
    </row>
    <row r="375" spans="1:31" ht="12" customHeight="1">
      <c r="A375" s="156"/>
      <c r="B375" s="47" t="s">
        <v>2084</v>
      </c>
      <c r="C375" s="53" t="s">
        <v>2814</v>
      </c>
      <c r="D375" s="1312"/>
      <c r="E375" s="1312"/>
      <c r="O375" s="533" t="s">
        <v>2084</v>
      </c>
      <c r="P375" s="2471" t="s">
        <v>3425</v>
      </c>
      <c r="Q375" s="650"/>
    </row>
    <row r="376" spans="1:31" ht="12" customHeight="1">
      <c r="A376" s="156"/>
      <c r="B376" s="47" t="s">
        <v>789</v>
      </c>
      <c r="C376" s="53" t="s">
        <v>2838</v>
      </c>
      <c r="D376" s="1312"/>
      <c r="E376" s="1312"/>
      <c r="O376" s="533" t="s">
        <v>789</v>
      </c>
      <c r="P376" s="2471" t="s">
        <v>3422</v>
      </c>
      <c r="Q376" s="650"/>
    </row>
    <row r="377" spans="1:31" ht="12" customHeight="1">
      <c r="A377" s="156"/>
      <c r="B377" s="47" t="s">
        <v>2216</v>
      </c>
      <c r="C377" s="53" t="s">
        <v>2810</v>
      </c>
      <c r="E377" s="152"/>
      <c r="O377" s="533" t="s">
        <v>2216</v>
      </c>
      <c r="P377" s="2471" t="s">
        <v>3425</v>
      </c>
      <c r="Q377" s="650"/>
    </row>
    <row r="378" spans="1:31" ht="12" customHeight="1">
      <c r="B378" s="47" t="s">
        <v>1823</v>
      </c>
      <c r="C378" s="53" t="s">
        <v>2180</v>
      </c>
      <c r="E378" s="152"/>
      <c r="G378" s="533" t="s">
        <v>1823</v>
      </c>
      <c r="H378" s="2520"/>
      <c r="I378" s="2521"/>
      <c r="J378" s="2521"/>
      <c r="K378" s="2521"/>
      <c r="L378" s="2521"/>
      <c r="M378" s="2521"/>
      <c r="N378" s="2521"/>
      <c r="O378" s="2522"/>
      <c r="P378" s="2469"/>
      <c r="Q378" s="651"/>
    </row>
    <row r="379" spans="1:31" ht="11.25" customHeight="1">
      <c r="B379" s="153" t="s">
        <v>1959</v>
      </c>
      <c r="D379" s="153"/>
      <c r="E379" s="153"/>
      <c r="F379" s="153"/>
      <c r="G379" s="153"/>
      <c r="H379" s="40"/>
      <c r="I379" s="820"/>
      <c r="J379" s="820"/>
      <c r="K379" s="820"/>
      <c r="L379" s="1278"/>
      <c r="M379" s="1278"/>
      <c r="N379" s="1278"/>
      <c r="O379" s="1278"/>
      <c r="P379" s="1278"/>
      <c r="Q379" s="1311"/>
    </row>
    <row r="380" spans="1:31" ht="11.45" customHeight="1">
      <c r="A380" s="2433"/>
      <c r="B380" s="2434"/>
      <c r="C380" s="2434"/>
      <c r="D380" s="2434"/>
      <c r="E380" s="2434"/>
      <c r="F380" s="2434"/>
      <c r="G380" s="2434"/>
      <c r="H380" s="2434"/>
      <c r="I380" s="2434"/>
      <c r="J380" s="2434"/>
      <c r="K380" s="2434"/>
      <c r="L380" s="2434"/>
      <c r="M380" s="2434"/>
      <c r="N380" s="2434"/>
      <c r="O380" s="2434"/>
      <c r="P380" s="2434"/>
      <c r="Q380" s="2435"/>
      <c r="U380" s="148"/>
      <c r="V380" s="148"/>
      <c r="W380" s="148"/>
      <c r="X380" s="148"/>
      <c r="Y380" s="148"/>
      <c r="Z380" s="148"/>
      <c r="AA380" s="148"/>
      <c r="AB380" s="148"/>
      <c r="AC380" s="148"/>
      <c r="AD380" s="148"/>
      <c r="AE380" s="535"/>
    </row>
    <row r="381" spans="1:31" ht="11.25" customHeight="1">
      <c r="B381" s="149" t="s">
        <v>1960</v>
      </c>
      <c r="C381" s="150"/>
      <c r="D381" s="1283"/>
      <c r="E381" s="1283"/>
      <c r="F381" s="1283"/>
      <c r="G381" s="1283"/>
      <c r="H381" s="1283"/>
      <c r="I381" s="1283"/>
      <c r="J381" s="1283"/>
      <c r="K381" s="1283"/>
      <c r="L381" s="1283"/>
      <c r="M381" s="1283"/>
      <c r="N381" s="1283"/>
      <c r="O381" s="1283"/>
      <c r="P381" s="1283"/>
      <c r="Q381" s="1283"/>
    </row>
    <row r="382" spans="1:31" ht="11.45" customHeight="1">
      <c r="A382" s="1572"/>
      <c r="B382" s="1573"/>
      <c r="C382" s="1573"/>
      <c r="D382" s="1573"/>
      <c r="E382" s="1573"/>
      <c r="F382" s="1573"/>
      <c r="G382" s="1573"/>
      <c r="H382" s="1573"/>
      <c r="I382" s="1573"/>
      <c r="J382" s="1573"/>
      <c r="K382" s="1573"/>
      <c r="L382" s="1573"/>
      <c r="M382" s="1573"/>
      <c r="N382" s="1573"/>
      <c r="O382" s="1573"/>
      <c r="P382" s="1573"/>
      <c r="Q382" s="1574"/>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7">
        <v>25</v>
      </c>
      <c r="B384" s="4" t="s">
        <v>2808</v>
      </c>
      <c r="C384" s="4"/>
      <c r="D384" s="4"/>
      <c r="E384" s="4"/>
      <c r="F384" s="4"/>
      <c r="G384" s="4"/>
      <c r="H384" s="1283"/>
      <c r="I384" s="1283"/>
      <c r="J384" s="1283"/>
      <c r="K384" s="1283"/>
      <c r="L384" s="1283"/>
      <c r="M384" s="1283"/>
      <c r="O384" s="143" t="s">
        <v>1961</v>
      </c>
      <c r="P384" s="1575"/>
      <c r="Q384" s="1610"/>
    </row>
    <row r="385" spans="1:32" ht="12" customHeight="1">
      <c r="A385" s="42"/>
      <c r="B385" s="47" t="s">
        <v>2081</v>
      </c>
      <c r="C385" s="39" t="s">
        <v>792</v>
      </c>
      <c r="D385" s="42"/>
      <c r="E385" s="42"/>
      <c r="F385" s="42"/>
      <c r="G385" s="42"/>
      <c r="H385" s="42"/>
      <c r="I385" s="42"/>
      <c r="J385" s="42"/>
      <c r="K385" s="42"/>
      <c r="L385" s="42"/>
      <c r="M385" s="42"/>
      <c r="N385" s="42"/>
      <c r="O385" s="533" t="s">
        <v>2081</v>
      </c>
      <c r="P385" s="2468" t="s">
        <v>3425</v>
      </c>
      <c r="Q385" s="649"/>
    </row>
    <row r="386" spans="1:32" ht="12" customHeight="1">
      <c r="A386" s="42"/>
      <c r="B386" s="47" t="s">
        <v>2084</v>
      </c>
      <c r="C386" s="36" t="s">
        <v>4189</v>
      </c>
      <c r="D386" s="42"/>
      <c r="E386" s="42"/>
      <c r="F386" s="42"/>
      <c r="G386" s="42"/>
      <c r="H386" s="42"/>
      <c r="I386" s="42"/>
      <c r="J386" s="42"/>
      <c r="K386" s="42"/>
      <c r="L386" s="42"/>
      <c r="M386" s="42"/>
      <c r="N386" s="42"/>
      <c r="O386" s="533" t="s">
        <v>1520</v>
      </c>
      <c r="P386" s="2469" t="s">
        <v>3425</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4185</v>
      </c>
      <c r="E388" s="53"/>
      <c r="F388" s="53"/>
      <c r="G388" s="53"/>
      <c r="H388" s="53"/>
      <c r="I388" s="53"/>
      <c r="J388" s="53"/>
      <c r="K388" s="53"/>
      <c r="L388" s="53"/>
      <c r="M388" s="53"/>
      <c r="N388" s="42"/>
      <c r="O388" s="533" t="s">
        <v>1826</v>
      </c>
      <c r="P388" s="2468"/>
      <c r="Q388" s="649"/>
    </row>
    <row r="389" spans="1:32" s="160" customFormat="1" ht="12" customHeight="1">
      <c r="A389" s="100"/>
      <c r="B389" s="47"/>
      <c r="C389" s="53" t="s">
        <v>4188</v>
      </c>
      <c r="D389" s="53"/>
      <c r="E389" s="53"/>
      <c r="F389" s="53"/>
      <c r="G389" s="53"/>
      <c r="H389" s="53"/>
      <c r="I389" s="53"/>
      <c r="J389" s="53"/>
      <c r="K389" s="53"/>
      <c r="L389" s="53"/>
      <c r="M389" s="53"/>
      <c r="N389" s="100"/>
      <c r="O389" s="533" t="s">
        <v>1827</v>
      </c>
      <c r="P389" s="2523"/>
      <c r="Q389" s="647"/>
      <c r="AE389" s="1302"/>
      <c r="AF389" s="1302"/>
    </row>
    <row r="390" spans="1:32" ht="12" customHeight="1">
      <c r="A390" s="42"/>
      <c r="B390" s="47" t="s">
        <v>789</v>
      </c>
      <c r="C390" s="1540" t="s">
        <v>2305</v>
      </c>
      <c r="D390" s="1540"/>
      <c r="E390" s="1540"/>
      <c r="F390" s="1540"/>
      <c r="G390" s="1540"/>
      <c r="H390" s="1540"/>
      <c r="I390" s="1540"/>
      <c r="J390" s="1540"/>
      <c r="K390" s="1540"/>
      <c r="L390" s="1540"/>
      <c r="M390" s="1540"/>
      <c r="N390" s="1540"/>
      <c r="O390" s="533" t="s">
        <v>789</v>
      </c>
      <c r="P390" s="2469" t="s">
        <v>3425</v>
      </c>
      <c r="Q390" s="651"/>
    </row>
    <row r="391" spans="1:32" ht="12" customHeight="1">
      <c r="A391" s="42"/>
      <c r="B391" s="47" t="s">
        <v>2216</v>
      </c>
      <c r="C391" s="1305" t="s">
        <v>3131</v>
      </c>
      <c r="D391" s="1305"/>
      <c r="E391" s="1305"/>
      <c r="F391" s="1305"/>
      <c r="G391" s="1305"/>
      <c r="H391" s="1305"/>
      <c r="I391" s="1305"/>
      <c r="J391" s="1305"/>
      <c r="K391" s="1305"/>
      <c r="L391" s="1305"/>
      <c r="M391" s="1305"/>
      <c r="N391" s="42"/>
      <c r="O391" s="533"/>
      <c r="P391" s="42"/>
      <c r="Q391" s="42"/>
    </row>
    <row r="392" spans="1:32" ht="12" customHeight="1">
      <c r="A392" s="42"/>
      <c r="B392" s="47"/>
      <c r="C392" s="146" t="s">
        <v>2307</v>
      </c>
      <c r="D392" s="36"/>
      <c r="E392" s="42"/>
      <c r="F392" s="1305"/>
      <c r="G392" s="2366"/>
      <c r="H392" s="664" t="s">
        <v>254</v>
      </c>
      <c r="J392" s="146" t="s">
        <v>2310</v>
      </c>
      <c r="K392" s="1305"/>
      <c r="N392" s="2366"/>
      <c r="O392" s="664" t="s">
        <v>254</v>
      </c>
    </row>
    <row r="393" spans="1:32" ht="12" customHeight="1">
      <c r="A393" s="42"/>
      <c r="B393" s="47"/>
      <c r="C393" s="146" t="s">
        <v>2308</v>
      </c>
      <c r="D393" s="36"/>
      <c r="E393" s="42"/>
      <c r="F393" s="1305"/>
      <c r="G393" s="2372"/>
      <c r="H393" s="665"/>
      <c r="J393" s="146" t="s">
        <v>2311</v>
      </c>
      <c r="K393" s="1305"/>
      <c r="N393" s="2378"/>
      <c r="O393" s="666"/>
    </row>
    <row r="394" spans="1:32" ht="12" customHeight="1">
      <c r="A394" s="42"/>
      <c r="B394" s="47"/>
      <c r="C394" s="146" t="s">
        <v>2309</v>
      </c>
      <c r="D394" s="36"/>
      <c r="E394" s="42"/>
      <c r="F394" s="1305"/>
      <c r="G394" s="2378"/>
      <c r="H394" s="666" t="s">
        <v>254</v>
      </c>
      <c r="K394" s="1305"/>
      <c r="L394" s="1305"/>
      <c r="M394" s="1305"/>
      <c r="N394" s="42"/>
      <c r="O394" s="533"/>
    </row>
    <row r="395" spans="1:32" ht="12" customHeight="1">
      <c r="A395" s="42"/>
      <c r="B395" s="47" t="s">
        <v>1823</v>
      </c>
      <c r="C395" s="1305" t="s">
        <v>2499</v>
      </c>
      <c r="D395" s="1305"/>
      <c r="E395" s="1305"/>
      <c r="F395" s="1305"/>
      <c r="G395" s="1305"/>
      <c r="J395" s="42"/>
      <c r="K395" s="1305"/>
      <c r="L395" s="1305"/>
      <c r="M395" s="1305"/>
      <c r="N395" s="42"/>
      <c r="O395" s="533"/>
      <c r="P395" s="533"/>
      <c r="Q395" s="533"/>
    </row>
    <row r="396" spans="1:32" ht="12" customHeight="1">
      <c r="A396" s="42"/>
      <c r="B396" s="47"/>
      <c r="C396" s="486" t="s">
        <v>2312</v>
      </c>
      <c r="D396" s="1305"/>
      <c r="E396" s="1305"/>
      <c r="F396" s="1305"/>
      <c r="G396" s="2468"/>
      <c r="H396" s="649"/>
      <c r="J396" s="486" t="s">
        <v>1238</v>
      </c>
      <c r="K396" s="1305"/>
      <c r="N396" s="2523"/>
      <c r="O396" s="647"/>
    </row>
    <row r="397" spans="1:32" ht="12" customHeight="1">
      <c r="A397" s="42"/>
      <c r="B397" s="47"/>
      <c r="C397" s="486" t="s">
        <v>1237</v>
      </c>
      <c r="D397" s="1305"/>
      <c r="E397" s="1305"/>
      <c r="F397" s="1305"/>
      <c r="G397" s="2469"/>
      <c r="H397" s="651"/>
      <c r="J397" s="486" t="s">
        <v>2362</v>
      </c>
      <c r="N397" s="2524"/>
      <c r="O397" s="2525"/>
      <c r="P397" s="2525"/>
      <c r="Q397" s="2526"/>
    </row>
    <row r="398" spans="1:32" ht="12" customHeight="1">
      <c r="B398" s="153" t="s">
        <v>1959</v>
      </c>
      <c r="D398" s="153"/>
      <c r="E398" s="153"/>
      <c r="F398" s="153"/>
      <c r="G398" s="153"/>
      <c r="H398" s="40"/>
      <c r="I398" s="820"/>
      <c r="J398" s="820"/>
      <c r="K398" s="820"/>
      <c r="P398" s="1278"/>
      <c r="Q398" s="1311"/>
    </row>
    <row r="399" spans="1:32" ht="12" customHeight="1">
      <c r="A399" s="2433" t="s">
        <v>4511</v>
      </c>
      <c r="B399" s="2434"/>
      <c r="C399" s="2434"/>
      <c r="D399" s="2434"/>
      <c r="E399" s="2434"/>
      <c r="F399" s="2434"/>
      <c r="G399" s="2434"/>
      <c r="H399" s="2434"/>
      <c r="I399" s="2434"/>
      <c r="J399" s="2434"/>
      <c r="K399" s="2434"/>
      <c r="L399" s="2434"/>
      <c r="M399" s="2434"/>
      <c r="N399" s="2434"/>
      <c r="O399" s="2434"/>
      <c r="P399" s="2434"/>
      <c r="Q399" s="2435"/>
      <c r="U399" s="148"/>
      <c r="V399" s="148"/>
      <c r="W399" s="148"/>
      <c r="X399" s="148"/>
      <c r="Y399" s="148"/>
      <c r="Z399" s="148"/>
      <c r="AA399" s="148"/>
      <c r="AB399" s="148"/>
      <c r="AC399" s="148"/>
      <c r="AD399" s="148"/>
      <c r="AE399" s="535"/>
    </row>
    <row r="400" spans="1:32" ht="12" customHeight="1">
      <c r="B400" s="149" t="s">
        <v>1960</v>
      </c>
      <c r="C400" s="150"/>
      <c r="D400" s="1283"/>
      <c r="E400" s="1283"/>
      <c r="F400" s="1283"/>
      <c r="G400" s="1283"/>
      <c r="H400" s="1283"/>
      <c r="I400" s="1283"/>
      <c r="J400" s="1283"/>
      <c r="K400" s="1283"/>
      <c r="L400" s="1283"/>
      <c r="M400" s="1283"/>
      <c r="N400" s="1283"/>
      <c r="O400" s="1283"/>
      <c r="P400" s="1283"/>
      <c r="Q400" s="1283"/>
    </row>
    <row r="401" spans="1:32" ht="12" customHeight="1">
      <c r="A401" s="1572"/>
      <c r="B401" s="1573"/>
      <c r="C401" s="1573"/>
      <c r="D401" s="1573"/>
      <c r="E401" s="1573"/>
      <c r="F401" s="1573"/>
      <c r="G401" s="1573"/>
      <c r="H401" s="1573"/>
      <c r="I401" s="1573"/>
      <c r="J401" s="1573"/>
      <c r="K401" s="1573"/>
      <c r="L401" s="1573"/>
      <c r="M401" s="1573"/>
      <c r="N401" s="1573"/>
      <c r="O401" s="1573"/>
      <c r="P401" s="1573"/>
      <c r="Q401" s="1574"/>
    </row>
    <row r="402" spans="1:32" ht="3" customHeight="1">
      <c r="A402" s="1278"/>
      <c r="B402" s="820"/>
      <c r="C402" s="1283"/>
      <c r="D402" s="1283"/>
      <c r="E402" s="1283"/>
      <c r="F402" s="1283"/>
      <c r="G402" s="1283"/>
      <c r="H402" s="1283"/>
      <c r="I402" s="1283"/>
      <c r="J402" s="1283"/>
      <c r="K402" s="1283"/>
      <c r="L402" s="1283"/>
      <c r="M402" s="1283"/>
      <c r="Q402" s="1311"/>
    </row>
    <row r="403" spans="1:32" ht="13.9" customHeight="1">
      <c r="A403" s="1287">
        <v>26</v>
      </c>
      <c r="B403" s="4" t="s">
        <v>3132</v>
      </c>
      <c r="C403" s="4"/>
      <c r="D403" s="91"/>
      <c r="E403" s="1283"/>
      <c r="F403" s="1283"/>
      <c r="G403" s="1283"/>
      <c r="H403" s="1283"/>
      <c r="O403" s="143" t="s">
        <v>1961</v>
      </c>
      <c r="P403" s="1575"/>
      <c r="Q403" s="1576"/>
    </row>
    <row r="404" spans="1:32" ht="13.9" customHeight="1">
      <c r="A404" s="1287"/>
      <c r="B404" s="91" t="s">
        <v>3840</v>
      </c>
      <c r="C404" s="4"/>
      <c r="D404" s="91"/>
      <c r="E404" s="1283"/>
      <c r="F404" s="1283"/>
      <c r="G404" s="1283"/>
      <c r="H404" s="1283"/>
    </row>
    <row r="405" spans="1:32" s="144" customFormat="1" ht="21.75" customHeight="1">
      <c r="B405" s="154" t="s">
        <v>2081</v>
      </c>
      <c r="C405" s="1609" t="s">
        <v>3841</v>
      </c>
      <c r="D405" s="1609"/>
      <c r="E405" s="1609"/>
      <c r="F405" s="1609"/>
      <c r="G405" s="1609"/>
      <c r="H405" s="1609"/>
      <c r="I405" s="1609"/>
      <c r="J405" s="1609"/>
      <c r="K405" s="1609"/>
      <c r="L405" s="1609"/>
      <c r="M405" s="1609"/>
      <c r="N405" s="1609"/>
      <c r="O405" s="177" t="s">
        <v>2081</v>
      </c>
      <c r="P405" s="2509" t="s">
        <v>4447</v>
      </c>
      <c r="Q405" s="652"/>
      <c r="AE405" s="536"/>
      <c r="AF405" s="536"/>
    </row>
    <row r="406" spans="1:32" s="144" customFormat="1">
      <c r="B406" s="154" t="s">
        <v>2084</v>
      </c>
      <c r="C406" s="1609" t="s">
        <v>4186</v>
      </c>
      <c r="D406" s="1609"/>
      <c r="E406" s="1609"/>
      <c r="F406" s="1609"/>
      <c r="G406" s="1609"/>
      <c r="H406" s="1609"/>
      <c r="I406" s="1609"/>
      <c r="J406" s="1609"/>
      <c r="K406" s="1609"/>
      <c r="L406" s="1609"/>
      <c r="M406" s="1609"/>
      <c r="N406" s="1609"/>
      <c r="O406" s="177" t="s">
        <v>2084</v>
      </c>
      <c r="P406" s="2472" t="s">
        <v>4447</v>
      </c>
      <c r="Q406" s="653"/>
      <c r="AE406" s="536"/>
      <c r="AF406" s="536"/>
    </row>
    <row r="407" spans="1:32" s="144" customFormat="1">
      <c r="B407" s="154" t="s">
        <v>789</v>
      </c>
      <c r="C407" s="1609" t="s">
        <v>4187</v>
      </c>
      <c r="D407" s="1609"/>
      <c r="E407" s="1609"/>
      <c r="F407" s="1609"/>
      <c r="G407" s="1609"/>
      <c r="H407" s="1609"/>
      <c r="I407" s="1609"/>
      <c r="J407" s="1609"/>
      <c r="K407" s="1609"/>
      <c r="L407" s="1609"/>
      <c r="M407" s="1609"/>
      <c r="N407" s="1609"/>
      <c r="O407" s="177" t="s">
        <v>789</v>
      </c>
      <c r="P407" s="2472" t="s">
        <v>4447</v>
      </c>
      <c r="Q407" s="653"/>
      <c r="AE407" s="536"/>
      <c r="AF407" s="536"/>
    </row>
    <row r="408" spans="1:32" s="144" customFormat="1" ht="22.5" customHeight="1">
      <c r="B408" s="154" t="s">
        <v>2216</v>
      </c>
      <c r="C408" s="1609" t="s">
        <v>3842</v>
      </c>
      <c r="D408" s="1609"/>
      <c r="E408" s="1609"/>
      <c r="F408" s="1609"/>
      <c r="G408" s="1609"/>
      <c r="H408" s="1609"/>
      <c r="I408" s="1609"/>
      <c r="J408" s="1609"/>
      <c r="K408" s="1609"/>
      <c r="L408" s="1609"/>
      <c r="M408" s="1609"/>
      <c r="N408" s="1609"/>
      <c r="O408" s="177" t="s">
        <v>2216</v>
      </c>
      <c r="P408" s="2472" t="s">
        <v>4447</v>
      </c>
      <c r="Q408" s="653"/>
      <c r="AE408" s="536"/>
      <c r="AF408" s="536"/>
    </row>
    <row r="409" spans="1:32" s="144" customFormat="1">
      <c r="B409" s="154" t="s">
        <v>1823</v>
      </c>
      <c r="C409" s="1609" t="s">
        <v>3843</v>
      </c>
      <c r="D409" s="1609"/>
      <c r="E409" s="1609"/>
      <c r="F409" s="1609"/>
      <c r="G409" s="1609"/>
      <c r="H409" s="1609"/>
      <c r="I409" s="1609"/>
      <c r="J409" s="1609"/>
      <c r="K409" s="1609"/>
      <c r="L409" s="1609"/>
      <c r="M409" s="1609"/>
      <c r="N409" s="1609"/>
      <c r="O409" s="177" t="s">
        <v>1823</v>
      </c>
      <c r="P409" s="2472" t="s">
        <v>4447</v>
      </c>
      <c r="Q409" s="653"/>
      <c r="AE409" s="536"/>
      <c r="AF409" s="536"/>
    </row>
    <row r="410" spans="1:32" s="144" customFormat="1">
      <c r="B410" s="154" t="s">
        <v>1824</v>
      </c>
      <c r="C410" s="1609" t="s">
        <v>3844</v>
      </c>
      <c r="D410" s="1609"/>
      <c r="E410" s="1609"/>
      <c r="F410" s="1609"/>
      <c r="G410" s="1609"/>
      <c r="H410" s="1609"/>
      <c r="I410" s="1609"/>
      <c r="J410" s="1609"/>
      <c r="K410" s="1609"/>
      <c r="L410" s="1609"/>
      <c r="M410" s="1609"/>
      <c r="N410" s="1609"/>
      <c r="O410" s="177" t="s">
        <v>1824</v>
      </c>
      <c r="P410" s="2472" t="s">
        <v>4447</v>
      </c>
      <c r="Q410" s="653"/>
      <c r="AE410" s="536"/>
      <c r="AF410" s="536"/>
    </row>
    <row r="411" spans="1:32" s="144" customFormat="1" ht="21.75" customHeight="1">
      <c r="B411" s="154" t="s">
        <v>2044</v>
      </c>
      <c r="C411" s="1609" t="s">
        <v>4190</v>
      </c>
      <c r="D411" s="1609"/>
      <c r="E411" s="1609"/>
      <c r="F411" s="1609"/>
      <c r="G411" s="1609"/>
      <c r="H411" s="1609"/>
      <c r="I411" s="1609"/>
      <c r="J411" s="1609"/>
      <c r="K411" s="1609"/>
      <c r="L411" s="1609"/>
      <c r="M411" s="1609"/>
      <c r="N411" s="1609"/>
      <c r="O411" s="177" t="s">
        <v>2044</v>
      </c>
      <c r="P411" s="2510" t="s">
        <v>4447</v>
      </c>
      <c r="Q411" s="654"/>
      <c r="AE411" s="536"/>
      <c r="AF411" s="536"/>
    </row>
    <row r="412" spans="1:32" ht="11.25" customHeight="1">
      <c r="B412" s="153" t="s">
        <v>1959</v>
      </c>
      <c r="D412" s="153"/>
      <c r="E412" s="153"/>
      <c r="F412" s="153"/>
      <c r="G412" s="153"/>
      <c r="H412" s="40"/>
      <c r="I412" s="820"/>
      <c r="J412" s="820"/>
      <c r="K412" s="820"/>
      <c r="L412" s="1278"/>
      <c r="M412" s="1278"/>
      <c r="N412" s="1278"/>
      <c r="O412" s="1278"/>
      <c r="P412" s="1278"/>
      <c r="Q412" s="1311"/>
    </row>
    <row r="413" spans="1:32" ht="11.45" customHeight="1">
      <c r="A413" s="2433"/>
      <c r="B413" s="2434"/>
      <c r="C413" s="2434"/>
      <c r="D413" s="2434"/>
      <c r="E413" s="2434"/>
      <c r="F413" s="2434"/>
      <c r="G413" s="2434"/>
      <c r="H413" s="2434"/>
      <c r="I413" s="2434"/>
      <c r="J413" s="2434"/>
      <c r="K413" s="2434"/>
      <c r="L413" s="2434"/>
      <c r="M413" s="2434"/>
      <c r="N413" s="2434"/>
      <c r="O413" s="2434"/>
      <c r="P413" s="2434"/>
      <c r="Q413" s="2435"/>
      <c r="R413" s="503" t="s">
        <v>1314</v>
      </c>
      <c r="S413" s="504"/>
      <c r="U413" s="148"/>
      <c r="V413" s="148"/>
      <c r="W413" s="148"/>
      <c r="X413" s="148"/>
      <c r="Y413" s="148"/>
      <c r="Z413" s="148"/>
      <c r="AA413" s="148"/>
      <c r="AB413" s="148"/>
      <c r="AC413" s="148"/>
      <c r="AD413" s="148"/>
      <c r="AE413" s="535"/>
    </row>
    <row r="414" spans="1:32" ht="11.25" customHeight="1">
      <c r="B414" s="149" t="s">
        <v>1960</v>
      </c>
      <c r="C414" s="150"/>
      <c r="D414" s="1283"/>
      <c r="E414" s="1283"/>
      <c r="F414" s="1283"/>
      <c r="G414" s="1283"/>
      <c r="H414" s="1283"/>
      <c r="I414" s="1283"/>
      <c r="J414" s="1283"/>
      <c r="K414" s="1283"/>
      <c r="L414" s="1283"/>
      <c r="M414" s="1283"/>
      <c r="N414" s="1283"/>
      <c r="O414" s="1283"/>
      <c r="P414" s="1283"/>
      <c r="Q414" s="1283"/>
    </row>
    <row r="415" spans="1:32" ht="11.45" customHeight="1">
      <c r="A415" s="1572"/>
      <c r="B415" s="1573"/>
      <c r="C415" s="1573"/>
      <c r="D415" s="1573"/>
      <c r="E415" s="1573"/>
      <c r="F415" s="1573"/>
      <c r="G415" s="1573"/>
      <c r="H415" s="1573"/>
      <c r="I415" s="1573"/>
      <c r="J415" s="1573"/>
      <c r="K415" s="1573"/>
      <c r="L415" s="1573"/>
      <c r="M415" s="1573"/>
      <c r="N415" s="1573"/>
      <c r="O415" s="1573"/>
      <c r="P415" s="1573"/>
      <c r="Q415" s="1574"/>
    </row>
    <row r="416" spans="1:32" ht="3" customHeight="1">
      <c r="A416" s="1278"/>
      <c r="B416" s="820"/>
      <c r="C416" s="1283"/>
      <c r="D416" s="1283"/>
      <c r="E416" s="1283"/>
      <c r="F416" s="1283"/>
      <c r="G416" s="1283"/>
      <c r="H416" s="1283"/>
      <c r="I416" s="1283"/>
      <c r="J416" s="1283"/>
      <c r="K416" s="1283"/>
      <c r="L416" s="1283"/>
      <c r="M416" s="1283"/>
      <c r="Q416" s="1311"/>
    </row>
    <row r="417" spans="1:32" ht="13.9" customHeight="1">
      <c r="A417" s="1287">
        <v>27</v>
      </c>
      <c r="B417" s="4" t="s">
        <v>2809</v>
      </c>
      <c r="C417" s="4"/>
      <c r="D417" s="91"/>
      <c r="E417" s="1283"/>
      <c r="F417" s="1283"/>
      <c r="G417" s="1283"/>
      <c r="H417" s="1283"/>
      <c r="I417" s="1283"/>
      <c r="J417" s="1283"/>
      <c r="K417" s="1283"/>
      <c r="L417" s="1283"/>
      <c r="M417" s="1283"/>
      <c r="O417" s="143" t="s">
        <v>1961</v>
      </c>
      <c r="P417" s="1575"/>
      <c r="Q417" s="1576"/>
    </row>
    <row r="418" spans="1:32" ht="11.25" customHeight="1">
      <c r="A418" s="1287"/>
      <c r="B418" s="153" t="s">
        <v>1959</v>
      </c>
      <c r="D418" s="153"/>
      <c r="E418" s="153"/>
      <c r="F418" s="153"/>
      <c r="G418" s="153"/>
      <c r="H418" s="40"/>
      <c r="I418" s="820"/>
      <c r="J418" s="820"/>
      <c r="K418" s="820"/>
      <c r="L418" s="1278"/>
      <c r="M418" s="1278"/>
      <c r="N418" s="1278"/>
      <c r="O418" s="1278"/>
      <c r="P418" s="1278"/>
      <c r="Q418" s="1311"/>
    </row>
    <row r="419" spans="1:32" ht="11.45" customHeight="1">
      <c r="A419" s="2433"/>
      <c r="B419" s="2434"/>
      <c r="C419" s="2434"/>
      <c r="D419" s="2434"/>
      <c r="E419" s="2434"/>
      <c r="F419" s="2434"/>
      <c r="G419" s="2434"/>
      <c r="H419" s="2434"/>
      <c r="I419" s="2434"/>
      <c r="J419" s="2434"/>
      <c r="K419" s="2434"/>
      <c r="L419" s="2434"/>
      <c r="M419" s="2434"/>
      <c r="N419" s="2434"/>
      <c r="O419" s="2434"/>
      <c r="P419" s="2434"/>
      <c r="Q419" s="2435"/>
      <c r="R419" s="503" t="s">
        <v>1314</v>
      </c>
      <c r="S419" s="504"/>
      <c r="U419" s="148"/>
      <c r="V419" s="148"/>
      <c r="W419" s="148"/>
      <c r="X419" s="148"/>
      <c r="Y419" s="148"/>
      <c r="Z419" s="148"/>
      <c r="AA419" s="148"/>
      <c r="AB419" s="148"/>
      <c r="AC419" s="148"/>
      <c r="AD419" s="148"/>
      <c r="AE419" s="535"/>
    </row>
    <row r="420" spans="1:32" ht="11.25" customHeight="1">
      <c r="B420" s="149" t="s">
        <v>1960</v>
      </c>
      <c r="C420" s="150"/>
      <c r="D420" s="1283"/>
      <c r="E420" s="1283"/>
      <c r="F420" s="1283"/>
      <c r="G420" s="1283"/>
      <c r="H420" s="1283"/>
      <c r="I420" s="1283"/>
      <c r="J420" s="1283"/>
      <c r="K420" s="1283"/>
      <c r="L420" s="1283"/>
      <c r="M420" s="1283"/>
      <c r="N420" s="1283"/>
      <c r="O420" s="1283"/>
      <c r="P420" s="1283"/>
      <c r="Q420" s="1283"/>
    </row>
    <row r="421" spans="1:32" ht="12" customHeight="1">
      <c r="A421" s="1572"/>
      <c r="B421" s="1573"/>
      <c r="C421" s="1573"/>
      <c r="D421" s="1573"/>
      <c r="E421" s="1573"/>
      <c r="F421" s="1573"/>
      <c r="G421" s="1573"/>
      <c r="H421" s="1573"/>
      <c r="I421" s="1573"/>
      <c r="J421" s="1573"/>
      <c r="K421" s="1573"/>
      <c r="L421" s="1573"/>
      <c r="M421" s="1573"/>
      <c r="N421" s="1573"/>
      <c r="O421" s="1573"/>
      <c r="P421" s="1573"/>
      <c r="Q421" s="1574"/>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02"/>
      <c r="AF423" s="1302"/>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02"/>
      <c r="AF424" s="1302"/>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02"/>
      <c r="AF425" s="1302"/>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02"/>
      <c r="AF426" s="1302"/>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02"/>
      <c r="AF427" s="1302"/>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02"/>
      <c r="AF428" s="1302"/>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02"/>
      <c r="AF429" s="1302"/>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02"/>
      <c r="AF430" s="1302"/>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02"/>
      <c r="AF431" s="1302"/>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02"/>
      <c r="AF432" s="1302"/>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02"/>
      <c r="AF433" s="1302"/>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02"/>
      <c r="AF434" s="1302"/>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02"/>
      <c r="AF435" s="1302"/>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02"/>
      <c r="AF436" s="1302"/>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02"/>
      <c r="AF437" s="1302"/>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02"/>
      <c r="AF438" s="1302"/>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02"/>
      <c r="AF439" s="1302"/>
    </row>
    <row r="440" spans="1:32" s="160" customFormat="1">
      <c r="A440" s="508"/>
      <c r="B440" s="508"/>
      <c r="C440" s="508"/>
      <c r="D440" s="508"/>
      <c r="E440" s="508"/>
      <c r="F440" s="508"/>
      <c r="G440" s="508"/>
      <c r="H440" s="508"/>
      <c r="I440" s="508"/>
      <c r="J440" s="508"/>
      <c r="K440" s="508"/>
      <c r="L440" s="508"/>
      <c r="M440" s="508"/>
      <c r="AE440" s="1302"/>
      <c r="AF440" s="1302"/>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3281</v>
      </c>
      <c r="P442" s="501"/>
      <c r="AE442" s="495"/>
      <c r="AF442" s="495"/>
    </row>
    <row r="443" spans="1:32" s="486" customFormat="1" ht="15">
      <c r="A443" s="559"/>
      <c r="B443" s="559"/>
      <c r="C443" s="559" t="s">
        <v>2190</v>
      </c>
      <c r="D443" s="559"/>
      <c r="E443" s="559"/>
      <c r="F443" s="559"/>
      <c r="G443" s="559"/>
      <c r="H443" s="559"/>
      <c r="I443" s="559"/>
      <c r="J443" s="559" t="s">
        <v>1859</v>
      </c>
      <c r="K443" s="559"/>
      <c r="L443" s="559"/>
      <c r="M443" s="559"/>
      <c r="N443" s="489"/>
      <c r="O443" s="919" t="s">
        <v>3282</v>
      </c>
      <c r="P443" s="501"/>
      <c r="AE443" s="495"/>
      <c r="AF443" s="495"/>
    </row>
    <row r="444" spans="1:32" s="486" customFormat="1" ht="15">
      <c r="A444" s="559"/>
      <c r="B444" s="559"/>
      <c r="C444" s="560" t="s">
        <v>2672</v>
      </c>
      <c r="D444" s="560"/>
      <c r="E444" s="560"/>
      <c r="F444" s="560"/>
      <c r="G444" s="560"/>
      <c r="H444" s="560"/>
      <c r="I444" s="560"/>
      <c r="J444" s="561" t="s">
        <v>1811</v>
      </c>
      <c r="K444" s="560"/>
      <c r="L444" s="559"/>
      <c r="M444" s="559"/>
      <c r="N444" s="489"/>
      <c r="O444" s="919" t="s">
        <v>3283</v>
      </c>
      <c r="P444" s="501"/>
      <c r="AE444" s="495"/>
      <c r="AF444" s="495"/>
    </row>
    <row r="445" spans="1:32" s="486" customFormat="1" ht="15">
      <c r="A445" s="559"/>
      <c r="B445" s="559"/>
      <c r="C445" s="560" t="s">
        <v>2191</v>
      </c>
      <c r="D445" s="560"/>
      <c r="E445" s="560"/>
      <c r="F445" s="560"/>
      <c r="G445" s="560"/>
      <c r="H445" s="560"/>
      <c r="I445" s="560"/>
      <c r="J445" s="561" t="s">
        <v>239</v>
      </c>
      <c r="K445" s="560"/>
      <c r="L445" s="559"/>
      <c r="M445" s="559"/>
      <c r="N445" s="489"/>
      <c r="O445" s="919" t="s">
        <v>3284</v>
      </c>
      <c r="P445" s="501"/>
      <c r="AE445" s="495"/>
      <c r="AF445" s="495"/>
    </row>
    <row r="446" spans="1:32" s="486" customFormat="1" ht="15">
      <c r="A446" s="559"/>
      <c r="B446" s="559"/>
      <c r="C446" s="560" t="s">
        <v>2192</v>
      </c>
      <c r="D446" s="560"/>
      <c r="E446" s="560"/>
      <c r="F446" s="560"/>
      <c r="G446" s="560"/>
      <c r="H446" s="560"/>
      <c r="I446" s="560"/>
      <c r="J446" s="559" t="s">
        <v>1242</v>
      </c>
      <c r="K446" s="560"/>
      <c r="L446" s="559"/>
      <c r="M446" s="559"/>
      <c r="N446" s="489"/>
      <c r="O446" s="919" t="s">
        <v>3285</v>
      </c>
      <c r="P446" s="501"/>
      <c r="AE446" s="495"/>
      <c r="AF446" s="495"/>
    </row>
    <row r="447" spans="1:32" s="486" customFormat="1" ht="15">
      <c r="A447" s="559"/>
      <c r="B447" s="559"/>
      <c r="C447" s="562" t="s">
        <v>2193</v>
      </c>
      <c r="D447" s="560"/>
      <c r="E447" s="560"/>
      <c r="F447" s="560"/>
      <c r="G447" s="560"/>
      <c r="H447" s="560"/>
      <c r="I447" s="560"/>
      <c r="J447" s="563" t="s">
        <v>2205</v>
      </c>
      <c r="K447" s="560"/>
      <c r="L447" s="559"/>
      <c r="M447" s="559"/>
      <c r="N447" s="489"/>
      <c r="O447" s="919" t="s">
        <v>3286</v>
      </c>
      <c r="P447" s="501"/>
      <c r="AE447" s="495"/>
      <c r="AF447" s="495"/>
    </row>
    <row r="448" spans="1:32" s="486" customFormat="1" ht="15">
      <c r="A448" s="559"/>
      <c r="B448" s="559"/>
      <c r="C448" s="562" t="s">
        <v>2194</v>
      </c>
      <c r="D448" s="560"/>
      <c r="E448" s="560"/>
      <c r="F448" s="560"/>
      <c r="G448" s="560"/>
      <c r="H448" s="560"/>
      <c r="I448" s="560"/>
      <c r="J448" s="561" t="s">
        <v>1741</v>
      </c>
      <c r="K448" s="560"/>
      <c r="L448" s="559"/>
      <c r="M448" s="559"/>
      <c r="N448" s="489"/>
      <c r="O448" s="919" t="s">
        <v>3287</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3288</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3289</v>
      </c>
      <c r="P450" s="501"/>
      <c r="AE450" s="495"/>
      <c r="AF450" s="495"/>
    </row>
    <row r="451" spans="1:32" s="486" customFormat="1" ht="11.25">
      <c r="A451" s="559"/>
      <c r="B451" s="559"/>
      <c r="C451" s="564" t="s">
        <v>1459</v>
      </c>
      <c r="D451" s="560"/>
      <c r="E451" s="560"/>
      <c r="F451" s="560"/>
      <c r="G451" s="560"/>
      <c r="H451" s="560"/>
      <c r="I451" s="560"/>
      <c r="J451" s="561" t="s">
        <v>2206</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2234</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2229</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2230</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2231</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2232</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2233</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2204</v>
      </c>
      <c r="K461" s="559"/>
      <c r="L461" s="559"/>
      <c r="M461" s="559"/>
      <c r="N461" s="489"/>
      <c r="O461" s="501"/>
      <c r="P461" s="501"/>
      <c r="AE461" s="495"/>
      <c r="AF461" s="495"/>
    </row>
    <row r="462" spans="1:32" s="486" customFormat="1" ht="11.25">
      <c r="A462" s="559"/>
      <c r="B462" s="559"/>
      <c r="C462" s="564" t="s">
        <v>2391</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2190</v>
      </c>
      <c r="D466" s="560"/>
      <c r="E466" s="559"/>
      <c r="F466" s="559"/>
      <c r="G466" s="559"/>
      <c r="H466" s="559"/>
      <c r="I466" s="559"/>
      <c r="J466" s="559"/>
      <c r="K466" s="559"/>
      <c r="L466" s="559"/>
      <c r="M466" s="559"/>
      <c r="AE466" s="466"/>
      <c r="AF466" s="466"/>
    </row>
    <row r="467" spans="1:32" s="56" customFormat="1" ht="11.25">
      <c r="A467" s="560"/>
      <c r="B467" s="560"/>
      <c r="C467" s="560" t="s">
        <v>2672</v>
      </c>
      <c r="D467" s="559"/>
      <c r="E467" s="559"/>
      <c r="F467" s="559"/>
      <c r="G467" s="559"/>
      <c r="H467" s="560"/>
      <c r="I467" s="559"/>
      <c r="J467" s="559"/>
      <c r="K467" s="559"/>
      <c r="L467" s="559"/>
      <c r="M467" s="559"/>
      <c r="AE467" s="466"/>
      <c r="AF467" s="466"/>
    </row>
    <row r="468" spans="1:32" s="56" customFormat="1" ht="11.25">
      <c r="A468" s="560"/>
      <c r="B468" s="560"/>
      <c r="C468" s="560" t="s">
        <v>2191</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2110</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2628</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2631</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2629</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1972</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2257</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1977</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2815</v>
      </c>
      <c r="D499" s="560"/>
      <c r="E499" s="560"/>
      <c r="F499" s="560"/>
      <c r="G499" s="560"/>
      <c r="H499" s="560"/>
      <c r="I499" s="560"/>
      <c r="J499" s="560"/>
      <c r="K499" s="560"/>
      <c r="L499" s="560"/>
      <c r="M499" s="560"/>
      <c r="AE499" s="466"/>
      <c r="AF499" s="466"/>
    </row>
    <row r="500" spans="1:32" s="56" customFormat="1" ht="11.25">
      <c r="A500" s="560"/>
      <c r="B500" s="560"/>
      <c r="C500" s="564" t="s">
        <v>2109</v>
      </c>
      <c r="D500" s="560"/>
      <c r="E500" s="560"/>
      <c r="F500" s="560"/>
      <c r="G500" s="560"/>
      <c r="H500" s="560"/>
      <c r="I500" s="560"/>
      <c r="J500" s="560"/>
      <c r="K500" s="560"/>
      <c r="L500" s="564"/>
      <c r="M500" s="560"/>
      <c r="AE500" s="466"/>
      <c r="AF500" s="466"/>
    </row>
    <row r="501" spans="1:32" s="56" customFormat="1" ht="11.25">
      <c r="A501" s="560"/>
      <c r="B501" s="560"/>
      <c r="C501" s="507" t="s">
        <v>2816</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2817</v>
      </c>
      <c r="D504" s="560"/>
      <c r="E504" s="560"/>
      <c r="F504" s="560"/>
      <c r="G504" s="560"/>
      <c r="H504" s="560"/>
      <c r="I504" s="560"/>
      <c r="J504" s="560"/>
      <c r="K504" s="560" t="s">
        <v>1134</v>
      </c>
      <c r="L504" s="564"/>
      <c r="M504" s="560"/>
      <c r="AE504" s="466"/>
      <c r="AF504" s="466"/>
    </row>
    <row r="505" spans="1:32" s="56" customFormat="1" ht="11.25">
      <c r="A505" s="560"/>
      <c r="B505" s="560"/>
      <c r="C505" s="507" t="s">
        <v>2818</v>
      </c>
      <c r="D505" s="560"/>
      <c r="E505" s="560"/>
      <c r="F505" s="560"/>
      <c r="G505" s="560"/>
      <c r="H505" s="560"/>
      <c r="I505" s="560"/>
      <c r="J505" s="560"/>
      <c r="K505" s="560" t="s">
        <v>2787</v>
      </c>
      <c r="L505" s="560"/>
      <c r="M505" s="560"/>
      <c r="AE505" s="466"/>
      <c r="AF505" s="466"/>
    </row>
    <row r="506" spans="1:32" s="56" customFormat="1" ht="11.25">
      <c r="A506" s="560"/>
      <c r="B506" s="560"/>
      <c r="C506" s="564" t="s">
        <v>1263</v>
      </c>
      <c r="D506" s="560"/>
      <c r="E506" s="560"/>
      <c r="F506" s="560"/>
      <c r="G506" s="560"/>
      <c r="H506" s="560"/>
      <c r="I506" s="560"/>
      <c r="J506" s="560"/>
      <c r="K506" s="560" t="s">
        <v>2788</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2350</v>
      </c>
      <c r="L508" s="560"/>
      <c r="M508" s="560"/>
      <c r="AE508" s="466"/>
      <c r="AF508" s="466"/>
    </row>
    <row r="509" spans="1:32" s="56" customFormat="1" ht="11.25">
      <c r="A509" s="560"/>
      <c r="B509" s="560"/>
      <c r="C509" s="560" t="s">
        <v>1135</v>
      </c>
      <c r="D509" s="560"/>
      <c r="E509" s="560"/>
      <c r="F509" s="560"/>
      <c r="G509" s="560"/>
      <c r="H509" s="560"/>
      <c r="I509" s="560"/>
      <c r="J509" s="560"/>
      <c r="K509" s="560" t="s">
        <v>2436</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2219</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2906</v>
      </c>
      <c r="L513" s="560"/>
      <c r="M513" s="560"/>
      <c r="AE513" s="466"/>
      <c r="AF513" s="466"/>
    </row>
    <row r="514" spans="1:32" s="56" customFormat="1" ht="11.25">
      <c r="A514" s="560"/>
      <c r="B514" s="560"/>
      <c r="C514" s="560"/>
      <c r="D514" s="560"/>
      <c r="E514" s="560"/>
      <c r="F514" s="560"/>
      <c r="G514" s="560"/>
      <c r="H514" s="560"/>
      <c r="I514" s="560"/>
      <c r="J514" s="560"/>
      <c r="K514" s="567" t="s">
        <v>2045</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2480</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2190</v>
      </c>
      <c r="D523" s="560"/>
      <c r="E523" s="560"/>
      <c r="F523" s="560"/>
      <c r="G523" s="560"/>
      <c r="H523" s="560"/>
      <c r="I523" s="560"/>
      <c r="J523" s="560"/>
      <c r="K523" s="560" t="s">
        <v>239</v>
      </c>
      <c r="L523" s="560"/>
      <c r="M523" s="560"/>
      <c r="AE523" s="466"/>
      <c r="AF523" s="466"/>
    </row>
    <row r="524" spans="1:32" s="56" customFormat="1" ht="11.25">
      <c r="A524" s="560"/>
      <c r="B524" s="560"/>
      <c r="C524" s="560" t="s">
        <v>2672</v>
      </c>
      <c r="D524" s="560"/>
      <c r="E524" s="560"/>
      <c r="F524" s="560"/>
      <c r="G524" s="560"/>
      <c r="H524" s="560"/>
      <c r="I524" s="560"/>
      <c r="J524" s="560"/>
      <c r="K524" s="560" t="s">
        <v>505</v>
      </c>
      <c r="L524" s="560"/>
      <c r="M524" s="560"/>
      <c r="AE524" s="466"/>
      <c r="AF524" s="466"/>
    </row>
    <row r="525" spans="1:32" s="56" customFormat="1" ht="11.25">
      <c r="A525" s="560"/>
      <c r="B525" s="560"/>
      <c r="C525" s="560" t="s">
        <v>2191</v>
      </c>
      <c r="D525" s="560"/>
      <c r="E525" s="560"/>
      <c r="F525" s="560"/>
      <c r="G525" s="560"/>
      <c r="H525" s="560"/>
      <c r="I525" s="560"/>
      <c r="J525" s="560"/>
      <c r="K525" s="560" t="s">
        <v>2628</v>
      </c>
      <c r="L525" s="560"/>
      <c r="M525" s="560"/>
      <c r="AE525" s="466"/>
      <c r="AF525" s="466"/>
    </row>
    <row r="526" spans="1:32" s="56" customFormat="1" ht="11.25">
      <c r="A526" s="560"/>
      <c r="B526" s="560"/>
      <c r="C526" s="560" t="s">
        <v>2046</v>
      </c>
      <c r="D526" s="560"/>
      <c r="E526" s="560"/>
      <c r="F526" s="560"/>
      <c r="G526" s="560"/>
      <c r="H526" s="560"/>
      <c r="I526" s="560"/>
      <c r="J526" s="560"/>
      <c r="K526" s="560" t="s">
        <v>2055</v>
      </c>
      <c r="L526" s="560"/>
      <c r="M526" s="560"/>
      <c r="AE526" s="466"/>
      <c r="AF526" s="466"/>
    </row>
    <row r="527" spans="1:32" s="56" customFormat="1" ht="11.25">
      <c r="A527" s="560"/>
      <c r="B527" s="560"/>
      <c r="C527" s="560" t="s">
        <v>619</v>
      </c>
      <c r="D527" s="560"/>
      <c r="E527" s="560"/>
      <c r="F527" s="560"/>
      <c r="G527" s="560"/>
      <c r="H527" s="560"/>
      <c r="I527" s="560"/>
      <c r="J527" s="560"/>
      <c r="K527" s="560" t="s">
        <v>2630</v>
      </c>
      <c r="L527" s="560"/>
      <c r="M527" s="560"/>
      <c r="AE527" s="466"/>
      <c r="AF527" s="466"/>
    </row>
    <row r="528" spans="1:32" s="56" customFormat="1" ht="11.25">
      <c r="A528" s="560"/>
      <c r="B528" s="560"/>
      <c r="C528" s="560" t="s">
        <v>2298</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2631</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1971</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1972</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2137</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02"/>
      <c r="AF540" s="1302"/>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E67Mjc6mshEe60u6HS3otLn6Z+Ej94YPMyEOMndH5L3KNB9NfM94M7okmpawCgjxUzlmbSYrRGO81DUyX6JM/w==" saltValue="Ekjwc4AxaxgoA183Ah6JJA=="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9"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36" t="str">
        <f>CONCATENATE("PART NINE - SCORING CRITERIA","  -  ",'Part I-Project Information'!$O$4," ",'Part I-Project Information'!$F$24,", ",'Part I-Project Information'!F28,", ",'Part I-Project Information'!J29," County")</f>
        <v>PART NINE - SCORING CRITERIA  -  2015-009 The Cove at York, Centerville, Houston County</v>
      </c>
      <c r="B1" s="1437"/>
      <c r="C1" s="1437"/>
      <c r="D1" s="1437"/>
      <c r="E1" s="1437"/>
      <c r="F1" s="1437"/>
      <c r="G1" s="1437"/>
      <c r="H1" s="1437"/>
      <c r="I1" s="1437"/>
      <c r="J1" s="1437"/>
      <c r="K1" s="1437"/>
      <c r="L1" s="1437"/>
      <c r="M1" s="1437"/>
      <c r="N1" s="1437"/>
      <c r="O1" s="1437"/>
      <c r="P1" s="1438"/>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14" t="s">
        <v>4191</v>
      </c>
      <c r="B3" s="1714"/>
      <c r="C3" s="1714"/>
      <c r="D3" s="1714"/>
      <c r="E3" s="1714"/>
      <c r="F3" s="1714"/>
      <c r="G3" s="1714"/>
      <c r="H3" s="1714"/>
      <c r="I3" s="1714"/>
      <c r="J3" s="1714"/>
      <c r="K3" s="1714"/>
      <c r="L3" s="1714"/>
      <c r="M3" s="97" t="s">
        <v>2325</v>
      </c>
      <c r="N3" s="77"/>
      <c r="O3" s="87" t="s">
        <v>2324</v>
      </c>
      <c r="P3" s="193" t="s">
        <v>268</v>
      </c>
    </row>
    <row r="4" spans="1:19" s="44" customFormat="1" ht="12.6" customHeight="1">
      <c r="A4" s="1714"/>
      <c r="B4" s="1714"/>
      <c r="C4" s="1714"/>
      <c r="D4" s="1714"/>
      <c r="E4" s="1714"/>
      <c r="F4" s="1714"/>
      <c r="G4" s="1714"/>
      <c r="H4" s="1714"/>
      <c r="I4" s="1714"/>
      <c r="J4" s="1714"/>
      <c r="K4" s="1714"/>
      <c r="L4" s="1714"/>
      <c r="M4" s="195" t="s">
        <v>95</v>
      </c>
      <c r="N4" s="89"/>
      <c r="O4" s="194" t="s">
        <v>2325</v>
      </c>
      <c r="P4" s="88" t="s">
        <v>2325</v>
      </c>
    </row>
    <row r="5" spans="1:19" s="44" customFormat="1" ht="3" customHeight="1">
      <c r="A5" s="42"/>
      <c r="B5" s="42"/>
      <c r="C5" s="42"/>
      <c r="D5" s="42"/>
      <c r="E5" s="42"/>
      <c r="F5" s="42"/>
      <c r="G5" s="42"/>
      <c r="H5" s="42"/>
      <c r="I5" s="42"/>
      <c r="J5" s="42"/>
      <c r="K5" s="42"/>
      <c r="M5" s="97"/>
      <c r="N5" s="10"/>
      <c r="O5" s="1309"/>
      <c r="P5" s="1315"/>
    </row>
    <row r="6" spans="1:19" s="44" customFormat="1" ht="12.75" customHeight="1">
      <c r="A6" s="42"/>
      <c r="B6" s="50"/>
      <c r="C6" s="42"/>
      <c r="D6" s="42"/>
      <c r="E6" s="42"/>
      <c r="F6" s="42"/>
      <c r="G6" s="42"/>
      <c r="H6" s="2049" t="s">
        <v>4387</v>
      </c>
      <c r="I6" s="2050"/>
      <c r="J6" s="2051"/>
      <c r="L6" s="73" t="s">
        <v>1285</v>
      </c>
      <c r="M6" s="299">
        <f>M373</f>
        <v>92</v>
      </c>
      <c r="N6" s="9"/>
      <c r="O6" s="67">
        <f>O373</f>
        <v>52</v>
      </c>
      <c r="P6" s="67">
        <f>P373</f>
        <v>12</v>
      </c>
    </row>
    <row r="7" spans="1:19" s="44" customFormat="1" ht="3" customHeight="1">
      <c r="A7" s="42"/>
      <c r="B7" s="50"/>
      <c r="C7" s="42"/>
      <c r="D7" s="42"/>
      <c r="E7" s="42"/>
      <c r="F7" s="42"/>
      <c r="G7" s="42"/>
      <c r="H7" s="42"/>
      <c r="I7" s="42"/>
      <c r="J7" s="42"/>
      <c r="K7" s="42"/>
      <c r="M7" s="97"/>
      <c r="N7" s="10"/>
      <c r="O7" s="1309"/>
      <c r="P7" s="1315"/>
    </row>
    <row r="8" spans="1:19" s="42" customFormat="1" ht="12.6" customHeight="1">
      <c r="A8" s="167" t="s">
        <v>2085</v>
      </c>
      <c r="B8" s="112" t="s">
        <v>3092</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09"/>
      <c r="R9" s="42"/>
      <c r="S9" s="42"/>
    </row>
    <row r="10" spans="1:19" s="42" customFormat="1" ht="11.25" customHeight="1">
      <c r="A10" s="200" t="s">
        <v>2081</v>
      </c>
      <c r="B10" s="184" t="s">
        <v>1962</v>
      </c>
      <c r="D10" s="48"/>
      <c r="E10" s="48"/>
      <c r="F10" s="1299" t="s">
        <v>2711</v>
      </c>
      <c r="G10" s="1305">
        <f>F16</f>
        <v>0</v>
      </c>
      <c r="H10" s="192" t="s">
        <v>3269</v>
      </c>
      <c r="M10" s="6"/>
      <c r="N10" s="68" t="s">
        <v>2081</v>
      </c>
      <c r="O10" s="2527">
        <v>0</v>
      </c>
      <c r="P10" s="1231"/>
    </row>
    <row r="11" spans="1:19" s="43" customFormat="1" ht="11.25" customHeight="1">
      <c r="A11" s="200"/>
      <c r="B11" s="116" t="s">
        <v>2214</v>
      </c>
      <c r="D11" s="48"/>
      <c r="E11" s="48"/>
      <c r="F11" s="1299" t="s">
        <v>2711</v>
      </c>
      <c r="G11" s="1305">
        <f>P16</f>
        <v>0</v>
      </c>
      <c r="H11" s="192" t="s">
        <v>3039</v>
      </c>
      <c r="J11" s="49"/>
      <c r="M11" s="6">
        <v>1</v>
      </c>
      <c r="N11" s="68"/>
      <c r="O11" s="2528">
        <v>0</v>
      </c>
      <c r="P11" s="1230"/>
    </row>
    <row r="12" spans="1:19" s="42" customFormat="1" ht="11.25" customHeight="1">
      <c r="A12" s="200" t="s">
        <v>2084</v>
      </c>
      <c r="B12" s="184" t="s">
        <v>766</v>
      </c>
      <c r="D12" s="48"/>
      <c r="E12" s="48"/>
      <c r="F12" s="1299" t="s">
        <v>2711</v>
      </c>
      <c r="G12" s="1305">
        <f>K16</f>
        <v>0</v>
      </c>
      <c r="H12" s="192" t="s">
        <v>2907</v>
      </c>
      <c r="J12" s="49"/>
      <c r="M12" s="6"/>
      <c r="N12" s="68" t="s">
        <v>2084</v>
      </c>
      <c r="O12" s="2529">
        <v>0</v>
      </c>
      <c r="P12" s="656"/>
      <c r="Q12" s="115"/>
    </row>
    <row r="13" spans="1:19" s="42" customFormat="1" ht="10.5" customHeight="1">
      <c r="A13" s="49" t="s">
        <v>267</v>
      </c>
      <c r="D13" s="48"/>
      <c r="E13" s="48"/>
      <c r="F13" s="48"/>
      <c r="G13" s="48"/>
      <c r="H13" s="36"/>
      <c r="I13" s="36"/>
      <c r="J13" s="36"/>
      <c r="K13" s="36"/>
      <c r="L13" s="43"/>
      <c r="M13" s="46"/>
      <c r="N13" s="64"/>
      <c r="O13" s="3"/>
      <c r="P13" s="1282"/>
    </row>
    <row r="14" spans="1:19" s="42" customFormat="1" ht="12.6" customHeight="1">
      <c r="A14" s="2530" t="s">
        <v>4471</v>
      </c>
      <c r="B14" s="2531"/>
      <c r="C14" s="2531"/>
      <c r="D14" s="2531"/>
      <c r="E14" s="2531"/>
      <c r="F14" s="2531"/>
      <c r="G14" s="2531"/>
      <c r="H14" s="2531"/>
      <c r="I14" s="2531"/>
      <c r="J14" s="2531"/>
      <c r="K14" s="2531"/>
      <c r="L14" s="2531"/>
      <c r="M14" s="2531"/>
      <c r="N14" s="2531"/>
      <c r="O14" s="2531"/>
      <c r="P14" s="2532"/>
      <c r="Q14" s="503" t="s">
        <v>1314</v>
      </c>
      <c r="R14" s="504"/>
    </row>
    <row r="15" spans="1:19" s="42" customFormat="1" ht="10.9" customHeight="1">
      <c r="A15" s="70" t="s">
        <v>1960</v>
      </c>
      <c r="C15" s="100"/>
      <c r="D15" s="100"/>
      <c r="F15" s="820" t="s">
        <v>1801</v>
      </c>
      <c r="K15" s="820" t="s">
        <v>1801</v>
      </c>
      <c r="P15" s="533" t="s">
        <v>1801</v>
      </c>
      <c r="R15" s="505"/>
      <c r="S15" s="173"/>
    </row>
    <row r="16" spans="1:19" s="42" customFormat="1" ht="12" customHeight="1">
      <c r="A16" s="1686" t="s">
        <v>2521</v>
      </c>
      <c r="B16" s="1686"/>
      <c r="C16" s="1686"/>
      <c r="D16" s="1686"/>
      <c r="E16" s="69" t="s">
        <v>532</v>
      </c>
      <c r="F16" s="80">
        <f>SUM(F17:F28)</f>
        <v>0</v>
      </c>
      <c r="G16" s="1687" t="s">
        <v>3845</v>
      </c>
      <c r="H16" s="1686"/>
      <c r="I16" s="1686"/>
      <c r="J16" s="69" t="s">
        <v>532</v>
      </c>
      <c r="K16" s="80">
        <f>SUM(K17:K28)</f>
        <v>0</v>
      </c>
      <c r="L16" s="1294" t="s">
        <v>3038</v>
      </c>
      <c r="M16" s="100"/>
      <c r="N16" s="99"/>
      <c r="O16" s="69"/>
      <c r="P16" s="80">
        <f>SUM(P17:P28)</f>
        <v>0</v>
      </c>
      <c r="R16" s="505"/>
      <c r="S16" s="173"/>
    </row>
    <row r="17" spans="1:19" s="42" customFormat="1" ht="22.5" customHeight="1">
      <c r="A17" s="1683">
        <v>1</v>
      </c>
      <c r="B17" s="1684"/>
      <c r="C17" s="1684"/>
      <c r="D17" s="1684"/>
      <c r="E17" s="1685"/>
      <c r="F17" s="641"/>
      <c r="G17" s="1681">
        <v>1</v>
      </c>
      <c r="H17" s="1682"/>
      <c r="I17" s="1682"/>
      <c r="J17" s="1682"/>
      <c r="K17" s="850" t="s">
        <v>1821</v>
      </c>
      <c r="L17" s="1681">
        <v>1</v>
      </c>
      <c r="M17" s="1682"/>
      <c r="N17" s="1682"/>
      <c r="O17" s="1682"/>
      <c r="P17" s="641"/>
      <c r="Q17" s="503" t="s">
        <v>1314</v>
      </c>
      <c r="R17" s="504"/>
      <c r="S17" s="173"/>
    </row>
    <row r="18" spans="1:19" s="42" customFormat="1" ht="22.5" customHeight="1">
      <c r="A18" s="1678">
        <v>2</v>
      </c>
      <c r="B18" s="1679"/>
      <c r="C18" s="1679"/>
      <c r="D18" s="1679"/>
      <c r="E18" s="1680"/>
      <c r="F18" s="642"/>
      <c r="G18" s="1676">
        <v>2</v>
      </c>
      <c r="H18" s="1677"/>
      <c r="I18" s="1677"/>
      <c r="J18" s="1677"/>
      <c r="K18" s="642"/>
      <c r="L18" s="1676">
        <v>2</v>
      </c>
      <c r="M18" s="1677"/>
      <c r="N18" s="1677"/>
      <c r="O18" s="1677"/>
      <c r="P18" s="642"/>
      <c r="Q18" s="503"/>
      <c r="R18" s="504"/>
      <c r="S18" s="173"/>
    </row>
    <row r="19" spans="1:19" s="42" customFormat="1" ht="22.5" customHeight="1">
      <c r="A19" s="1678">
        <v>3</v>
      </c>
      <c r="B19" s="1679"/>
      <c r="C19" s="1679"/>
      <c r="D19" s="1679"/>
      <c r="E19" s="1680"/>
      <c r="F19" s="642"/>
      <c r="G19" s="1676">
        <v>3</v>
      </c>
      <c r="H19" s="1677"/>
      <c r="I19" s="1677"/>
      <c r="J19" s="1677"/>
      <c r="K19" s="851" t="s">
        <v>3312</v>
      </c>
      <c r="L19" s="1676">
        <v>3</v>
      </c>
      <c r="M19" s="1677"/>
      <c r="N19" s="1677"/>
      <c r="O19" s="1677"/>
      <c r="P19" s="642"/>
      <c r="Q19" s="503"/>
      <c r="R19" s="504"/>
      <c r="S19" s="173"/>
    </row>
    <row r="20" spans="1:19" s="42" customFormat="1" ht="22.5" customHeight="1">
      <c r="A20" s="1678">
        <v>4</v>
      </c>
      <c r="B20" s="1679"/>
      <c r="C20" s="1679"/>
      <c r="D20" s="1679"/>
      <c r="E20" s="1680"/>
      <c r="F20" s="642"/>
      <c r="G20" s="1676">
        <v>4</v>
      </c>
      <c r="H20" s="1677"/>
      <c r="I20" s="1677"/>
      <c r="J20" s="1677"/>
      <c r="K20" s="851" t="s">
        <v>3312</v>
      </c>
      <c r="L20" s="1676">
        <v>4</v>
      </c>
      <c r="M20" s="1677"/>
      <c r="N20" s="1677"/>
      <c r="O20" s="1677"/>
      <c r="P20" s="642"/>
      <c r="Q20" s="503"/>
      <c r="R20" s="504"/>
      <c r="S20" s="173"/>
    </row>
    <row r="21" spans="1:19" s="42" customFormat="1" ht="22.5" customHeight="1">
      <c r="A21" s="1678">
        <v>5</v>
      </c>
      <c r="B21" s="1679"/>
      <c r="C21" s="1679"/>
      <c r="D21" s="1679"/>
      <c r="E21" s="1680"/>
      <c r="F21" s="642"/>
      <c r="G21" s="1676">
        <v>5</v>
      </c>
      <c r="H21" s="1677"/>
      <c r="I21" s="1677"/>
      <c r="J21" s="1677"/>
      <c r="K21" s="642"/>
      <c r="L21" s="1676">
        <v>5</v>
      </c>
      <c r="M21" s="1677"/>
      <c r="N21" s="1677"/>
      <c r="O21" s="1677"/>
      <c r="P21" s="642"/>
      <c r="R21" s="173"/>
      <c r="S21" s="173"/>
    </row>
    <row r="22" spans="1:19" s="42" customFormat="1" ht="22.5" customHeight="1">
      <c r="A22" s="1678">
        <v>6</v>
      </c>
      <c r="B22" s="1679"/>
      <c r="C22" s="1679"/>
      <c r="D22" s="1679"/>
      <c r="E22" s="1680"/>
      <c r="F22" s="642"/>
      <c r="G22" s="1676">
        <v>6</v>
      </c>
      <c r="H22" s="1677"/>
      <c r="I22" s="1677"/>
      <c r="J22" s="1677"/>
      <c r="K22" s="642"/>
      <c r="L22" s="1676">
        <v>6</v>
      </c>
      <c r="M22" s="1677"/>
      <c r="N22" s="1677"/>
      <c r="O22" s="1677"/>
      <c r="P22" s="642"/>
      <c r="R22" s="173"/>
      <c r="S22" s="173"/>
    </row>
    <row r="23" spans="1:19" s="42" customFormat="1" ht="22.5" customHeight="1">
      <c r="A23" s="1678">
        <v>7</v>
      </c>
      <c r="B23" s="1679"/>
      <c r="C23" s="1679"/>
      <c r="D23" s="1679"/>
      <c r="E23" s="1680"/>
      <c r="F23" s="642"/>
      <c r="G23" s="1676">
        <v>7</v>
      </c>
      <c r="H23" s="1677"/>
      <c r="I23" s="1677"/>
      <c r="J23" s="1677"/>
      <c r="K23" s="642"/>
      <c r="L23" s="1676">
        <v>7</v>
      </c>
      <c r="M23" s="1677"/>
      <c r="N23" s="1677"/>
      <c r="O23" s="1677"/>
      <c r="P23" s="642"/>
      <c r="R23" s="173"/>
      <c r="S23" s="173"/>
    </row>
    <row r="24" spans="1:19" s="42" customFormat="1" ht="22.5" customHeight="1">
      <c r="A24" s="1678">
        <v>8</v>
      </c>
      <c r="B24" s="1679"/>
      <c r="C24" s="1679"/>
      <c r="D24" s="1679"/>
      <c r="E24" s="1680"/>
      <c r="F24" s="642"/>
      <c r="G24" s="1676">
        <v>8</v>
      </c>
      <c r="H24" s="1677"/>
      <c r="I24" s="1677"/>
      <c r="J24" s="1677"/>
      <c r="K24" s="642"/>
      <c r="L24" s="1676">
        <v>8</v>
      </c>
      <c r="M24" s="1677"/>
      <c r="N24" s="1677"/>
      <c r="O24" s="1677"/>
      <c r="P24" s="642"/>
      <c r="R24" s="173"/>
      <c r="S24" s="173"/>
    </row>
    <row r="25" spans="1:19" s="42" customFormat="1" ht="22.5" customHeight="1">
      <c r="A25" s="1678">
        <v>9</v>
      </c>
      <c r="B25" s="1679"/>
      <c r="C25" s="1679"/>
      <c r="D25" s="1679"/>
      <c r="E25" s="1680"/>
      <c r="F25" s="642"/>
      <c r="G25" s="1676">
        <v>9</v>
      </c>
      <c r="H25" s="1677"/>
      <c r="I25" s="1677"/>
      <c r="J25" s="1677"/>
      <c r="K25" s="642"/>
      <c r="L25" s="1676">
        <v>9</v>
      </c>
      <c r="M25" s="1677"/>
      <c r="N25" s="1677"/>
      <c r="O25" s="1677"/>
      <c r="P25" s="642"/>
      <c r="R25" s="173"/>
      <c r="S25" s="173"/>
    </row>
    <row r="26" spans="1:19" s="42" customFormat="1" ht="22.5" customHeight="1">
      <c r="A26" s="1678">
        <v>10</v>
      </c>
      <c r="B26" s="1679"/>
      <c r="C26" s="1679"/>
      <c r="D26" s="1679"/>
      <c r="E26" s="1680"/>
      <c r="F26" s="642"/>
      <c r="G26" s="1676">
        <v>10</v>
      </c>
      <c r="H26" s="1677"/>
      <c r="I26" s="1677"/>
      <c r="J26" s="1677"/>
      <c r="K26" s="642"/>
      <c r="L26" s="1676">
        <v>10</v>
      </c>
      <c r="M26" s="1677"/>
      <c r="N26" s="1677"/>
      <c r="O26" s="1677"/>
      <c r="P26" s="642"/>
      <c r="R26" s="173"/>
      <c r="S26" s="173"/>
    </row>
    <row r="27" spans="1:19" s="42" customFormat="1" ht="22.5" customHeight="1">
      <c r="A27" s="1678">
        <v>11</v>
      </c>
      <c r="B27" s="1679"/>
      <c r="C27" s="1679"/>
      <c r="D27" s="1679"/>
      <c r="E27" s="1680"/>
      <c r="F27" s="642"/>
      <c r="G27" s="1676">
        <v>11</v>
      </c>
      <c r="H27" s="1677"/>
      <c r="I27" s="1677"/>
      <c r="J27" s="1677"/>
      <c r="K27" s="642"/>
      <c r="L27" s="1676">
        <v>11</v>
      </c>
      <c r="M27" s="1677"/>
      <c r="N27" s="1677"/>
      <c r="O27" s="1677"/>
      <c r="P27" s="642"/>
      <c r="R27" s="173"/>
      <c r="S27" s="173"/>
    </row>
    <row r="28" spans="1:19" s="42" customFormat="1" ht="22.5" customHeight="1">
      <c r="A28" s="1718">
        <v>12</v>
      </c>
      <c r="B28" s="1719"/>
      <c r="C28" s="1719"/>
      <c r="D28" s="1719"/>
      <c r="E28" s="1720"/>
      <c r="F28" s="643"/>
      <c r="G28" s="1706">
        <v>12</v>
      </c>
      <c r="H28" s="1707"/>
      <c r="I28" s="1707"/>
      <c r="J28" s="1707"/>
      <c r="K28" s="643"/>
      <c r="L28" s="1706">
        <v>12</v>
      </c>
      <c r="M28" s="1707"/>
      <c r="N28" s="1707"/>
      <c r="O28" s="1707"/>
      <c r="P28" s="643"/>
    </row>
    <row r="29" spans="1:19" s="43" customFormat="1" ht="3" customHeight="1">
      <c r="D29" s="39"/>
      <c r="E29" s="36"/>
      <c r="F29" s="1309"/>
      <c r="G29" s="1309"/>
      <c r="H29" s="1309"/>
      <c r="I29" s="1309"/>
      <c r="J29" s="1305"/>
      <c r="K29" s="1305"/>
      <c r="L29" s="1305"/>
      <c r="M29" s="62"/>
      <c r="N29" s="1309"/>
      <c r="O29" s="1282"/>
      <c r="P29" s="3"/>
    </row>
    <row r="30" spans="1:19" s="43" customFormat="1" ht="12.6" customHeight="1">
      <c r="A30" s="498" t="s">
        <v>2087</v>
      </c>
      <c r="B30" s="119" t="s">
        <v>1065</v>
      </c>
      <c r="E30" s="59"/>
      <c r="G30" s="92"/>
      <c r="H30" s="53"/>
      <c r="I30" s="45" t="s">
        <v>4249</v>
      </c>
      <c r="M30" s="1309">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2081</v>
      </c>
      <c r="B31" s="1314" t="s">
        <v>2753</v>
      </c>
      <c r="E31" s="59"/>
      <c r="G31" s="92"/>
      <c r="H31" s="53"/>
      <c r="I31" s="1696" t="s">
        <v>3850</v>
      </c>
      <c r="J31" s="1696"/>
      <c r="M31" s="1309"/>
      <c r="N31" s="7"/>
      <c r="O31" s="790"/>
      <c r="P31" s="7"/>
      <c r="Q31" s="7"/>
      <c r="R31" s="416"/>
    </row>
    <row r="32" spans="1:19" s="479" customFormat="1" ht="11.25" customHeight="1">
      <c r="B32" s="152" t="s">
        <v>3848</v>
      </c>
      <c r="C32" s="793"/>
      <c r="D32" s="793"/>
      <c r="E32" s="791"/>
      <c r="I32" s="1697"/>
      <c r="J32" s="1697"/>
      <c r="K32" s="1708" t="s">
        <v>3847</v>
      </c>
      <c r="L32" s="1708"/>
      <c r="M32" s="485"/>
      <c r="N32" s="481"/>
      <c r="P32" s="798"/>
    </row>
    <row r="33" spans="1:18" s="479" customFormat="1" ht="11.25" customHeight="1">
      <c r="A33" s="478"/>
      <c r="B33" s="152" t="s">
        <v>3849</v>
      </c>
      <c r="C33" s="793"/>
      <c r="E33" s="794" t="s">
        <v>2085</v>
      </c>
      <c r="F33" s="795">
        <v>0.15</v>
      </c>
      <c r="G33" s="152" t="s">
        <v>3846</v>
      </c>
      <c r="I33" s="2533">
        <f>'Part VI-Revenues &amp; Expenses'!$M$57</f>
        <v>20</v>
      </c>
      <c r="J33" s="644"/>
      <c r="K33" s="799">
        <f>IF(OR('Part VI-Revenues &amp; Expenses'!$M$60="", 'Part VI-Revenues &amp; Expenses'!$M$60=0),0,I33/'Part VI-Revenues &amp; Expenses'!$M$60)</f>
        <v>0.20833333333333334</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2087</v>
      </c>
      <c r="F34" s="795">
        <v>0.2</v>
      </c>
      <c r="G34" s="152" t="s">
        <v>3846</v>
      </c>
      <c r="H34" s="464"/>
      <c r="I34" s="2534">
        <f>'Part VI-Revenues &amp; Expenses'!$M$57</f>
        <v>20</v>
      </c>
      <c r="J34" s="792"/>
      <c r="K34" s="800">
        <f>IF(OR('Part VI-Revenues &amp; Expenses'!$M$60="", 'Part VI-Revenues &amp; Expenses'!$M$60=0),0,I34/'Part VI-Revenues &amp; Expenses'!$M$60)</f>
        <v>0.20833333333333334</v>
      </c>
      <c r="L34" s="800">
        <f>IF(OR('Part VI-Revenues &amp; Expenses'!$M$60="", 'Part VI-Revenues &amp; Expenses'!$M$60=0),0,J34/'Part VI-Revenues &amp; Expenses'!$M$60)</f>
        <v>0</v>
      </c>
      <c r="M34" s="485">
        <v>2</v>
      </c>
      <c r="N34" s="481"/>
      <c r="O34" s="1693" t="s">
        <v>2841</v>
      </c>
      <c r="P34" s="1693"/>
    </row>
    <row r="35" spans="1:18" s="479" customFormat="1" ht="11.25" customHeight="1">
      <c r="A35" s="478" t="s">
        <v>2084</v>
      </c>
      <c r="B35" s="1314" t="s">
        <v>4193</v>
      </c>
      <c r="E35" s="480"/>
      <c r="H35" s="464" t="s">
        <v>2754</v>
      </c>
      <c r="I35" s="2535"/>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694">
        <v>0.15</v>
      </c>
      <c r="P35" s="1695"/>
    </row>
    <row r="36" spans="1:18" s="43" customFormat="1" ht="10.5" customHeight="1">
      <c r="A36" s="42"/>
      <c r="B36" s="49" t="s">
        <v>267</v>
      </c>
      <c r="C36" s="42"/>
      <c r="D36" s="48"/>
      <c r="E36" s="48"/>
      <c r="F36" s="48"/>
      <c r="G36" s="48"/>
      <c r="H36" s="36"/>
      <c r="I36" s="36"/>
      <c r="J36" s="36"/>
      <c r="K36" s="36"/>
      <c r="M36" s="46"/>
      <c r="N36" s="64"/>
      <c r="O36" s="3"/>
      <c r="P36" s="1282"/>
    </row>
    <row r="37" spans="1:18" s="43" customFormat="1" ht="12.6" customHeight="1">
      <c r="A37" s="2433" t="s">
        <v>4512</v>
      </c>
      <c r="B37" s="2434"/>
      <c r="C37" s="2434"/>
      <c r="D37" s="2434"/>
      <c r="E37" s="2434"/>
      <c r="F37" s="2434"/>
      <c r="G37" s="2434"/>
      <c r="H37" s="2434"/>
      <c r="I37" s="2434"/>
      <c r="J37" s="2434"/>
      <c r="K37" s="2434"/>
      <c r="L37" s="2434"/>
      <c r="M37" s="2434"/>
      <c r="N37" s="2434"/>
      <c r="O37" s="2434"/>
      <c r="P37" s="2435"/>
      <c r="Q37" s="503" t="s">
        <v>1314</v>
      </c>
    </row>
    <row r="38" spans="1:18" s="43" customFormat="1" ht="10.5" customHeight="1">
      <c r="A38" s="42"/>
      <c r="B38" s="103" t="s">
        <v>1960</v>
      </c>
      <c r="C38" s="42"/>
      <c r="D38" s="90"/>
      <c r="E38" s="1283"/>
      <c r="F38" s="1283"/>
      <c r="G38" s="1283"/>
      <c r="H38" s="1283"/>
      <c r="I38" s="1283"/>
      <c r="J38" s="1283"/>
      <c r="K38" s="1283"/>
      <c r="L38" s="1283"/>
      <c r="M38" s="1283"/>
      <c r="N38" s="78"/>
      <c r="O38" s="74"/>
      <c r="P38" s="2"/>
      <c r="Q38" s="479"/>
    </row>
    <row r="39" spans="1:18" s="43" customFormat="1" ht="12.6" customHeight="1">
      <c r="A39" s="1572"/>
      <c r="B39" s="1573"/>
      <c r="C39" s="1573"/>
      <c r="D39" s="1573"/>
      <c r="E39" s="1573"/>
      <c r="F39" s="1573"/>
      <c r="G39" s="1573"/>
      <c r="H39" s="1573"/>
      <c r="I39" s="1573"/>
      <c r="J39" s="1573"/>
      <c r="K39" s="1573"/>
      <c r="L39" s="1573"/>
      <c r="M39" s="1573"/>
      <c r="N39" s="1573"/>
      <c r="O39" s="1573"/>
      <c r="P39" s="1574"/>
      <c r="Q39" s="503" t="s">
        <v>1314</v>
      </c>
    </row>
    <row r="40" spans="1:18" ht="3" customHeight="1"/>
    <row r="41" spans="1:18" s="43" customFormat="1" ht="12.6" customHeight="1">
      <c r="A41" s="167" t="s">
        <v>2661</v>
      </c>
      <c r="B41" s="111" t="s">
        <v>1968</v>
      </c>
      <c r="D41" s="41"/>
      <c r="J41" s="1700" t="s">
        <v>626</v>
      </c>
      <c r="K41" s="1700"/>
      <c r="L41" s="1700"/>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09"/>
      <c r="G42" s="1309"/>
      <c r="J42" s="1700"/>
      <c r="K42" s="1700"/>
      <c r="L42" s="1700"/>
      <c r="M42" s="62"/>
      <c r="N42" s="1309"/>
      <c r="O42" s="1282"/>
      <c r="P42" s="3"/>
    </row>
    <row r="43" spans="1:18" s="43" customFormat="1" ht="12" customHeight="1">
      <c r="A43" s="151" t="s">
        <v>2081</v>
      </c>
      <c r="B43" s="184" t="s">
        <v>1969</v>
      </c>
      <c r="C43" s="4"/>
      <c r="D43" s="4"/>
      <c r="E43" s="192" t="s">
        <v>2891</v>
      </c>
      <c r="F43" s="334"/>
      <c r="G43" s="334"/>
      <c r="J43" s="1700"/>
      <c r="K43" s="1700"/>
      <c r="L43" s="1700"/>
      <c r="M43" s="76">
        <v>12</v>
      </c>
      <c r="N43" s="196" t="s">
        <v>2081</v>
      </c>
      <c r="O43" s="2536">
        <v>12</v>
      </c>
      <c r="P43" s="638"/>
      <c r="Q43" s="432" t="s">
        <v>2877</v>
      </c>
      <c r="R43" s="416"/>
    </row>
    <row r="44" spans="1:18" s="43" customFormat="1" ht="12" customHeight="1">
      <c r="A44" s="151" t="s">
        <v>2084</v>
      </c>
      <c r="B44" s="184" t="s">
        <v>3966</v>
      </c>
      <c r="C44" s="4"/>
      <c r="D44" s="4"/>
      <c r="F44" s="192" t="s">
        <v>3988</v>
      </c>
      <c r="H44" s="334"/>
      <c r="I44" s="192" t="s">
        <v>3989</v>
      </c>
      <c r="L44" s="621" t="s">
        <v>3968</v>
      </c>
      <c r="M44" s="76">
        <v>1</v>
      </c>
      <c r="N44" s="533" t="s">
        <v>2084</v>
      </c>
      <c r="O44" s="2537">
        <v>1</v>
      </c>
      <c r="P44" s="640"/>
      <c r="Q44" s="432" t="s">
        <v>2877</v>
      </c>
      <c r="R44" s="416"/>
    </row>
    <row r="45" spans="1:18" s="43" customFormat="1" ht="12" customHeight="1">
      <c r="A45" s="151"/>
      <c r="B45" s="1698" t="s">
        <v>3967</v>
      </c>
      <c r="C45" s="1698"/>
      <c r="D45" s="1698"/>
      <c r="E45" s="1698"/>
      <c r="F45" s="2538" t="s">
        <v>3973</v>
      </c>
      <c r="G45" s="2539"/>
      <c r="H45" s="2540"/>
      <c r="I45" s="2538" t="s">
        <v>4458</v>
      </c>
      <c r="J45" s="2539"/>
      <c r="K45" s="2540"/>
      <c r="L45" s="2541">
        <v>0.8</v>
      </c>
      <c r="M45" s="76"/>
      <c r="N45" s="196"/>
      <c r="O45" s="196"/>
      <c r="P45" s="196"/>
      <c r="Q45" s="432"/>
      <c r="R45" s="416"/>
    </row>
    <row r="46" spans="1:18" s="43" customFormat="1" ht="12" customHeight="1">
      <c r="A46" s="151"/>
      <c r="B46" s="1698"/>
      <c r="C46" s="1698"/>
      <c r="D46" s="1698"/>
      <c r="E46" s="1698"/>
      <c r="F46" s="2542" t="s">
        <v>3980</v>
      </c>
      <c r="G46" s="2543"/>
      <c r="H46" s="2544"/>
      <c r="I46" s="2542" t="s">
        <v>4459</v>
      </c>
      <c r="J46" s="2543"/>
      <c r="K46" s="2544"/>
      <c r="L46" s="2545">
        <v>0.5</v>
      </c>
      <c r="M46" s="76"/>
      <c r="N46" s="196"/>
      <c r="O46" s="196"/>
      <c r="P46" s="196"/>
      <c r="Q46" s="432"/>
      <c r="R46" s="416"/>
    </row>
    <row r="47" spans="1:18" s="43" customFormat="1" ht="12" customHeight="1">
      <c r="A47" s="151"/>
      <c r="B47" s="1698"/>
      <c r="C47" s="1698"/>
      <c r="D47" s="1698"/>
      <c r="E47" s="1698"/>
      <c r="F47" s="2546" t="s">
        <v>3983</v>
      </c>
      <c r="G47" s="2547"/>
      <c r="H47" s="2548"/>
      <c r="I47" s="2546" t="s">
        <v>4460</v>
      </c>
      <c r="J47" s="2547"/>
      <c r="K47" s="2548"/>
      <c r="L47" s="2549">
        <v>0.7</v>
      </c>
      <c r="M47" s="76"/>
      <c r="N47" s="196"/>
      <c r="O47" s="196"/>
      <c r="P47" s="196"/>
      <c r="Q47" s="432"/>
      <c r="R47" s="416"/>
    </row>
    <row r="48" spans="1:18" s="43" customFormat="1" ht="12.6" customHeight="1">
      <c r="A48" s="151" t="s">
        <v>789</v>
      </c>
      <c r="B48" s="184" t="s">
        <v>1970</v>
      </c>
      <c r="D48" s="41"/>
      <c r="E48" s="192" t="s">
        <v>442</v>
      </c>
      <c r="F48" s="436"/>
      <c r="G48" s="436"/>
      <c r="H48" s="436"/>
      <c r="M48" s="820" t="s">
        <v>1298</v>
      </c>
      <c r="N48" s="533" t="s">
        <v>789</v>
      </c>
      <c r="O48" s="2550">
        <v>0</v>
      </c>
      <c r="P48" s="1234"/>
      <c r="Q48" s="432" t="s">
        <v>2877</v>
      </c>
      <c r="R48" s="416"/>
    </row>
    <row r="49" spans="1:18" s="43" customFormat="1" ht="11.25" customHeight="1">
      <c r="A49" s="42"/>
      <c r="B49" s="49" t="s">
        <v>267</v>
      </c>
      <c r="C49" s="42"/>
      <c r="D49" s="48"/>
      <c r="E49" s="48"/>
      <c r="F49" s="48"/>
      <c r="G49" s="48"/>
      <c r="H49" s="36"/>
      <c r="I49" s="36"/>
      <c r="J49" s="36"/>
      <c r="K49" s="36"/>
      <c r="M49" s="46"/>
      <c r="N49" s="64"/>
      <c r="O49" s="3"/>
      <c r="P49" s="1282"/>
    </row>
    <row r="50" spans="1:18" s="43" customFormat="1" ht="23.45" customHeight="1">
      <c r="A50" s="2433" t="s">
        <v>4513</v>
      </c>
      <c r="B50" s="2434"/>
      <c r="C50" s="2434"/>
      <c r="D50" s="2434"/>
      <c r="E50" s="2434"/>
      <c r="F50" s="2434"/>
      <c r="G50" s="2434"/>
      <c r="H50" s="2434"/>
      <c r="I50" s="2434"/>
      <c r="J50" s="2434"/>
      <c r="K50" s="2434"/>
      <c r="L50" s="2434"/>
      <c r="M50" s="2434"/>
      <c r="N50" s="2434"/>
      <c r="O50" s="2434"/>
      <c r="P50" s="2435"/>
      <c r="Q50" s="503" t="s">
        <v>1314</v>
      </c>
      <c r="R50" s="504"/>
    </row>
    <row r="51" spans="1:18" s="43" customFormat="1" ht="11.45" customHeight="1">
      <c r="A51" s="42"/>
      <c r="B51" s="70" t="s">
        <v>1960</v>
      </c>
      <c r="C51" s="42"/>
      <c r="D51" s="149"/>
      <c r="E51" s="1283"/>
      <c r="F51" s="1283"/>
      <c r="G51" s="1283"/>
      <c r="H51" s="1283"/>
      <c r="I51" s="1283"/>
      <c r="J51" s="1283"/>
      <c r="K51" s="1283"/>
      <c r="L51" s="1283"/>
      <c r="M51" s="1283"/>
      <c r="N51" s="78"/>
      <c r="O51" s="74"/>
      <c r="P51" s="2"/>
      <c r="Q51" s="479"/>
      <c r="R51" s="479"/>
    </row>
    <row r="52" spans="1:18" s="43" customFormat="1" ht="23.45" customHeight="1">
      <c r="A52" s="1572"/>
      <c r="B52" s="1573"/>
      <c r="C52" s="1573"/>
      <c r="D52" s="1573"/>
      <c r="E52" s="1573"/>
      <c r="F52" s="1573"/>
      <c r="G52" s="1573"/>
      <c r="H52" s="1573"/>
      <c r="I52" s="1573"/>
      <c r="J52" s="1573"/>
      <c r="K52" s="1573"/>
      <c r="L52" s="1573"/>
      <c r="M52" s="1573"/>
      <c r="N52" s="1573"/>
      <c r="O52" s="1573"/>
      <c r="P52" s="1574"/>
      <c r="Q52" s="503" t="s">
        <v>1314</v>
      </c>
      <c r="R52" s="504"/>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3"/>
      <c r="O54" s="67">
        <f>IF($J$55="Flexible",MIN($M54,(O56+O57+O58+O59+O60)),IF(AND($J$55="Rural",O62&gt;0),MIN($M62,O62),0))</f>
        <v>0</v>
      </c>
      <c r="P54" s="67">
        <f>IF($J$55="Flexible",MIN($M54,(P56+P57+P58+P59+P60)),IF(AND($J$55="Rural",P62&gt;0),MIN($M62,P62),0))</f>
        <v>0</v>
      </c>
      <c r="Q54" s="115" t="s">
        <v>458</v>
      </c>
    </row>
    <row r="55" spans="1:18" s="43" customFormat="1" ht="12.6" customHeight="1">
      <c r="A55" s="605" t="s">
        <v>3093</v>
      </c>
      <c r="B55" s="111"/>
      <c r="D55" s="41"/>
      <c r="H55" s="184" t="s">
        <v>3102</v>
      </c>
      <c r="I55" s="606"/>
      <c r="J55" s="184" t="str">
        <f>'Part I-Project Information'!$H$90</f>
        <v>Flexible</v>
      </c>
      <c r="L55" s="28"/>
      <c r="M55" s="2"/>
      <c r="N55" s="2"/>
      <c r="O55" s="2"/>
      <c r="P55" s="2"/>
      <c r="Q55" s="115"/>
    </row>
    <row r="56" spans="1:18" s="461" customFormat="1" ht="23.25" customHeight="1">
      <c r="A56" s="156" t="s">
        <v>2081</v>
      </c>
      <c r="B56" s="1702" t="s">
        <v>4234</v>
      </c>
      <c r="C56" s="1702"/>
      <c r="D56" s="1702"/>
      <c r="E56" s="1702"/>
      <c r="F56" s="1702"/>
      <c r="G56" s="1702"/>
      <c r="H56" s="1702"/>
      <c r="I56" s="1703" t="s">
        <v>4240</v>
      </c>
      <c r="J56" s="1704"/>
      <c r="K56" s="1704"/>
      <c r="L56" s="1705"/>
      <c r="M56" s="601">
        <v>5</v>
      </c>
      <c r="N56" s="433" t="s">
        <v>2081</v>
      </c>
      <c r="O56" s="2551"/>
      <c r="P56" s="1290"/>
      <c r="Q56" s="602" t="str">
        <f>IF(OR($O56=$M56,$O56=0,$O56=""),"","* * Check Score! * *")</f>
        <v/>
      </c>
      <c r="R56" s="432" t="s">
        <v>2877</v>
      </c>
    </row>
    <row r="57" spans="1:18" s="461" customFormat="1" ht="12" customHeight="1">
      <c r="A57" s="156" t="s">
        <v>2084</v>
      </c>
      <c r="B57" s="952" t="s">
        <v>4235</v>
      </c>
      <c r="C57" s="952"/>
      <c r="D57" s="952"/>
      <c r="E57" s="952"/>
      <c r="F57" s="952"/>
      <c r="G57" s="952"/>
      <c r="H57" s="952"/>
      <c r="I57" s="2552" t="s">
        <v>4239</v>
      </c>
      <c r="J57" s="2553"/>
      <c r="K57" s="2553"/>
      <c r="L57" s="2554" t="s">
        <v>4241</v>
      </c>
      <c r="M57" s="601">
        <v>4</v>
      </c>
      <c r="N57" s="177" t="s">
        <v>2084</v>
      </c>
      <c r="O57" s="2555"/>
      <c r="P57" s="1235"/>
      <c r="Q57" s="602" t="str">
        <f>IF(OR($O57=$M57,$O57=0,$O57=""),"","* * Check Score! * *")</f>
        <v/>
      </c>
      <c r="R57" s="432" t="s">
        <v>2877</v>
      </c>
    </row>
    <row r="58" spans="1:18" s="461" customFormat="1" ht="12" customHeight="1">
      <c r="A58" s="151" t="s">
        <v>789</v>
      </c>
      <c r="B58" s="116" t="s">
        <v>4236</v>
      </c>
      <c r="C58" s="952"/>
      <c r="D58" s="952"/>
      <c r="E58" s="952"/>
      <c r="F58" s="952"/>
      <c r="G58" s="952"/>
      <c r="H58" s="952"/>
      <c r="I58" s="2556" t="s">
        <v>4361</v>
      </c>
      <c r="J58" s="2557"/>
      <c r="K58" s="2557"/>
      <c r="L58" s="2558"/>
      <c r="M58" s="601">
        <v>3</v>
      </c>
      <c r="N58" s="196" t="s">
        <v>789</v>
      </c>
      <c r="O58" s="2555"/>
      <c r="P58" s="1235"/>
      <c r="Q58" s="602" t="str">
        <f>IF(OR($O58=$M58,$O58=0,$O58=""),"","* * Check Score! * *")</f>
        <v/>
      </c>
      <c r="R58" s="432" t="s">
        <v>2877</v>
      </c>
    </row>
    <row r="59" spans="1:18" s="43" customFormat="1" ht="12.6" customHeight="1">
      <c r="A59" s="151" t="s">
        <v>2216</v>
      </c>
      <c r="B59" s="116" t="s">
        <v>4237</v>
      </c>
      <c r="E59" s="41"/>
      <c r="I59" s="2559"/>
      <c r="J59" s="2560"/>
      <c r="K59" s="2560"/>
      <c r="L59" s="2561"/>
      <c r="M59" s="76">
        <v>2</v>
      </c>
      <c r="N59" s="196" t="s">
        <v>2216</v>
      </c>
      <c r="O59" s="2562"/>
      <c r="P59" s="639"/>
      <c r="Q59" s="416" t="str">
        <f>IF(OR($O59=$M59,$O59=0,$O59=""),"","* * Check Score! * *")</f>
        <v/>
      </c>
      <c r="R59" s="432" t="s">
        <v>2877</v>
      </c>
    </row>
    <row r="60" spans="1:18" s="43" customFormat="1" ht="12.6" customHeight="1">
      <c r="A60" s="151" t="s">
        <v>1823</v>
      </c>
      <c r="B60" s="952" t="s">
        <v>4238</v>
      </c>
      <c r="E60" s="41"/>
      <c r="I60" s="2556" t="s">
        <v>4362</v>
      </c>
      <c r="J60" s="2557"/>
      <c r="K60" s="2557"/>
      <c r="L60" s="2558"/>
      <c r="M60" s="76">
        <v>1</v>
      </c>
      <c r="N60" s="196" t="s">
        <v>1823</v>
      </c>
      <c r="O60" s="2537"/>
      <c r="P60" s="640"/>
      <c r="Q60" s="416" t="str">
        <f>IF(OR($O60=$M60,$O60=0,$O60=""),"","* * Check Score! * *")</f>
        <v/>
      </c>
      <c r="R60" s="432" t="s">
        <v>2877</v>
      </c>
    </row>
    <row r="61" spans="1:18" s="43" customFormat="1" ht="12.6" customHeight="1">
      <c r="A61" s="605" t="s">
        <v>3095</v>
      </c>
      <c r="B61" s="184"/>
      <c r="E61" s="41"/>
      <c r="I61" s="2563"/>
      <c r="J61" s="2564"/>
      <c r="K61" s="2564"/>
      <c r="L61" s="2565"/>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2550"/>
      <c r="P62" s="1233"/>
      <c r="Q62" s="416" t="str">
        <f>IF(OR($O62=$M62,$O62=0,$O62=""),"","* * Check Score! * *")</f>
        <v/>
      </c>
      <c r="R62" s="432" t="s">
        <v>2877</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33"/>
      <c r="B65" s="2434"/>
      <c r="C65" s="2434"/>
      <c r="D65" s="2434"/>
      <c r="E65" s="2434"/>
      <c r="F65" s="2434"/>
      <c r="G65" s="2434"/>
      <c r="H65" s="2434"/>
      <c r="I65" s="2434"/>
      <c r="J65" s="2434"/>
      <c r="K65" s="2434"/>
      <c r="L65" s="2434"/>
      <c r="M65" s="2434"/>
      <c r="N65" s="2434"/>
      <c r="O65" s="2434"/>
      <c r="P65" s="2435"/>
      <c r="Q65" s="503" t="s">
        <v>1314</v>
      </c>
    </row>
    <row r="66" spans="1:18" s="108" customFormat="1" ht="11.45" customHeight="1">
      <c r="A66" s="42"/>
      <c r="B66" s="103" t="s">
        <v>1960</v>
      </c>
      <c r="C66" s="42"/>
      <c r="D66" s="103"/>
      <c r="E66" s="1277"/>
      <c r="F66" s="1277"/>
      <c r="G66" s="1277"/>
      <c r="H66" s="1277"/>
      <c r="I66" s="1277"/>
      <c r="J66" s="1277"/>
      <c r="K66" s="1277"/>
      <c r="L66" s="1277"/>
      <c r="M66" s="1277"/>
      <c r="N66" s="99"/>
      <c r="O66" s="1316"/>
      <c r="P66" s="2"/>
      <c r="Q66" s="479"/>
    </row>
    <row r="67" spans="1:18" s="43" customFormat="1" ht="12.75" customHeight="1">
      <c r="A67" s="1572"/>
      <c r="B67" s="1573"/>
      <c r="C67" s="1573"/>
      <c r="D67" s="1573"/>
      <c r="E67" s="1573"/>
      <c r="F67" s="1573"/>
      <c r="G67" s="1573"/>
      <c r="H67" s="1573"/>
      <c r="I67" s="1573"/>
      <c r="J67" s="1573"/>
      <c r="K67" s="1573"/>
      <c r="L67" s="1573"/>
      <c r="M67" s="1573"/>
      <c r="N67" s="1573"/>
      <c r="O67" s="1573"/>
      <c r="P67" s="1574"/>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66"/>
      <c r="P69" s="1233"/>
      <c r="Q69" s="115" t="s">
        <v>458</v>
      </c>
      <c r="R69" s="432" t="s">
        <v>2877</v>
      </c>
    </row>
    <row r="70" spans="1:18" s="43" customFormat="1" ht="12.6" customHeight="1">
      <c r="A70" s="156" t="s">
        <v>2081</v>
      </c>
      <c r="B70" s="437" t="s">
        <v>2755</v>
      </c>
      <c r="D70" s="41"/>
      <c r="E70" s="36"/>
      <c r="K70" s="2567" t="s">
        <v>1017</v>
      </c>
      <c r="L70" s="2568"/>
      <c r="M70" s="2569"/>
      <c r="P70" s="533"/>
      <c r="Q70" s="115"/>
    </row>
    <row r="71" spans="1:18" s="43" customFormat="1" ht="12.6" customHeight="1">
      <c r="A71" s="156" t="s">
        <v>2084</v>
      </c>
      <c r="B71" s="437" t="s">
        <v>3990</v>
      </c>
      <c r="D71" s="41"/>
      <c r="E71" s="36"/>
      <c r="K71" s="2570"/>
      <c r="L71" s="2568"/>
      <c r="M71" s="2569"/>
      <c r="O71" s="127" t="s">
        <v>2636</v>
      </c>
      <c r="P71" s="127" t="s">
        <v>2636</v>
      </c>
      <c r="Q71" s="115"/>
    </row>
    <row r="72" spans="1:18" s="43" customFormat="1" ht="12.6" customHeight="1">
      <c r="A72" s="151" t="s">
        <v>789</v>
      </c>
      <c r="B72" s="437" t="s">
        <v>4198</v>
      </c>
      <c r="D72" s="41"/>
      <c r="E72" s="36"/>
      <c r="N72" s="196" t="s">
        <v>789</v>
      </c>
      <c r="O72" s="2429" t="s">
        <v>3425</v>
      </c>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33"/>
      <c r="B74" s="2434"/>
      <c r="C74" s="2434"/>
      <c r="D74" s="2434"/>
      <c r="E74" s="2434"/>
      <c r="F74" s="2434"/>
      <c r="G74" s="2434"/>
      <c r="H74" s="2434"/>
      <c r="I74" s="2434"/>
      <c r="J74" s="2434"/>
      <c r="K74" s="2434"/>
      <c r="L74" s="2434"/>
      <c r="M74" s="2434"/>
      <c r="N74" s="2434"/>
      <c r="O74" s="2434"/>
      <c r="P74" s="2435"/>
      <c r="Q74" s="503" t="s">
        <v>1314</v>
      </c>
    </row>
    <row r="75" spans="1:18" s="108" customFormat="1" ht="11.45" customHeight="1">
      <c r="A75" s="42"/>
      <c r="B75" s="103" t="s">
        <v>1960</v>
      </c>
      <c r="C75" s="42"/>
      <c r="D75" s="103"/>
      <c r="E75" s="1277"/>
      <c r="F75" s="1277"/>
      <c r="G75" s="1277"/>
      <c r="H75" s="1277"/>
      <c r="I75" s="1277"/>
      <c r="J75" s="1277"/>
      <c r="K75" s="1277"/>
      <c r="L75" s="1277"/>
      <c r="M75" s="1277"/>
      <c r="N75" s="99"/>
      <c r="O75" s="1316"/>
      <c r="P75" s="2"/>
      <c r="Q75" s="479"/>
    </row>
    <row r="76" spans="1:18" s="43" customFormat="1" ht="12.75" customHeight="1">
      <c r="A76" s="1572"/>
      <c r="B76" s="1573"/>
      <c r="C76" s="1573"/>
      <c r="D76" s="1573"/>
      <c r="E76" s="1573"/>
      <c r="F76" s="1573"/>
      <c r="G76" s="1573"/>
      <c r="H76" s="1573"/>
      <c r="I76" s="1573"/>
      <c r="J76" s="1573"/>
      <c r="K76" s="1573"/>
      <c r="L76" s="1573"/>
      <c r="M76" s="1573"/>
      <c r="N76" s="1573"/>
      <c r="O76" s="1573"/>
      <c r="P76" s="1574"/>
      <c r="Q76" s="503"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2059" t="s">
        <v>4461</v>
      </c>
      <c r="J79" s="2571"/>
      <c r="K79" s="2060"/>
      <c r="M79" s="2"/>
      <c r="N79" s="440"/>
      <c r="O79" s="485"/>
      <c r="P79" s="485"/>
      <c r="Q79" s="115"/>
    </row>
    <row r="80" spans="1:18" s="43" customFormat="1" ht="12.6" customHeight="1">
      <c r="A80" s="167"/>
      <c r="B80" s="91" t="s">
        <v>3102</v>
      </c>
      <c r="G80" s="41"/>
      <c r="H80" s="41"/>
      <c r="I80" s="900" t="str">
        <f>'Part I-Project Information'!$H$90</f>
        <v>Flexible</v>
      </c>
      <c r="K80" s="28"/>
      <c r="M80" s="2"/>
      <c r="N80" s="440"/>
      <c r="O80" s="485"/>
      <c r="P80" s="485"/>
      <c r="Q80" s="115"/>
    </row>
    <row r="81" spans="1:17" ht="11.45" customHeight="1">
      <c r="A81" s="151" t="s">
        <v>2081</v>
      </c>
      <c r="B81" s="199" t="s">
        <v>2437</v>
      </c>
      <c r="D81" s="32"/>
      <c r="M81" s="122">
        <v>3</v>
      </c>
      <c r="N81" s="28"/>
      <c r="O81" s="127" t="s">
        <v>2636</v>
      </c>
      <c r="P81" s="127" t="s">
        <v>2636</v>
      </c>
    </row>
    <row r="82" spans="1:17" s="43" customFormat="1" ht="12.6" customHeight="1">
      <c r="B82" s="483" t="s">
        <v>2847</v>
      </c>
      <c r="D82" s="41"/>
      <c r="M82" s="2"/>
      <c r="N82" s="196" t="s">
        <v>2081</v>
      </c>
      <c r="O82" s="2429" t="s">
        <v>3425</v>
      </c>
      <c r="P82" s="646"/>
      <c r="Q82" s="115"/>
    </row>
    <row r="83" spans="1:17" ht="11.45" customHeight="1">
      <c r="B83" s="412" t="s">
        <v>2085</v>
      </c>
      <c r="C83" s="425" t="s">
        <v>2756</v>
      </c>
      <c r="E83" s="125"/>
      <c r="N83" s="28"/>
      <c r="O83" s="28"/>
      <c r="P83" s="28"/>
    </row>
    <row r="84" spans="1:17" ht="23.25" customHeight="1">
      <c r="A84" s="460" t="str">
        <f>IF(AND(O84="",$I$79="Earth Craft Communities"), "X","")</f>
        <v/>
      </c>
      <c r="B84" s="431"/>
      <c r="C84" s="1699" t="s">
        <v>2758</v>
      </c>
      <c r="D84" s="1699"/>
      <c r="E84" s="1699"/>
      <c r="F84" s="1699"/>
      <c r="G84" s="1699"/>
      <c r="H84" s="1699"/>
      <c r="I84" s="1699"/>
      <c r="J84" s="1699"/>
      <c r="K84" s="1699"/>
      <c r="L84" s="1699"/>
      <c r="M84" s="428" t="str">
        <f>IF(AND($I$102="Stable Communities &lt; 10%",O84=""), "X","")</f>
        <v/>
      </c>
      <c r="N84" s="553" t="s">
        <v>2085</v>
      </c>
      <c r="O84" s="2523" t="s">
        <v>4462</v>
      </c>
      <c r="P84" s="64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699" t="s">
        <v>2908</v>
      </c>
      <c r="D86" s="1699"/>
      <c r="E86" s="1699"/>
      <c r="F86" s="1699"/>
      <c r="G86" s="1699"/>
      <c r="H86" s="1699"/>
      <c r="I86" s="1699"/>
      <c r="J86" s="1699"/>
      <c r="K86" s="1699"/>
      <c r="L86" s="1699"/>
      <c r="M86" s="428" t="str">
        <f>IF(AND($I$102="Stable Communities &lt; 10%",O86=""), "X","")</f>
        <v/>
      </c>
      <c r="N86" s="553" t="s">
        <v>2087</v>
      </c>
      <c r="O86" s="2572" t="s">
        <v>4462</v>
      </c>
      <c r="P86" s="64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2085</v>
      </c>
      <c r="C88" s="551" t="s">
        <v>2912</v>
      </c>
      <c r="D88" s="41"/>
      <c r="M88" s="2"/>
      <c r="N88" s="553" t="s">
        <v>2085</v>
      </c>
      <c r="O88" s="2468" t="s">
        <v>3422</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2087</v>
      </c>
      <c r="C89" s="551" t="s">
        <v>2909</v>
      </c>
      <c r="D89" s="41"/>
      <c r="M89" s="2"/>
      <c r="N89" s="553" t="s">
        <v>2087</v>
      </c>
      <c r="O89" s="2471" t="s">
        <v>3422</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2661</v>
      </c>
      <c r="C90" s="551" t="s">
        <v>2910</v>
      </c>
      <c r="D90" s="41"/>
      <c r="M90" s="2"/>
      <c r="N90" s="553" t="s">
        <v>2661</v>
      </c>
      <c r="O90" s="2471" t="s">
        <v>3422</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2911</v>
      </c>
      <c r="D91" s="41"/>
      <c r="M91" s="2"/>
      <c r="N91" s="553" t="s">
        <v>1283</v>
      </c>
      <c r="O91" s="2469" t="s">
        <v>3422</v>
      </c>
      <c r="P91" s="651"/>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701"/>
      <c r="J93" s="1701"/>
      <c r="K93" s="1701"/>
      <c r="L93" s="1701"/>
      <c r="M93" s="57">
        <v>1</v>
      </c>
      <c r="N93" s="196" t="s">
        <v>789</v>
      </c>
      <c r="O93" s="2566">
        <v>1</v>
      </c>
      <c r="P93" s="1233"/>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2085</v>
      </c>
      <c r="C94" s="551" t="s">
        <v>4385</v>
      </c>
      <c r="D94" s="41"/>
      <c r="M94" s="2"/>
      <c r="N94" s="553" t="s">
        <v>2085</v>
      </c>
      <c r="O94" s="2523" t="s">
        <v>3422</v>
      </c>
      <c r="P94" s="647"/>
      <c r="Q94" s="115"/>
    </row>
    <row r="95" spans="1:17" s="32" customFormat="1" ht="11.45" customHeight="1">
      <c r="A95" s="151"/>
      <c r="B95" s="497" t="s">
        <v>2087</v>
      </c>
      <c r="C95" s="146" t="s">
        <v>4384</v>
      </c>
      <c r="D95" s="146"/>
      <c r="H95" s="433" t="s">
        <v>2087</v>
      </c>
      <c r="I95" s="2573" t="s">
        <v>4436</v>
      </c>
      <c r="J95" s="2574"/>
      <c r="K95" s="2575"/>
      <c r="M95" s="146"/>
    </row>
    <row r="96" spans="1:17" s="32" customFormat="1" ht="11.45" customHeight="1">
      <c r="A96" s="151"/>
      <c r="B96" s="497" t="s">
        <v>2661</v>
      </c>
      <c r="C96" s="146" t="s">
        <v>4045</v>
      </c>
      <c r="D96" s="146"/>
      <c r="H96" s="433" t="s">
        <v>2661</v>
      </c>
      <c r="I96" s="2567" t="s">
        <v>4514</v>
      </c>
      <c r="J96" s="2576"/>
      <c r="K96" s="2576"/>
      <c r="L96" s="2576"/>
      <c r="M96" s="2576"/>
      <c r="N96" s="2576"/>
      <c r="O96" s="2576"/>
      <c r="P96" s="2577"/>
    </row>
    <row r="97" spans="1:18" s="108" customFormat="1" ht="11.45" customHeight="1">
      <c r="A97" s="42"/>
      <c r="B97" s="49" t="s">
        <v>267</v>
      </c>
      <c r="C97" s="42"/>
      <c r="D97" s="48"/>
      <c r="E97" s="48"/>
      <c r="F97" s="48"/>
      <c r="G97" s="48"/>
      <c r="K97" s="36"/>
      <c r="M97" s="46"/>
      <c r="N97" s="6"/>
      <c r="O97" s="3"/>
      <c r="P97" s="2"/>
    </row>
    <row r="98" spans="1:18" s="43" customFormat="1" ht="12.75" customHeight="1">
      <c r="A98" s="2578" t="s">
        <v>4519</v>
      </c>
      <c r="B98" s="2579"/>
      <c r="C98" s="2579"/>
      <c r="D98" s="2579"/>
      <c r="E98" s="2579"/>
      <c r="F98" s="2579"/>
      <c r="G98" s="2579"/>
      <c r="H98" s="2579"/>
      <c r="I98" s="2579"/>
      <c r="J98" s="2579"/>
      <c r="K98" s="2579"/>
      <c r="L98" s="2579"/>
      <c r="M98" s="2579"/>
      <c r="N98" s="2579"/>
      <c r="O98" s="2579"/>
      <c r="P98" s="2580"/>
      <c r="Q98" s="503" t="s">
        <v>1314</v>
      </c>
    </row>
    <row r="99" spans="1:18" s="43" customFormat="1" ht="11.25" customHeight="1">
      <c r="B99" s="103" t="s">
        <v>1960</v>
      </c>
      <c r="C99" s="42"/>
      <c r="D99" s="90"/>
      <c r="E99" s="1283"/>
      <c r="F99" s="1283"/>
      <c r="G99" s="1283"/>
      <c r="H99" s="1283"/>
      <c r="I99" s="1283"/>
      <c r="J99" s="1283"/>
      <c r="K99" s="1283"/>
      <c r="L99" s="1283"/>
      <c r="M99" s="1283"/>
      <c r="N99" s="78"/>
      <c r="O99" s="74"/>
      <c r="P99" s="2"/>
      <c r="Q99" s="479"/>
    </row>
    <row r="100" spans="1:18" s="43" customFormat="1" ht="12.75" customHeight="1">
      <c r="A100" s="1715"/>
      <c r="B100" s="1716"/>
      <c r="C100" s="1716"/>
      <c r="D100" s="1716"/>
      <c r="E100" s="1716"/>
      <c r="F100" s="1716"/>
      <c r="G100" s="1716"/>
      <c r="H100" s="1716"/>
      <c r="I100" s="1716"/>
      <c r="J100" s="1716"/>
      <c r="K100" s="1716"/>
      <c r="L100" s="1716"/>
      <c r="M100" s="1716"/>
      <c r="N100" s="1716"/>
      <c r="O100" s="1716"/>
      <c r="P100" s="1717"/>
      <c r="Q100" s="503" t="s">
        <v>1314</v>
      </c>
    </row>
    <row r="101" spans="1:18" s="43" customFormat="1" ht="3" customHeight="1">
      <c r="A101" s="42"/>
      <c r="D101" s="39"/>
      <c r="E101" s="36"/>
      <c r="F101" s="1309"/>
      <c r="G101" s="1309"/>
      <c r="H101" s="1309"/>
      <c r="I101" s="1309"/>
      <c r="J101" s="1305"/>
      <c r="K101" s="1305"/>
      <c r="L101" s="1305"/>
      <c r="M101" s="62"/>
      <c r="N101" s="1309"/>
      <c r="O101" s="1282"/>
      <c r="P101" s="3"/>
    </row>
    <row r="102" spans="1:18" s="108" customFormat="1" ht="12.6" customHeight="1">
      <c r="A102" s="167" t="s">
        <v>526</v>
      </c>
      <c r="B102" s="112" t="s">
        <v>3094</v>
      </c>
      <c r="C102" s="98"/>
      <c r="D102" s="61"/>
      <c r="E102" s="61"/>
      <c r="H102" s="36" t="s">
        <v>4371</v>
      </c>
      <c r="M102" s="2">
        <v>4</v>
      </c>
      <c r="N102" s="7"/>
      <c r="O102" s="80">
        <f>IF(AND(E103="Flexible",D105=5%,O104="Yes",NOT(J106="")),4,IF(OR(AND(E103="Flexible",D105=10%,O104="Yes",NOT(J106="")),AND(E103="Rural",O104="Yes",D105=15%,OR(K108="Yes",K109="Yes"))),3,IF(OR(AND(E103="Flexible",D105=15%,O104="Yes",NOT(J106="")),AND(E103="Rural",O104="Yes",D105=20%,OR(K108="Yes",K109="Yes"))),2,0)))</f>
        <v>3</v>
      </c>
      <c r="P102" s="645"/>
      <c r="Q102" s="115" t="s">
        <v>458</v>
      </c>
      <c r="R102" s="43"/>
    </row>
    <row r="103" spans="1:18" ht="11.45" customHeight="1">
      <c r="A103" s="151"/>
      <c r="B103" s="184" t="s">
        <v>3102</v>
      </c>
      <c r="C103" s="603"/>
      <c r="D103" s="603"/>
      <c r="E103" s="604" t="str">
        <f>'Part I-Project Information'!$H$90</f>
        <v>Flexible</v>
      </c>
      <c r="M103" s="122"/>
      <c r="N103" s="28"/>
      <c r="O103" s="127" t="s">
        <v>2636</v>
      </c>
      <c r="P103" s="127" t="s">
        <v>2636</v>
      </c>
    </row>
    <row r="104" spans="1:18" ht="11.45" customHeight="1">
      <c r="A104" s="411" t="str">
        <f>IF($I$102="Stable Communities &lt; 5%", "*","")</f>
        <v/>
      </c>
      <c r="B104" s="412" t="s">
        <v>2085</v>
      </c>
      <c r="C104" s="495" t="s">
        <v>2839</v>
      </c>
      <c r="E104" s="125"/>
      <c r="M104" s="84"/>
      <c r="N104" s="28"/>
      <c r="O104" s="2523" t="s">
        <v>3422</v>
      </c>
      <c r="P104" s="647"/>
    </row>
    <row r="105" spans="1:18" ht="11.45" customHeight="1">
      <c r="B105" s="412" t="s">
        <v>2087</v>
      </c>
      <c r="C105" s="495" t="s">
        <v>2927</v>
      </c>
      <c r="D105" s="2581">
        <v>0.1</v>
      </c>
      <c r="E105" s="495" t="s">
        <v>2928</v>
      </c>
      <c r="G105" s="106" t="s">
        <v>2506</v>
      </c>
      <c r="I105" s="146" t="s">
        <v>2926</v>
      </c>
      <c r="J105" s="2582">
        <v>7.7600000000000002E-2</v>
      </c>
      <c r="K105" s="921" t="str">
        <f>IF(J105&gt;D105,"CHECK ACTUAL PERCENT!!!","")</f>
        <v/>
      </c>
      <c r="M105" s="484"/>
      <c r="N105" s="482"/>
    </row>
    <row r="106" spans="1:18" ht="11.45" customHeight="1">
      <c r="B106" s="412" t="s">
        <v>2661</v>
      </c>
      <c r="C106" s="466" t="s">
        <v>2507</v>
      </c>
      <c r="E106" s="125"/>
      <c r="G106" s="106" t="s">
        <v>2508</v>
      </c>
      <c r="I106" s="549" t="s">
        <v>2917</v>
      </c>
      <c r="J106" s="2583" t="s">
        <v>1400</v>
      </c>
      <c r="M106" s="484"/>
    </row>
    <row r="107" spans="1:18" ht="11.45" customHeight="1">
      <c r="B107" s="412" t="s">
        <v>1283</v>
      </c>
      <c r="C107" s="466" t="s">
        <v>4063</v>
      </c>
      <c r="E107" s="495" t="s">
        <v>4066</v>
      </c>
      <c r="H107" s="106"/>
      <c r="I107" s="146"/>
      <c r="J107" s="2584">
        <v>73241</v>
      </c>
      <c r="K107" s="489" t="s">
        <v>4067</v>
      </c>
      <c r="M107" s="484"/>
    </row>
    <row r="108" spans="1:18" ht="11.45" customHeight="1">
      <c r="B108" s="412"/>
      <c r="C108" s="466"/>
      <c r="E108" s="495" t="s">
        <v>4064</v>
      </c>
      <c r="H108" s="106"/>
      <c r="I108" s="146"/>
      <c r="J108" s="2585">
        <v>65900</v>
      </c>
      <c r="K108" s="489" t="str">
        <f>IF($J$107&gt;J108,"Yes", "No")</f>
        <v>Yes</v>
      </c>
      <c r="M108" s="484"/>
    </row>
    <row r="109" spans="1:18" ht="11.45" customHeight="1">
      <c r="B109" s="412"/>
      <c r="C109" s="466"/>
      <c r="E109" s="495" t="s">
        <v>4065</v>
      </c>
      <c r="H109" s="106"/>
      <c r="I109" s="146"/>
      <c r="J109" s="2586"/>
      <c r="K109" s="489" t="str">
        <f>IF($J$107&gt;J109,"Yes", "No")</f>
        <v>Yes</v>
      </c>
      <c r="M109" s="484"/>
    </row>
    <row r="110" spans="1:18" s="43" customFormat="1" ht="13.9" customHeight="1">
      <c r="A110" s="42"/>
      <c r="B110" s="49" t="s">
        <v>267</v>
      </c>
      <c r="C110" s="42"/>
      <c r="D110" s="48"/>
      <c r="E110" s="48"/>
      <c r="F110" s="48"/>
      <c r="G110" s="48"/>
      <c r="H110" s="36"/>
      <c r="I110" s="36"/>
      <c r="J110" s="36"/>
      <c r="K110" s="36"/>
      <c r="M110" s="46"/>
      <c r="N110" s="64"/>
      <c r="O110" s="3"/>
      <c r="P110" s="1282"/>
    </row>
    <row r="111" spans="1:18" s="43" customFormat="1" ht="12.75" customHeight="1">
      <c r="A111" s="2578" t="s">
        <v>4515</v>
      </c>
      <c r="B111" s="2579"/>
      <c r="C111" s="2579"/>
      <c r="D111" s="2579"/>
      <c r="E111" s="2579"/>
      <c r="F111" s="2579"/>
      <c r="G111" s="2579"/>
      <c r="H111" s="2579"/>
      <c r="I111" s="2579"/>
      <c r="J111" s="2579"/>
      <c r="K111" s="2579"/>
      <c r="L111" s="2579"/>
      <c r="M111" s="2579"/>
      <c r="N111" s="2579"/>
      <c r="O111" s="2579"/>
      <c r="P111" s="2580"/>
      <c r="Q111" s="503" t="s">
        <v>1314</v>
      </c>
    </row>
    <row r="112" spans="1:18" s="43" customFormat="1" ht="11.25" customHeight="1">
      <c r="A112" s="42"/>
      <c r="B112" s="90" t="s">
        <v>1960</v>
      </c>
      <c r="C112" s="42"/>
      <c r="D112" s="90"/>
      <c r="E112" s="1283"/>
      <c r="F112" s="1283"/>
      <c r="G112" s="1283"/>
      <c r="H112" s="1283"/>
      <c r="I112" s="1283"/>
      <c r="J112" s="1283"/>
      <c r="K112" s="1283"/>
      <c r="L112" s="1283"/>
      <c r="M112" s="1283"/>
      <c r="N112" s="78"/>
      <c r="O112" s="74"/>
      <c r="P112" s="2"/>
      <c r="Q112" s="479"/>
    </row>
    <row r="113" spans="1:18" s="43" customFormat="1" ht="12.75" customHeight="1">
      <c r="A113" s="1715"/>
      <c r="B113" s="1716"/>
      <c r="C113" s="1716"/>
      <c r="D113" s="1716"/>
      <c r="E113" s="1716"/>
      <c r="F113" s="1716"/>
      <c r="G113" s="1716"/>
      <c r="H113" s="1716"/>
      <c r="I113" s="1716"/>
      <c r="J113" s="1716"/>
      <c r="K113" s="1716"/>
      <c r="L113" s="1716"/>
      <c r="M113" s="1716"/>
      <c r="N113" s="1716"/>
      <c r="O113" s="1716"/>
      <c r="P113" s="1717"/>
      <c r="Q113" s="503" t="s">
        <v>1314</v>
      </c>
    </row>
    <row r="114" spans="1:18" s="43" customFormat="1" ht="3" customHeight="1">
      <c r="A114" s="42"/>
      <c r="D114" s="39"/>
      <c r="E114" s="36"/>
      <c r="F114" s="1309"/>
      <c r="G114" s="1309"/>
      <c r="H114" s="1309"/>
      <c r="I114" s="1309"/>
      <c r="J114" s="1305"/>
      <c r="K114" s="1305"/>
      <c r="L114" s="1305"/>
      <c r="M114" s="62"/>
      <c r="N114" s="1309"/>
      <c r="O114" s="1282"/>
      <c r="P114" s="3"/>
    </row>
    <row r="115" spans="1:18" s="108" customFormat="1" ht="12.6" customHeight="1">
      <c r="A115" s="167" t="s">
        <v>527</v>
      </c>
      <c r="B115" s="112" t="s">
        <v>3852</v>
      </c>
      <c r="C115" s="98"/>
      <c r="D115" s="61"/>
      <c r="E115" s="61"/>
      <c r="H115" s="803"/>
      <c r="J115" s="2587" t="s">
        <v>3140</v>
      </c>
      <c r="K115" s="2588"/>
      <c r="L115" s="258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458</v>
      </c>
      <c r="R115" s="43"/>
    </row>
    <row r="116" spans="1:18" ht="10.9" customHeight="1">
      <c r="A116" s="599"/>
      <c r="B116" s="549"/>
      <c r="D116" s="802"/>
      <c r="E116" s="549"/>
      <c r="G116" s="824"/>
      <c r="H116" s="825"/>
      <c r="I116" s="488"/>
      <c r="K116" s="1289"/>
      <c r="N116" s="28"/>
      <c r="O116" s="28"/>
      <c r="P116" s="28"/>
    </row>
    <row r="117" spans="1:18" ht="11.45" customHeight="1">
      <c r="B117" s="902" t="s">
        <v>4047</v>
      </c>
      <c r="E117" s="32"/>
      <c r="G117" s="2590"/>
      <c r="H117" s="2591"/>
      <c r="I117" s="2591"/>
      <c r="J117" s="2591"/>
      <c r="K117" s="2591"/>
      <c r="L117" s="2591"/>
      <c r="M117" s="2591"/>
      <c r="N117" s="2591"/>
      <c r="O117" s="2591"/>
      <c r="P117" s="2592"/>
    </row>
    <row r="118" spans="1:18" ht="3" customHeight="1">
      <c r="A118" s="599"/>
      <c r="B118" s="549"/>
      <c r="D118" s="802"/>
      <c r="E118" s="549"/>
      <c r="G118" s="824"/>
      <c r="H118" s="825"/>
      <c r="N118" s="28"/>
      <c r="O118" s="28"/>
      <c r="P118" s="28"/>
    </row>
    <row r="119" spans="1:18" s="43" customFormat="1" ht="12" customHeight="1">
      <c r="A119" s="151"/>
      <c r="B119" s="56" t="s">
        <v>3311</v>
      </c>
      <c r="D119" s="32"/>
      <c r="N119" s="533"/>
      <c r="O119" s="2523" t="s">
        <v>4462</v>
      </c>
      <c r="P119" s="647"/>
      <c r="R119" s="416"/>
    </row>
    <row r="120" spans="1:18" ht="10.9" customHeight="1">
      <c r="A120" s="599"/>
      <c r="B120" s="549"/>
      <c r="D120" s="802"/>
      <c r="E120" s="549"/>
      <c r="G120" s="824"/>
      <c r="H120" s="825"/>
      <c r="I120" s="488"/>
      <c r="K120" s="1289"/>
      <c r="N120" s="28"/>
      <c r="O120" s="28"/>
      <c r="P120" s="28"/>
    </row>
    <row r="121" spans="1:18" s="43" customFormat="1" ht="11.45" customHeight="1">
      <c r="A121" s="484"/>
      <c r="B121" s="121" t="s">
        <v>3175</v>
      </c>
      <c r="E121" s="40"/>
      <c r="O121" s="127" t="s">
        <v>2636</v>
      </c>
      <c r="P121" s="127" t="s">
        <v>2636</v>
      </c>
    </row>
    <row r="122" spans="1:18" s="43" customFormat="1" ht="11.45" customHeight="1">
      <c r="A122" s="411"/>
      <c r="B122" s="430" t="s">
        <v>2556</v>
      </c>
      <c r="C122" s="56" t="s">
        <v>4068</v>
      </c>
      <c r="D122" s="108"/>
      <c r="E122" s="40"/>
      <c r="G122" s="56" t="s">
        <v>4069</v>
      </c>
      <c r="L122" s="2593"/>
      <c r="M122" s="411"/>
      <c r="N122" s="430" t="s">
        <v>2556</v>
      </c>
      <c r="O122" s="2468" t="s">
        <v>4462</v>
      </c>
      <c r="P122" s="649"/>
    </row>
    <row r="123" spans="1:18" s="43" customFormat="1" ht="11.45" customHeight="1">
      <c r="A123" s="411"/>
      <c r="B123" s="413" t="s">
        <v>2557</v>
      </c>
      <c r="C123" s="549" t="s">
        <v>3144</v>
      </c>
      <c r="D123" s="108"/>
      <c r="E123" s="40"/>
      <c r="G123" s="56" t="s">
        <v>3861</v>
      </c>
      <c r="L123" s="2594"/>
      <c r="N123" s="413" t="s">
        <v>2557</v>
      </c>
      <c r="O123" s="2469" t="s">
        <v>4462</v>
      </c>
      <c r="P123" s="651"/>
    </row>
    <row r="124" spans="1:18" s="43" customFormat="1" ht="11.45" customHeight="1">
      <c r="A124" s="411"/>
      <c r="B124" s="413"/>
      <c r="C124" s="549"/>
      <c r="D124" s="108"/>
      <c r="E124" s="40"/>
      <c r="G124" s="56" t="s">
        <v>3309</v>
      </c>
      <c r="L124" s="2595"/>
      <c r="M124" s="2596"/>
    </row>
    <row r="125" spans="1:18" s="43" customFormat="1" ht="11.45" customHeight="1">
      <c r="A125" s="411"/>
      <c r="B125" s="413"/>
      <c r="C125" s="549"/>
      <c r="D125" s="108"/>
      <c r="E125" s="40"/>
      <c r="G125" s="56" t="s">
        <v>3141</v>
      </c>
      <c r="K125" s="432"/>
      <c r="L125" s="2597" t="s">
        <v>3143</v>
      </c>
      <c r="M125" s="2598"/>
    </row>
    <row r="126" spans="1:18" s="43" customFormat="1" ht="11.45" customHeight="1">
      <c r="A126" s="411"/>
      <c r="B126" s="413"/>
      <c r="C126" s="549"/>
      <c r="D126" s="108"/>
      <c r="E126" s="40"/>
      <c r="G126" s="56" t="s">
        <v>3142</v>
      </c>
      <c r="K126" s="432"/>
      <c r="L126" s="2599"/>
      <c r="M126" s="2600"/>
    </row>
    <row r="127" spans="1:18" s="43" customFormat="1" ht="11.45" customHeight="1">
      <c r="A127" s="411"/>
      <c r="B127" s="413"/>
      <c r="C127" s="549"/>
      <c r="D127" s="108"/>
      <c r="E127" s="40"/>
      <c r="G127" s="56" t="s">
        <v>3141</v>
      </c>
      <c r="K127" s="432"/>
      <c r="L127" s="2597" t="s">
        <v>3143</v>
      </c>
      <c r="M127" s="2598"/>
    </row>
    <row r="128" spans="1:18" s="43" customFormat="1" ht="11.45" customHeight="1">
      <c r="A128" s="411"/>
      <c r="B128" s="413"/>
      <c r="C128" s="549"/>
      <c r="D128" s="108"/>
      <c r="E128" s="40"/>
      <c r="G128" s="56" t="s">
        <v>3142</v>
      </c>
      <c r="K128" s="432"/>
      <c r="L128" s="2601"/>
      <c r="M128" s="2602"/>
    </row>
    <row r="129" spans="1:25" ht="11.25" customHeight="1">
      <c r="B129" s="413" t="s">
        <v>2558</v>
      </c>
      <c r="C129" s="549" t="s">
        <v>3145</v>
      </c>
      <c r="D129" s="106"/>
      <c r="G129" s="486" t="s">
        <v>3310</v>
      </c>
      <c r="L129" s="2603"/>
      <c r="M129" s="2604"/>
      <c r="N129" s="413" t="s">
        <v>2558</v>
      </c>
      <c r="O129" s="2523" t="s">
        <v>4462</v>
      </c>
      <c r="P129" s="647"/>
    </row>
    <row r="130" spans="1:25" ht="11.25" customHeight="1">
      <c r="B130" s="413"/>
      <c r="C130" s="549"/>
      <c r="D130" s="106"/>
      <c r="G130" s="56" t="s">
        <v>4084</v>
      </c>
      <c r="L130" s="2601"/>
      <c r="M130" s="2602"/>
      <c r="N130" s="28"/>
      <c r="O130" s="28"/>
      <c r="P130" s="28"/>
    </row>
    <row r="131" spans="1:25" ht="11.25" customHeight="1">
      <c r="B131" s="413" t="s">
        <v>2559</v>
      </c>
      <c r="C131" s="581" t="s">
        <v>3146</v>
      </c>
      <c r="D131" s="106"/>
      <c r="G131" s="317"/>
      <c r="K131" s="40"/>
      <c r="L131" s="2605" t="s">
        <v>4048</v>
      </c>
      <c r="M131" s="411"/>
      <c r="N131" s="413" t="s">
        <v>2559</v>
      </c>
      <c r="O131" s="2468" t="s">
        <v>4462</v>
      </c>
      <c r="P131" s="649"/>
    </row>
    <row r="132" spans="1:25" ht="11.25" customHeight="1">
      <c r="B132" s="413" t="s">
        <v>2560</v>
      </c>
      <c r="C132" s="581" t="s">
        <v>3147</v>
      </c>
      <c r="K132" s="40"/>
      <c r="L132" s="2606" t="s">
        <v>4048</v>
      </c>
      <c r="M132" s="411"/>
      <c r="N132" s="413" t="s">
        <v>2560</v>
      </c>
      <c r="O132" s="2471" t="s">
        <v>4462</v>
      </c>
      <c r="P132" s="650"/>
    </row>
    <row r="133" spans="1:25" ht="11.25" customHeight="1">
      <c r="B133" s="430" t="s">
        <v>3867</v>
      </c>
      <c r="C133" s="53" t="s">
        <v>3855</v>
      </c>
      <c r="K133" s="40"/>
      <c r="L133" s="2606" t="s">
        <v>4048</v>
      </c>
      <c r="M133" s="411"/>
      <c r="N133" s="430" t="s">
        <v>3867</v>
      </c>
      <c r="O133" s="2471" t="s">
        <v>4462</v>
      </c>
      <c r="P133" s="650"/>
    </row>
    <row r="134" spans="1:25" ht="11.25" customHeight="1">
      <c r="B134" s="430" t="s">
        <v>3868</v>
      </c>
      <c r="C134" s="53" t="s">
        <v>3853</v>
      </c>
      <c r="K134" s="40"/>
      <c r="L134" s="2606" t="s">
        <v>4048</v>
      </c>
      <c r="M134" s="411"/>
      <c r="N134" s="430" t="s">
        <v>3868</v>
      </c>
      <c r="O134" s="2471" t="s">
        <v>4462</v>
      </c>
      <c r="P134" s="650"/>
    </row>
    <row r="135" spans="1:25" ht="11.25" customHeight="1">
      <c r="B135" s="413" t="s">
        <v>2577</v>
      </c>
      <c r="C135" s="581" t="s">
        <v>3148</v>
      </c>
      <c r="K135" s="40"/>
      <c r="L135" s="2606" t="s">
        <v>4048</v>
      </c>
      <c r="M135" s="411"/>
      <c r="N135" s="413" t="s">
        <v>2577</v>
      </c>
      <c r="O135" s="2471" t="s">
        <v>4462</v>
      </c>
      <c r="P135" s="650"/>
    </row>
    <row r="136" spans="1:25" ht="11.25" customHeight="1">
      <c r="B136" s="430" t="s">
        <v>2578</v>
      </c>
      <c r="C136" s="581" t="s">
        <v>3149</v>
      </c>
      <c r="D136" s="106"/>
      <c r="K136" s="40"/>
      <c r="L136" s="2607" t="s">
        <v>4048</v>
      </c>
      <c r="M136" s="411"/>
      <c r="N136" s="430" t="s">
        <v>2578</v>
      </c>
      <c r="O136" s="2471" t="s">
        <v>4462</v>
      </c>
      <c r="P136" s="650"/>
    </row>
    <row r="137" spans="1:25" ht="11.25" customHeight="1">
      <c r="B137" s="430" t="s">
        <v>2579</v>
      </c>
      <c r="C137" s="581" t="s">
        <v>3869</v>
      </c>
      <c r="K137" s="40"/>
      <c r="M137" s="411"/>
      <c r="N137" s="430" t="s">
        <v>2579</v>
      </c>
      <c r="O137" s="2469" t="s">
        <v>4462</v>
      </c>
      <c r="P137" s="651"/>
    </row>
    <row r="138" spans="1:25" ht="10.9" customHeight="1">
      <c r="B138" s="430"/>
      <c r="C138" s="581"/>
      <c r="K138" s="40"/>
      <c r="M138" s="411"/>
      <c r="N138" s="411"/>
      <c r="O138" s="411"/>
      <c r="P138" s="411"/>
    </row>
    <row r="139" spans="1:25" ht="11.25" customHeight="1">
      <c r="A139" s="151" t="s">
        <v>2081</v>
      </c>
      <c r="B139" s="199" t="s">
        <v>3854</v>
      </c>
      <c r="G139" s="549" t="s">
        <v>4046</v>
      </c>
      <c r="H139" s="174"/>
      <c r="I139" s="174"/>
      <c r="K139" s="40"/>
      <c r="L139" s="2608" t="s">
        <v>4048</v>
      </c>
      <c r="M139" s="485">
        <v>2</v>
      </c>
      <c r="N139" s="430" t="s">
        <v>2081</v>
      </c>
      <c r="O139" s="2523" t="s">
        <v>4462</v>
      </c>
      <c r="P139" s="647"/>
      <c r="X139" s="411"/>
      <c r="Y139" s="413"/>
    </row>
    <row r="140" spans="1:25" ht="11.25" customHeight="1">
      <c r="A140" s="599"/>
      <c r="G140" s="549" t="s">
        <v>3858</v>
      </c>
      <c r="H140" s="174"/>
      <c r="L140" s="824" t="str">
        <f>'Part I-Project Information'!O28</f>
        <v>201.09</v>
      </c>
      <c r="N140" s="28"/>
      <c r="O140" s="28"/>
      <c r="P140" s="28"/>
    </row>
    <row r="141" spans="1:25" ht="11.25" customHeight="1">
      <c r="A141" s="599"/>
      <c r="B141" s="549"/>
      <c r="D141" s="802"/>
      <c r="G141" s="549" t="s">
        <v>3863</v>
      </c>
      <c r="H141" s="174"/>
      <c r="K141" s="1289"/>
      <c r="L141" s="494" t="str">
        <f>'Part I-Project Information'!N29</f>
        <v>No</v>
      </c>
      <c r="N141" s="28"/>
      <c r="O141" s="28"/>
      <c r="P141" s="28"/>
    </row>
    <row r="142" spans="1:25" ht="11.25" customHeight="1">
      <c r="A142" s="599"/>
      <c r="B142" s="549"/>
      <c r="D142" s="802"/>
      <c r="E142" s="549"/>
      <c r="G142" s="488" t="s">
        <v>3856</v>
      </c>
      <c r="H142" s="174"/>
      <c r="K142" s="1289"/>
      <c r="L142" s="1289" t="str">
        <f>'Part IV-Uses of Funds'!H150</f>
        <v>State Boost</v>
      </c>
      <c r="N142" s="28"/>
      <c r="O142" s="28"/>
      <c r="P142" s="28"/>
    </row>
    <row r="143" spans="1:25" ht="11.45" customHeight="1">
      <c r="A143" s="151" t="s">
        <v>2084</v>
      </c>
      <c r="B143" s="199" t="s">
        <v>3857</v>
      </c>
      <c r="D143" s="32"/>
      <c r="M143" s="84">
        <v>1</v>
      </c>
      <c r="N143" s="68" t="s">
        <v>2084</v>
      </c>
      <c r="O143" s="2523" t="s">
        <v>4462</v>
      </c>
      <c r="P143" s="647"/>
    </row>
    <row r="144" spans="1:25" ht="11.45" customHeight="1">
      <c r="A144" s="599"/>
      <c r="B144" s="495" t="s">
        <v>3862</v>
      </c>
      <c r="E144" s="125"/>
      <c r="N144" s="28"/>
      <c r="O144" s="28"/>
      <c r="P144" s="28"/>
      <c r="Q144" s="432"/>
    </row>
    <row r="145" spans="1:17" ht="11.45" customHeight="1">
      <c r="A145" s="151" t="s">
        <v>789</v>
      </c>
      <c r="B145" s="199" t="s">
        <v>3106</v>
      </c>
      <c r="C145" s="199"/>
      <c r="D145" s="32"/>
      <c r="M145" s="122"/>
      <c r="N145" s="68" t="s">
        <v>789</v>
      </c>
      <c r="O145" s="607"/>
      <c r="P145" s="607"/>
    </row>
    <row r="146" spans="1:17" ht="22.5" customHeight="1">
      <c r="B146" s="497" t="s">
        <v>2085</v>
      </c>
      <c r="C146" s="1721" t="s">
        <v>3859</v>
      </c>
      <c r="D146" s="1721"/>
      <c r="E146" s="1721"/>
      <c r="F146" s="1721"/>
      <c r="G146" s="1721"/>
      <c r="H146" s="1721"/>
      <c r="I146" s="1721"/>
      <c r="J146" s="1721"/>
      <c r="K146" s="1721"/>
      <c r="L146" s="1721"/>
      <c r="M146" s="910">
        <v>1</v>
      </c>
      <c r="N146" s="433" t="s">
        <v>2085</v>
      </c>
      <c r="O146" s="2509" t="s">
        <v>4462</v>
      </c>
      <c r="P146" s="652"/>
    </row>
    <row r="147" spans="1:17" ht="22.5" customHeight="1">
      <c r="B147" s="497" t="s">
        <v>2087</v>
      </c>
      <c r="C147" s="1721" t="s">
        <v>3860</v>
      </c>
      <c r="D147" s="1721"/>
      <c r="E147" s="1721"/>
      <c r="F147" s="1721"/>
      <c r="G147" s="1721"/>
      <c r="H147" s="1721"/>
      <c r="I147" s="1721"/>
      <c r="J147" s="1721"/>
      <c r="K147" s="1721"/>
      <c r="L147" s="1721"/>
      <c r="M147" s="804">
        <v>2</v>
      </c>
      <c r="N147" s="196" t="s">
        <v>2087</v>
      </c>
      <c r="O147" s="2469" t="s">
        <v>4462</v>
      </c>
      <c r="P147" s="651"/>
    </row>
    <row r="148" spans="1:17" ht="11.45" customHeight="1">
      <c r="A148" s="151" t="s">
        <v>2216</v>
      </c>
      <c r="B148" s="199" t="s">
        <v>3105</v>
      </c>
      <c r="D148" s="32"/>
      <c r="G148" s="1724" t="s">
        <v>4242</v>
      </c>
      <c r="H148" s="1724"/>
      <c r="I148" s="1724"/>
      <c r="J148" s="1724"/>
      <c r="K148" s="1724"/>
      <c r="M148" s="84">
        <v>1</v>
      </c>
      <c r="N148" s="28"/>
      <c r="O148" s="127"/>
      <c r="P148" s="127"/>
    </row>
    <row r="149" spans="1:17" ht="11.45" customHeight="1">
      <c r="B149" s="495" t="s">
        <v>3107</v>
      </c>
      <c r="E149" s="125"/>
      <c r="I149" s="146" t="s">
        <v>4232</v>
      </c>
      <c r="J149" s="1722" t="str">
        <f>'Part I-Project Information'!$J$29</f>
        <v>Houston</v>
      </c>
      <c r="K149" s="1722"/>
      <c r="N149" s="68" t="s">
        <v>2216</v>
      </c>
      <c r="O149" s="2523" t="s">
        <v>4462</v>
      </c>
      <c r="P149" s="647"/>
      <c r="Q149" s="432"/>
    </row>
    <row r="150" spans="1:17" s="43" customFormat="1" ht="13.9" customHeight="1">
      <c r="A150" s="42"/>
      <c r="B150" s="49" t="s">
        <v>267</v>
      </c>
      <c r="C150" s="42"/>
      <c r="D150" s="48"/>
      <c r="E150" s="48"/>
      <c r="F150" s="48"/>
      <c r="G150" s="48"/>
      <c r="H150" s="36"/>
      <c r="I150" s="146" t="s">
        <v>4233</v>
      </c>
      <c r="J150" s="1723" t="str">
        <f>'Part I-Project Information'!$O$28</f>
        <v>201.09</v>
      </c>
      <c r="K150" s="1723"/>
      <c r="M150" s="46"/>
      <c r="N150" s="64"/>
      <c r="O150" s="3"/>
      <c r="P150" s="1282"/>
    </row>
    <row r="151" spans="1:17" s="43" customFormat="1" ht="12.75" customHeight="1">
      <c r="A151" s="2578"/>
      <c r="B151" s="2579"/>
      <c r="C151" s="2579"/>
      <c r="D151" s="2579"/>
      <c r="E151" s="2579"/>
      <c r="F151" s="2579"/>
      <c r="G151" s="2579"/>
      <c r="H151" s="2579"/>
      <c r="I151" s="2579"/>
      <c r="J151" s="2579"/>
      <c r="K151" s="2579"/>
      <c r="L151" s="2579"/>
      <c r="M151" s="2579"/>
      <c r="N151" s="2579"/>
      <c r="O151" s="2579"/>
      <c r="P151" s="2580"/>
      <c r="Q151" s="503" t="s">
        <v>1314</v>
      </c>
    </row>
    <row r="152" spans="1:17" s="43" customFormat="1" ht="11.25" customHeight="1">
      <c r="A152" s="42"/>
      <c r="B152" s="90" t="s">
        <v>1960</v>
      </c>
      <c r="C152" s="42"/>
      <c r="D152" s="90"/>
      <c r="E152" s="1283"/>
      <c r="F152" s="1283"/>
      <c r="G152" s="1283"/>
      <c r="H152" s="1283"/>
      <c r="I152" s="1283"/>
      <c r="J152" s="1283"/>
      <c r="K152" s="1283"/>
      <c r="L152" s="1283"/>
      <c r="M152" s="1283"/>
      <c r="N152" s="78"/>
      <c r="O152" s="74"/>
      <c r="P152" s="2"/>
      <c r="Q152" s="479"/>
    </row>
    <row r="153" spans="1:17" s="43" customFormat="1" ht="12.75" customHeight="1">
      <c r="A153" s="1715"/>
      <c r="B153" s="1716"/>
      <c r="C153" s="1716"/>
      <c r="D153" s="1716"/>
      <c r="E153" s="1716"/>
      <c r="F153" s="1716"/>
      <c r="G153" s="1716"/>
      <c r="H153" s="1716"/>
      <c r="I153" s="1716"/>
      <c r="J153" s="1716"/>
      <c r="K153" s="1716"/>
      <c r="L153" s="1716"/>
      <c r="M153" s="1716"/>
      <c r="N153" s="1716"/>
      <c r="O153" s="1716"/>
      <c r="P153" s="1717"/>
      <c r="Q153" s="503" t="s">
        <v>1314</v>
      </c>
    </row>
    <row r="154" spans="1:17" ht="3.6" customHeight="1">
      <c r="B154" s="125"/>
      <c r="C154" s="125"/>
      <c r="D154" s="125"/>
      <c r="E154" s="125"/>
    </row>
    <row r="155" spans="1:17" s="43" customFormat="1" ht="12" customHeight="1">
      <c r="A155" s="167" t="s">
        <v>225</v>
      </c>
      <c r="B155" s="111" t="s">
        <v>2580</v>
      </c>
      <c r="D155" s="41"/>
      <c r="E155" s="41"/>
      <c r="F155" s="41"/>
      <c r="H155" s="63" t="s">
        <v>3900</v>
      </c>
      <c r="K155" s="48"/>
      <c r="M155" s="2">
        <v>4</v>
      </c>
      <c r="N155" s="6"/>
      <c r="O155" s="80">
        <f>IF(AND($J$156="Flexible",O157=$M157),$M157,IF(O164&gt;0,O164,0))</f>
        <v>3</v>
      </c>
      <c r="P155" s="80">
        <f>IF(AND($J$156="Flexible",P157=$M157),$M157,IF(P164&gt;0,P164,0))</f>
        <v>0</v>
      </c>
      <c r="Q155" s="115" t="s">
        <v>458</v>
      </c>
    </row>
    <row r="156" spans="1:17" ht="10.9" customHeight="1">
      <c r="A156" s="599"/>
      <c r="B156" s="549"/>
      <c r="D156" s="802"/>
      <c r="E156" s="549"/>
      <c r="G156" s="824"/>
      <c r="H156" s="184" t="s">
        <v>3102</v>
      </c>
      <c r="I156" s="603"/>
      <c r="J156" s="1727" t="str">
        <f>'Part I-Project Information'!$H$90</f>
        <v>Flexible</v>
      </c>
      <c r="K156" s="1727"/>
      <c r="N156" s="28"/>
      <c r="O156" s="28"/>
      <c r="P156" s="28"/>
    </row>
    <row r="157" spans="1:17" ht="12" customHeight="1">
      <c r="A157" s="1278" t="s">
        <v>2081</v>
      </c>
      <c r="B157" s="199" t="s">
        <v>2340</v>
      </c>
      <c r="D157" s="32"/>
      <c r="E157" s="32"/>
      <c r="F157" s="32"/>
      <c r="G157" s="28" t="str">
        <f>IF(AND(O157&lt;0,L167&lt;0),"Select either A or B but not both!&gt;","")</f>
        <v/>
      </c>
      <c r="M157" s="76">
        <v>4</v>
      </c>
      <c r="N157" s="533" t="s">
        <v>2081</v>
      </c>
      <c r="O157" s="2536"/>
      <c r="P157" s="638"/>
      <c r="Q157" s="432" t="s">
        <v>2877</v>
      </c>
    </row>
    <row r="158" spans="1:17" s="106" customFormat="1" ht="22.5" customHeight="1">
      <c r="B158" s="1246" t="s">
        <v>2085</v>
      </c>
      <c r="C158" s="1721" t="s">
        <v>4070</v>
      </c>
      <c r="D158" s="1627"/>
      <c r="E158" s="1627"/>
      <c r="F158" s="1627"/>
      <c r="G158" s="1627"/>
      <c r="H158" s="1627"/>
      <c r="I158" s="1627"/>
      <c r="J158" s="1627"/>
      <c r="K158" s="1627"/>
      <c r="L158" s="1627"/>
      <c r="M158" s="463"/>
      <c r="N158" s="433" t="s">
        <v>2085</v>
      </c>
      <c r="O158" s="2469" t="s">
        <v>4462</v>
      </c>
      <c r="P158" s="651"/>
    </row>
    <row r="159" spans="1:17" s="106" customFormat="1" ht="12" customHeight="1">
      <c r="B159" s="794"/>
      <c r="C159" s="126" t="s">
        <v>1008</v>
      </c>
      <c r="H159" s="549" t="s">
        <v>2711</v>
      </c>
      <c r="J159" s="2609"/>
      <c r="K159" s="2610"/>
    </row>
    <row r="160" spans="1:17" s="106" customFormat="1" ht="12" customHeight="1">
      <c r="B160" s="794"/>
      <c r="C160" s="126"/>
      <c r="H160" s="549" t="s">
        <v>2410</v>
      </c>
      <c r="J160" s="2611"/>
      <c r="K160" s="2612"/>
      <c r="L160" s="2613"/>
    </row>
    <row r="161" spans="1:18" s="126" customFormat="1" ht="12" customHeight="1">
      <c r="B161" s="794" t="s">
        <v>2087</v>
      </c>
      <c r="C161" s="126" t="s">
        <v>1009</v>
      </c>
      <c r="M161" s="7"/>
      <c r="N161" s="196" t="s">
        <v>2087</v>
      </c>
      <c r="O161" s="2468"/>
      <c r="P161" s="649"/>
    </row>
    <row r="162" spans="1:18" s="126" customFormat="1" ht="12" customHeight="1">
      <c r="B162" s="794" t="s">
        <v>2661</v>
      </c>
      <c r="C162" s="126" t="s">
        <v>1010</v>
      </c>
      <c r="M162" s="7"/>
      <c r="N162" s="196" t="s">
        <v>2661</v>
      </c>
      <c r="O162" s="2471"/>
      <c r="P162" s="650"/>
    </row>
    <row r="163" spans="1:18" s="126" customFormat="1" ht="12" customHeight="1">
      <c r="A163" s="599"/>
      <c r="B163" s="794" t="s">
        <v>1283</v>
      </c>
      <c r="C163" s="126" t="s">
        <v>1011</v>
      </c>
      <c r="M163" s="7"/>
      <c r="N163" s="196" t="s">
        <v>1283</v>
      </c>
      <c r="O163" s="2469"/>
      <c r="P163" s="651"/>
    </row>
    <row r="164" spans="1:18" s="32" customFormat="1" ht="12" customHeight="1">
      <c r="A164" s="1278" t="s">
        <v>2084</v>
      </c>
      <c r="B164" s="199" t="s">
        <v>2341</v>
      </c>
      <c r="D164" s="813"/>
      <c r="H164" s="63" t="s">
        <v>3915</v>
      </c>
      <c r="M164" s="804">
        <v>4</v>
      </c>
      <c r="N164" s="533" t="s">
        <v>2084</v>
      </c>
      <c r="O164" s="814">
        <f>IF(O165&gt;0,O165,IF(O172&gt;0,O172,0))</f>
        <v>3</v>
      </c>
      <c r="P164" s="814">
        <f>IF(P165&gt;0,P165,IF(P172&gt;0,P172,0))</f>
        <v>0</v>
      </c>
    </row>
    <row r="165" spans="1:18" s="32" customFormat="1" ht="12" customHeight="1">
      <c r="B165" s="412" t="s">
        <v>2085</v>
      </c>
      <c r="C165" s="810" t="s">
        <v>3912</v>
      </c>
      <c r="M165" s="804">
        <v>4</v>
      </c>
      <c r="N165" s="1285">
        <v>1</v>
      </c>
      <c r="O165" s="815">
        <f>IF(AND($J$156="Rural",OR(O167=$M$167,O168=$M$168)),O167+O168,IF(AND($J$156="Flexible",O170=$M$170),O170,0))</f>
        <v>3</v>
      </c>
      <c r="P165" s="815">
        <f>IF(AND($J$156="Rural",OR(P167=$M$167,P168=$M$168)),P167+P168,IF(AND($J$156="Flexible",P170=$M$170),P170,0))</f>
        <v>0</v>
      </c>
    </row>
    <row r="166" spans="1:18" s="32" customFormat="1" ht="12" customHeight="1">
      <c r="B166" s="412"/>
      <c r="C166" s="146" t="s">
        <v>3904</v>
      </c>
      <c r="D166" s="146" t="s">
        <v>3903</v>
      </c>
      <c r="M166" s="804"/>
      <c r="N166" s="122"/>
      <c r="O166" s="165"/>
      <c r="P166" s="165"/>
    </row>
    <row r="167" spans="1:18" s="32" customFormat="1" ht="12" customHeight="1">
      <c r="C167" s="196" t="s">
        <v>3907</v>
      </c>
      <c r="D167" s="488" t="s">
        <v>3901</v>
      </c>
      <c r="G167" s="40"/>
      <c r="H167" s="40"/>
      <c r="I167" s="40"/>
      <c r="J167" s="40"/>
      <c r="M167" s="76">
        <v>3</v>
      </c>
      <c r="N167" s="1285" t="s">
        <v>3908</v>
      </c>
      <c r="O167" s="2536"/>
      <c r="P167" s="638"/>
      <c r="Q167" s="192" t="s">
        <v>2877</v>
      </c>
    </row>
    <row r="168" spans="1:18" s="32" customFormat="1" ht="12" customHeight="1">
      <c r="C168" s="430" t="s">
        <v>235</v>
      </c>
      <c r="D168" s="488" t="s">
        <v>3902</v>
      </c>
      <c r="G168" s="40"/>
      <c r="H168" s="40"/>
      <c r="M168" s="804">
        <v>1</v>
      </c>
      <c r="N168" s="146" t="s">
        <v>3909</v>
      </c>
      <c r="O168" s="2537"/>
      <c r="P168" s="640"/>
      <c r="Q168" s="192" t="s">
        <v>2877</v>
      </c>
    </row>
    <row r="169" spans="1:18" ht="12" customHeight="1">
      <c r="A169" s="599"/>
      <c r="B169" s="549"/>
      <c r="D169" s="802"/>
      <c r="E169" s="549"/>
      <c r="G169" s="824"/>
      <c r="H169" s="488" t="s">
        <v>3876</v>
      </c>
      <c r="J169" s="1725" t="str">
        <f>'Part I-Project Information'!$F$28</f>
        <v>Centerville</v>
      </c>
      <c r="K169" s="1726"/>
      <c r="N169" s="28"/>
      <c r="O169" s="28"/>
      <c r="P169" s="28"/>
    </row>
    <row r="170" spans="1:18" ht="12" customHeight="1">
      <c r="C170" s="901" t="s">
        <v>3905</v>
      </c>
      <c r="D170" s="1721" t="s">
        <v>3906</v>
      </c>
      <c r="E170" s="1721"/>
      <c r="F170" s="1721"/>
      <c r="G170" s="1721"/>
      <c r="H170" s="1721"/>
      <c r="I170" s="1721"/>
      <c r="J170" s="1721"/>
      <c r="K170" s="1721"/>
      <c r="L170" s="1721"/>
      <c r="M170" s="76">
        <v>3</v>
      </c>
      <c r="N170" s="413" t="s">
        <v>2557</v>
      </c>
      <c r="O170" s="2550">
        <v>3</v>
      </c>
      <c r="P170" s="1234"/>
      <c r="Q170" s="192" t="s">
        <v>2877</v>
      </c>
      <c r="R170" s="32"/>
    </row>
    <row r="171" spans="1:18" ht="12" customHeight="1">
      <c r="C171" s="488"/>
      <c r="D171" s="1721"/>
      <c r="E171" s="1721"/>
      <c r="F171" s="1721"/>
      <c r="G171" s="1721"/>
      <c r="H171" s="1721"/>
      <c r="I171" s="1721"/>
      <c r="J171" s="1721"/>
      <c r="K171" s="1721"/>
      <c r="L171" s="1721"/>
      <c r="N171" s="146"/>
      <c r="O171" s="108"/>
      <c r="P171" s="108"/>
    </row>
    <row r="172" spans="1:18" ht="12" customHeight="1">
      <c r="A172" s="812" t="s">
        <v>1419</v>
      </c>
      <c r="B172" s="497" t="s">
        <v>2087</v>
      </c>
      <c r="C172" s="496" t="s">
        <v>3913</v>
      </c>
      <c r="D172" s="32"/>
      <c r="E172" s="32"/>
      <c r="F172" s="32"/>
      <c r="G172" s="40"/>
      <c r="H172" s="63" t="s">
        <v>3914</v>
      </c>
      <c r="I172" s="40"/>
      <c r="M172" s="84">
        <v>2</v>
      </c>
      <c r="N172" s="489">
        <v>2</v>
      </c>
      <c r="O172" s="816">
        <f>IF(AND($J$156="Rural",O173=$M$172),O173, IF(AND($J$156="Flexible",O173+O175&lt;=$M$172),O173+O175,0))</f>
        <v>2</v>
      </c>
      <c r="P172" s="816">
        <f>IF(AND($J$156="Rural",P173=$M$172),P173, IF(AND($J$156="Flexible",P173+P175&lt;=$M$172),P173+P175,0))</f>
        <v>0</v>
      </c>
    </row>
    <row r="173" spans="1:18" ht="12" customHeight="1">
      <c r="A173" s="812"/>
      <c r="B173" s="497"/>
      <c r="C173" s="903" t="s">
        <v>3916</v>
      </c>
      <c r="D173" s="1721" t="s">
        <v>3910</v>
      </c>
      <c r="E173" s="1721"/>
      <c r="F173" s="1721"/>
      <c r="G173" s="1721"/>
      <c r="H173" s="1721"/>
      <c r="I173" s="1721"/>
      <c r="J173" s="1721"/>
      <c r="K173" s="1721"/>
      <c r="L173" s="1721"/>
      <c r="M173" s="84"/>
      <c r="N173" s="552" t="s">
        <v>2556</v>
      </c>
      <c r="O173" s="2550"/>
      <c r="P173" s="1234"/>
      <c r="Q173" s="192" t="s">
        <v>2877</v>
      </c>
    </row>
    <row r="174" spans="1:18" ht="12" customHeight="1">
      <c r="B174" s="497"/>
      <c r="C174" s="549" t="s">
        <v>3917</v>
      </c>
      <c r="D174" s="1721"/>
      <c r="E174" s="1721"/>
      <c r="F174" s="1721"/>
      <c r="G174" s="1721"/>
      <c r="H174" s="1721"/>
      <c r="I174" s="1721"/>
      <c r="J174" s="1721"/>
      <c r="K174" s="1721"/>
      <c r="L174" s="1721"/>
    </row>
    <row r="175" spans="1:18" ht="12" customHeight="1">
      <c r="B175" s="811" t="s">
        <v>3798</v>
      </c>
      <c r="C175" s="488" t="s">
        <v>3905</v>
      </c>
      <c r="D175" s="486" t="s">
        <v>3911</v>
      </c>
      <c r="E175" s="32"/>
      <c r="H175" s="40"/>
      <c r="I175" s="40"/>
      <c r="J175" s="40"/>
      <c r="N175" s="431" t="s">
        <v>2557</v>
      </c>
      <c r="O175" s="2550">
        <v>2</v>
      </c>
      <c r="P175" s="1234"/>
      <c r="Q175" s="192" t="s">
        <v>2877</v>
      </c>
    </row>
    <row r="176" spans="1:18" s="43" customFormat="1" ht="12" customHeight="1">
      <c r="A176" s="42"/>
      <c r="B176" s="49" t="s">
        <v>267</v>
      </c>
      <c r="C176" s="42"/>
      <c r="D176" s="48"/>
      <c r="E176" s="48"/>
      <c r="F176" s="48"/>
      <c r="G176" s="48"/>
      <c r="H176" s="36"/>
      <c r="I176" s="36"/>
      <c r="J176" s="36"/>
      <c r="K176" s="36"/>
      <c r="M176" s="46"/>
      <c r="N176" s="64"/>
      <c r="O176" s="3"/>
      <c r="P176" s="1282"/>
    </row>
    <row r="177" spans="1:20" s="43" customFormat="1" ht="12" customHeight="1">
      <c r="A177" s="2433" t="s">
        <v>4532</v>
      </c>
      <c r="B177" s="2434"/>
      <c r="C177" s="2434"/>
      <c r="D177" s="2434"/>
      <c r="E177" s="2434"/>
      <c r="F177" s="2434"/>
      <c r="G177" s="2434"/>
      <c r="H177" s="2434"/>
      <c r="I177" s="2434"/>
      <c r="J177" s="2434"/>
      <c r="K177" s="2434"/>
      <c r="L177" s="2434"/>
      <c r="M177" s="2434"/>
      <c r="N177" s="2434"/>
      <c r="O177" s="2434"/>
      <c r="P177" s="2435"/>
      <c r="Q177" s="503" t="s">
        <v>1314</v>
      </c>
    </row>
    <row r="178" spans="1:20" s="43" customFormat="1" ht="12" customHeight="1">
      <c r="B178" s="90" t="s">
        <v>1960</v>
      </c>
      <c r="C178" s="104"/>
      <c r="D178" s="90"/>
      <c r="E178" s="105"/>
      <c r="F178" s="1283"/>
      <c r="G178" s="1283"/>
      <c r="H178" s="1283"/>
      <c r="I178" s="1283"/>
      <c r="J178" s="1283"/>
      <c r="K178" s="1283"/>
      <c r="L178" s="1283"/>
      <c r="M178" s="1283"/>
      <c r="N178" s="78"/>
      <c r="O178" s="74"/>
      <c r="P178" s="2"/>
      <c r="Q178" s="479"/>
    </row>
    <row r="179" spans="1:20" s="43" customFormat="1" ht="12" customHeight="1">
      <c r="A179" s="1572"/>
      <c r="B179" s="1573"/>
      <c r="C179" s="1573"/>
      <c r="D179" s="1573"/>
      <c r="E179" s="1573"/>
      <c r="F179" s="1573"/>
      <c r="G179" s="1573"/>
      <c r="H179" s="1573"/>
      <c r="I179" s="1573"/>
      <c r="J179" s="1573"/>
      <c r="K179" s="1573"/>
      <c r="L179" s="1573"/>
      <c r="M179" s="1573"/>
      <c r="N179" s="1573"/>
      <c r="O179" s="1573"/>
      <c r="P179" s="1574"/>
      <c r="Q179" s="503"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699" t="s">
        <v>2766</v>
      </c>
      <c r="C183" s="1699"/>
      <c r="D183" s="1699"/>
      <c r="E183" s="1699"/>
      <c r="F183" s="1699"/>
      <c r="G183" s="1699"/>
      <c r="H183" s="1699"/>
      <c r="I183" s="1699"/>
      <c r="J183" s="1699"/>
      <c r="K183" s="1699"/>
      <c r="L183" s="1699"/>
      <c r="M183" s="110"/>
      <c r="N183" s="177" t="s">
        <v>2081</v>
      </c>
      <c r="O183" s="2509" t="s">
        <v>3425</v>
      </c>
      <c r="P183" s="652"/>
    </row>
    <row r="184" spans="1:20" s="435" customFormat="1" ht="22.5" customHeight="1">
      <c r="A184" s="156" t="s">
        <v>2084</v>
      </c>
      <c r="B184" s="1699" t="s">
        <v>2913</v>
      </c>
      <c r="C184" s="1699"/>
      <c r="D184" s="1699"/>
      <c r="E184" s="1699"/>
      <c r="F184" s="1699"/>
      <c r="G184" s="1699"/>
      <c r="H184" s="1699"/>
      <c r="I184" s="1699"/>
      <c r="J184" s="1699"/>
      <c r="K184" s="1699"/>
      <c r="L184" s="1699"/>
      <c r="M184" s="110"/>
      <c r="N184" s="177" t="s">
        <v>2084</v>
      </c>
      <c r="O184" s="2472" t="s">
        <v>3425</v>
      </c>
      <c r="P184" s="653"/>
    </row>
    <row r="185" spans="1:20" s="435" customFormat="1" ht="11.25" customHeight="1">
      <c r="A185" s="156" t="s">
        <v>789</v>
      </c>
      <c r="B185" s="236" t="s">
        <v>1751</v>
      </c>
      <c r="M185" s="493"/>
      <c r="N185" s="68" t="s">
        <v>789</v>
      </c>
      <c r="O185" s="2469" t="s">
        <v>3425</v>
      </c>
      <c r="P185" s="654"/>
    </row>
    <row r="186" spans="1:20" s="43" customFormat="1" ht="12.75" customHeight="1">
      <c r="A186" s="431"/>
      <c r="B186" s="49" t="s">
        <v>267</v>
      </c>
      <c r="C186" s="42"/>
      <c r="D186" s="48"/>
      <c r="E186" s="48"/>
      <c r="F186" s="48"/>
      <c r="G186" s="48"/>
      <c r="H186" s="36"/>
      <c r="I186" s="36"/>
      <c r="J186" s="36"/>
      <c r="K186" s="36"/>
      <c r="M186" s="46"/>
      <c r="N186" s="64"/>
      <c r="O186" s="3"/>
      <c r="P186" s="1282"/>
    </row>
    <row r="187" spans="1:20" s="43" customFormat="1" ht="22.5" customHeight="1">
      <c r="A187" s="2433" t="s">
        <v>4533</v>
      </c>
      <c r="B187" s="2434"/>
      <c r="C187" s="2434"/>
      <c r="D187" s="2434"/>
      <c r="E187" s="2434"/>
      <c r="F187" s="2434"/>
      <c r="G187" s="2434"/>
      <c r="H187" s="2434"/>
      <c r="I187" s="2434"/>
      <c r="J187" s="2434"/>
      <c r="K187" s="2434"/>
      <c r="L187" s="2434"/>
      <c r="M187" s="2434"/>
      <c r="N187" s="2434"/>
      <c r="O187" s="2434"/>
      <c r="P187" s="2435"/>
      <c r="Q187" s="503" t="s">
        <v>1314</v>
      </c>
    </row>
    <row r="188" spans="1:20" s="43" customFormat="1" ht="11.25" customHeight="1">
      <c r="A188" s="42"/>
      <c r="B188" s="90" t="s">
        <v>1960</v>
      </c>
      <c r="C188" s="42"/>
      <c r="D188" s="90"/>
      <c r="E188" s="1283"/>
      <c r="F188" s="1283"/>
      <c r="G188" s="1283"/>
      <c r="H188" s="1283"/>
      <c r="I188" s="1283"/>
      <c r="J188" s="1283"/>
      <c r="K188" s="1283"/>
      <c r="L188" s="1283"/>
      <c r="M188" s="1283"/>
      <c r="N188" s="78"/>
      <c r="O188" s="74"/>
      <c r="P188" s="2"/>
      <c r="Q188" s="479"/>
    </row>
    <row r="189" spans="1:20" s="43" customFormat="1" ht="34.5" customHeight="1">
      <c r="A189" s="1572"/>
      <c r="B189" s="1573"/>
      <c r="C189" s="1573"/>
      <c r="D189" s="1573"/>
      <c r="E189" s="1573"/>
      <c r="F189" s="1573"/>
      <c r="G189" s="1573"/>
      <c r="H189" s="1573"/>
      <c r="I189" s="1573"/>
      <c r="J189" s="1573"/>
      <c r="K189" s="1573"/>
      <c r="L189" s="1573"/>
      <c r="M189" s="1573"/>
      <c r="N189" s="1573"/>
      <c r="O189" s="1573"/>
      <c r="P189" s="1574"/>
      <c r="Q189" s="503"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2081</v>
      </c>
      <c r="B192" s="184" t="s">
        <v>2342</v>
      </c>
      <c r="D192" s="63"/>
      <c r="E192" s="63"/>
      <c r="F192" s="44"/>
      <c r="G192" s="28"/>
      <c r="M192" s="7">
        <v>1</v>
      </c>
      <c r="N192" s="533" t="s">
        <v>2081</v>
      </c>
      <c r="O192" s="2536">
        <v>1</v>
      </c>
      <c r="P192" s="638"/>
      <c r="Q192" s="432" t="s">
        <v>2877</v>
      </c>
      <c r="T192" s="416" t="str">
        <f>IF(OR($O192=$M192,$O192=0,$O192=""),"","* * Check Score! * *")</f>
        <v/>
      </c>
    </row>
    <row r="193" spans="1:20" s="108" customFormat="1" ht="12" customHeight="1">
      <c r="A193" s="151"/>
      <c r="B193" s="40" t="s">
        <v>2852</v>
      </c>
      <c r="D193" s="63"/>
      <c r="E193" s="63"/>
      <c r="F193" s="44"/>
      <c r="G193" s="28"/>
      <c r="K193" s="533"/>
      <c r="M193" s="7"/>
      <c r="N193" s="533"/>
      <c r="O193" s="2469" t="s">
        <v>3422</v>
      </c>
      <c r="P193" s="651"/>
      <c r="Q193" s="432"/>
      <c r="R193" s="416"/>
    </row>
    <row r="194" spans="1:20" s="43" customFormat="1" ht="12" customHeight="1">
      <c r="A194" s="151" t="s">
        <v>2084</v>
      </c>
      <c r="B194" s="184" t="s">
        <v>2343</v>
      </c>
      <c r="D194" s="59"/>
      <c r="K194" s="53"/>
      <c r="L194" s="108"/>
      <c r="M194" s="7">
        <v>1</v>
      </c>
      <c r="N194" s="533" t="s">
        <v>2084</v>
      </c>
      <c r="O194" s="2536">
        <v>0</v>
      </c>
      <c r="P194" s="638"/>
      <c r="Q194" s="432" t="s">
        <v>2877</v>
      </c>
      <c r="T194" s="416" t="str">
        <f>IF(OR($O194=$M194,$O194=0,$O194=""),"","* * Check Score! * *")</f>
        <v/>
      </c>
    </row>
    <row r="195" spans="1:20" s="43" customFormat="1" ht="12" customHeight="1">
      <c r="A195" s="151"/>
      <c r="B195" s="1305" t="s">
        <v>2840</v>
      </c>
      <c r="D195" s="59"/>
      <c r="H195" s="1299"/>
      <c r="K195" s="53"/>
      <c r="L195" s="108"/>
      <c r="M195" s="7"/>
      <c r="N195" s="533"/>
      <c r="O195" s="2469" t="s">
        <v>3425</v>
      </c>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82"/>
    </row>
    <row r="197" spans="1:20" s="43" customFormat="1" ht="12" customHeight="1">
      <c r="A197" s="2433" t="s">
        <v>4516</v>
      </c>
      <c r="B197" s="2434"/>
      <c r="C197" s="2434"/>
      <c r="D197" s="2434"/>
      <c r="E197" s="2434"/>
      <c r="F197" s="2434"/>
      <c r="G197" s="2434"/>
      <c r="H197" s="2434"/>
      <c r="I197" s="2434"/>
      <c r="J197" s="2434"/>
      <c r="K197" s="2434"/>
      <c r="L197" s="2434"/>
      <c r="M197" s="2434"/>
      <c r="N197" s="2434"/>
      <c r="O197" s="2434"/>
      <c r="P197" s="2435"/>
      <c r="Q197" s="503" t="s">
        <v>1314</v>
      </c>
    </row>
    <row r="198" spans="1:20" s="43" customFormat="1" ht="12" customHeight="1">
      <c r="A198" s="42"/>
      <c r="B198" s="90" t="s">
        <v>1960</v>
      </c>
      <c r="C198" s="104"/>
      <c r="D198" s="90"/>
      <c r="E198" s="105"/>
      <c r="F198" s="1283"/>
      <c r="G198" s="1283"/>
      <c r="H198" s="1283"/>
      <c r="I198" s="1283"/>
      <c r="J198" s="1283"/>
      <c r="K198" s="1283"/>
      <c r="L198" s="1283"/>
      <c r="M198" s="1283"/>
      <c r="N198" s="78"/>
      <c r="O198" s="74"/>
      <c r="P198" s="2"/>
      <c r="Q198" s="479"/>
    </row>
    <row r="199" spans="1:20" s="43" customFormat="1" ht="12" customHeight="1">
      <c r="A199" s="1572"/>
      <c r="B199" s="1573"/>
      <c r="C199" s="1573"/>
      <c r="D199" s="1573"/>
      <c r="E199" s="1573"/>
      <c r="F199" s="1573"/>
      <c r="G199" s="1573"/>
      <c r="H199" s="1573"/>
      <c r="I199" s="1573"/>
      <c r="J199" s="1573"/>
      <c r="K199" s="1573"/>
      <c r="L199" s="1573"/>
      <c r="M199" s="1573"/>
      <c r="N199" s="1573"/>
      <c r="O199" s="1573"/>
      <c r="P199" s="1574"/>
      <c r="Q199" s="503" t="s">
        <v>1314</v>
      </c>
    </row>
    <row r="200" spans="1:20" s="43" customFormat="1" ht="3" customHeight="1">
      <c r="A200" s="42"/>
      <c r="B200" s="42"/>
      <c r="C200" s="1283"/>
      <c r="D200" s="1283"/>
      <c r="E200" s="1283"/>
      <c r="F200" s="1283"/>
      <c r="G200" s="1283"/>
      <c r="H200" s="1283"/>
      <c r="I200" s="1283"/>
      <c r="J200" s="1283"/>
      <c r="K200" s="1283"/>
      <c r="L200" s="1283"/>
      <c r="M200" s="1283"/>
      <c r="N200" s="78"/>
      <c r="O200" s="74"/>
      <c r="P200" s="1309"/>
    </row>
    <row r="201" spans="1:20" s="43" customFormat="1" ht="15">
      <c r="A201" s="168" t="s">
        <v>245</v>
      </c>
      <c r="B201" s="119" t="s">
        <v>3889</v>
      </c>
      <c r="C201" s="92"/>
      <c r="D201" s="60"/>
      <c r="E201" s="53"/>
      <c r="M201" s="2">
        <v>3</v>
      </c>
      <c r="N201" s="6"/>
      <c r="O201" s="6"/>
      <c r="P201" s="645"/>
      <c r="Q201" s="115" t="s">
        <v>458</v>
      </c>
    </row>
    <row r="202" spans="1:20" s="43" customFormat="1" ht="12" customHeight="1">
      <c r="A202" s="168"/>
      <c r="B202" s="40" t="s">
        <v>2843</v>
      </c>
      <c r="C202" s="92"/>
      <c r="D202" s="60"/>
      <c r="E202" s="53"/>
      <c r="I202" s="532" t="str">
        <f>'Part I-Project Information'!$H$86</f>
        <v>Yes</v>
      </c>
      <c r="M202" s="2"/>
      <c r="N202" s="2"/>
      <c r="O202" s="127" t="s">
        <v>2636</v>
      </c>
      <c r="P202" s="127" t="s">
        <v>2636</v>
      </c>
      <c r="Q202" s="115"/>
    </row>
    <row r="203" spans="1:20" s="43" customFormat="1" ht="12" customHeight="1">
      <c r="A203" s="151"/>
      <c r="B203" s="56" t="s">
        <v>4071</v>
      </c>
      <c r="D203" s="32"/>
      <c r="N203" s="533"/>
      <c r="O203" s="2468"/>
      <c r="P203" s="649"/>
      <c r="R203" s="416"/>
    </row>
    <row r="204" spans="1:20" s="43" customFormat="1" ht="12" customHeight="1">
      <c r="A204" s="151"/>
      <c r="B204" s="56" t="s">
        <v>4072</v>
      </c>
      <c r="D204" s="32"/>
      <c r="N204" s="533"/>
      <c r="O204" s="2471"/>
      <c r="P204" s="650"/>
      <c r="R204" s="416"/>
    </row>
    <row r="205" spans="1:20" s="43" customFormat="1" ht="12" customHeight="1">
      <c r="A205" s="151"/>
      <c r="B205" s="56" t="s">
        <v>3890</v>
      </c>
      <c r="D205" s="32"/>
      <c r="N205" s="533"/>
      <c r="O205" s="2469"/>
      <c r="P205" s="651"/>
      <c r="R205" s="416"/>
    </row>
    <row r="206" spans="1:20" s="43" customFormat="1" ht="12" customHeight="1">
      <c r="A206" s="42"/>
      <c r="B206" s="49" t="s">
        <v>267</v>
      </c>
      <c r="C206" s="42"/>
      <c r="D206" s="48"/>
      <c r="E206" s="48"/>
      <c r="F206" s="48"/>
      <c r="G206" s="48"/>
      <c r="H206" s="36"/>
      <c r="I206" s="36"/>
      <c r="J206" s="36"/>
      <c r="K206" s="36"/>
      <c r="M206" s="46"/>
      <c r="N206" s="64"/>
      <c r="O206" s="3"/>
      <c r="P206" s="1282"/>
    </row>
    <row r="207" spans="1:20" s="43" customFormat="1" ht="12" customHeight="1">
      <c r="A207" s="2433"/>
      <c r="B207" s="2434"/>
      <c r="C207" s="2434"/>
      <c r="D207" s="2434"/>
      <c r="E207" s="2434"/>
      <c r="F207" s="2434"/>
      <c r="G207" s="2434"/>
      <c r="H207" s="2434"/>
      <c r="I207" s="2434"/>
      <c r="J207" s="2434"/>
      <c r="K207" s="2434"/>
      <c r="L207" s="2434"/>
      <c r="M207" s="2434"/>
      <c r="N207" s="2434"/>
      <c r="O207" s="2434"/>
      <c r="P207" s="2435"/>
      <c r="Q207" s="503" t="s">
        <v>1314</v>
      </c>
    </row>
    <row r="208" spans="1:20" s="43" customFormat="1" ht="12" customHeight="1">
      <c r="B208" s="90" t="s">
        <v>1960</v>
      </c>
      <c r="C208" s="104"/>
      <c r="D208" s="90"/>
      <c r="E208" s="105"/>
      <c r="F208" s="1283"/>
      <c r="G208" s="1283"/>
      <c r="H208" s="1283"/>
      <c r="I208" s="1283"/>
      <c r="J208" s="1283"/>
      <c r="K208" s="1283"/>
      <c r="L208" s="1283"/>
      <c r="M208" s="1283"/>
      <c r="N208" s="78"/>
      <c r="O208" s="74"/>
      <c r="P208" s="2"/>
      <c r="Q208" s="479"/>
    </row>
    <row r="209" spans="1:18" s="43" customFormat="1" ht="12" customHeight="1">
      <c r="A209" s="1572"/>
      <c r="B209" s="1573"/>
      <c r="C209" s="1573"/>
      <c r="D209" s="1573"/>
      <c r="E209" s="1573"/>
      <c r="F209" s="1573"/>
      <c r="G209" s="1573"/>
      <c r="H209" s="1573"/>
      <c r="I209" s="1573"/>
      <c r="J209" s="1573"/>
      <c r="K209" s="1573"/>
      <c r="L209" s="1573"/>
      <c r="M209" s="1573"/>
      <c r="N209" s="1573"/>
      <c r="O209" s="1573"/>
      <c r="P209" s="1574"/>
      <c r="Q209" s="503" t="s">
        <v>1314</v>
      </c>
    </row>
    <row r="210" spans="1:18" ht="4.5" customHeight="1"/>
    <row r="211" spans="1:18" s="65" customFormat="1" ht="12.6" customHeight="1">
      <c r="A211" s="167" t="s">
        <v>246</v>
      </c>
      <c r="B211" s="111" t="s">
        <v>3151</v>
      </c>
      <c r="G211" s="36" t="s">
        <v>3102</v>
      </c>
      <c r="H211" s="486"/>
      <c r="I211" s="908"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3" t="s">
        <v>3892</v>
      </c>
      <c r="H212" s="41"/>
      <c r="I212" s="608" t="str">
        <f>'Part I-Project Information'!$K$30</f>
        <v>Urban</v>
      </c>
      <c r="K212" s="608"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2081</v>
      </c>
      <c r="B213" s="1564" t="s">
        <v>3893</v>
      </c>
      <c r="C213" s="1564"/>
      <c r="D213" s="1564"/>
      <c r="E213" s="1564"/>
      <c r="F213" s="1564"/>
      <c r="G213" s="1564"/>
      <c r="H213" s="1564"/>
      <c r="I213" s="1564"/>
      <c r="J213" s="1564"/>
      <c r="K213" s="1564"/>
      <c r="L213" s="1564"/>
      <c r="M213" s="601">
        <v>2</v>
      </c>
      <c r="N213" s="177" t="s">
        <v>2081</v>
      </c>
      <c r="O213" s="2614"/>
      <c r="P213" s="1232"/>
      <c r="Q213" s="822" t="s">
        <v>2877</v>
      </c>
      <c r="R213" s="416"/>
    </row>
    <row r="214" spans="1:18" s="65" customFormat="1" ht="10.5" customHeight="1">
      <c r="A214" s="167"/>
      <c r="C214" s="603"/>
      <c r="E214" s="617"/>
      <c r="G214" s="1298" t="s">
        <v>1881</v>
      </c>
      <c r="I214" s="608">
        <f>'Part VI-Revenues &amp; Expenses'!$M$62</f>
        <v>96</v>
      </c>
      <c r="J214" s="608" t="s">
        <v>4050</v>
      </c>
      <c r="K214" s="905"/>
      <c r="L214" s="1306"/>
      <c r="M214" s="2"/>
      <c r="N214" s="440"/>
      <c r="O214" s="440"/>
      <c r="P214" s="440"/>
      <c r="Q214" s="115"/>
      <c r="R214" s="28"/>
    </row>
    <row r="215" spans="1:18" s="65" customFormat="1" ht="10.5" customHeight="1">
      <c r="A215" s="167"/>
      <c r="B215" s="608"/>
      <c r="C215" s="603"/>
      <c r="E215" s="617"/>
      <c r="G215" s="1298" t="s">
        <v>4049</v>
      </c>
      <c r="I215" s="909">
        <f>'Part VI-Revenues &amp; Expenses'!$M$74</f>
        <v>96</v>
      </c>
      <c r="J215" s="904"/>
      <c r="K215" s="905"/>
      <c r="L215" s="1306"/>
      <c r="M215" s="2"/>
      <c r="N215" s="440"/>
      <c r="O215" s="440"/>
      <c r="P215" s="440"/>
      <c r="Q215" s="115"/>
      <c r="R215" s="28"/>
    </row>
    <row r="216" spans="1:18" s="65" customFormat="1" ht="10.5" customHeight="1">
      <c r="A216" s="167"/>
      <c r="B216" s="184"/>
      <c r="C216" s="603"/>
      <c r="E216" s="617"/>
      <c r="G216" s="1298" t="s">
        <v>3064</v>
      </c>
      <c r="I216" s="907">
        <f>'Part VI-Revenues &amp; Expenses'!$M$74/'Part VI-Revenues &amp; Expenses'!$M$62</f>
        <v>1</v>
      </c>
      <c r="J216" s="904"/>
      <c r="K216" s="905"/>
      <c r="L216" s="1306"/>
      <c r="M216" s="2"/>
      <c r="N216" s="440"/>
      <c r="O216" s="440"/>
      <c r="P216" s="440"/>
      <c r="Q216" s="115"/>
      <c r="R216" s="28"/>
    </row>
    <row r="217" spans="1:18" s="65" customFormat="1" ht="11.25" customHeight="1">
      <c r="A217" s="156" t="s">
        <v>2084</v>
      </c>
      <c r="B217" s="152" t="s">
        <v>3894</v>
      </c>
      <c r="C217" s="236"/>
      <c r="D217" s="236"/>
      <c r="E217" s="236"/>
      <c r="F217" s="236"/>
      <c r="G217" s="236"/>
      <c r="H217" s="236"/>
      <c r="I217" s="1301"/>
      <c r="J217" s="236"/>
      <c r="K217" s="236"/>
      <c r="L217" s="236"/>
      <c r="M217" s="76">
        <v>1</v>
      </c>
      <c r="N217" s="533" t="s">
        <v>2084</v>
      </c>
      <c r="O217" s="2566"/>
      <c r="P217" s="1233"/>
      <c r="Q217" s="432" t="s">
        <v>2877</v>
      </c>
      <c r="R217" s="416"/>
    </row>
    <row r="218" spans="1:18" s="65" customFormat="1" ht="10.5" customHeight="1">
      <c r="A218" s="167"/>
      <c r="B218" s="184"/>
      <c r="C218" s="603"/>
      <c r="E218" s="617"/>
      <c r="G218" s="1298" t="s">
        <v>3891</v>
      </c>
      <c r="I218" s="906" t="str">
        <f>'Part I-Project Information'!$H$67</f>
        <v>Family</v>
      </c>
      <c r="J218" s="904"/>
      <c r="K218" s="905"/>
      <c r="L218" s="1306"/>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82"/>
    </row>
    <row r="220" spans="1:18" s="43" customFormat="1" ht="12" customHeight="1">
      <c r="A220" s="2433"/>
      <c r="B220" s="2434"/>
      <c r="C220" s="2434"/>
      <c r="D220" s="2434"/>
      <c r="E220" s="2434"/>
      <c r="F220" s="2434"/>
      <c r="G220" s="2434"/>
      <c r="H220" s="2434"/>
      <c r="I220" s="2435"/>
      <c r="J220" s="1572"/>
      <c r="K220" s="1573"/>
      <c r="L220" s="1573"/>
      <c r="M220" s="1573"/>
      <c r="N220" s="1573"/>
      <c r="O220" s="1573"/>
      <c r="P220" s="1574"/>
      <c r="Q220" s="503" t="s">
        <v>1314</v>
      </c>
    </row>
    <row r="221" spans="1:18" s="43" customFormat="1" ht="5.25" customHeight="1">
      <c r="A221" s="42"/>
      <c r="C221" s="1283"/>
      <c r="D221" s="1283"/>
      <c r="E221" s="1283"/>
      <c r="F221" s="1283"/>
      <c r="G221" s="1283"/>
      <c r="H221" s="1283"/>
      <c r="I221" s="1283"/>
      <c r="J221" s="1283"/>
      <c r="K221" s="1283"/>
      <c r="L221" s="1283"/>
      <c r="M221" s="1283"/>
      <c r="N221" s="78"/>
      <c r="O221" s="74"/>
      <c r="P221" s="1309"/>
    </row>
    <row r="222" spans="1:18" s="43" customFormat="1" ht="13.5" customHeight="1">
      <c r="A222" s="167" t="s">
        <v>1473</v>
      </c>
      <c r="B222" s="120" t="s">
        <v>1753</v>
      </c>
      <c r="D222" s="93"/>
      <c r="E222" s="93"/>
      <c r="G222" s="53"/>
      <c r="H222" s="53"/>
      <c r="I222" s="53"/>
      <c r="J222" s="55"/>
      <c r="K222" s="1299"/>
      <c r="L222" s="416" t="str">
        <f>IF(OR($O222=$M222,$O222=0,$O222=""),"","* * Check Score! * *")</f>
        <v/>
      </c>
      <c r="M222" s="1309">
        <v>1</v>
      </c>
      <c r="N222" s="440" t="str">
        <f>IF(OR($O222=$M222,$O222=0,$O222=""),"","***")</f>
        <v/>
      </c>
      <c r="O222" s="2550"/>
      <c r="P222" s="1234"/>
      <c r="Q222" s="115" t="s">
        <v>458</v>
      </c>
      <c r="R222" s="432" t="s">
        <v>2877</v>
      </c>
    </row>
    <row r="223" spans="1:18" s="43" customFormat="1" ht="12" customHeight="1">
      <c r="B223" s="121" t="s">
        <v>3152</v>
      </c>
      <c r="D223" s="108"/>
      <c r="E223" s="93"/>
      <c r="F223" s="53"/>
      <c r="G223" s="53"/>
      <c r="H223" s="53"/>
      <c r="I223" s="52"/>
      <c r="O223" s="127" t="s">
        <v>2636</v>
      </c>
      <c r="P223" s="127" t="s">
        <v>2636</v>
      </c>
    </row>
    <row r="224" spans="1:18" s="106" customFormat="1" ht="12" customHeight="1">
      <c r="A224" s="151" t="s">
        <v>2081</v>
      </c>
      <c r="B224" s="146" t="s">
        <v>3270</v>
      </c>
      <c r="D224" s="126"/>
      <c r="E224" s="126"/>
      <c r="F224" s="126"/>
      <c r="I224" s="2615" t="s">
        <v>2648</v>
      </c>
      <c r="J224" s="2616"/>
      <c r="K224" s="2617"/>
      <c r="N224" s="533" t="s">
        <v>2081</v>
      </c>
      <c r="O224" s="2468"/>
      <c r="P224" s="649"/>
    </row>
    <row r="225" spans="1:17" s="106" customFormat="1" ht="12" customHeight="1">
      <c r="A225" s="151" t="s">
        <v>2084</v>
      </c>
      <c r="B225" s="146" t="s">
        <v>3271</v>
      </c>
      <c r="D225" s="126"/>
      <c r="E225" s="126"/>
      <c r="F225" s="126"/>
      <c r="G225" s="126"/>
      <c r="M225" s="126"/>
      <c r="N225" s="533" t="s">
        <v>2084</v>
      </c>
      <c r="O225" s="2471"/>
      <c r="P225" s="650"/>
    </row>
    <row r="226" spans="1:17" s="106" customFormat="1" ht="12" customHeight="1">
      <c r="A226" s="151" t="s">
        <v>789</v>
      </c>
      <c r="B226" s="146" t="s">
        <v>4199</v>
      </c>
      <c r="D226" s="126"/>
      <c r="E226" s="126"/>
      <c r="F226" s="126"/>
      <c r="G226" s="126"/>
      <c r="H226" s="126"/>
      <c r="L226" s="126"/>
      <c r="M226" s="126"/>
      <c r="N226" s="533" t="s">
        <v>789</v>
      </c>
      <c r="O226" s="2471"/>
      <c r="P226" s="650"/>
    </row>
    <row r="227" spans="1:17" s="106" customFormat="1" ht="12" customHeight="1">
      <c r="A227" s="151" t="s">
        <v>2216</v>
      </c>
      <c r="B227" s="146" t="s">
        <v>4073</v>
      </c>
      <c r="D227" s="126"/>
      <c r="E227" s="126"/>
      <c r="F227" s="126"/>
      <c r="G227" s="126"/>
      <c r="H227" s="126"/>
      <c r="I227" s="126"/>
      <c r="J227" s="126"/>
      <c r="K227" s="126"/>
      <c r="L227" s="126"/>
      <c r="M227" s="126"/>
      <c r="N227" s="533" t="s">
        <v>2216</v>
      </c>
      <c r="O227" s="2469"/>
      <c r="P227" s="651"/>
    </row>
    <row r="228" spans="1:17" s="106" customFormat="1" ht="12" customHeight="1">
      <c r="A228" s="201" t="s">
        <v>3272</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1960</v>
      </c>
      <c r="M229" s="46"/>
      <c r="N229" s="64"/>
      <c r="O229" s="3"/>
      <c r="P229" s="1282"/>
    </row>
    <row r="230" spans="1:17" s="43" customFormat="1" ht="12" customHeight="1">
      <c r="A230" s="2433"/>
      <c r="B230" s="2434"/>
      <c r="C230" s="2434"/>
      <c r="D230" s="2434"/>
      <c r="E230" s="2434"/>
      <c r="F230" s="2434"/>
      <c r="G230" s="2434"/>
      <c r="H230" s="2434"/>
      <c r="I230" s="2435"/>
      <c r="J230" s="1572"/>
      <c r="K230" s="1573"/>
      <c r="L230" s="1573"/>
      <c r="M230" s="1573"/>
      <c r="N230" s="1573"/>
      <c r="O230" s="1573"/>
      <c r="P230" s="1574"/>
      <c r="Q230" s="503" t="s">
        <v>1314</v>
      </c>
    </row>
    <row r="231" spans="1:17" ht="4.5" customHeight="1"/>
    <row r="232" spans="1:17" s="43" customFormat="1" ht="15">
      <c r="A232" s="167" t="s">
        <v>1752</v>
      </c>
      <c r="B232" s="120" t="s">
        <v>3154</v>
      </c>
      <c r="D232" s="93"/>
      <c r="E232" s="93"/>
      <c r="F232" s="53"/>
      <c r="G232" s="53"/>
      <c r="H232" s="53"/>
      <c r="I232" s="184" t="s">
        <v>3102</v>
      </c>
      <c r="J232" s="603"/>
      <c r="K232" s="65"/>
      <c r="L232" s="604" t="str">
        <f>'Part I-Project Information'!$H$90</f>
        <v>Flexible</v>
      </c>
      <c r="M232" s="3">
        <v>8</v>
      </c>
      <c r="N232" s="6"/>
      <c r="O232" s="67">
        <f>O239+O254+O256</f>
        <v>0</v>
      </c>
      <c r="P232" s="67">
        <f>P239+P254+P256</f>
        <v>0</v>
      </c>
      <c r="Q232" s="115" t="s">
        <v>458</v>
      </c>
    </row>
    <row r="233" spans="1:17" s="43" customFormat="1" ht="12" customHeight="1">
      <c r="A233" s="42"/>
      <c r="B233" s="121" t="s">
        <v>3277</v>
      </c>
      <c r="E233" s="93"/>
      <c r="F233" s="53"/>
      <c r="G233" s="53"/>
      <c r="H233" s="53"/>
      <c r="I233" s="53"/>
      <c r="J233" s="55"/>
      <c r="K233" s="62"/>
      <c r="L233" s="58"/>
      <c r="O233" s="127" t="s">
        <v>2636</v>
      </c>
      <c r="P233" s="127" t="s">
        <v>2636</v>
      </c>
    </row>
    <row r="234" spans="1:17" s="106" customFormat="1" ht="12" customHeight="1">
      <c r="B234" s="491" t="s">
        <v>2085</v>
      </c>
      <c r="C234" s="486" t="s">
        <v>3153</v>
      </c>
      <c r="E234" s="93"/>
      <c r="F234" s="53"/>
      <c r="G234" s="53"/>
      <c r="H234" s="53"/>
      <c r="I234" s="53"/>
      <c r="J234" s="55"/>
      <c r="K234" s="62"/>
      <c r="L234" s="58" t="str">
        <f>IF(M234&gt;14,"Over limit!","")</f>
        <v/>
      </c>
      <c r="N234" s="196" t="s">
        <v>2085</v>
      </c>
      <c r="O234" s="2468"/>
      <c r="P234" s="649"/>
    </row>
    <row r="235" spans="1:17" s="106" customFormat="1" ht="12" customHeight="1">
      <c r="B235" s="491" t="s">
        <v>2087</v>
      </c>
      <c r="C235" s="106" t="s">
        <v>593</v>
      </c>
      <c r="N235" s="196" t="s">
        <v>2087</v>
      </c>
      <c r="O235" s="2471"/>
      <c r="P235" s="650"/>
    </row>
    <row r="236" spans="1:17" s="106" customFormat="1" ht="12" customHeight="1">
      <c r="B236" s="491" t="s">
        <v>2661</v>
      </c>
      <c r="C236" s="106" t="s">
        <v>594</v>
      </c>
      <c r="N236" s="196" t="s">
        <v>2661</v>
      </c>
      <c r="O236" s="2471"/>
      <c r="P236" s="650"/>
    </row>
    <row r="237" spans="1:17" s="106" customFormat="1" ht="12" customHeight="1">
      <c r="B237" s="491" t="s">
        <v>1283</v>
      </c>
      <c r="C237" s="106" t="s">
        <v>595</v>
      </c>
      <c r="N237" s="196" t="s">
        <v>1283</v>
      </c>
      <c r="O237" s="2471"/>
      <c r="P237" s="650"/>
    </row>
    <row r="238" spans="1:17" s="106" customFormat="1" ht="12" customHeight="1">
      <c r="B238" s="491" t="s">
        <v>1284</v>
      </c>
      <c r="C238" s="106" t="s">
        <v>603</v>
      </c>
      <c r="N238" s="196" t="s">
        <v>1284</v>
      </c>
      <c r="O238" s="2469"/>
      <c r="P238" s="651"/>
    </row>
    <row r="239" spans="1:17" s="43" customFormat="1" ht="12" customHeight="1">
      <c r="A239" s="151" t="s">
        <v>2081</v>
      </c>
      <c r="B239" s="201" t="s">
        <v>1937</v>
      </c>
      <c r="D239" s="40"/>
      <c r="E239" s="40"/>
      <c r="F239" s="32"/>
      <c r="G239" s="108"/>
      <c r="H239" s="108"/>
      <c r="I239" s="108"/>
      <c r="J239" s="40"/>
      <c r="K239" s="108"/>
      <c r="L239" s="32"/>
      <c r="M239" s="485">
        <v>4</v>
      </c>
      <c r="N239" s="533"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6" t="s">
        <v>2760</v>
      </c>
      <c r="I240" s="1673" t="s">
        <v>2089</v>
      </c>
      <c r="J240" s="1673"/>
      <c r="L240" s="1673" t="s">
        <v>2089</v>
      </c>
      <c r="M240" s="1673"/>
      <c r="N240" s="196"/>
    </row>
    <row r="241" spans="1:18" s="43" customFormat="1" ht="12" customHeight="1">
      <c r="A241" s="197"/>
      <c r="B241" s="413" t="s">
        <v>2556</v>
      </c>
      <c r="C241" s="36" t="s">
        <v>1557</v>
      </c>
      <c r="H241" s="413" t="s">
        <v>2556</v>
      </c>
      <c r="I241" s="2618"/>
      <c r="J241" s="2619"/>
      <c r="K241" s="413" t="s">
        <v>2556</v>
      </c>
      <c r="L241" s="1734"/>
      <c r="M241" s="1735"/>
      <c r="N241" s="196"/>
      <c r="O241" s="1275"/>
      <c r="P241" s="1275"/>
      <c r="R241" s="416"/>
    </row>
    <row r="242" spans="1:18" ht="12" customHeight="1">
      <c r="A242" s="198"/>
      <c r="B242" s="431" t="s">
        <v>2557</v>
      </c>
      <c r="C242" s="36" t="s">
        <v>1558</v>
      </c>
      <c r="H242" s="431" t="s">
        <v>2557</v>
      </c>
      <c r="I242" s="2620"/>
      <c r="J242" s="2621"/>
      <c r="K242" s="431" t="s">
        <v>2557</v>
      </c>
      <c r="L242" s="1728"/>
      <c r="M242" s="1729"/>
      <c r="N242" s="196"/>
      <c r="R242" s="416"/>
    </row>
    <row r="243" spans="1:18" ht="12" customHeight="1">
      <c r="B243" s="413" t="s">
        <v>2558</v>
      </c>
      <c r="C243" s="36" t="s">
        <v>2759</v>
      </c>
      <c r="H243" s="413" t="s">
        <v>2558</v>
      </c>
      <c r="I243" s="2620"/>
      <c r="J243" s="2621"/>
      <c r="K243" s="413" t="s">
        <v>2558</v>
      </c>
      <c r="L243" s="1728"/>
      <c r="M243" s="1729"/>
      <c r="N243" s="196"/>
      <c r="R243" s="416"/>
    </row>
    <row r="244" spans="1:18" ht="12" customHeight="1">
      <c r="A244" s="198"/>
      <c r="B244" s="413" t="s">
        <v>2559</v>
      </c>
      <c r="C244" s="36" t="s">
        <v>4074</v>
      </c>
      <c r="H244" s="413" t="s">
        <v>2559</v>
      </c>
      <c r="I244" s="2620"/>
      <c r="J244" s="2621"/>
      <c r="K244" s="413" t="s">
        <v>2559</v>
      </c>
      <c r="L244" s="1728"/>
      <c r="M244" s="1729"/>
      <c r="N244" s="196"/>
      <c r="R244" s="416"/>
    </row>
    <row r="245" spans="1:18" s="43" customFormat="1" ht="12" customHeight="1">
      <c r="A245" s="197"/>
      <c r="B245" s="431" t="s">
        <v>2560</v>
      </c>
      <c r="C245" s="36" t="s">
        <v>2914</v>
      </c>
      <c r="H245" s="431" t="s">
        <v>2560</v>
      </c>
      <c r="I245" s="2620"/>
      <c r="J245" s="2621"/>
      <c r="K245" s="431" t="s">
        <v>2560</v>
      </c>
      <c r="L245" s="1728"/>
      <c r="M245" s="1729"/>
      <c r="N245" s="196"/>
      <c r="O245" s="1275"/>
      <c r="P245" s="1275"/>
      <c r="R245" s="416"/>
    </row>
    <row r="246" spans="1:18" ht="12" customHeight="1">
      <c r="B246" s="413" t="s">
        <v>2576</v>
      </c>
      <c r="C246" s="36" t="s">
        <v>3273</v>
      </c>
      <c r="H246" s="413" t="s">
        <v>2576</v>
      </c>
      <c r="I246" s="2620"/>
      <c r="J246" s="2621"/>
      <c r="K246" s="413" t="s">
        <v>2576</v>
      </c>
      <c r="L246" s="1728"/>
      <c r="M246" s="1729"/>
      <c r="N246" s="196"/>
      <c r="R246" s="416"/>
    </row>
    <row r="247" spans="1:18" ht="12" customHeight="1">
      <c r="A247" s="198"/>
      <c r="B247" s="413" t="s">
        <v>2577</v>
      </c>
      <c r="C247" s="36" t="s">
        <v>3919</v>
      </c>
      <c r="H247" s="413" t="s">
        <v>2577</v>
      </c>
      <c r="I247" s="2620"/>
      <c r="J247" s="2621"/>
      <c r="K247" s="413" t="s">
        <v>2577</v>
      </c>
      <c r="L247" s="1728"/>
      <c r="M247" s="1729"/>
      <c r="N247" s="196"/>
      <c r="R247" s="416"/>
    </row>
    <row r="248" spans="1:18" ht="12" customHeight="1">
      <c r="B248" s="430" t="s">
        <v>2578</v>
      </c>
      <c r="C248" s="36" t="s">
        <v>3920</v>
      </c>
      <c r="H248" s="430" t="s">
        <v>2578</v>
      </c>
      <c r="I248" s="2620"/>
      <c r="J248" s="2621"/>
      <c r="K248" s="430" t="s">
        <v>2578</v>
      </c>
      <c r="L248" s="1728"/>
      <c r="M248" s="1729"/>
      <c r="N248" s="196"/>
      <c r="R248" s="416"/>
    </row>
    <row r="249" spans="1:18" ht="12" customHeight="1" thickBot="1">
      <c r="A249" s="198"/>
      <c r="B249" s="430" t="s">
        <v>2579</v>
      </c>
      <c r="C249" s="36" t="s">
        <v>3921</v>
      </c>
      <c r="H249" s="430" t="s">
        <v>2579</v>
      </c>
      <c r="I249" s="2620"/>
      <c r="J249" s="2621"/>
      <c r="K249" s="430" t="s">
        <v>2579</v>
      </c>
      <c r="L249" s="1728"/>
      <c r="M249" s="1729"/>
      <c r="N249" s="196"/>
      <c r="R249" s="416"/>
    </row>
    <row r="250" spans="1:18" ht="12" customHeight="1" thickBot="1">
      <c r="A250" s="198"/>
      <c r="B250" s="491"/>
      <c r="C250" s="488" t="s">
        <v>2762</v>
      </c>
      <c r="H250" s="56"/>
      <c r="I250" s="2622">
        <f>SUM(I241:J249)</f>
        <v>0</v>
      </c>
      <c r="J250" s="2623"/>
      <c r="L250" s="1730">
        <f>SUM($L241:$L249)</f>
        <v>0</v>
      </c>
      <c r="M250" s="1731"/>
      <c r="N250" s="196"/>
      <c r="R250" s="416"/>
    </row>
    <row r="251" spans="1:18" s="43" customFormat="1" ht="12" customHeight="1">
      <c r="A251" s="42"/>
      <c r="B251" s="117"/>
      <c r="D251" s="39"/>
      <c r="E251" s="36"/>
      <c r="F251" s="1309"/>
      <c r="G251" s="1309"/>
      <c r="H251" s="1309"/>
      <c r="I251" s="1309"/>
      <c r="J251" s="1305"/>
      <c r="K251" s="1305"/>
      <c r="L251" s="1305"/>
      <c r="M251" s="1299"/>
      <c r="N251" s="1309"/>
      <c r="O251" s="1282"/>
      <c r="P251" s="3"/>
    </row>
    <row r="252" spans="1:18" ht="12" customHeight="1">
      <c r="B252" s="412" t="s">
        <v>2087</v>
      </c>
      <c r="C252" s="496" t="s">
        <v>2761</v>
      </c>
      <c r="D252" s="488" t="s">
        <v>2763</v>
      </c>
      <c r="I252" s="1711">
        <f>'Part IV-Uses of Funds'!$G$130</f>
        <v>14368613</v>
      </c>
      <c r="J252" s="1712"/>
      <c r="M252" s="174"/>
      <c r="N252" s="28"/>
      <c r="O252" s="28"/>
      <c r="P252" s="28"/>
    </row>
    <row r="253" spans="1:18" ht="12" customHeight="1">
      <c r="B253" s="196"/>
      <c r="C253" s="487"/>
      <c r="D253" s="494" t="s">
        <v>2764</v>
      </c>
      <c r="G253" s="1303"/>
      <c r="H253" s="1303"/>
      <c r="I253" s="1709">
        <f>IF($I252=0,0,$I250/$I252)</f>
        <v>0</v>
      </c>
      <c r="J253" s="1710"/>
      <c r="L253" s="1732">
        <f>IF($I252=0,0,$L250/$I252)</f>
        <v>0</v>
      </c>
      <c r="M253" s="1733"/>
      <c r="N253" s="28"/>
      <c r="O253" s="28"/>
      <c r="P253" s="28"/>
    </row>
    <row r="254" spans="1:18" s="43" customFormat="1" ht="12.75" customHeight="1">
      <c r="A254" s="151" t="s">
        <v>2084</v>
      </c>
      <c r="B254" s="201" t="s">
        <v>3922</v>
      </c>
      <c r="D254" s="39"/>
      <c r="E254" s="36"/>
      <c r="F254" s="1309"/>
      <c r="H254" s="36"/>
      <c r="I254" s="1309"/>
      <c r="J254" s="1305"/>
      <c r="K254" s="1305"/>
      <c r="L254" s="1305"/>
      <c r="M254" s="76">
        <v>2</v>
      </c>
      <c r="N254" s="533" t="s">
        <v>2084</v>
      </c>
      <c r="O254" s="2624"/>
      <c r="P254" s="638"/>
      <c r="Q254" s="432" t="s">
        <v>2877</v>
      </c>
    </row>
    <row r="255" spans="1:18" s="43" customFormat="1" ht="11.25" customHeight="1">
      <c r="A255" s="151"/>
      <c r="B255" s="53" t="s">
        <v>3155</v>
      </c>
      <c r="C255" s="53"/>
      <c r="D255" s="53"/>
      <c r="E255" s="53"/>
      <c r="F255" s="53"/>
      <c r="G255" s="53"/>
      <c r="H255" s="53"/>
      <c r="I255" s="53"/>
      <c r="J255" s="53"/>
      <c r="K255" s="53"/>
      <c r="L255" s="53"/>
      <c r="M255" s="53"/>
      <c r="N255" s="53"/>
      <c r="O255" s="2469" t="s">
        <v>3425</v>
      </c>
      <c r="P255" s="651"/>
    </row>
    <row r="256" spans="1:18" s="43" customFormat="1" ht="12.75" customHeight="1">
      <c r="A256" s="151" t="s">
        <v>789</v>
      </c>
      <c r="B256" s="201" t="s">
        <v>676</v>
      </c>
      <c r="D256" s="39"/>
      <c r="E256" s="36"/>
      <c r="F256" s="1309"/>
      <c r="G256" s="1309"/>
      <c r="H256" s="1309"/>
      <c r="I256" s="1309"/>
      <c r="J256" s="1305"/>
      <c r="K256" s="1305"/>
      <c r="L256" s="1305"/>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9"/>
      <c r="I257" s="2625"/>
      <c r="J257" s="2626"/>
      <c r="L257" s="1734"/>
      <c r="M257" s="1735"/>
      <c r="N257" s="28"/>
      <c r="O257" s="28"/>
    </row>
    <row r="258" spans="1:18" s="43" customFormat="1" ht="12" customHeight="1">
      <c r="A258" s="42"/>
      <c r="C258" s="36" t="s">
        <v>4052</v>
      </c>
      <c r="D258" s="1283"/>
      <c r="E258" s="1283"/>
      <c r="F258" s="1283"/>
      <c r="G258" s="1283"/>
      <c r="H258" s="1283"/>
      <c r="I258" s="1709">
        <f>IF($I257=0,0,$I257/$I252)</f>
        <v>0</v>
      </c>
      <c r="J258" s="1710"/>
      <c r="K258" s="1283"/>
      <c r="L258" s="1709">
        <f>IF($L257=0,0,$L257/$I252)</f>
        <v>0</v>
      </c>
      <c r="M258" s="1710"/>
      <c r="N258" s="78"/>
      <c r="O258" s="74"/>
      <c r="P258" s="1309"/>
    </row>
    <row r="259" spans="1:18" s="43" customFormat="1" ht="12" customHeight="1">
      <c r="A259" s="197"/>
      <c r="B259" s="36" t="s">
        <v>3176</v>
      </c>
      <c r="I259" s="2476"/>
      <c r="J259" s="2477"/>
      <c r="K259" s="2477"/>
      <c r="L259" s="2477"/>
      <c r="M259" s="2477"/>
      <c r="N259" s="2478"/>
    </row>
    <row r="260" spans="1:18" s="43" customFormat="1" ht="12" customHeight="1">
      <c r="A260" s="197"/>
      <c r="B260" s="36"/>
      <c r="C260" s="549" t="s">
        <v>1361</v>
      </c>
      <c r="I260" s="2611" t="s">
        <v>3156</v>
      </c>
      <c r="J260" s="2612"/>
      <c r="K260" s="2613"/>
    </row>
    <row r="261" spans="1:18" ht="22.5" customHeight="1">
      <c r="A261" s="198"/>
      <c r="B261" s="434" t="s">
        <v>2467</v>
      </c>
      <c r="D261" s="435"/>
      <c r="E261" s="2627"/>
      <c r="F261" s="2628"/>
      <c r="G261" s="2628"/>
      <c r="H261" s="2628"/>
      <c r="I261" s="2628"/>
      <c r="J261" s="2628"/>
      <c r="K261" s="2628"/>
      <c r="L261" s="2628"/>
      <c r="M261" s="2628"/>
      <c r="N261" s="2628"/>
      <c r="O261" s="2628"/>
      <c r="P261" s="2629"/>
    </row>
    <row r="262" spans="1:18" s="43" customFormat="1" ht="12" customHeight="1">
      <c r="A262" s="42"/>
      <c r="B262" s="49" t="s">
        <v>267</v>
      </c>
      <c r="C262" s="42"/>
      <c r="D262" s="48"/>
      <c r="E262" s="48"/>
      <c r="F262" s="48"/>
      <c r="G262" s="48"/>
      <c r="H262" s="36"/>
      <c r="I262" s="36"/>
      <c r="J262" s="36"/>
      <c r="K262" s="36"/>
      <c r="M262" s="46"/>
      <c r="N262" s="64"/>
      <c r="O262" s="3"/>
      <c r="P262" s="1282"/>
    </row>
    <row r="263" spans="1:18" s="43" customFormat="1" ht="12" customHeight="1">
      <c r="A263" s="2433"/>
      <c r="B263" s="2434"/>
      <c r="C263" s="2434"/>
      <c r="D263" s="2434"/>
      <c r="E263" s="2434"/>
      <c r="F263" s="2434"/>
      <c r="G263" s="2434"/>
      <c r="H263" s="2434"/>
      <c r="I263" s="2434"/>
      <c r="J263" s="2434"/>
      <c r="K263" s="2434"/>
      <c r="L263" s="2434"/>
      <c r="M263" s="2434"/>
      <c r="N263" s="2434"/>
      <c r="O263" s="2434"/>
      <c r="P263" s="2435"/>
      <c r="Q263" s="503" t="s">
        <v>1314</v>
      </c>
    </row>
    <row r="264" spans="1:18" s="108" customFormat="1" ht="12" customHeight="1">
      <c r="A264" s="42"/>
      <c r="B264" s="103" t="s">
        <v>1960</v>
      </c>
      <c r="C264" s="104"/>
      <c r="D264" s="103"/>
      <c r="E264" s="202"/>
      <c r="F264" s="1277"/>
      <c r="G264" s="1277"/>
      <c r="H264" s="1277"/>
      <c r="I264" s="1277"/>
      <c r="J264" s="1277"/>
      <c r="K264" s="1277"/>
      <c r="L264" s="1277"/>
      <c r="M264" s="1277"/>
      <c r="N264" s="99"/>
      <c r="O264" s="1316"/>
      <c r="P264" s="2"/>
      <c r="Q264" s="479"/>
    </row>
    <row r="265" spans="1:18" s="43" customFormat="1" ht="12" customHeight="1">
      <c r="A265" s="1572"/>
      <c r="B265" s="1573"/>
      <c r="C265" s="1573"/>
      <c r="D265" s="1573"/>
      <c r="E265" s="1573"/>
      <c r="F265" s="1573"/>
      <c r="G265" s="1573"/>
      <c r="H265" s="1573"/>
      <c r="I265" s="1573"/>
      <c r="J265" s="1573"/>
      <c r="K265" s="1573"/>
      <c r="L265" s="1573"/>
      <c r="M265" s="1573"/>
      <c r="N265" s="1573"/>
      <c r="O265" s="1573"/>
      <c r="P265" s="1574"/>
      <c r="Q265" s="503" t="s">
        <v>1314</v>
      </c>
    </row>
    <row r="266" spans="1:18" ht="3" customHeight="1"/>
    <row r="267" spans="1:18" s="43" customFormat="1" ht="15">
      <c r="A267" s="167" t="s">
        <v>1754</v>
      </c>
      <c r="B267" s="111" t="s">
        <v>3923</v>
      </c>
      <c r="C267" s="69"/>
      <c r="E267" s="41"/>
      <c r="G267" s="184" t="s">
        <v>3102</v>
      </c>
      <c r="I267" s="667" t="str">
        <f>'Part I-Project Information'!$H$90</f>
        <v>Flexible</v>
      </c>
      <c r="J267" s="48"/>
      <c r="K267" s="48"/>
      <c r="L267" s="416" t="str">
        <f>IF(OR($O267=$M267,$O267=0,$O267=""),"","* * Check Score! * *")</f>
        <v/>
      </c>
      <c r="M267" s="2">
        <v>3</v>
      </c>
      <c r="N267" s="108"/>
      <c r="O267" s="46"/>
      <c r="P267" s="645"/>
      <c r="Q267" s="115" t="s">
        <v>458</v>
      </c>
      <c r="R267" s="416"/>
    </row>
    <row r="268" spans="1:18" s="43" customFormat="1" ht="12" customHeight="1">
      <c r="A268" s="151" t="s">
        <v>2081</v>
      </c>
      <c r="B268" s="184" t="s">
        <v>2916</v>
      </c>
      <c r="D268" s="32"/>
      <c r="G268" s="56" t="s">
        <v>2462</v>
      </c>
      <c r="M268" s="76">
        <v>3</v>
      </c>
      <c r="N268" s="533" t="s">
        <v>2081</v>
      </c>
      <c r="O268" s="2523" t="s">
        <v>3425</v>
      </c>
      <c r="P268" s="647"/>
      <c r="R268" s="416"/>
    </row>
    <row r="269" spans="1:18" s="43" customFormat="1" ht="12" customHeight="1">
      <c r="A269" s="151" t="s">
        <v>2084</v>
      </c>
      <c r="B269" s="184" t="s">
        <v>3924</v>
      </c>
      <c r="D269" s="32"/>
      <c r="F269" s="32"/>
      <c r="G269" s="810" t="s">
        <v>3928</v>
      </c>
      <c r="N269" s="533" t="s">
        <v>2084</v>
      </c>
      <c r="O269" s="127" t="s">
        <v>2636</v>
      </c>
      <c r="P269" s="127" t="s">
        <v>2636</v>
      </c>
      <c r="R269" s="416"/>
    </row>
    <row r="270" spans="1:18" s="108" customFormat="1" ht="10.5" customHeight="1">
      <c r="A270" s="151"/>
      <c r="B270" s="412" t="s">
        <v>2085</v>
      </c>
      <c r="C270" s="36" t="s">
        <v>3925</v>
      </c>
      <c r="D270" s="32"/>
      <c r="F270" s="32"/>
      <c r="H270" s="36"/>
      <c r="N270" s="491" t="s">
        <v>2085</v>
      </c>
      <c r="O270" s="2468"/>
      <c r="P270" s="649"/>
      <c r="R270" s="416"/>
    </row>
    <row r="271" spans="1:18" s="108" customFormat="1" ht="10.5" customHeight="1">
      <c r="A271" s="151"/>
      <c r="B271" s="412" t="s">
        <v>2087</v>
      </c>
      <c r="C271" s="36" t="s">
        <v>3926</v>
      </c>
      <c r="D271" s="32"/>
      <c r="F271" s="32"/>
      <c r="H271" s="36"/>
      <c r="N271" s="491" t="s">
        <v>2087</v>
      </c>
      <c r="O271" s="2471"/>
      <c r="P271" s="650"/>
      <c r="R271" s="416"/>
    </row>
    <row r="272" spans="1:18" s="108" customFormat="1" ht="10.5" customHeight="1">
      <c r="A272" s="151"/>
      <c r="B272" s="412" t="s">
        <v>2661</v>
      </c>
      <c r="C272" s="36" t="s">
        <v>3927</v>
      </c>
      <c r="D272" s="32"/>
      <c r="F272" s="32"/>
      <c r="H272" s="36"/>
      <c r="N272" s="491" t="s">
        <v>2661</v>
      </c>
      <c r="O272" s="2471"/>
      <c r="P272" s="650"/>
      <c r="R272" s="416"/>
    </row>
    <row r="273" spans="1:18" s="108" customFormat="1" ht="10.5" customHeight="1">
      <c r="A273" s="151"/>
      <c r="B273" s="412" t="s">
        <v>1283</v>
      </c>
      <c r="C273" s="36" t="s">
        <v>2915</v>
      </c>
      <c r="D273" s="32"/>
      <c r="F273" s="32"/>
      <c r="H273" s="36"/>
      <c r="N273" s="491" t="s">
        <v>1283</v>
      </c>
      <c r="O273" s="2469"/>
      <c r="P273" s="651"/>
      <c r="R273" s="416"/>
    </row>
    <row r="274" spans="1:18" s="43" customFormat="1" ht="23.25" customHeight="1">
      <c r="A274" s="478" t="s">
        <v>789</v>
      </c>
      <c r="B274" s="932" t="s">
        <v>3929</v>
      </c>
      <c r="C274" s="479"/>
      <c r="D274" s="481"/>
      <c r="E274" s="481"/>
      <c r="F274" s="32"/>
      <c r="G274" s="32"/>
      <c r="H274" s="32"/>
      <c r="I274" s="32"/>
      <c r="O274" s="1654" t="s">
        <v>4220</v>
      </c>
      <c r="P274" s="1654"/>
      <c r="R274" s="416"/>
    </row>
    <row r="275" spans="1:18" s="108" customFormat="1" ht="10.5" customHeight="1">
      <c r="A275" s="151"/>
      <c r="B275" s="412" t="s">
        <v>2085</v>
      </c>
      <c r="C275" s="36" t="s">
        <v>3930</v>
      </c>
      <c r="D275" s="32"/>
      <c r="F275" s="32"/>
      <c r="H275" s="36"/>
      <c r="N275" s="533" t="s">
        <v>789</v>
      </c>
      <c r="O275" s="196" t="s">
        <v>2085</v>
      </c>
      <c r="P275" s="649"/>
      <c r="R275" s="416"/>
    </row>
    <row r="276" spans="1:18" s="108" customFormat="1" ht="10.5" customHeight="1">
      <c r="A276" s="151"/>
      <c r="B276" s="412" t="s">
        <v>2087</v>
      </c>
      <c r="C276" s="36" t="s">
        <v>3931</v>
      </c>
      <c r="D276" s="32"/>
      <c r="F276" s="32"/>
      <c r="H276" s="36"/>
      <c r="O276" s="196" t="s">
        <v>2087</v>
      </c>
      <c r="P276" s="650"/>
      <c r="R276" s="416"/>
    </row>
    <row r="277" spans="1:18" s="108" customFormat="1" ht="10.5" customHeight="1">
      <c r="A277" s="151"/>
      <c r="B277" s="412" t="s">
        <v>2661</v>
      </c>
      <c r="C277" s="36" t="s">
        <v>3932</v>
      </c>
      <c r="D277" s="32"/>
      <c r="F277" s="32"/>
      <c r="H277" s="36"/>
      <c r="O277" s="196" t="s">
        <v>2661</v>
      </c>
      <c r="P277" s="650"/>
      <c r="R277" s="416"/>
    </row>
    <row r="278" spans="1:18" s="108" customFormat="1" ht="10.5" customHeight="1">
      <c r="A278" s="151"/>
      <c r="B278" s="412" t="s">
        <v>1283</v>
      </c>
      <c r="C278" s="36" t="s">
        <v>3933</v>
      </c>
      <c r="D278" s="32"/>
      <c r="F278" s="32"/>
      <c r="H278" s="36"/>
      <c r="O278" s="196" t="s">
        <v>1283</v>
      </c>
      <c r="P278" s="650"/>
      <c r="R278" s="416"/>
    </row>
    <row r="279" spans="1:18" s="108" customFormat="1" ht="10.5" customHeight="1">
      <c r="A279" s="151"/>
      <c r="B279" s="412" t="s">
        <v>1284</v>
      </c>
      <c r="C279" s="36" t="s">
        <v>3934</v>
      </c>
      <c r="D279" s="32"/>
      <c r="F279" s="32"/>
      <c r="H279" s="36"/>
      <c r="O279" s="196" t="s">
        <v>1284</v>
      </c>
      <c r="P279" s="650"/>
      <c r="R279" s="416"/>
    </row>
    <row r="280" spans="1:18" s="461" customFormat="1" ht="22.5" customHeight="1">
      <c r="A280" s="156"/>
      <c r="B280" s="497" t="s">
        <v>1978</v>
      </c>
      <c r="C280" s="1553" t="s">
        <v>3935</v>
      </c>
      <c r="D280" s="1553"/>
      <c r="E280" s="1553"/>
      <c r="F280" s="1553"/>
      <c r="G280" s="1553"/>
      <c r="H280" s="1553"/>
      <c r="I280" s="1553"/>
      <c r="J280" s="1553"/>
      <c r="K280" s="1553"/>
      <c r="L280" s="1553"/>
      <c r="O280" s="433" t="s">
        <v>1978</v>
      </c>
      <c r="P280" s="653"/>
      <c r="R280" s="602"/>
    </row>
    <row r="281" spans="1:18" s="108" customFormat="1" ht="10.5" customHeight="1" thickBot="1">
      <c r="A281" s="151"/>
      <c r="B281" s="412" t="s">
        <v>526</v>
      </c>
      <c r="C281" s="36" t="s">
        <v>3936</v>
      </c>
      <c r="D281" s="32"/>
      <c r="F281" s="32"/>
      <c r="H281" s="36"/>
      <c r="O281" s="196" t="s">
        <v>526</v>
      </c>
      <c r="P281" s="817"/>
      <c r="R281" s="416"/>
    </row>
    <row r="282" spans="1:18" s="43" customFormat="1" ht="12" customHeight="1" thickBot="1">
      <c r="A282" s="151"/>
      <c r="B282" s="49" t="s">
        <v>267</v>
      </c>
      <c r="C282" s="56"/>
      <c r="D282" s="32"/>
      <c r="F282" s="32"/>
      <c r="H282" s="56"/>
      <c r="O282" s="818" t="s">
        <v>3937</v>
      </c>
      <c r="P282" s="1240">
        <f>SUM(P275:P281)</f>
        <v>0</v>
      </c>
      <c r="R282" s="416"/>
    </row>
    <row r="283" spans="1:18" s="43" customFormat="1" ht="48" customHeight="1">
      <c r="A283" s="2433"/>
      <c r="B283" s="2434"/>
      <c r="C283" s="2434"/>
      <c r="D283" s="2434"/>
      <c r="E283" s="2434"/>
      <c r="F283" s="2434"/>
      <c r="G283" s="2434"/>
      <c r="H283" s="2434"/>
      <c r="I283" s="2434"/>
      <c r="J283" s="2434"/>
      <c r="K283" s="2434"/>
      <c r="L283" s="2434"/>
      <c r="M283" s="2434"/>
      <c r="N283" s="2434"/>
      <c r="O283" s="2434"/>
      <c r="P283" s="2435"/>
      <c r="Q283" s="503" t="s">
        <v>1314</v>
      </c>
    </row>
    <row r="284" spans="1:18" s="108" customFormat="1" ht="10.5" customHeight="1">
      <c r="A284" s="42"/>
      <c r="B284" s="103" t="s">
        <v>1960</v>
      </c>
      <c r="C284" s="104"/>
      <c r="D284" s="103"/>
      <c r="E284" s="202"/>
      <c r="F284" s="1277"/>
      <c r="G284" s="1277"/>
      <c r="H284" s="1277"/>
      <c r="I284" s="1277"/>
      <c r="J284" s="1277"/>
      <c r="K284" s="1277"/>
      <c r="L284" s="1277"/>
      <c r="M284" s="1277"/>
      <c r="N284" s="99"/>
      <c r="O284" s="1316"/>
      <c r="P284" s="2"/>
      <c r="Q284" s="479"/>
    </row>
    <row r="285" spans="1:18" s="43" customFormat="1" ht="36" customHeight="1">
      <c r="A285" s="1572"/>
      <c r="B285" s="1573"/>
      <c r="C285" s="1573"/>
      <c r="D285" s="1573"/>
      <c r="E285" s="1573"/>
      <c r="F285" s="1573"/>
      <c r="G285" s="1573"/>
      <c r="H285" s="1573"/>
      <c r="I285" s="1573"/>
      <c r="J285" s="1573"/>
      <c r="K285" s="1573"/>
      <c r="L285" s="1573"/>
      <c r="M285" s="1573"/>
      <c r="N285" s="1573"/>
      <c r="O285" s="1573"/>
      <c r="P285" s="1574"/>
      <c r="Q285" s="503" t="s">
        <v>1314</v>
      </c>
    </row>
    <row r="286" spans="1:18" s="43" customFormat="1" ht="4.5" customHeight="1">
      <c r="A286" s="42"/>
      <c r="B286" s="42"/>
      <c r="C286" s="1283"/>
      <c r="D286" s="1283"/>
      <c r="E286" s="1283"/>
      <c r="F286" s="1283"/>
      <c r="G286" s="1283"/>
      <c r="H286" s="1283"/>
      <c r="I286" s="1283"/>
      <c r="J286" s="1283"/>
      <c r="K286" s="1283"/>
      <c r="L286" s="1283"/>
      <c r="M286" s="1283"/>
      <c r="N286" s="78"/>
      <c r="O286" s="74"/>
      <c r="P286" s="1309"/>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3157</v>
      </c>
      <c r="D288" s="32"/>
      <c r="E288" s="32"/>
      <c r="F288" s="32"/>
      <c r="H288" s="1220" t="s">
        <v>4231</v>
      </c>
      <c r="I288" s="1237">
        <f>'Part VI-Revenues &amp; Expenses'!$M$66/'Part VI-Revenues &amp; Expenses'!$M$62</f>
        <v>0</v>
      </c>
      <c r="K288" s="533" t="s">
        <v>4200</v>
      </c>
      <c r="L288" s="951">
        <f>'Part VI-Revenues &amp; Expenses'!$I$58/'Part VI-Revenues &amp; Expenses'!$M$58</f>
        <v>0.1875</v>
      </c>
      <c r="M288" s="6">
        <v>2</v>
      </c>
      <c r="N288" s="533" t="s">
        <v>2081</v>
      </c>
      <c r="O288" s="2630">
        <v>2</v>
      </c>
      <c r="P288" s="1236"/>
      <c r="Q288" s="432" t="s">
        <v>2877</v>
      </c>
      <c r="R288" s="115"/>
    </row>
    <row r="289" spans="1:18" s="461" customFormat="1" ht="22.5" customHeight="1">
      <c r="A289" s="156"/>
      <c r="B289" s="497" t="s">
        <v>2085</v>
      </c>
      <c r="C289" s="1553" t="s">
        <v>3938</v>
      </c>
      <c r="D289" s="1553"/>
      <c r="E289" s="1553"/>
      <c r="F289" s="1553"/>
      <c r="G289" s="1553"/>
      <c r="H289" s="1553"/>
      <c r="I289" s="1553"/>
      <c r="J289" s="1553"/>
      <c r="K289" s="1553"/>
      <c r="L289" s="1553"/>
      <c r="M289" s="819"/>
      <c r="N289" s="433" t="s">
        <v>2085</v>
      </c>
      <c r="O289" s="2631" t="s">
        <v>4447</v>
      </c>
      <c r="P289" s="1229"/>
      <c r="Q289" s="609"/>
      <c r="R289" s="602"/>
    </row>
    <row r="290" spans="1:18" s="492" customFormat="1" ht="11.25" customHeight="1">
      <c r="A290" s="635"/>
      <c r="B290" s="497" t="s">
        <v>2087</v>
      </c>
      <c r="C290" s="1609" t="s">
        <v>3939</v>
      </c>
      <c r="D290" s="1609"/>
      <c r="E290" s="1609"/>
      <c r="F290" s="1609"/>
      <c r="G290" s="1609"/>
      <c r="H290" s="1609"/>
      <c r="I290" s="1609"/>
      <c r="J290" s="1609"/>
      <c r="K290" s="1609"/>
      <c r="L290" s="1609"/>
      <c r="M290" s="1609"/>
      <c r="N290" s="433" t="s">
        <v>2087</v>
      </c>
      <c r="O290" s="2469" t="s">
        <v>3422</v>
      </c>
      <c r="P290" s="651"/>
    </row>
    <row r="291" spans="1:18" s="492" customFormat="1" ht="3" customHeight="1">
      <c r="B291" s="553"/>
      <c r="C291" s="1284"/>
      <c r="D291" s="1284"/>
      <c r="E291" s="1284"/>
      <c r="F291" s="1284"/>
      <c r="G291" s="1284"/>
      <c r="H291" s="1284"/>
      <c r="M291" s="1284"/>
      <c r="N291" s="1284"/>
      <c r="O291" s="1284"/>
      <c r="P291" s="1284"/>
    </row>
    <row r="292" spans="1:18" s="43" customFormat="1" ht="12" customHeight="1">
      <c r="A292" s="151" t="s">
        <v>2084</v>
      </c>
      <c r="B292" s="184" t="s">
        <v>2893</v>
      </c>
      <c r="D292" s="40"/>
      <c r="G292" s="36"/>
      <c r="M292" s="6">
        <v>3</v>
      </c>
      <c r="N292" s="533" t="s">
        <v>2084</v>
      </c>
      <c r="O292" s="2550"/>
      <c r="P292" s="1234"/>
      <c r="Q292" s="432" t="s">
        <v>2877</v>
      </c>
      <c r="R292" s="416"/>
    </row>
    <row r="293" spans="1:18" s="461" customFormat="1" ht="33" customHeight="1">
      <c r="A293" s="156"/>
      <c r="B293" s="497" t="s">
        <v>2085</v>
      </c>
      <c r="C293" s="1553" t="s">
        <v>4075</v>
      </c>
      <c r="D293" s="1553"/>
      <c r="E293" s="1553"/>
      <c r="F293" s="1553"/>
      <c r="G293" s="1553"/>
      <c r="H293" s="1553"/>
      <c r="I293" s="1553"/>
      <c r="J293" s="1553"/>
      <c r="K293" s="1553"/>
      <c r="L293" s="1553"/>
      <c r="M293" s="819"/>
      <c r="N293" s="433" t="s">
        <v>2085</v>
      </c>
      <c r="O293" s="2631"/>
      <c r="P293" s="1229"/>
      <c r="Q293" s="609"/>
      <c r="R293" s="602"/>
    </row>
    <row r="294" spans="1:18" s="492" customFormat="1" ht="11.25" customHeight="1">
      <c r="A294" s="635"/>
      <c r="B294" s="497" t="s">
        <v>2087</v>
      </c>
      <c r="C294" s="434" t="s">
        <v>3940</v>
      </c>
      <c r="D294" s="434"/>
      <c r="E294" s="434"/>
      <c r="F294" s="434"/>
      <c r="G294" s="434"/>
      <c r="H294" s="434"/>
      <c r="I294" s="434"/>
      <c r="J294" s="434" t="s">
        <v>3941</v>
      </c>
      <c r="K294" s="434"/>
      <c r="L294" s="2632">
        <v>0</v>
      </c>
      <c r="M294" s="434"/>
      <c r="N294" s="433" t="s">
        <v>2087</v>
      </c>
      <c r="O294" s="2469"/>
      <c r="P294" s="651"/>
    </row>
    <row r="295" spans="1:18" s="43" customFormat="1" ht="12" customHeight="1">
      <c r="A295" s="42"/>
      <c r="B295" s="49" t="s">
        <v>267</v>
      </c>
      <c r="C295" s="42"/>
      <c r="D295" s="48"/>
      <c r="E295" s="48"/>
      <c r="F295" s="48"/>
      <c r="G295" s="48"/>
      <c r="H295" s="36"/>
      <c r="I295" s="36"/>
      <c r="J295" s="36"/>
      <c r="K295" s="36"/>
      <c r="M295" s="46"/>
      <c r="N295" s="64"/>
      <c r="O295" s="3"/>
      <c r="P295" s="1282"/>
    </row>
    <row r="296" spans="1:18" s="43" customFormat="1" ht="12" customHeight="1">
      <c r="A296" s="2433" t="s">
        <v>4517</v>
      </c>
      <c r="B296" s="2434"/>
      <c r="C296" s="2434"/>
      <c r="D296" s="2434"/>
      <c r="E296" s="2434"/>
      <c r="F296" s="2434"/>
      <c r="G296" s="2434"/>
      <c r="H296" s="2434"/>
      <c r="I296" s="2434"/>
      <c r="J296" s="2434"/>
      <c r="K296" s="2434"/>
      <c r="L296" s="2434"/>
      <c r="M296" s="2434"/>
      <c r="N296" s="2434"/>
      <c r="O296" s="2434"/>
      <c r="P296" s="2435"/>
      <c r="Q296" s="503" t="s">
        <v>1314</v>
      </c>
    </row>
    <row r="297" spans="1:18" s="43" customFormat="1" ht="12" customHeight="1">
      <c r="B297" s="90" t="s">
        <v>1960</v>
      </c>
      <c r="C297" s="104"/>
      <c r="D297" s="90"/>
      <c r="E297" s="105"/>
      <c r="F297" s="1283"/>
      <c r="G297" s="1283"/>
      <c r="H297" s="1283"/>
      <c r="I297" s="1283"/>
      <c r="J297" s="1283"/>
      <c r="K297" s="1283"/>
      <c r="L297" s="1283"/>
      <c r="M297" s="1283"/>
      <c r="N297" s="78"/>
      <c r="O297" s="74"/>
      <c r="P297" s="2"/>
      <c r="Q297" s="479"/>
    </row>
    <row r="298" spans="1:18" s="43" customFormat="1" ht="12" customHeight="1">
      <c r="A298" s="1572"/>
      <c r="B298" s="1573"/>
      <c r="C298" s="1573"/>
      <c r="D298" s="1573"/>
      <c r="E298" s="1573"/>
      <c r="F298" s="1573"/>
      <c r="G298" s="1573"/>
      <c r="H298" s="1573"/>
      <c r="I298" s="1573"/>
      <c r="J298" s="1573"/>
      <c r="K298" s="1573"/>
      <c r="L298" s="1573"/>
      <c r="M298" s="1573"/>
      <c r="N298" s="1573"/>
      <c r="O298" s="1573"/>
      <c r="P298" s="1574"/>
      <c r="Q298" s="503" t="s">
        <v>1314</v>
      </c>
    </row>
    <row r="299" spans="1:18" s="43" customFormat="1" ht="3" customHeight="1">
      <c r="A299" s="42"/>
      <c r="B299" s="42"/>
      <c r="C299" s="1283"/>
      <c r="D299" s="1283"/>
      <c r="E299" s="1283"/>
      <c r="F299" s="1283"/>
      <c r="G299" s="1283"/>
      <c r="H299" s="1283"/>
      <c r="I299" s="1283"/>
      <c r="J299" s="1283"/>
      <c r="K299" s="1283"/>
      <c r="L299" s="1283"/>
      <c r="M299" s="1283"/>
      <c r="N299" s="78"/>
      <c r="O299" s="74"/>
      <c r="P299" s="1309"/>
    </row>
    <row r="300" spans="1:18" s="43" customFormat="1" ht="12" customHeight="1">
      <c r="A300" s="167" t="s">
        <v>1756</v>
      </c>
      <c r="B300" s="111" t="s">
        <v>2894</v>
      </c>
      <c r="D300" s="40"/>
      <c r="G300" s="63" t="s">
        <v>3900</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1"/>
      <c r="M301" s="462"/>
      <c r="N301" s="462"/>
      <c r="O301" s="462"/>
      <c r="P301" s="462"/>
      <c r="Q301" s="192"/>
    </row>
    <row r="302" spans="1:18" s="461" customFormat="1" ht="11.25" customHeight="1">
      <c r="A302" s="636" t="s">
        <v>2081</v>
      </c>
      <c r="B302" s="1553" t="s">
        <v>4076</v>
      </c>
      <c r="C302" s="1553"/>
      <c r="D302" s="1553"/>
      <c r="E302" s="1553"/>
      <c r="F302" s="1553"/>
      <c r="G302" s="1553"/>
      <c r="I302" s="434" t="s">
        <v>3944</v>
      </c>
      <c r="L302" s="858">
        <f>'Part VI-Revenues &amp; Expenses'!$M$82</f>
        <v>0</v>
      </c>
      <c r="M302" s="462">
        <v>2</v>
      </c>
      <c r="N302" s="177" t="s">
        <v>2081</v>
      </c>
      <c r="O302" s="2550"/>
      <c r="P302" s="1234"/>
      <c r="Q302" s="192" t="s">
        <v>2877</v>
      </c>
    </row>
    <row r="303" spans="1:18" s="461" customFormat="1" ht="11.25" customHeight="1">
      <c r="A303" s="460"/>
      <c r="B303" s="1553"/>
      <c r="C303" s="1553"/>
      <c r="D303" s="1553"/>
      <c r="E303" s="1553"/>
      <c r="F303" s="1553"/>
      <c r="G303" s="1553"/>
      <c r="I303" s="551" t="s">
        <v>3158</v>
      </c>
      <c r="L303" s="859">
        <f>'Part VI-Revenues &amp; Expenses'!$M$62</f>
        <v>96</v>
      </c>
      <c r="M303" s="462"/>
      <c r="N303" s="462"/>
      <c r="O303" s="462"/>
      <c r="P303" s="462"/>
      <c r="Q303" s="192"/>
    </row>
    <row r="304" spans="1:18" s="461" customFormat="1" ht="11.25" customHeight="1">
      <c r="A304" s="623" t="s">
        <v>1419</v>
      </c>
      <c r="D304" s="434" t="s">
        <v>3160</v>
      </c>
      <c r="G304" s="634">
        <f>'Part III-Sources of Funds'!$I$46</f>
        <v>0</v>
      </c>
      <c r="I304" s="633" t="s">
        <v>3159</v>
      </c>
      <c r="L304" s="911">
        <f>L302/L303</f>
        <v>0</v>
      </c>
      <c r="M304" s="462"/>
      <c r="N304" s="462"/>
      <c r="O304" s="462"/>
      <c r="P304" s="462"/>
      <c r="Q304" s="192"/>
    </row>
    <row r="305" spans="1:17" s="461" customFormat="1" ht="1.5" customHeight="1">
      <c r="B305" s="497"/>
      <c r="F305" s="490"/>
      <c r="G305" s="1311"/>
      <c r="M305" s="462"/>
      <c r="N305" s="462"/>
      <c r="O305" s="462"/>
      <c r="P305" s="462"/>
      <c r="Q305" s="192"/>
    </row>
    <row r="306" spans="1:17" s="461" customFormat="1" ht="11.25" customHeight="1">
      <c r="A306" s="636" t="s">
        <v>2084</v>
      </c>
      <c r="B306" s="434" t="s">
        <v>4077</v>
      </c>
      <c r="D306" s="2633" t="s">
        <v>3305</v>
      </c>
      <c r="E306" s="2634"/>
      <c r="F306" s="2634"/>
      <c r="G306" s="2635"/>
      <c r="H306" s="434"/>
      <c r="I306" s="434" t="s">
        <v>3945</v>
      </c>
      <c r="L306" s="858">
        <f>'Part VIII-Threshold Criteria'!$K$71</f>
        <v>0</v>
      </c>
      <c r="M306" s="462">
        <v>1</v>
      </c>
      <c r="N306" s="177" t="s">
        <v>2084</v>
      </c>
      <c r="O306" s="2550"/>
      <c r="P306" s="1234"/>
      <c r="Q306" s="192" t="s">
        <v>2877</v>
      </c>
    </row>
    <row r="307" spans="1:17" s="461" customFormat="1" ht="11.25" customHeight="1">
      <c r="A307" s="636"/>
      <c r="B307" s="434"/>
      <c r="C307" s="434"/>
      <c r="H307" s="434"/>
      <c r="I307" s="551" t="s">
        <v>3158</v>
      </c>
      <c r="L307" s="859">
        <f>'Part VI-Revenues &amp; Expenses'!$M$62</f>
        <v>96</v>
      </c>
      <c r="M307" s="462"/>
      <c r="N307" s="462"/>
      <c r="O307" s="462"/>
      <c r="P307" s="462"/>
      <c r="Q307" s="192"/>
    </row>
    <row r="308" spans="1:17" s="461" customFormat="1" ht="11.25" customHeight="1">
      <c r="A308" s="636"/>
      <c r="B308" s="434"/>
      <c r="C308" s="434"/>
      <c r="D308" s="434"/>
      <c r="E308" s="434"/>
      <c r="F308" s="434"/>
      <c r="G308" s="434"/>
      <c r="H308" s="434"/>
      <c r="I308" s="633" t="s">
        <v>3159</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82"/>
    </row>
    <row r="310" spans="1:17" s="43" customFormat="1" ht="12" customHeight="1">
      <c r="A310" s="2433"/>
      <c r="B310" s="2434"/>
      <c r="C310" s="2434"/>
      <c r="D310" s="2434"/>
      <c r="E310" s="2434"/>
      <c r="F310" s="2434"/>
      <c r="G310" s="2434"/>
      <c r="H310" s="2434"/>
      <c r="I310" s="2434"/>
      <c r="J310" s="2434"/>
      <c r="K310" s="2434"/>
      <c r="L310" s="2434"/>
      <c r="M310" s="2434"/>
      <c r="N310" s="2434"/>
      <c r="O310" s="2434"/>
      <c r="P310" s="2435"/>
      <c r="Q310" s="503" t="s">
        <v>1314</v>
      </c>
    </row>
    <row r="311" spans="1:17" s="43" customFormat="1" ht="10.5" customHeight="1">
      <c r="B311" s="90" t="s">
        <v>1960</v>
      </c>
      <c r="C311" s="104"/>
      <c r="D311" s="90"/>
      <c r="E311" s="105"/>
      <c r="F311" s="1283"/>
      <c r="G311" s="1283"/>
      <c r="H311" s="1283"/>
      <c r="I311" s="1283"/>
      <c r="J311" s="1283"/>
      <c r="K311" s="1283"/>
      <c r="L311" s="1283"/>
      <c r="M311" s="1283"/>
      <c r="N311" s="78"/>
      <c r="O311" s="74"/>
      <c r="P311" s="2"/>
      <c r="Q311" s="479"/>
    </row>
    <row r="312" spans="1:17" s="43" customFormat="1" ht="12" customHeight="1">
      <c r="A312" s="1572"/>
      <c r="B312" s="1573"/>
      <c r="C312" s="1573"/>
      <c r="D312" s="1573"/>
      <c r="E312" s="1573"/>
      <c r="F312" s="1573"/>
      <c r="G312" s="1573"/>
      <c r="H312" s="1573"/>
      <c r="I312" s="1573"/>
      <c r="J312" s="1573"/>
      <c r="K312" s="1573"/>
      <c r="L312" s="1573"/>
      <c r="M312" s="1573"/>
      <c r="N312" s="1573"/>
      <c r="O312" s="1573"/>
      <c r="P312" s="1574"/>
      <c r="Q312" s="503" t="s">
        <v>1314</v>
      </c>
    </row>
    <row r="313" spans="1:17" s="43" customFormat="1" ht="3" customHeight="1">
      <c r="A313" s="42"/>
      <c r="B313" s="42"/>
      <c r="C313" s="1283"/>
      <c r="D313" s="1283"/>
      <c r="E313" s="1283"/>
      <c r="F313" s="1283"/>
      <c r="G313" s="1283"/>
      <c r="H313" s="1283"/>
      <c r="I313" s="1283"/>
      <c r="J313" s="1283"/>
      <c r="K313" s="1283"/>
      <c r="L313" s="1283"/>
      <c r="M313" s="1283"/>
      <c r="N313" s="78"/>
      <c r="O313" s="74"/>
      <c r="P313" s="1309"/>
    </row>
    <row r="314" spans="1:17" s="43" customFormat="1" ht="12.75" customHeight="1">
      <c r="A314" s="168" t="s">
        <v>1757</v>
      </c>
      <c r="B314" s="112" t="s">
        <v>2765</v>
      </c>
      <c r="C314" s="55"/>
      <c r="D314" s="124"/>
      <c r="E314" s="124"/>
      <c r="I314" s="1280" t="s">
        <v>3275</v>
      </c>
      <c r="J314" s="41"/>
      <c r="K314" s="41"/>
      <c r="M314" s="1282">
        <v>5</v>
      </c>
      <c r="P314" s="655"/>
      <c r="Q314" s="115" t="s">
        <v>458</v>
      </c>
    </row>
    <row r="315" spans="1:17" s="43" customFormat="1" ht="1.5" customHeight="1">
      <c r="A315" s="168"/>
      <c r="M315" s="618"/>
      <c r="Q315" s="115"/>
    </row>
    <row r="316" spans="1:17" s="43" customFormat="1" ht="12" customHeight="1">
      <c r="A316" s="168"/>
      <c r="D316" s="1663" t="s">
        <v>3174</v>
      </c>
      <c r="E316" s="1663"/>
      <c r="F316" s="1656">
        <f>'Part IV-Uses of Funds'!$J$171</f>
        <v>956416.5</v>
      </c>
      <c r="G316" s="1657"/>
      <c r="H316" s="41"/>
      <c r="I316" s="1280" t="s">
        <v>3274</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2081</v>
      </c>
      <c r="C317" s="1662" t="s">
        <v>3161</v>
      </c>
      <c r="D317" s="1662"/>
      <c r="E317" s="1662"/>
      <c r="F317" s="1662"/>
      <c r="G317" s="1662"/>
      <c r="H317" s="1662"/>
      <c r="I317" s="1662"/>
      <c r="J317" s="1662"/>
      <c r="K317" s="1662"/>
      <c r="L317" s="1662"/>
      <c r="M317" s="612">
        <v>6</v>
      </c>
      <c r="N317" s="632"/>
      <c r="O317" s="2636"/>
      <c r="P317" s="1664"/>
      <c r="Q317" s="673" t="s">
        <v>2877</v>
      </c>
    </row>
    <row r="318" spans="1:17" s="461" customFormat="1" ht="34.5" customHeight="1">
      <c r="A318" s="823" t="s">
        <v>1419</v>
      </c>
      <c r="B318" s="156" t="s">
        <v>2084</v>
      </c>
      <c r="C318" s="1606" t="s">
        <v>3946</v>
      </c>
      <c r="D318" s="1606"/>
      <c r="E318" s="1606"/>
      <c r="F318" s="1606"/>
      <c r="G318" s="1606"/>
      <c r="H318" s="1606"/>
      <c r="I318" s="1606"/>
      <c r="J318" s="1606"/>
      <c r="K318" s="1606"/>
      <c r="L318" s="1606"/>
      <c r="M318" s="601">
        <v>5</v>
      </c>
      <c r="N318" s="610"/>
      <c r="O318" s="2637"/>
      <c r="P318" s="1665"/>
      <c r="Q318" s="673"/>
    </row>
    <row r="319" spans="1:17" s="461" customFormat="1" ht="44.25" customHeight="1">
      <c r="A319" s="821"/>
      <c r="B319" s="611" t="s">
        <v>789</v>
      </c>
      <c r="C319" s="1660" t="s">
        <v>3947</v>
      </c>
      <c r="D319" s="1660"/>
      <c r="E319" s="1660"/>
      <c r="F319" s="1660"/>
      <c r="G319" s="1660"/>
      <c r="H319" s="1660"/>
      <c r="I319" s="1660"/>
      <c r="J319" s="1660"/>
      <c r="K319" s="1660"/>
      <c r="L319" s="1660"/>
      <c r="M319" s="612">
        <v>2</v>
      </c>
      <c r="N319" s="613"/>
      <c r="O319" s="2638"/>
      <c r="P319" s="1290"/>
      <c r="Q319" s="822" t="s">
        <v>2877</v>
      </c>
    </row>
    <row r="320" spans="1:17" s="461" customFormat="1" ht="23.25" customHeight="1">
      <c r="A320" s="821"/>
      <c r="B320" s="826" t="s">
        <v>2216</v>
      </c>
      <c r="C320" s="1606" t="s">
        <v>4201</v>
      </c>
      <c r="D320" s="1606"/>
      <c r="E320" s="1606"/>
      <c r="F320" s="1606"/>
      <c r="G320" s="1606"/>
      <c r="H320" s="1606"/>
      <c r="I320" s="1606"/>
      <c r="J320" s="1606"/>
      <c r="K320" s="1606"/>
      <c r="L320" s="1606"/>
      <c r="M320" s="626">
        <v>1</v>
      </c>
      <c r="N320" s="856"/>
      <c r="O320" s="2639"/>
      <c r="P320" s="1291"/>
      <c r="Q320" s="192" t="s">
        <v>2877</v>
      </c>
    </row>
    <row r="321" spans="1:18" s="43" customFormat="1" ht="11.25" customHeight="1">
      <c r="A321" s="168"/>
      <c r="B321" s="611" t="s">
        <v>1823</v>
      </c>
      <c r="C321" s="1660" t="s">
        <v>4054</v>
      </c>
      <c r="D321" s="1660"/>
      <c r="E321" s="1660"/>
      <c r="F321" s="1660"/>
      <c r="G321" s="1660"/>
      <c r="H321" s="1660"/>
      <c r="I321" s="1660"/>
      <c r="J321" s="1660"/>
      <c r="K321" s="1660"/>
      <c r="L321" s="1660"/>
      <c r="M321" s="612">
        <v>2</v>
      </c>
      <c r="N321" s="615"/>
      <c r="O321" s="2636"/>
      <c r="P321" s="1664"/>
      <c r="Q321" s="192" t="s">
        <v>2877</v>
      </c>
    </row>
    <row r="322" spans="1:18" s="43" customFormat="1" ht="11.25" customHeight="1">
      <c r="B322" s="823" t="s">
        <v>1419</v>
      </c>
      <c r="C322" s="1672" t="s">
        <v>4053</v>
      </c>
      <c r="D322" s="1672"/>
      <c r="E322" s="1672"/>
      <c r="F322" s="1672"/>
      <c r="G322" s="1672"/>
      <c r="H322" s="1672"/>
      <c r="I322" s="1672"/>
      <c r="J322" s="1672"/>
      <c r="K322" s="1672"/>
      <c r="L322" s="1672"/>
      <c r="M322" s="628">
        <v>1</v>
      </c>
      <c r="N322" s="124"/>
      <c r="O322" s="2637"/>
      <c r="P322" s="1665"/>
      <c r="Q322" s="106"/>
    </row>
    <row r="323" spans="1:18" s="461" customFormat="1" ht="22.5" customHeight="1">
      <c r="A323" s="821"/>
      <c r="B323" s="611" t="s">
        <v>1824</v>
      </c>
      <c r="C323" s="1660" t="s">
        <v>3948</v>
      </c>
      <c r="D323" s="1660"/>
      <c r="E323" s="1660"/>
      <c r="F323" s="1660"/>
      <c r="G323" s="1660"/>
      <c r="H323" s="1660"/>
      <c r="I323" s="1660"/>
      <c r="J323" s="1660"/>
      <c r="K323" s="1660"/>
      <c r="L323" s="1660"/>
      <c r="M323" s="612">
        <v>2</v>
      </c>
      <c r="N323" s="630"/>
      <c r="O323" s="2636"/>
      <c r="P323" s="1664"/>
      <c r="Q323" s="192" t="s">
        <v>2877</v>
      </c>
    </row>
    <row r="324" spans="1:18" s="461" customFormat="1" ht="21.75" customHeight="1">
      <c r="B324" s="823" t="s">
        <v>1419</v>
      </c>
      <c r="C324" s="1606" t="s">
        <v>3949</v>
      </c>
      <c r="D324" s="1606"/>
      <c r="E324" s="1606"/>
      <c r="F324" s="1606"/>
      <c r="G324" s="1606"/>
      <c r="H324" s="1606"/>
      <c r="I324" s="1606"/>
      <c r="J324" s="1606"/>
      <c r="K324" s="1606"/>
      <c r="L324" s="1606"/>
      <c r="M324" s="626">
        <v>1</v>
      </c>
      <c r="N324" s="627"/>
      <c r="O324" s="2637"/>
      <c r="P324" s="1665"/>
      <c r="Q324" s="192"/>
    </row>
    <row r="325" spans="1:18" s="43" customFormat="1" ht="11.25" customHeight="1">
      <c r="A325" s="168"/>
      <c r="B325" s="614" t="s">
        <v>2044</v>
      </c>
      <c r="C325" s="1662" t="s">
        <v>3950</v>
      </c>
      <c r="D325" s="1662"/>
      <c r="E325" s="1662"/>
      <c r="F325" s="1662"/>
      <c r="G325" s="1662"/>
      <c r="H325" s="1662"/>
      <c r="I325" s="1662"/>
      <c r="J325" s="1662"/>
      <c r="K325" s="1662"/>
      <c r="L325" s="1662"/>
      <c r="M325" s="631">
        <v>2</v>
      </c>
      <c r="N325" s="632"/>
      <c r="O325" s="2638"/>
      <c r="P325" s="1290"/>
      <c r="Q325" s="192" t="s">
        <v>2877</v>
      </c>
    </row>
    <row r="326" spans="1:18" s="43" customFormat="1" ht="11.25" customHeight="1">
      <c r="A326" s="168"/>
      <c r="B326" s="200"/>
      <c r="C326" s="1297"/>
      <c r="D326" s="1297"/>
      <c r="E326" s="1297"/>
      <c r="F326" s="1297"/>
      <c r="G326" s="1300" t="s">
        <v>3614</v>
      </c>
      <c r="H326" s="949">
        <f>'Part IV-Uses of Funds'!$B$44</f>
        <v>9912630</v>
      </c>
      <c r="I326" s="1300" t="s">
        <v>563</v>
      </c>
      <c r="J326" s="949">
        <f>'Part IV-Uses of Funds'!$G$130</f>
        <v>14368613</v>
      </c>
      <c r="K326" s="1300" t="s">
        <v>4202</v>
      </c>
      <c r="L326" s="948">
        <f>H326/J326</f>
        <v>0.68988078390029717</v>
      </c>
      <c r="M326" s="931"/>
      <c r="N326" s="931"/>
      <c r="O326" s="931"/>
      <c r="P326" s="931"/>
      <c r="Q326" s="192"/>
    </row>
    <row r="327" spans="1:18" s="461" customFormat="1" ht="22.5" customHeight="1">
      <c r="A327" s="821"/>
      <c r="B327" s="826" t="s">
        <v>3838</v>
      </c>
      <c r="C327" s="1606" t="s">
        <v>3951</v>
      </c>
      <c r="D327" s="1606"/>
      <c r="E327" s="1606"/>
      <c r="F327" s="1606"/>
      <c r="G327" s="1606"/>
      <c r="H327" s="1606"/>
      <c r="I327" s="1606"/>
      <c r="J327" s="1606"/>
      <c r="K327" s="1606"/>
      <c r="L327" s="1606"/>
      <c r="M327" s="857">
        <v>2</v>
      </c>
      <c r="N327" s="856"/>
      <c r="O327" s="2640"/>
      <c r="P327" s="1235"/>
      <c r="Q327" s="822" t="s">
        <v>2877</v>
      </c>
    </row>
    <row r="328" spans="1:18" s="461" customFormat="1" ht="12" customHeight="1">
      <c r="A328" s="821"/>
      <c r="B328" s="826" t="s">
        <v>647</v>
      </c>
      <c r="C328" s="1606" t="s">
        <v>4055</v>
      </c>
      <c r="D328" s="1606"/>
      <c r="E328" s="1606"/>
      <c r="F328" s="1606"/>
      <c r="G328" s="1606"/>
      <c r="H328" s="1606"/>
      <c r="I328" s="1606"/>
      <c r="J328" s="1606"/>
      <c r="K328" s="1606"/>
      <c r="L328" s="1606"/>
      <c r="M328" s="857">
        <v>2</v>
      </c>
      <c r="N328" s="856"/>
      <c r="O328" s="2640"/>
      <c r="P328" s="1235"/>
      <c r="Q328" s="822" t="s">
        <v>2877</v>
      </c>
    </row>
    <row r="329" spans="1:18" s="461" customFormat="1" ht="11.25" customHeight="1">
      <c r="A329" s="821"/>
      <c r="B329" s="826" t="s">
        <v>3839</v>
      </c>
      <c r="C329" s="1606" t="s">
        <v>3952</v>
      </c>
      <c r="D329" s="1606"/>
      <c r="E329" s="1606"/>
      <c r="F329" s="1606"/>
      <c r="G329" s="1606"/>
      <c r="H329" s="1606"/>
      <c r="I329" s="1606"/>
      <c r="J329" s="1606"/>
      <c r="K329" s="1606"/>
      <c r="L329" s="1606"/>
      <c r="M329" s="857">
        <v>1</v>
      </c>
      <c r="N329" s="856"/>
      <c r="O329" s="2639"/>
      <c r="P329" s="1291"/>
      <c r="Q329" s="822" t="s">
        <v>2877</v>
      </c>
    </row>
    <row r="330" spans="1:18" s="43" customFormat="1" ht="10.5" customHeight="1">
      <c r="A330" s="42"/>
      <c r="B330" s="49" t="s">
        <v>267</v>
      </c>
      <c r="C330" s="42"/>
      <c r="D330" s="48"/>
      <c r="E330" s="48"/>
      <c r="F330" s="48"/>
      <c r="G330" s="48"/>
      <c r="H330" s="36"/>
      <c r="I330" s="36"/>
      <c r="J330" s="36"/>
      <c r="K330" s="36"/>
      <c r="M330" s="46"/>
      <c r="N330" s="64"/>
      <c r="O330" s="3"/>
      <c r="P330" s="1282"/>
    </row>
    <row r="331" spans="1:18" s="43" customFormat="1" ht="24.75" customHeight="1">
      <c r="A331" s="2433"/>
      <c r="B331" s="2434"/>
      <c r="C331" s="2434"/>
      <c r="D331" s="2434"/>
      <c r="E331" s="2434"/>
      <c r="F331" s="2434"/>
      <c r="G331" s="2434"/>
      <c r="H331" s="2434"/>
      <c r="I331" s="2434"/>
      <c r="J331" s="2434"/>
      <c r="K331" s="2434"/>
      <c r="L331" s="2434"/>
      <c r="M331" s="2434"/>
      <c r="N331" s="2434"/>
      <c r="O331" s="2434"/>
      <c r="P331" s="2435"/>
      <c r="Q331" s="503" t="s">
        <v>1314</v>
      </c>
    </row>
    <row r="332" spans="1:18" s="43" customFormat="1" ht="10.5" customHeight="1">
      <c r="A332" s="42"/>
      <c r="B332" s="90" t="s">
        <v>1960</v>
      </c>
      <c r="C332" s="104"/>
      <c r="D332" s="90"/>
      <c r="E332" s="105"/>
      <c r="F332" s="1283"/>
      <c r="G332" s="1283"/>
      <c r="H332" s="1283"/>
      <c r="I332" s="1283"/>
      <c r="J332" s="1283"/>
      <c r="K332" s="1283"/>
      <c r="L332" s="1283"/>
      <c r="M332" s="1283"/>
      <c r="N332" s="78"/>
      <c r="O332" s="74"/>
      <c r="P332" s="2"/>
      <c r="Q332" s="479"/>
    </row>
    <row r="333" spans="1:18" s="43" customFormat="1" ht="24.75" customHeight="1">
      <c r="A333" s="1572"/>
      <c r="B333" s="1573"/>
      <c r="C333" s="1573"/>
      <c r="D333" s="1573"/>
      <c r="E333" s="1573"/>
      <c r="F333" s="1573"/>
      <c r="G333" s="1573"/>
      <c r="H333" s="1573"/>
      <c r="I333" s="1573"/>
      <c r="J333" s="1573"/>
      <c r="K333" s="1573"/>
      <c r="L333" s="1573"/>
      <c r="M333" s="1573"/>
      <c r="N333" s="1573"/>
      <c r="O333" s="1573"/>
      <c r="P333" s="1574"/>
      <c r="Q333" s="503" t="s">
        <v>1314</v>
      </c>
    </row>
    <row r="334" spans="1:18" s="43" customFormat="1" ht="3" customHeight="1">
      <c r="A334" s="42"/>
      <c r="C334" s="1283"/>
      <c r="D334" s="1283"/>
      <c r="E334" s="1283"/>
      <c r="F334" s="1283"/>
      <c r="G334" s="1283"/>
      <c r="H334" s="1283"/>
      <c r="I334" s="1283"/>
      <c r="J334" s="1283"/>
      <c r="K334" s="1283"/>
      <c r="L334" s="1283"/>
      <c r="M334" s="1283"/>
      <c r="N334" s="78"/>
      <c r="O334" s="74"/>
      <c r="P334" s="1309"/>
    </row>
    <row r="335" spans="1:18" s="43" customFormat="1" ht="12" customHeight="1">
      <c r="A335" s="168" t="s">
        <v>3162</v>
      </c>
      <c r="B335" s="112" t="s">
        <v>3963</v>
      </c>
      <c r="C335" s="55"/>
      <c r="D335" s="124"/>
      <c r="E335" s="124"/>
      <c r="F335" s="41"/>
      <c r="G335" s="41"/>
      <c r="H335" s="41"/>
      <c r="I335" s="41"/>
      <c r="J335" s="41"/>
      <c r="K335" s="41"/>
      <c r="L335" s="41"/>
      <c r="M335" s="1309">
        <v>2</v>
      </c>
      <c r="N335" s="196"/>
      <c r="O335" s="80">
        <f>IF(AND(M343="Yes",M344="Yes",M345="Yes"),2,IF(OR(M343="Yes",M344="Yes",M345="Yes"),1,0))</f>
        <v>1</v>
      </c>
      <c r="P335" s="80">
        <f>IF(AND(O343="Yes",O344="Yes",O345="Yes"),2,IF(OR(O343="Yes",O344="Yes",O345="Yes"),1,0))</f>
        <v>0</v>
      </c>
      <c r="Q335" s="115" t="s">
        <v>458</v>
      </c>
      <c r="R335" s="192"/>
    </row>
    <row r="336" spans="1:18" s="43" customFormat="1" ht="12" customHeight="1">
      <c r="B336" s="1713" t="s">
        <v>3965</v>
      </c>
      <c r="C336" s="1713"/>
      <c r="D336" s="1713"/>
      <c r="E336" s="1713"/>
      <c r="F336" s="1713"/>
      <c r="G336" s="1713"/>
      <c r="H336" s="1713"/>
      <c r="I336" s="1713"/>
      <c r="J336" s="1713"/>
      <c r="K336" s="1713"/>
      <c r="L336" s="1713"/>
      <c r="M336" s="1713"/>
      <c r="N336" s="1713"/>
      <c r="O336" s="2429" t="s">
        <v>3422</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4203</v>
      </c>
      <c r="F338" s="53" t="s">
        <v>3960</v>
      </c>
      <c r="G338" s="53"/>
      <c r="J338" s="2641" t="s">
        <v>4463</v>
      </c>
      <c r="K338" s="2642"/>
      <c r="L338" s="2642"/>
      <c r="M338" s="2642"/>
      <c r="N338" s="2643"/>
      <c r="O338" s="1661" t="s">
        <v>4086</v>
      </c>
    </row>
    <row r="339" spans="1:18" s="43" customFormat="1" ht="3" customHeight="1">
      <c r="A339" s="151"/>
      <c r="C339" s="1292"/>
      <c r="D339" s="1292"/>
      <c r="E339" s="1292"/>
      <c r="F339" s="416"/>
      <c r="H339" s="1292"/>
      <c r="I339" s="1292"/>
      <c r="J339" s="1292"/>
      <c r="K339" s="1292"/>
      <c r="L339" s="1292"/>
      <c r="N339" s="637"/>
      <c r="O339" s="1661"/>
      <c r="P339" s="637"/>
    </row>
    <row r="340" spans="1:18" s="43" customFormat="1" ht="11.25" customHeight="1">
      <c r="A340" s="151"/>
      <c r="C340" s="1292"/>
      <c r="D340" s="1292"/>
      <c r="E340" s="1292"/>
      <c r="F340" s="56" t="s">
        <v>3306</v>
      </c>
      <c r="G340" s="56"/>
      <c r="J340" s="1658" t="str">
        <f>'Part I-Project Information'!$H$67</f>
        <v>Family</v>
      </c>
      <c r="K340" s="1659"/>
      <c r="L340" s="1292"/>
      <c r="M340" s="1655" t="s">
        <v>4373</v>
      </c>
      <c r="N340" s="637"/>
      <c r="O340" s="1661"/>
      <c r="P340" s="637"/>
    </row>
    <row r="341" spans="1:18" s="43" customFormat="1" ht="11.25" customHeight="1">
      <c r="A341" s="151"/>
      <c r="B341" s="675" t="s">
        <v>3961</v>
      </c>
      <c r="C341" s="674"/>
      <c r="D341" s="674"/>
      <c r="E341" s="1292"/>
      <c r="F341" s="416"/>
      <c r="H341" s="1292"/>
      <c r="I341" s="1292"/>
      <c r="J341" s="1292"/>
      <c r="K341" s="1292"/>
      <c r="L341" s="1292"/>
      <c r="M341" s="1655"/>
      <c r="N341" s="637"/>
      <c r="O341" s="1661"/>
      <c r="P341" s="1674" t="s">
        <v>3957</v>
      </c>
    </row>
    <row r="342" spans="1:18" s="43" customFormat="1" ht="12.75" customHeight="1">
      <c r="A342" s="151"/>
      <c r="C342" s="1276"/>
      <c r="F342" s="488" t="s">
        <v>3962</v>
      </c>
      <c r="H342" s="1292"/>
      <c r="I342" s="828" t="s">
        <v>3956</v>
      </c>
      <c r="J342" s="621" t="s">
        <v>3958</v>
      </c>
      <c r="K342" s="820" t="s">
        <v>3957</v>
      </c>
      <c r="L342" s="830" t="s">
        <v>3959</v>
      </c>
      <c r="M342" s="1655"/>
      <c r="N342" s="829"/>
      <c r="O342" s="1661"/>
      <c r="P342" s="1675"/>
    </row>
    <row r="343" spans="1:18" s="43" customFormat="1" ht="12" customHeight="1">
      <c r="A343" s="151"/>
      <c r="B343" s="413" t="s">
        <v>2556</v>
      </c>
      <c r="C343" s="827" t="s">
        <v>3955</v>
      </c>
      <c r="D343" s="674"/>
      <c r="E343" s="1292"/>
      <c r="F343" s="2644" t="s">
        <v>4464</v>
      </c>
      <c r="G343" s="2645"/>
      <c r="H343" s="2646"/>
      <c r="I343" s="2647" t="s">
        <v>4465</v>
      </c>
      <c r="J343" s="2647" t="s">
        <v>3425</v>
      </c>
      <c r="K343" s="2648">
        <v>89.1</v>
      </c>
      <c r="L343" s="829">
        <v>78</v>
      </c>
      <c r="M343" s="922" t="str">
        <f>IF(K343="","",IF(K343&gt;=L343,"Yes",IF(K343&lt;L343,"No","")))</f>
        <v>Yes</v>
      </c>
      <c r="N343" s="829"/>
      <c r="O343" s="925" t="str">
        <f>IF(P343="","",IF(P343&gt;=L343,"Yes",IF(P343&lt;L343,"No","")))</f>
        <v/>
      </c>
      <c r="P343" s="852"/>
    </row>
    <row r="344" spans="1:18" s="43" customFormat="1" ht="12" customHeight="1">
      <c r="A344" s="151"/>
      <c r="B344" s="431" t="s">
        <v>2557</v>
      </c>
      <c r="C344" s="827" t="s">
        <v>3953</v>
      </c>
      <c r="D344" s="674"/>
      <c r="E344" s="1292"/>
      <c r="F344" s="2649" t="s">
        <v>4466</v>
      </c>
      <c r="G344" s="2650"/>
      <c r="H344" s="2651"/>
      <c r="I344" s="2652" t="s">
        <v>4467</v>
      </c>
      <c r="J344" s="2652" t="s">
        <v>3425</v>
      </c>
      <c r="K344" s="2653">
        <v>81.900000000000006</v>
      </c>
      <c r="L344" s="829">
        <v>75</v>
      </c>
      <c r="M344" s="923" t="str">
        <f>IF(K344="","",IF(K344&gt;=L344,"Yes",IF(K344&lt;L344,"No","")))</f>
        <v>Yes</v>
      </c>
      <c r="N344" s="829"/>
      <c r="O344" s="926" t="str">
        <f>IF(P344="","",IF(P344&gt;=L344,"Yes",IF(P344&lt;L344,"No","")))</f>
        <v/>
      </c>
      <c r="P344" s="853"/>
    </row>
    <row r="345" spans="1:18" s="43" customFormat="1" ht="12" customHeight="1">
      <c r="A345" s="151"/>
      <c r="B345" s="413" t="s">
        <v>2558</v>
      </c>
      <c r="C345" s="827" t="s">
        <v>3954</v>
      </c>
      <c r="D345" s="674"/>
      <c r="E345" s="1292"/>
      <c r="F345" s="2654" t="s">
        <v>4468</v>
      </c>
      <c r="G345" s="2655"/>
      <c r="H345" s="2656"/>
      <c r="I345" s="2657" t="s">
        <v>4469</v>
      </c>
      <c r="J345" s="2657" t="s">
        <v>3425</v>
      </c>
      <c r="K345" s="2658">
        <v>67.7</v>
      </c>
      <c r="L345" s="829">
        <v>72</v>
      </c>
      <c r="M345" s="924" t="str">
        <f>IF(K345="","",IF(K345&gt;=L345,"Yes",IF(K345&lt;L345,"No","")))</f>
        <v>No</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82"/>
    </row>
    <row r="347" spans="1:18" s="43" customFormat="1" ht="11.25" customHeight="1">
      <c r="A347" s="2433" t="s">
        <v>4473</v>
      </c>
      <c r="B347" s="2434"/>
      <c r="C347" s="2434"/>
      <c r="D347" s="2434"/>
      <c r="E347" s="2434"/>
      <c r="F347" s="2434"/>
      <c r="G347" s="2434"/>
      <c r="H347" s="2434"/>
      <c r="I347" s="2434"/>
      <c r="J347" s="2434"/>
      <c r="K347" s="2434"/>
      <c r="L347" s="2434"/>
      <c r="M347" s="2434"/>
      <c r="N347" s="2434"/>
      <c r="O347" s="2434"/>
      <c r="P347" s="2435"/>
      <c r="Q347" s="503" t="s">
        <v>1314</v>
      </c>
    </row>
    <row r="348" spans="1:18" s="43" customFormat="1" ht="10.5" customHeight="1">
      <c r="A348" s="42"/>
      <c r="B348" s="90" t="s">
        <v>1960</v>
      </c>
      <c r="C348" s="104"/>
      <c r="D348" s="90"/>
      <c r="E348" s="105"/>
      <c r="F348" s="1283"/>
      <c r="G348" s="1283"/>
      <c r="H348" s="1283"/>
      <c r="I348" s="1283"/>
      <c r="J348" s="1283"/>
      <c r="K348" s="1283"/>
      <c r="L348" s="1283"/>
      <c r="M348" s="1283"/>
      <c r="N348" s="78"/>
      <c r="O348" s="74"/>
      <c r="P348" s="2"/>
      <c r="Q348" s="479"/>
    </row>
    <row r="349" spans="1:18" s="43" customFormat="1" ht="11.25" customHeight="1">
      <c r="A349" s="1572"/>
      <c r="B349" s="1573"/>
      <c r="C349" s="1573"/>
      <c r="D349" s="1573"/>
      <c r="E349" s="1573"/>
      <c r="F349" s="1573"/>
      <c r="G349" s="1573"/>
      <c r="H349" s="1573"/>
      <c r="I349" s="1573"/>
      <c r="J349" s="1573"/>
      <c r="K349" s="1573"/>
      <c r="L349" s="1573"/>
      <c r="M349" s="1573"/>
      <c r="N349" s="1573"/>
      <c r="O349" s="1573"/>
      <c r="P349" s="1574"/>
      <c r="Q349" s="503" t="s">
        <v>1314</v>
      </c>
    </row>
    <row r="350" spans="1:18" s="43" customFormat="1" ht="3" customHeight="1">
      <c r="A350" s="42"/>
      <c r="C350" s="1283"/>
      <c r="D350" s="1283"/>
      <c r="E350" s="1283"/>
      <c r="F350" s="1283"/>
      <c r="G350" s="1283"/>
      <c r="H350" s="1283"/>
      <c r="I350" s="1283"/>
      <c r="J350" s="1283"/>
      <c r="K350" s="1283"/>
      <c r="L350" s="1283"/>
      <c r="M350" s="1283"/>
      <c r="N350" s="78"/>
      <c r="O350" s="74"/>
      <c r="P350" s="1309"/>
    </row>
    <row r="351" spans="1:18" s="43" customFormat="1" ht="12" customHeight="1">
      <c r="A351" s="168" t="s">
        <v>3165</v>
      </c>
      <c r="B351" s="112" t="s">
        <v>3164</v>
      </c>
      <c r="C351" s="55"/>
      <c r="D351" s="124"/>
      <c r="E351" s="124"/>
      <c r="F351" s="41"/>
      <c r="G351" s="820" t="s">
        <v>4372</v>
      </c>
      <c r="H351" s="41"/>
      <c r="I351" s="56" t="s">
        <v>3169</v>
      </c>
      <c r="J351" s="56"/>
      <c r="K351" s="1670" t="str">
        <f>'Part I-Project Information'!$F$28</f>
        <v>Centerville</v>
      </c>
      <c r="L351" s="1671"/>
      <c r="M351" s="1309">
        <v>2</v>
      </c>
      <c r="N351" s="196"/>
      <c r="O351" s="2566">
        <v>2</v>
      </c>
      <c r="P351" s="1233"/>
      <c r="Q351" s="115" t="s">
        <v>458</v>
      </c>
      <c r="R351" s="36" t="s">
        <v>2877</v>
      </c>
    </row>
    <row r="352" spans="1:18" s="56" customFormat="1" ht="12" customHeight="1">
      <c r="A352" s="151" t="s">
        <v>2081</v>
      </c>
      <c r="B352" s="483"/>
      <c r="C352" s="621" t="s">
        <v>3173</v>
      </c>
      <c r="G352" s="2659">
        <v>6056</v>
      </c>
      <c r="I352" s="1653" t="s">
        <v>3170</v>
      </c>
      <c r="J352" s="1653"/>
      <c r="K352" s="1668" t="str">
        <f>'Part I-Project Information'!$J$29</f>
        <v>Houston</v>
      </c>
      <c r="L352" s="1669"/>
      <c r="R352" s="616"/>
    </row>
    <row r="353" spans="1:18" s="56" customFormat="1" ht="12" customHeight="1">
      <c r="A353" s="151"/>
      <c r="C353" s="621"/>
      <c r="I353" s="483" t="s">
        <v>3171</v>
      </c>
      <c r="K353" s="1668" t="str">
        <f>'Part I-Project Information'!$O$30</f>
        <v>Warner Robins</v>
      </c>
      <c r="L353" s="1669"/>
      <c r="R353" s="616"/>
    </row>
    <row r="354" spans="1:18" s="56" customFormat="1" ht="12" customHeight="1">
      <c r="A354" s="156" t="s">
        <v>2084</v>
      </c>
      <c r="B354" s="549" t="s">
        <v>3168</v>
      </c>
      <c r="C354" s="1298"/>
      <c r="D354" s="1307"/>
      <c r="E354" s="1307"/>
      <c r="G354" s="2581">
        <v>0.6</v>
      </c>
      <c r="I354" s="483" t="s">
        <v>3307</v>
      </c>
      <c r="K354" s="1668" t="str">
        <f>VLOOKUP('Part I-Project Information'!$J$29,'DCA Underwriting Assumptions'!$G$127:$J$286,4)</f>
        <v>MSA</v>
      </c>
      <c r="L354" s="1669"/>
      <c r="R354" s="616"/>
    </row>
    <row r="355" spans="1:18" s="56" customFormat="1" ht="12" customHeight="1">
      <c r="A355" s="47"/>
      <c r="B355" s="549" t="s">
        <v>3167</v>
      </c>
      <c r="C355" s="1298"/>
      <c r="D355" s="1307"/>
      <c r="E355" s="1307"/>
      <c r="F355" s="47"/>
      <c r="G355" s="47"/>
      <c r="I355" s="56" t="s">
        <v>3308</v>
      </c>
      <c r="K355" s="1666" t="str">
        <f>'Part I-Project Information'!$K$30</f>
        <v>Urban</v>
      </c>
      <c r="L355" s="1667"/>
      <c r="R355" s="616"/>
    </row>
    <row r="356" spans="1:18" s="56" customFormat="1" ht="3" customHeight="1">
      <c r="H356" s="47"/>
      <c r="I356" s="47"/>
      <c r="J356" s="47"/>
      <c r="K356" s="47"/>
      <c r="L356" s="47"/>
      <c r="R356" s="616"/>
    </row>
    <row r="357" spans="1:18" s="56" customFormat="1" ht="12" customHeight="1">
      <c r="A357" s="47"/>
      <c r="B357" s="47"/>
      <c r="C357" s="1296" t="s">
        <v>3166</v>
      </c>
      <c r="D357" s="1692" t="s">
        <v>3964</v>
      </c>
      <c r="E357" s="1692"/>
      <c r="F357" s="1692"/>
      <c r="G357" s="1692"/>
      <c r="H357" s="1692"/>
      <c r="I357" s="1692"/>
      <c r="J357" s="1692"/>
      <c r="K357" s="1692"/>
      <c r="L357" s="1296" t="s">
        <v>1679</v>
      </c>
      <c r="M357" s="1296" t="s">
        <v>2727</v>
      </c>
      <c r="R357" s="616"/>
    </row>
    <row r="358" spans="1:18" s="56" customFormat="1" ht="12" customHeight="1">
      <c r="A358" s="47"/>
      <c r="B358" s="47"/>
      <c r="C358" s="855" t="s">
        <v>1264</v>
      </c>
      <c r="D358" s="1689" t="s">
        <v>3172</v>
      </c>
      <c r="E358" s="1690"/>
      <c r="F358" s="1690"/>
      <c r="G358" s="1690"/>
      <c r="H358" s="1690"/>
      <c r="I358" s="1690"/>
      <c r="J358" s="1690"/>
      <c r="K358" s="1691"/>
      <c r="L358" s="855" t="s">
        <v>2741</v>
      </c>
      <c r="M358" s="855" t="s">
        <v>1339</v>
      </c>
      <c r="R358" s="616"/>
    </row>
    <row r="359" spans="1:18" s="56" customFormat="1" ht="15.75" customHeight="1">
      <c r="A359" s="47"/>
      <c r="B359" s="47"/>
      <c r="C359" s="1295">
        <v>20000</v>
      </c>
      <c r="D359" s="1688">
        <v>15000</v>
      </c>
      <c r="E359" s="1688"/>
      <c r="F359" s="1688"/>
      <c r="G359" s="1688"/>
      <c r="H359" s="1688"/>
      <c r="I359" s="1688"/>
      <c r="J359" s="1688"/>
      <c r="K359" s="1688"/>
      <c r="L359" s="1295">
        <v>6000</v>
      </c>
      <c r="M359" s="1295">
        <v>3000</v>
      </c>
      <c r="R359" s="616"/>
    </row>
    <row r="360" spans="1:18" s="43" customFormat="1" ht="12" customHeight="1">
      <c r="A360" s="42"/>
      <c r="B360" s="49" t="s">
        <v>267</v>
      </c>
      <c r="C360" s="42"/>
      <c r="D360" s="48"/>
      <c r="E360" s="48"/>
      <c r="F360" s="48"/>
      <c r="G360" s="48"/>
      <c r="H360" s="36"/>
      <c r="I360" s="36"/>
      <c r="J360" s="36"/>
      <c r="K360" s="36"/>
      <c r="M360" s="46"/>
      <c r="N360" s="64"/>
      <c r="O360" s="3"/>
      <c r="P360" s="1282"/>
    </row>
    <row r="361" spans="1:18" s="43" customFormat="1" ht="21.75" customHeight="1">
      <c r="A361" s="2530" t="s">
        <v>4518</v>
      </c>
      <c r="B361" s="2531"/>
      <c r="C361" s="2531"/>
      <c r="D361" s="2531"/>
      <c r="E361" s="2531"/>
      <c r="F361" s="2531"/>
      <c r="G361" s="2531"/>
      <c r="H361" s="2531"/>
      <c r="I361" s="2531"/>
      <c r="J361" s="2531"/>
      <c r="K361" s="2531"/>
      <c r="L361" s="2531"/>
      <c r="M361" s="2531"/>
      <c r="N361" s="2531"/>
      <c r="O361" s="2531"/>
      <c r="P361" s="2532"/>
      <c r="Q361" s="503" t="s">
        <v>1314</v>
      </c>
    </row>
    <row r="362" spans="1:18" s="43" customFormat="1" ht="11.25" customHeight="1">
      <c r="A362" s="42"/>
      <c r="B362" s="90" t="s">
        <v>1960</v>
      </c>
      <c r="C362" s="104"/>
      <c r="D362" s="90"/>
      <c r="E362" s="105"/>
      <c r="F362" s="1283"/>
      <c r="G362" s="1283"/>
      <c r="H362" s="1283"/>
      <c r="I362" s="1283"/>
      <c r="J362" s="1283"/>
      <c r="K362" s="1283"/>
      <c r="L362" s="1283"/>
      <c r="M362" s="1283"/>
      <c r="N362" s="78"/>
      <c r="O362" s="74"/>
      <c r="P362" s="2"/>
      <c r="Q362" s="479"/>
    </row>
    <row r="363" spans="1:18" s="43" customFormat="1" ht="12.75" customHeight="1">
      <c r="A363" s="1572"/>
      <c r="B363" s="1573"/>
      <c r="C363" s="1573"/>
      <c r="D363" s="1573"/>
      <c r="E363" s="1573"/>
      <c r="F363" s="1573"/>
      <c r="G363" s="1573"/>
      <c r="H363" s="1573"/>
      <c r="I363" s="1573"/>
      <c r="J363" s="1573"/>
      <c r="K363" s="1573"/>
      <c r="L363" s="1573"/>
      <c r="M363" s="1573"/>
      <c r="N363" s="1573"/>
      <c r="O363" s="1573"/>
      <c r="P363" s="1574"/>
      <c r="Q363" s="503" t="s">
        <v>1314</v>
      </c>
    </row>
    <row r="364" spans="1:18" s="43" customFormat="1" ht="3" customHeight="1">
      <c r="A364" s="42"/>
      <c r="C364" s="1283"/>
      <c r="D364" s="1283"/>
      <c r="E364" s="1283"/>
      <c r="F364" s="1283"/>
      <c r="G364" s="1283"/>
      <c r="H364" s="1283"/>
      <c r="I364" s="1283"/>
      <c r="J364" s="1283"/>
      <c r="K364" s="1283"/>
      <c r="L364" s="1283"/>
      <c r="M364" s="1283"/>
      <c r="N364" s="78"/>
      <c r="O364" s="74"/>
      <c r="P364" s="1309"/>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2468" t="s">
        <v>3425</v>
      </c>
      <c r="P366" s="649"/>
    </row>
    <row r="367" spans="1:18" ht="12.6" customHeight="1">
      <c r="A367" s="151" t="s">
        <v>2081</v>
      </c>
      <c r="B367" s="199" t="s">
        <v>1510</v>
      </c>
      <c r="D367" s="32"/>
      <c r="E367" s="32"/>
      <c r="F367" s="32"/>
      <c r="G367" s="32"/>
      <c r="H367" s="32"/>
      <c r="I367" s="32"/>
      <c r="J367" s="32"/>
      <c r="K367" s="32"/>
      <c r="L367" s="32"/>
      <c r="M367" s="122"/>
      <c r="N367" s="533" t="s">
        <v>2081</v>
      </c>
      <c r="O367" s="2537">
        <v>10</v>
      </c>
      <c r="P367" s="640"/>
      <c r="Q367" s="192" t="s">
        <v>2877</v>
      </c>
    </row>
    <row r="368" spans="1:18" s="43" customFormat="1" ht="11.25" customHeight="1">
      <c r="A368" s="42"/>
      <c r="B368" s="49" t="s">
        <v>267</v>
      </c>
      <c r="C368" s="42"/>
      <c r="D368" s="48"/>
      <c r="E368" s="48"/>
      <c r="F368" s="48"/>
      <c r="G368" s="48"/>
      <c r="H368" s="36"/>
      <c r="I368" s="36"/>
      <c r="J368" s="36"/>
      <c r="K368" s="36"/>
      <c r="M368" s="46"/>
      <c r="N368" s="64"/>
      <c r="O368" s="3"/>
      <c r="P368" s="1282"/>
    </row>
    <row r="369" spans="1:18" s="43" customFormat="1" ht="21.75" customHeight="1">
      <c r="A369" s="2433" t="s">
        <v>4528</v>
      </c>
      <c r="B369" s="2434"/>
      <c r="C369" s="2434"/>
      <c r="D369" s="2434"/>
      <c r="E369" s="2434"/>
      <c r="F369" s="2434"/>
      <c r="G369" s="2434"/>
      <c r="H369" s="2434"/>
      <c r="I369" s="2434"/>
      <c r="J369" s="2434"/>
      <c r="K369" s="2434"/>
      <c r="L369" s="2434"/>
      <c r="M369" s="2434"/>
      <c r="N369" s="2434"/>
      <c r="O369" s="2434"/>
      <c r="P369" s="2435"/>
      <c r="Q369" s="503" t="s">
        <v>1314</v>
      </c>
      <c r="R369" s="504"/>
    </row>
    <row r="370" spans="1:18" s="108" customFormat="1" ht="11.25" customHeight="1">
      <c r="A370" s="70"/>
      <c r="B370" s="70" t="s">
        <v>1960</v>
      </c>
      <c r="C370" s="50"/>
      <c r="D370" s="70"/>
      <c r="E370" s="1277"/>
      <c r="F370" s="1277"/>
      <c r="G370" s="1277"/>
      <c r="H370" s="1277"/>
      <c r="I370" s="1277"/>
      <c r="J370" s="1277"/>
      <c r="K370" s="1277"/>
      <c r="L370" s="1277"/>
      <c r="M370" s="1277"/>
      <c r="N370" s="99"/>
      <c r="O370" s="1316"/>
      <c r="P370" s="2"/>
    </row>
    <row r="371" spans="1:18" s="43" customFormat="1" ht="12.75" customHeight="1">
      <c r="A371" s="1572"/>
      <c r="B371" s="1573"/>
      <c r="C371" s="1573"/>
      <c r="D371" s="1573"/>
      <c r="E371" s="1573"/>
      <c r="F371" s="1573"/>
      <c r="G371" s="1573"/>
      <c r="H371" s="1573"/>
      <c r="I371" s="1573"/>
      <c r="J371" s="1573"/>
      <c r="K371" s="1573"/>
      <c r="L371" s="1573"/>
      <c r="M371" s="1573"/>
      <c r="N371" s="1573"/>
      <c r="O371" s="1573"/>
      <c r="P371" s="1574"/>
      <c r="Q371" s="503" t="s">
        <v>1314</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09"/>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52</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31"/>
      <c r="P374" s="531">
        <f>P201</f>
        <v>0</v>
      </c>
    </row>
    <row r="375" spans="1:18" s="42" customFormat="1" ht="12" customHeight="1">
      <c r="A375" s="55"/>
      <c r="B375" s="71"/>
      <c r="C375" s="55"/>
      <c r="D375" s="35"/>
      <c r="E375" s="35"/>
      <c r="F375" s="73"/>
      <c r="G375" s="73"/>
      <c r="I375" s="184" t="s">
        <v>3314</v>
      </c>
      <c r="J375" s="72"/>
      <c r="K375" s="72"/>
      <c r="L375" s="43"/>
      <c r="M375" s="35"/>
      <c r="N375" s="2"/>
      <c r="O375" s="2"/>
      <c r="P375" s="531">
        <f>P267</f>
        <v>0</v>
      </c>
    </row>
    <row r="376" spans="1:18" s="43" customFormat="1" ht="12" customHeight="1">
      <c r="A376" s="42"/>
      <c r="B376" s="42"/>
      <c r="C376" s="1283"/>
      <c r="D376" s="1283"/>
      <c r="E376" s="1283"/>
      <c r="F376" s="1283"/>
      <c r="G376" s="1283"/>
      <c r="I376" s="184" t="s">
        <v>3315</v>
      </c>
      <c r="J376" s="1283"/>
      <c r="K376" s="1283"/>
      <c r="L376" s="1283"/>
      <c r="M376" s="1283"/>
      <c r="N376" s="78"/>
      <c r="O376" s="74"/>
      <c r="P376" s="531">
        <f>P314</f>
        <v>0</v>
      </c>
    </row>
    <row r="377" spans="1:18" s="43" customFormat="1" ht="13.5" customHeight="1">
      <c r="A377" s="42"/>
      <c r="D377" s="39"/>
      <c r="E377" s="36"/>
      <c r="F377" s="1309"/>
      <c r="G377" s="1309"/>
      <c r="H377" s="4" t="s">
        <v>3316</v>
      </c>
      <c r="I377" s="1309"/>
      <c r="J377" s="1305"/>
      <c r="K377" s="1305"/>
      <c r="L377" s="1305"/>
      <c r="M377" s="62"/>
      <c r="N377" s="1309"/>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1729</v>
      </c>
      <c r="D380" s="508"/>
      <c r="E380" s="508"/>
      <c r="F380" s="508"/>
      <c r="G380" s="508"/>
      <c r="H380" s="508"/>
      <c r="I380" s="508"/>
      <c r="J380" s="508" t="s">
        <v>1062</v>
      </c>
      <c r="K380" s="508"/>
      <c r="N380" s="130"/>
      <c r="O380" s="1275"/>
      <c r="P380" s="1275"/>
    </row>
    <row r="381" spans="1:18" s="174" customFormat="1">
      <c r="C381" s="558" t="s">
        <v>2190</v>
      </c>
      <c r="D381" s="558"/>
      <c r="E381" s="558"/>
      <c r="F381" s="558"/>
      <c r="G381" s="558"/>
      <c r="H381" s="558"/>
      <c r="I381" s="558"/>
      <c r="J381" s="558" t="s">
        <v>1859</v>
      </c>
      <c r="K381" s="558"/>
      <c r="N381" s="130"/>
      <c r="O381" s="1275"/>
      <c r="P381" s="1275"/>
    </row>
    <row r="382" spans="1:18" s="174" customFormat="1" ht="15">
      <c r="C382" s="508" t="s">
        <v>2672</v>
      </c>
      <c r="D382" s="508"/>
      <c r="E382" s="508"/>
      <c r="F382" s="508"/>
      <c r="G382" s="508"/>
      <c r="H382" s="508"/>
      <c r="I382" s="508"/>
      <c r="J382" s="831" t="s">
        <v>239</v>
      </c>
      <c r="K382" s="508"/>
      <c r="N382" s="130"/>
      <c r="O382" s="1275"/>
      <c r="P382" s="1275"/>
    </row>
    <row r="383" spans="1:18" s="174" customFormat="1" ht="15">
      <c r="C383" s="508" t="s">
        <v>2191</v>
      </c>
      <c r="D383" s="508"/>
      <c r="E383" s="508"/>
      <c r="F383" s="508"/>
      <c r="G383" s="508"/>
      <c r="H383" s="508"/>
      <c r="I383" s="508"/>
      <c r="J383" s="831" t="s">
        <v>1731</v>
      </c>
      <c r="K383" s="508"/>
      <c r="N383" s="130"/>
      <c r="O383" s="1275"/>
      <c r="P383" s="1275"/>
    </row>
    <row r="384" spans="1:18" s="174" customFormat="1" ht="15">
      <c r="C384" s="508" t="s">
        <v>2192</v>
      </c>
      <c r="D384" s="508"/>
      <c r="E384" s="508"/>
      <c r="F384" s="508"/>
      <c r="G384" s="508"/>
      <c r="H384" s="508"/>
      <c r="I384" s="508"/>
      <c r="J384" s="831" t="s">
        <v>1732</v>
      </c>
      <c r="K384" s="508"/>
      <c r="N384" s="130"/>
      <c r="O384" s="1275"/>
      <c r="P384" s="1275"/>
    </row>
    <row r="385" spans="3:16" s="174" customFormat="1" ht="15">
      <c r="C385" s="832" t="s">
        <v>2193</v>
      </c>
      <c r="D385" s="508"/>
      <c r="E385" s="508"/>
      <c r="F385" s="508"/>
      <c r="G385" s="508"/>
      <c r="H385" s="508"/>
      <c r="I385" s="508"/>
      <c r="J385" s="831" t="s">
        <v>2628</v>
      </c>
      <c r="K385" s="508"/>
      <c r="N385" s="130"/>
      <c r="O385" s="1275"/>
      <c r="P385" s="1275"/>
    </row>
    <row r="386" spans="3:16" s="174" customFormat="1" ht="15">
      <c r="C386" s="832" t="s">
        <v>2194</v>
      </c>
      <c r="D386" s="508"/>
      <c r="E386" s="508"/>
      <c r="F386" s="508"/>
      <c r="G386" s="508"/>
      <c r="H386" s="508"/>
      <c r="I386" s="508"/>
      <c r="J386" s="831" t="s">
        <v>1733</v>
      </c>
      <c r="K386" s="508"/>
      <c r="N386" s="130"/>
      <c r="O386" s="1275"/>
      <c r="P386" s="1275"/>
    </row>
    <row r="387" spans="3:16" s="174" customFormat="1" ht="15">
      <c r="C387" s="832"/>
      <c r="D387" s="508"/>
      <c r="E387" s="508"/>
      <c r="F387" s="508"/>
      <c r="G387" s="508"/>
      <c r="H387" s="508"/>
      <c r="I387" s="508"/>
      <c r="J387" s="831" t="s">
        <v>1734</v>
      </c>
      <c r="K387" s="508"/>
      <c r="N387" s="130"/>
      <c r="O387" s="1275"/>
      <c r="P387" s="1275"/>
    </row>
    <row r="388" spans="3:16" s="174" customFormat="1" ht="15">
      <c r="C388" s="558" t="s">
        <v>1859</v>
      </c>
      <c r="D388" s="508"/>
      <c r="E388" s="508"/>
      <c r="F388" s="508"/>
      <c r="G388" s="508"/>
      <c r="H388" s="508"/>
      <c r="I388" s="508"/>
      <c r="J388" s="831" t="s">
        <v>1735</v>
      </c>
      <c r="K388" s="508"/>
      <c r="N388" s="130"/>
      <c r="O388" s="1275"/>
      <c r="P388" s="1275"/>
    </row>
    <row r="389" spans="3:16" s="174" customFormat="1" ht="15">
      <c r="C389" s="833" t="s">
        <v>1459</v>
      </c>
      <c r="D389" s="508"/>
      <c r="E389" s="508"/>
      <c r="F389" s="508"/>
      <c r="G389" s="508"/>
      <c r="H389" s="508"/>
      <c r="I389" s="508"/>
      <c r="J389" s="831" t="s">
        <v>1736</v>
      </c>
      <c r="K389" s="508"/>
      <c r="N389" s="130"/>
      <c r="O389" s="1275"/>
      <c r="P389" s="1275"/>
    </row>
    <row r="390" spans="3:16" s="174" customFormat="1" ht="15">
      <c r="C390" s="833" t="s">
        <v>1460</v>
      </c>
      <c r="D390" s="508"/>
      <c r="E390" s="508"/>
      <c r="F390" s="508"/>
      <c r="G390" s="508"/>
      <c r="H390" s="508"/>
      <c r="I390" s="508"/>
      <c r="J390" s="831" t="s">
        <v>1737</v>
      </c>
      <c r="K390" s="508"/>
      <c r="N390" s="130"/>
      <c r="O390" s="1275"/>
      <c r="P390" s="1275"/>
    </row>
    <row r="391" spans="3:16" s="174" customFormat="1" ht="15">
      <c r="C391" s="834" t="s">
        <v>2234</v>
      </c>
      <c r="D391" s="508"/>
      <c r="E391" s="508"/>
      <c r="F391" s="508"/>
      <c r="G391" s="508"/>
      <c r="H391" s="508"/>
      <c r="I391" s="508"/>
      <c r="J391" s="831" t="s">
        <v>1738</v>
      </c>
      <c r="K391" s="508"/>
      <c r="N391" s="130"/>
      <c r="O391" s="1275"/>
      <c r="P391" s="1275"/>
    </row>
    <row r="392" spans="3:16" s="174" customFormat="1" ht="15">
      <c r="C392" s="834" t="s">
        <v>1456</v>
      </c>
      <c r="D392" s="508"/>
      <c r="E392" s="508"/>
      <c r="F392" s="508"/>
      <c r="G392" s="508"/>
      <c r="H392" s="508"/>
      <c r="I392" s="508"/>
      <c r="J392" s="831" t="s">
        <v>620</v>
      </c>
      <c r="K392" s="508"/>
      <c r="N392" s="130"/>
      <c r="O392" s="1275"/>
      <c r="P392" s="1275"/>
    </row>
    <row r="393" spans="3:16" s="174" customFormat="1" ht="15">
      <c r="C393" s="834" t="s">
        <v>1457</v>
      </c>
      <c r="D393" s="508"/>
      <c r="E393" s="508"/>
      <c r="F393" s="508"/>
      <c r="G393" s="508"/>
      <c r="H393" s="508"/>
      <c r="I393" s="508"/>
      <c r="J393" s="831" t="s">
        <v>1739</v>
      </c>
      <c r="K393" s="508"/>
      <c r="N393" s="130"/>
      <c r="O393" s="1275"/>
      <c r="P393" s="1275"/>
    </row>
    <row r="394" spans="3:16" s="174" customFormat="1" ht="15">
      <c r="C394" s="833" t="s">
        <v>2229</v>
      </c>
      <c r="D394" s="508"/>
      <c r="E394" s="508"/>
      <c r="F394" s="508"/>
      <c r="G394" s="508"/>
      <c r="H394" s="508"/>
      <c r="I394" s="508"/>
      <c r="J394" s="831" t="s">
        <v>1740</v>
      </c>
      <c r="K394" s="508"/>
      <c r="N394" s="130"/>
      <c r="O394" s="1275"/>
      <c r="P394" s="1275"/>
    </row>
    <row r="395" spans="3:16" s="174" customFormat="1" ht="15">
      <c r="C395" s="833" t="s">
        <v>2230</v>
      </c>
      <c r="D395" s="508"/>
      <c r="E395" s="508"/>
      <c r="F395" s="508"/>
      <c r="G395" s="508"/>
      <c r="H395" s="508"/>
      <c r="I395" s="508"/>
      <c r="J395" s="831" t="s">
        <v>1741</v>
      </c>
      <c r="K395" s="558"/>
      <c r="N395" s="130"/>
      <c r="O395" s="1275"/>
      <c r="P395" s="1275"/>
    </row>
    <row r="396" spans="3:16" s="174" customFormat="1" ht="15">
      <c r="C396" s="833" t="s">
        <v>2231</v>
      </c>
      <c r="D396" s="558"/>
      <c r="E396" s="558"/>
      <c r="F396" s="558"/>
      <c r="G396" s="558"/>
      <c r="H396" s="558"/>
      <c r="I396" s="558"/>
      <c r="J396" s="831" t="s">
        <v>37</v>
      </c>
      <c r="K396" s="558"/>
      <c r="N396" s="130"/>
      <c r="O396" s="1275"/>
      <c r="P396" s="1275"/>
    </row>
    <row r="397" spans="3:16" s="174" customFormat="1" ht="15">
      <c r="C397" s="833" t="s">
        <v>2232</v>
      </c>
      <c r="D397" s="558"/>
      <c r="E397" s="558"/>
      <c r="F397" s="558"/>
      <c r="G397" s="558"/>
      <c r="H397" s="558"/>
      <c r="I397" s="558"/>
      <c r="J397" s="835"/>
      <c r="K397" s="558"/>
      <c r="N397" s="130"/>
      <c r="O397" s="1275"/>
      <c r="P397" s="1275"/>
    </row>
    <row r="398" spans="3:16" s="174" customFormat="1">
      <c r="C398" s="833" t="s">
        <v>2233</v>
      </c>
      <c r="D398" s="558"/>
      <c r="E398" s="558"/>
      <c r="F398" s="558"/>
      <c r="G398" s="558"/>
      <c r="H398" s="558"/>
      <c r="I398" s="558"/>
      <c r="J398" s="836" t="s">
        <v>3986</v>
      </c>
      <c r="K398" s="558"/>
      <c r="N398" s="130"/>
      <c r="O398" s="1275"/>
      <c r="P398" s="1275"/>
    </row>
    <row r="399" spans="3:16" s="174" customFormat="1">
      <c r="C399" s="833" t="s">
        <v>1458</v>
      </c>
      <c r="D399" s="558"/>
      <c r="E399" s="558"/>
      <c r="F399" s="558"/>
      <c r="G399" s="558"/>
      <c r="H399" s="558"/>
      <c r="I399" s="558"/>
      <c r="J399" s="836" t="s">
        <v>3987</v>
      </c>
      <c r="K399" s="558"/>
      <c r="N399" s="130"/>
      <c r="O399" s="1275"/>
      <c r="P399" s="1275"/>
    </row>
    <row r="400" spans="3:16" s="174" customFormat="1">
      <c r="C400" s="833" t="s">
        <v>2391</v>
      </c>
      <c r="D400" s="558"/>
      <c r="E400" s="558"/>
      <c r="F400" s="558"/>
      <c r="G400" s="558"/>
      <c r="H400" s="558"/>
      <c r="I400" s="558"/>
      <c r="J400" s="558" t="s">
        <v>3969</v>
      </c>
      <c r="K400" s="558"/>
      <c r="N400" s="130"/>
      <c r="O400" s="1275"/>
      <c r="P400" s="1275"/>
    </row>
    <row r="401" spans="1:16" s="174" customFormat="1">
      <c r="C401" s="558"/>
      <c r="D401" s="558"/>
      <c r="E401" s="558"/>
      <c r="F401" s="558"/>
      <c r="G401" s="558"/>
      <c r="H401" s="558"/>
      <c r="I401" s="558"/>
      <c r="J401" s="558" t="s">
        <v>3970</v>
      </c>
      <c r="K401" s="558"/>
      <c r="N401" s="130"/>
      <c r="O401" s="1275"/>
      <c r="P401" s="1275"/>
    </row>
    <row r="402" spans="1:16" s="174" customFormat="1">
      <c r="C402" s="558"/>
      <c r="D402" s="558"/>
      <c r="E402" s="558"/>
      <c r="F402" s="558"/>
      <c r="G402" s="558"/>
      <c r="H402" s="558"/>
      <c r="I402" s="558"/>
      <c r="J402" s="558" t="s">
        <v>3971</v>
      </c>
      <c r="K402" s="558"/>
      <c r="N402" s="130"/>
      <c r="O402" s="1275"/>
      <c r="P402" s="1275"/>
    </row>
    <row r="403" spans="1:16" s="174" customFormat="1">
      <c r="C403" s="837" t="s">
        <v>3094</v>
      </c>
      <c r="D403" s="558"/>
      <c r="E403" s="558"/>
      <c r="F403" s="558"/>
      <c r="G403" s="838" t="s">
        <v>1579</v>
      </c>
      <c r="H403" s="839"/>
      <c r="I403" s="838"/>
      <c r="J403" s="558" t="s">
        <v>3972</v>
      </c>
      <c r="K403" s="558"/>
      <c r="L403" s="807"/>
      <c r="N403" s="130"/>
      <c r="O403" s="1275"/>
      <c r="P403" s="1275"/>
    </row>
    <row r="404" spans="1:16" s="174" customFormat="1">
      <c r="C404" s="840" t="s">
        <v>3096</v>
      </c>
      <c r="D404" s="558"/>
      <c r="E404" s="558"/>
      <c r="F404" s="558"/>
      <c r="G404" s="841" t="s">
        <v>2648</v>
      </c>
      <c r="H404" s="839"/>
      <c r="I404" s="841"/>
      <c r="J404" s="839" t="s">
        <v>3973</v>
      </c>
      <c r="K404" s="558"/>
      <c r="L404" s="806"/>
      <c r="N404" s="130"/>
      <c r="O404" s="1275"/>
      <c r="P404" s="1275"/>
    </row>
    <row r="405" spans="1:16" s="174" customFormat="1">
      <c r="C405" s="840" t="s">
        <v>3097</v>
      </c>
      <c r="D405" s="558"/>
      <c r="E405" s="558"/>
      <c r="F405" s="558"/>
      <c r="G405" s="841" t="s">
        <v>1870</v>
      </c>
      <c r="H405" s="839"/>
      <c r="I405" s="842"/>
      <c r="J405" s="839" t="s">
        <v>3974</v>
      </c>
      <c r="K405" s="558"/>
      <c r="L405" s="805"/>
      <c r="N405" s="130"/>
      <c r="O405" s="1275"/>
      <c r="P405" s="1275"/>
    </row>
    <row r="406" spans="1:16" s="174" customFormat="1">
      <c r="C406" s="840" t="s">
        <v>3098</v>
      </c>
      <c r="D406" s="558"/>
      <c r="E406" s="558"/>
      <c r="F406" s="558"/>
      <c r="G406" s="841" t="s">
        <v>1715</v>
      </c>
      <c r="H406" s="839"/>
      <c r="I406" s="842"/>
      <c r="J406" s="839" t="s">
        <v>3975</v>
      </c>
      <c r="K406" s="558"/>
      <c r="L406" s="805"/>
      <c r="N406" s="130"/>
      <c r="O406" s="1275"/>
      <c r="P406" s="1275"/>
    </row>
    <row r="407" spans="1:16" s="174" customFormat="1">
      <c r="C407" s="840" t="s">
        <v>3099</v>
      </c>
      <c r="D407" s="558"/>
      <c r="E407" s="558"/>
      <c r="F407" s="558"/>
      <c r="G407" s="841" t="s">
        <v>2172</v>
      </c>
      <c r="H407" s="839"/>
      <c r="I407" s="842"/>
      <c r="J407" s="839" t="s">
        <v>3976</v>
      </c>
      <c r="K407" s="558"/>
      <c r="L407" s="805"/>
      <c r="N407" s="130"/>
      <c r="O407" s="1275"/>
      <c r="P407" s="1275"/>
    </row>
    <row r="408" spans="1:16" s="174" customFormat="1">
      <c r="C408" s="840" t="s">
        <v>3100</v>
      </c>
      <c r="D408" s="558"/>
      <c r="E408" s="558"/>
      <c r="F408" s="558"/>
      <c r="G408" s="841" t="s">
        <v>12</v>
      </c>
      <c r="H408" s="839"/>
      <c r="I408" s="842"/>
      <c r="J408" s="839" t="s">
        <v>3977</v>
      </c>
      <c r="K408" s="558"/>
      <c r="L408" s="805"/>
      <c r="N408" s="130"/>
      <c r="O408" s="1275"/>
      <c r="P408" s="1275"/>
    </row>
    <row r="409" spans="1:16" s="174" customFormat="1">
      <c r="C409" s="840" t="s">
        <v>3101</v>
      </c>
      <c r="D409" s="558"/>
      <c r="E409" s="558"/>
      <c r="F409" s="558"/>
      <c r="G409" s="841" t="s">
        <v>1397</v>
      </c>
      <c r="H409" s="839"/>
      <c r="I409" s="842"/>
      <c r="J409" s="839" t="s">
        <v>3978</v>
      </c>
      <c r="K409" s="558"/>
      <c r="L409" s="805"/>
      <c r="N409" s="130"/>
      <c r="O409" s="1275"/>
      <c r="P409" s="1275"/>
    </row>
    <row r="410" spans="1:16" s="174" customFormat="1">
      <c r="C410" s="840"/>
      <c r="D410" s="558"/>
      <c r="E410" s="558"/>
      <c r="F410" s="558"/>
      <c r="G410" s="841" t="s">
        <v>1580</v>
      </c>
      <c r="H410" s="839"/>
      <c r="I410" s="842"/>
      <c r="J410" s="839" t="s">
        <v>3979</v>
      </c>
      <c r="K410" s="558"/>
      <c r="L410" s="805"/>
      <c r="N410" s="130"/>
      <c r="O410" s="1275"/>
      <c r="P410" s="1275"/>
    </row>
    <row r="411" spans="1:16" s="174" customFormat="1">
      <c r="C411" s="840"/>
      <c r="D411" s="558"/>
      <c r="E411" s="558"/>
      <c r="F411" s="558"/>
      <c r="G411" s="841" t="s">
        <v>1072</v>
      </c>
      <c r="H411" s="839"/>
      <c r="I411" s="842"/>
      <c r="J411" s="839" t="s">
        <v>3980</v>
      </c>
      <c r="K411" s="558"/>
      <c r="L411" s="805"/>
      <c r="N411" s="130"/>
      <c r="O411" s="1275"/>
      <c r="P411" s="1275"/>
    </row>
    <row r="412" spans="1:16" s="174" customFormat="1">
      <c r="C412" s="840"/>
      <c r="D412" s="558"/>
      <c r="E412" s="558"/>
      <c r="F412" s="558"/>
      <c r="G412" s="841" t="s">
        <v>1846</v>
      </c>
      <c r="H412" s="839"/>
      <c r="I412" s="842"/>
      <c r="J412" s="839" t="s">
        <v>3981</v>
      </c>
      <c r="K412" s="558"/>
      <c r="L412" s="805"/>
      <c r="N412" s="130"/>
      <c r="O412" s="1275"/>
      <c r="P412" s="1275"/>
    </row>
    <row r="413" spans="1:16" s="174" customFormat="1">
      <c r="C413" s="558"/>
      <c r="D413" s="558"/>
      <c r="E413" s="558"/>
      <c r="F413" s="558"/>
      <c r="G413" s="841" t="s">
        <v>2612</v>
      </c>
      <c r="H413" s="839"/>
      <c r="I413" s="842"/>
      <c r="J413" s="839" t="s">
        <v>3982</v>
      </c>
      <c r="K413" s="558"/>
      <c r="L413" s="805"/>
      <c r="N413" s="130"/>
      <c r="O413" s="1275"/>
      <c r="P413" s="1275"/>
    </row>
    <row r="414" spans="1:16" s="174" customFormat="1">
      <c r="A414" s="558"/>
      <c r="B414" s="558"/>
      <c r="C414" s="558"/>
      <c r="D414" s="558"/>
      <c r="E414" s="558"/>
      <c r="F414" s="558"/>
      <c r="G414" s="841" t="s">
        <v>2159</v>
      </c>
      <c r="H414" s="839"/>
      <c r="I414" s="842"/>
      <c r="J414" s="839" t="s">
        <v>3983</v>
      </c>
      <c r="K414" s="558"/>
      <c r="L414" s="805"/>
      <c r="N414" s="130"/>
      <c r="O414" s="1275"/>
      <c r="P414" s="1275"/>
    </row>
    <row r="415" spans="1:16" s="174" customFormat="1">
      <c r="A415" s="837" t="s">
        <v>3103</v>
      </c>
      <c r="B415" s="558"/>
      <c r="C415" s="558"/>
      <c r="D415" s="558"/>
      <c r="E415" s="558"/>
      <c r="F415" s="558"/>
      <c r="G415" s="841" t="s">
        <v>632</v>
      </c>
      <c r="H415" s="839"/>
      <c r="I415" s="842"/>
      <c r="J415" s="839" t="s">
        <v>3984</v>
      </c>
      <c r="K415" s="558"/>
      <c r="L415" s="805"/>
      <c r="N415" s="130"/>
      <c r="O415" s="1275"/>
      <c r="P415" s="1275"/>
    </row>
    <row r="416" spans="1:16" s="174" customFormat="1">
      <c r="A416" s="837" t="s">
        <v>3139</v>
      </c>
      <c r="B416" s="558"/>
      <c r="C416" s="558"/>
      <c r="D416" s="558"/>
      <c r="E416" s="558"/>
      <c r="F416" s="558"/>
      <c r="G416" s="841" t="s">
        <v>348</v>
      </c>
      <c r="H416" s="839"/>
      <c r="I416" s="842"/>
      <c r="J416" s="839" t="s">
        <v>3985</v>
      </c>
      <c r="K416" s="558"/>
      <c r="L416" s="805"/>
      <c r="N416" s="130"/>
      <c r="O416" s="1275"/>
      <c r="P416" s="1275"/>
    </row>
    <row r="417" spans="1:16" s="174" customFormat="1">
      <c r="A417" s="840" t="s">
        <v>3870</v>
      </c>
      <c r="B417" s="558"/>
      <c r="C417" s="558"/>
      <c r="D417" s="843"/>
      <c r="E417" s="844">
        <v>2</v>
      </c>
      <c r="F417" s="558"/>
      <c r="G417" s="841" t="s">
        <v>916</v>
      </c>
      <c r="H417" s="839"/>
      <c r="I417" s="842"/>
      <c r="J417" s="839"/>
      <c r="K417" s="558"/>
      <c r="L417" s="805"/>
      <c r="N417" s="130"/>
      <c r="O417" s="1275"/>
      <c r="P417" s="1275"/>
    </row>
    <row r="418" spans="1:16" s="174" customFormat="1">
      <c r="A418" s="840" t="s">
        <v>3872</v>
      </c>
      <c r="B418" s="558"/>
      <c r="C418" s="558"/>
      <c r="D418" s="843"/>
      <c r="E418" s="844">
        <v>3</v>
      </c>
      <c r="F418" s="558"/>
      <c r="G418" s="841" t="s">
        <v>2021</v>
      </c>
      <c r="H418" s="839"/>
      <c r="I418" s="842"/>
      <c r="J418" s="839"/>
      <c r="K418" s="558"/>
      <c r="L418" s="805"/>
      <c r="N418" s="130"/>
      <c r="O418" s="1275"/>
      <c r="P418" s="1275"/>
    </row>
    <row r="419" spans="1:16" s="174" customFormat="1">
      <c r="A419" s="840" t="s">
        <v>3871</v>
      </c>
      <c r="B419" s="558"/>
      <c r="C419" s="558"/>
      <c r="D419" s="843"/>
      <c r="E419" s="844">
        <v>1</v>
      </c>
      <c r="F419" s="558"/>
      <c r="G419" s="841" t="s">
        <v>474</v>
      </c>
      <c r="H419" s="839"/>
      <c r="I419" s="842"/>
      <c r="J419" s="839"/>
      <c r="K419" s="558"/>
      <c r="L419" s="805"/>
      <c r="N419" s="130"/>
      <c r="O419" s="1275"/>
      <c r="P419" s="1275"/>
    </row>
    <row r="420" spans="1:16" s="174" customFormat="1">
      <c r="A420" s="840" t="s">
        <v>3873</v>
      </c>
      <c r="B420" s="558"/>
      <c r="C420" s="558"/>
      <c r="D420" s="843"/>
      <c r="E420" s="844">
        <v>2</v>
      </c>
      <c r="F420" s="558"/>
      <c r="G420" s="841" t="s">
        <v>243</v>
      </c>
      <c r="H420" s="839"/>
      <c r="I420" s="842"/>
      <c r="J420" s="839"/>
      <c r="K420" s="558"/>
      <c r="L420" s="805"/>
      <c r="N420" s="130"/>
      <c r="O420" s="1275"/>
      <c r="P420" s="1275"/>
    </row>
    <row r="421" spans="1:16" s="174" customFormat="1">
      <c r="A421" s="840" t="s">
        <v>3874</v>
      </c>
      <c r="B421" s="558"/>
      <c r="C421" s="558"/>
      <c r="D421" s="843"/>
      <c r="E421" s="844">
        <v>1</v>
      </c>
      <c r="F421" s="558"/>
      <c r="G421" s="841" t="s">
        <v>1280</v>
      </c>
      <c r="H421" s="839"/>
      <c r="I421" s="842"/>
      <c r="J421" s="839"/>
      <c r="K421" s="558"/>
      <c r="L421" s="805"/>
      <c r="N421" s="130"/>
      <c r="O421" s="1275"/>
      <c r="P421" s="1275"/>
    </row>
    <row r="422" spans="1:16" s="174" customFormat="1">
      <c r="A422" s="840" t="s">
        <v>3865</v>
      </c>
      <c r="B422" s="558"/>
      <c r="C422" s="558"/>
      <c r="D422" s="843"/>
      <c r="E422" s="844">
        <v>2</v>
      </c>
      <c r="F422" s="558"/>
      <c r="G422" s="841" t="s">
        <v>1282</v>
      </c>
      <c r="H422" s="839"/>
      <c r="I422" s="842"/>
      <c r="J422" s="839"/>
      <c r="K422" s="558"/>
      <c r="L422" s="805"/>
      <c r="N422" s="130"/>
      <c r="O422" s="1275"/>
      <c r="P422" s="1275"/>
    </row>
    <row r="423" spans="1:16" s="174" customFormat="1">
      <c r="A423" s="840" t="s">
        <v>3875</v>
      </c>
      <c r="B423" s="558"/>
      <c r="C423" s="558"/>
      <c r="D423" s="843"/>
      <c r="E423" s="844">
        <v>2</v>
      </c>
      <c r="F423" s="558"/>
      <c r="G423" s="841" t="s">
        <v>1716</v>
      </c>
      <c r="H423" s="842"/>
      <c r="I423" s="839"/>
      <c r="J423" s="839"/>
      <c r="K423" s="558"/>
      <c r="L423" s="805"/>
      <c r="N423" s="130"/>
      <c r="O423" s="1275"/>
      <c r="P423" s="1275"/>
    </row>
    <row r="424" spans="1:16" s="174" customFormat="1">
      <c r="A424" s="840" t="s">
        <v>3866</v>
      </c>
      <c r="B424" s="558"/>
      <c r="C424" s="558"/>
      <c r="D424" s="843"/>
      <c r="E424" s="844">
        <v>3</v>
      </c>
      <c r="F424" s="558"/>
      <c r="G424" s="841" t="s">
        <v>1033</v>
      </c>
      <c r="H424" s="842"/>
      <c r="I424" s="839"/>
      <c r="J424" s="839"/>
      <c r="K424" s="558"/>
      <c r="L424" s="805"/>
      <c r="N424" s="130"/>
      <c r="O424" s="1275"/>
      <c r="P424" s="1275"/>
    </row>
    <row r="425" spans="1:16" s="174" customFormat="1">
      <c r="A425" s="840" t="s">
        <v>3864</v>
      </c>
      <c r="B425" s="558"/>
      <c r="C425" s="558"/>
      <c r="D425" s="843"/>
      <c r="E425" s="844">
        <v>1</v>
      </c>
      <c r="F425" s="558"/>
      <c r="G425" s="841" t="s">
        <v>601</v>
      </c>
      <c r="H425" s="842"/>
      <c r="I425" s="839"/>
      <c r="J425" s="839"/>
      <c r="K425" s="558"/>
      <c r="L425" s="805"/>
      <c r="N425" s="130"/>
      <c r="O425" s="1275"/>
      <c r="P425" s="1275"/>
    </row>
    <row r="426" spans="1:16" s="174" customFormat="1">
      <c r="A426" s="840" t="s">
        <v>3140</v>
      </c>
      <c r="B426" s="558"/>
      <c r="C426" s="558"/>
      <c r="D426" s="843"/>
      <c r="E426" s="843"/>
      <c r="F426" s="558"/>
      <c r="G426" s="841" t="s">
        <v>1717</v>
      </c>
      <c r="H426" s="842"/>
      <c r="I426" s="839"/>
      <c r="J426" s="839"/>
      <c r="K426" s="558"/>
      <c r="L426" s="805"/>
      <c r="N426" s="130"/>
      <c r="O426" s="1275"/>
      <c r="P426" s="1275"/>
    </row>
    <row r="427" spans="1:16" s="174" customFormat="1">
      <c r="A427" s="558"/>
      <c r="B427" s="558"/>
      <c r="C427" s="840"/>
      <c r="D427" s="558"/>
      <c r="E427" s="558"/>
      <c r="F427" s="558"/>
      <c r="G427" s="841" t="s">
        <v>1764</v>
      </c>
      <c r="H427" s="842"/>
      <c r="I427" s="839"/>
      <c r="J427" s="839"/>
      <c r="K427" s="558"/>
      <c r="L427" s="805"/>
      <c r="N427" s="130"/>
      <c r="O427" s="1275"/>
      <c r="P427" s="1275"/>
    </row>
    <row r="428" spans="1:16" s="174" customFormat="1">
      <c r="C428" s="840"/>
      <c r="D428" s="558"/>
      <c r="E428" s="558"/>
      <c r="F428" s="558"/>
      <c r="G428" s="841" t="s">
        <v>1828</v>
      </c>
      <c r="H428" s="842"/>
      <c r="I428" s="839"/>
      <c r="J428" s="839"/>
      <c r="K428" s="558"/>
      <c r="L428" s="805"/>
      <c r="N428" s="130"/>
      <c r="O428" s="1275"/>
      <c r="P428" s="1275"/>
    </row>
    <row r="429" spans="1:16" s="174" customFormat="1">
      <c r="C429" s="840"/>
      <c r="D429" s="558"/>
      <c r="E429" s="558"/>
      <c r="F429" s="558"/>
      <c r="G429" s="841" t="s">
        <v>3918</v>
      </c>
      <c r="H429" s="842"/>
      <c r="I429" s="839"/>
      <c r="J429" s="839"/>
      <c r="K429" s="558"/>
      <c r="L429" s="805"/>
      <c r="N429" s="130"/>
      <c r="O429" s="1275"/>
      <c r="P429" s="1275"/>
    </row>
    <row r="430" spans="1:16" s="174" customFormat="1">
      <c r="C430" s="840"/>
      <c r="D430" s="558"/>
      <c r="E430" s="558"/>
      <c r="F430" s="558"/>
      <c r="G430" s="841" t="s">
        <v>863</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545</v>
      </c>
      <c r="H432" s="842"/>
      <c r="I432" s="839"/>
      <c r="J432" s="839"/>
      <c r="K432" s="558"/>
      <c r="L432" s="805"/>
      <c r="N432" s="130"/>
      <c r="O432" s="1275"/>
      <c r="P432" s="1275"/>
    </row>
    <row r="433" spans="3:16" s="174" customFormat="1">
      <c r="C433" s="558"/>
      <c r="D433" s="558"/>
      <c r="E433" s="558"/>
      <c r="F433" s="558"/>
      <c r="G433" s="841" t="s">
        <v>553</v>
      </c>
      <c r="H433" s="842"/>
      <c r="I433" s="839"/>
      <c r="J433" s="839"/>
      <c r="K433" s="558"/>
      <c r="L433" s="805"/>
      <c r="N433" s="130"/>
      <c r="O433" s="1275"/>
      <c r="P433" s="1275"/>
    </row>
    <row r="434" spans="3:16" s="174" customFormat="1">
      <c r="C434" s="558"/>
      <c r="D434" s="558"/>
      <c r="E434" s="558"/>
      <c r="F434" s="558"/>
      <c r="G434" s="841" t="s">
        <v>2196</v>
      </c>
      <c r="H434" s="842"/>
      <c r="I434" s="839"/>
      <c r="J434" s="839"/>
      <c r="K434" s="558"/>
      <c r="L434" s="805"/>
      <c r="N434" s="130"/>
      <c r="O434" s="1275"/>
      <c r="P434" s="1275"/>
    </row>
    <row r="435" spans="3:16" s="174" customFormat="1">
      <c r="C435" s="558"/>
      <c r="D435" s="558"/>
      <c r="E435" s="558"/>
      <c r="F435" s="558"/>
      <c r="G435" s="841" t="s">
        <v>2357</v>
      </c>
      <c r="H435" s="842"/>
      <c r="I435" s="839"/>
      <c r="J435" s="839"/>
      <c r="K435" s="558"/>
      <c r="L435" s="805"/>
      <c r="N435" s="130"/>
      <c r="O435" s="1275"/>
      <c r="P435" s="1275"/>
    </row>
    <row r="436" spans="3:16" s="174" customFormat="1" ht="13.5">
      <c r="C436" s="558"/>
      <c r="D436" s="845"/>
      <c r="E436" s="558"/>
      <c r="F436" s="558"/>
      <c r="G436" s="841" t="s">
        <v>412</v>
      </c>
      <c r="H436" s="846"/>
      <c r="I436" s="839"/>
      <c r="J436" s="839"/>
      <c r="K436" s="558"/>
      <c r="L436" s="805"/>
      <c r="N436" s="130"/>
      <c r="O436" s="1275"/>
      <c r="P436" s="1275"/>
    </row>
    <row r="437" spans="3:16" s="174" customFormat="1" ht="13.5">
      <c r="C437" s="558"/>
      <c r="D437" s="845"/>
      <c r="E437" s="558"/>
      <c r="F437" s="558"/>
      <c r="G437" s="841" t="s">
        <v>2223</v>
      </c>
      <c r="H437" s="846"/>
      <c r="I437" s="839"/>
      <c r="J437" s="839"/>
      <c r="K437" s="558"/>
      <c r="L437" s="805"/>
      <c r="N437" s="130"/>
      <c r="O437" s="1275"/>
      <c r="P437" s="1275"/>
    </row>
    <row r="438" spans="3:16" s="174" customFormat="1" ht="13.5">
      <c r="C438" s="558"/>
      <c r="D438" s="847"/>
      <c r="E438" s="558"/>
      <c r="F438" s="558"/>
      <c r="G438" s="841" t="s">
        <v>1514</v>
      </c>
      <c r="H438" s="846"/>
      <c r="I438" s="839"/>
      <c r="J438" s="839"/>
      <c r="K438" s="558"/>
      <c r="L438" s="805"/>
      <c r="N438" s="130"/>
      <c r="O438" s="1275"/>
      <c r="P438" s="1275"/>
    </row>
    <row r="439" spans="3:16" s="174" customFormat="1">
      <c r="C439" s="558"/>
      <c r="D439" s="847"/>
      <c r="E439" s="847"/>
      <c r="F439" s="558"/>
      <c r="G439" s="841" t="s">
        <v>1633</v>
      </c>
      <c r="H439" s="839"/>
      <c r="I439" s="839"/>
      <c r="J439" s="839"/>
      <c r="K439" s="558"/>
      <c r="L439" s="805"/>
      <c r="N439" s="130"/>
      <c r="O439" s="1275"/>
      <c r="P439" s="1275"/>
    </row>
    <row r="440" spans="3:16" s="174" customFormat="1">
      <c r="C440" s="558"/>
      <c r="D440" s="558"/>
      <c r="E440" s="558"/>
      <c r="F440" s="558"/>
      <c r="G440" s="841" t="s">
        <v>256</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2377</v>
      </c>
      <c r="H442" s="839"/>
      <c r="I442" s="839"/>
      <c r="J442" s="839"/>
      <c r="K442" s="558"/>
      <c r="L442" s="808"/>
      <c r="N442" s="130"/>
      <c r="O442" s="1275"/>
      <c r="P442" s="1275"/>
    </row>
    <row r="443" spans="3:16" s="174" customFormat="1" ht="13.5">
      <c r="C443" s="845"/>
      <c r="D443" s="558"/>
      <c r="E443" s="558"/>
      <c r="F443" s="558"/>
      <c r="G443" s="848" t="s">
        <v>2266</v>
      </c>
      <c r="H443" s="839"/>
      <c r="I443" s="839"/>
      <c r="J443" s="839"/>
      <c r="K443" s="558"/>
      <c r="L443" s="808"/>
      <c r="N443" s="130"/>
      <c r="O443" s="1275"/>
      <c r="P443" s="1275"/>
    </row>
    <row r="444" spans="3:16" s="174" customFormat="1" ht="13.5">
      <c r="C444" s="845"/>
      <c r="D444" s="558"/>
      <c r="E444" s="558"/>
      <c r="F444" s="558"/>
      <c r="G444" s="848" t="s">
        <v>1718</v>
      </c>
      <c r="H444" s="839"/>
      <c r="I444" s="839"/>
      <c r="J444" s="839"/>
      <c r="K444" s="558"/>
      <c r="L444" s="808"/>
      <c r="N444" s="130"/>
      <c r="O444" s="1275"/>
      <c r="P444" s="1275"/>
    </row>
    <row r="445" spans="3:16" s="174" customFormat="1" ht="13.5">
      <c r="C445" s="845"/>
      <c r="D445" s="558"/>
      <c r="E445" s="558"/>
      <c r="F445" s="558"/>
      <c r="G445" s="848" t="s">
        <v>2369</v>
      </c>
      <c r="H445" s="839"/>
      <c r="I445" s="839"/>
      <c r="J445" s="839"/>
      <c r="K445" s="558"/>
      <c r="L445" s="808"/>
      <c r="N445" s="130"/>
      <c r="O445" s="1275"/>
      <c r="P445" s="1275"/>
    </row>
    <row r="446" spans="3:16" s="174" customFormat="1" ht="13.5">
      <c r="C446" s="845"/>
      <c r="D446" s="558"/>
      <c r="E446" s="558"/>
      <c r="F446" s="558"/>
      <c r="G446" s="848" t="s">
        <v>2228</v>
      </c>
      <c r="H446" s="839"/>
      <c r="I446" s="839"/>
      <c r="J446" s="839"/>
      <c r="K446" s="839"/>
      <c r="N446" s="130"/>
      <c r="O446" s="1275"/>
      <c r="P446" s="1275"/>
    </row>
    <row r="447" spans="3:16" s="174" customFormat="1" ht="13.5">
      <c r="C447" s="845"/>
      <c r="D447" s="558"/>
      <c r="E447" s="558"/>
      <c r="F447" s="558"/>
      <c r="G447" s="848" t="s">
        <v>1719</v>
      </c>
      <c r="H447" s="839"/>
      <c r="I447" s="839"/>
      <c r="J447" s="839"/>
      <c r="K447" s="839"/>
      <c r="N447" s="130"/>
      <c r="O447" s="1275"/>
      <c r="P447" s="1275"/>
    </row>
    <row r="448" spans="3:16" s="174" customFormat="1" ht="13.5">
      <c r="C448" s="845"/>
      <c r="D448" s="558"/>
      <c r="E448" s="558"/>
      <c r="F448" s="558"/>
      <c r="G448" s="848" t="s">
        <v>2444</v>
      </c>
      <c r="H448" s="839"/>
      <c r="I448" s="839"/>
      <c r="J448" s="839"/>
      <c r="K448" s="839"/>
      <c r="N448" s="130"/>
      <c r="O448" s="1275"/>
      <c r="P448" s="1275"/>
    </row>
    <row r="449" spans="1:19" s="174" customFormat="1" ht="13.5">
      <c r="C449" s="847"/>
      <c r="D449" s="558"/>
      <c r="E449" s="558"/>
      <c r="F449" s="558"/>
      <c r="G449" s="848" t="s">
        <v>1771</v>
      </c>
      <c r="H449" s="839"/>
      <c r="I449" s="839"/>
      <c r="J449" s="839"/>
      <c r="K449" s="839"/>
      <c r="N449" s="130"/>
      <c r="O449" s="1275"/>
      <c r="P449" s="1275"/>
    </row>
    <row r="450" spans="1:19" s="174" customFormat="1" ht="13.5">
      <c r="C450" s="847"/>
      <c r="D450" s="558"/>
      <c r="E450" s="558"/>
      <c r="F450" s="558"/>
      <c r="G450" s="846" t="s">
        <v>2370</v>
      </c>
      <c r="H450" s="839"/>
      <c r="I450" s="839"/>
      <c r="J450" s="839"/>
      <c r="K450" s="839"/>
      <c r="N450" s="130"/>
      <c r="O450" s="1275"/>
      <c r="P450" s="1275"/>
    </row>
    <row r="451" spans="1:19" s="174" customFormat="1" ht="13.5">
      <c r="C451" s="558"/>
      <c r="D451" s="558"/>
      <c r="E451" s="558"/>
      <c r="F451" s="558"/>
      <c r="G451" s="846" t="s">
        <v>1781</v>
      </c>
      <c r="H451" s="839"/>
      <c r="I451" s="839"/>
      <c r="J451" s="839"/>
      <c r="K451" s="839"/>
      <c r="N451" s="130"/>
      <c r="O451" s="1275"/>
      <c r="P451" s="1275"/>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TwlPjbK1bfPr7ZLibtwdkqleHzy6lImc2Oe20r6J4+LaE8BoZtmqE6+QKGMLcQqxx97ZGcfxHDwRjHr28Fhrzw==" saltValue="Ekdqibb6+EqCtSYMcmiJIA=="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9"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5" t="s">
        <v>4248</v>
      </c>
    </row>
    <row r="2" spans="1:6" s="32" customFormat="1" ht="13.5" customHeight="1">
      <c r="A2" s="1243" t="str">
        <f>'Part I-Project Information'!$F$24</f>
        <v>The Cove at York</v>
      </c>
    </row>
    <row r="3" spans="1:6" s="32" customFormat="1" ht="13.5" customHeight="1">
      <c r="A3" s="1243" t="str">
        <f>CONCATENATE('Part I-Project Information'!$F$28,", ", 'Part I-Project Information'!$J$29," County")</f>
        <v>Centerville, Houston County</v>
      </c>
    </row>
    <row r="4" spans="1:6" s="32" customFormat="1" ht="13.5" customHeight="1">
      <c r="A4" s="124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48" t="s">
        <v>2850</v>
      </c>
      <c r="B6" s="1635" t="s">
        <v>2851</v>
      </c>
      <c r="C6" s="1328"/>
      <c r="D6" s="1328"/>
      <c r="E6" s="1328"/>
      <c r="F6" s="1328"/>
    </row>
    <row r="7" spans="1:6" ht="6.6" customHeight="1">
      <c r="A7" s="2048"/>
      <c r="B7" s="1635"/>
      <c r="C7" s="1328"/>
      <c r="D7" s="1328"/>
      <c r="E7" s="1328"/>
      <c r="F7" s="1328"/>
    </row>
    <row r="8" spans="1:6" ht="134.25" customHeight="1">
      <c r="A8" s="2048"/>
      <c r="C8" s="1241"/>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2"/>
    </row>
  </sheetData>
  <sheetProtection algorithmName="SHA-512" hashValue="rOfIG+U1LXEtYsHhoijqP8ZM9295g9Q7Nc90Or3cIeLXZkv+sdNZOMMw72wyVegH4I8A50qUxH3xQJCx0GMgBA==" saltValue="EgE6L9bxyo87DIIfBhmg7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0" customWidth="1"/>
    <col min="4" max="4" width="15.42578125" style="970" customWidth="1"/>
    <col min="5" max="5" width="4.7109375" style="970" customWidth="1"/>
    <col min="6" max="9" width="12.7109375" style="970" customWidth="1"/>
    <col min="10" max="10" width="5.140625" style="970" customWidth="1"/>
    <col min="11" max="16384" width="9.140625" style="970"/>
  </cols>
  <sheetData>
    <row r="1" spans="1:11" ht="15.75">
      <c r="A1" s="1737" t="s">
        <v>3340</v>
      </c>
      <c r="B1" s="1737"/>
      <c r="C1" s="1737"/>
      <c r="D1" s="1737"/>
      <c r="E1" s="1737"/>
      <c r="F1" s="1737"/>
      <c r="G1" s="1737"/>
      <c r="H1" s="1737"/>
      <c r="I1" s="1737"/>
      <c r="J1" s="1737"/>
    </row>
    <row r="2" spans="1:11" ht="15.75">
      <c r="A2" s="1737" t="str">
        <f>Overview!C8</f>
        <v>The Cove at York</v>
      </c>
      <c r="B2" s="1737"/>
      <c r="C2" s="1737"/>
      <c r="D2" s="1737"/>
      <c r="E2" s="1737"/>
      <c r="F2" s="1737"/>
      <c r="G2" s="1737"/>
      <c r="H2" s="1737"/>
      <c r="I2" s="1737"/>
      <c r="J2" s="1737"/>
    </row>
    <row r="3" spans="1:11" ht="15.75">
      <c r="A3" s="1737" t="str">
        <f>'Subsidy Layering Memo'!F14</f>
        <v>Centerville, Houston</v>
      </c>
      <c r="B3" s="1737"/>
      <c r="C3" s="1737"/>
      <c r="D3" s="1737"/>
      <c r="E3" s="1737"/>
      <c r="F3" s="1737"/>
      <c r="G3" s="1737"/>
      <c r="H3" s="1737"/>
      <c r="I3" s="1737"/>
      <c r="J3" s="1737"/>
    </row>
    <row r="4" spans="1:11" ht="15.75">
      <c r="A4" s="1738" t="s">
        <v>3341</v>
      </c>
      <c r="B4" s="1737"/>
      <c r="C4" s="1737"/>
      <c r="D4" s="1737"/>
      <c r="E4" s="1737"/>
      <c r="F4" s="1737"/>
      <c r="G4" s="1737"/>
      <c r="H4" s="1737"/>
      <c r="I4" s="1737"/>
      <c r="J4" s="1737"/>
    </row>
    <row r="5" spans="1:11" ht="5.25" customHeight="1"/>
    <row r="6" spans="1:11" ht="5.25" customHeight="1"/>
    <row r="7" spans="1:11" ht="15.75">
      <c r="A7" s="1739" t="s">
        <v>3342</v>
      </c>
      <c r="B7" s="1739"/>
      <c r="C7" s="1740"/>
    </row>
    <row r="8" spans="1:11" ht="123" customHeight="1">
      <c r="A8" s="1736" t="s">
        <v>3895</v>
      </c>
      <c r="B8" s="1736"/>
      <c r="C8" s="1736"/>
      <c r="D8" s="1736"/>
      <c r="E8" s="1736"/>
      <c r="F8" s="1736"/>
      <c r="G8" s="1736"/>
      <c r="H8" s="1736"/>
      <c r="I8" s="1736"/>
      <c r="J8" s="1736"/>
      <c r="K8" s="971"/>
    </row>
    <row r="9" spans="1:11" ht="15.75">
      <c r="A9" s="972" t="s">
        <v>3343</v>
      </c>
    </row>
    <row r="10" spans="1:11" ht="31.5" customHeight="1">
      <c r="A10" s="1736" t="str">
        <f>'Subsidy Layering Memo'!A44</f>
        <v xml:space="preserve">Ownership entity:  (NAME) LP, a Georgia Limited Partnership, will be the ownership entity for the proposed project. </v>
      </c>
      <c r="B10" s="1741"/>
      <c r="C10" s="1741"/>
      <c r="D10" s="1741"/>
      <c r="E10" s="1741"/>
      <c r="F10" s="1741"/>
      <c r="G10" s="1741"/>
      <c r="H10" s="1741"/>
      <c r="I10" s="1741"/>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2" t="s">
        <v>3344</v>
      </c>
      <c r="B13" s="973"/>
    </row>
    <row r="14" spans="1:11">
      <c r="A14" s="970" t="s">
        <v>3345</v>
      </c>
      <c r="E14" s="974" t="s">
        <v>3346</v>
      </c>
    </row>
    <row r="15" spans="1:11">
      <c r="A15" s="970" t="s">
        <v>3347</v>
      </c>
      <c r="D15" s="975">
        <f>Overview!C25</f>
        <v>787492</v>
      </c>
    </row>
    <row r="16" spans="1:11">
      <c r="A16" s="976" t="s">
        <v>3348</v>
      </c>
      <c r="D16" s="977">
        <f>Overview!C13</f>
        <v>96</v>
      </c>
    </row>
    <row r="17" spans="1:11" ht="14.25" customHeight="1"/>
    <row r="18" spans="1:11" ht="15.75">
      <c r="A18" s="972" t="s">
        <v>3349</v>
      </c>
      <c r="B18" s="973"/>
      <c r="C18" s="973"/>
    </row>
    <row r="19" spans="1:11" ht="54" customHeight="1">
      <c r="A19" s="17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42"/>
      <c r="C19" s="1742"/>
      <c r="D19" s="1742"/>
      <c r="E19" s="1742"/>
      <c r="F19" s="1742"/>
      <c r="G19" s="1742"/>
      <c r="H19" s="1742"/>
      <c r="I19" s="1742"/>
      <c r="J19" s="1742"/>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2" t="s">
        <v>3350</v>
      </c>
      <c r="B21" s="973"/>
      <c r="C21" s="973"/>
      <c r="D21" s="973"/>
      <c r="E21" s="973"/>
      <c r="F21" s="973"/>
    </row>
    <row r="22" spans="1:11" ht="134.25" customHeight="1">
      <c r="A22" s="17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3"/>
      <c r="C22" s="1743"/>
      <c r="D22" s="1743"/>
      <c r="E22" s="1743"/>
      <c r="F22" s="1743"/>
      <c r="G22" s="1743"/>
      <c r="H22" s="1743"/>
      <c r="I22" s="1743"/>
      <c r="J22" s="1743"/>
      <c r="K22" s="978"/>
    </row>
    <row r="23" spans="1:11" ht="15" customHeight="1">
      <c r="A23" s="1736"/>
      <c r="B23" s="1736"/>
      <c r="C23" s="1736"/>
      <c r="D23" s="1736"/>
      <c r="E23" s="1736"/>
      <c r="F23" s="1736"/>
      <c r="G23" s="1736"/>
      <c r="H23" s="1736"/>
      <c r="I23" s="1736"/>
      <c r="J23" s="1736"/>
      <c r="K23" s="970" t="s">
        <v>254</v>
      </c>
    </row>
    <row r="24" spans="1:11" ht="15" customHeight="1">
      <c r="B24" s="979"/>
      <c r="C24" s="979"/>
      <c r="D24" s="979"/>
      <c r="E24" s="979"/>
      <c r="F24" s="979"/>
      <c r="G24" s="979"/>
      <c r="H24" s="979"/>
      <c r="I24" s="979" t="s">
        <v>254</v>
      </c>
      <c r="J24" s="979"/>
    </row>
    <row r="25" spans="1:11" ht="15.75">
      <c r="A25" s="973" t="s">
        <v>3351</v>
      </c>
    </row>
    <row r="27" spans="1:11" ht="15.75" thickBot="1">
      <c r="A27" s="980"/>
      <c r="B27" s="980"/>
      <c r="C27" s="980"/>
      <c r="D27" s="980"/>
      <c r="F27" s="980"/>
      <c r="G27" s="980"/>
      <c r="H27" s="980"/>
      <c r="I27" s="980"/>
    </row>
    <row r="28" spans="1:11">
      <c r="A28" s="970" t="s">
        <v>3352</v>
      </c>
      <c r="D28" s="970" t="s">
        <v>969</v>
      </c>
      <c r="F28" s="970" t="s">
        <v>3353</v>
      </c>
      <c r="I28" s="970" t="s">
        <v>969</v>
      </c>
      <c r="J28" s="970"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4"/>
    <col min="2" max="2" width="7.7109375" style="984" customWidth="1"/>
    <col min="3" max="3" width="14.85546875" style="984" customWidth="1"/>
    <col min="4" max="4" width="20.28515625" style="984" customWidth="1"/>
    <col min="5" max="5" width="8" style="984" customWidth="1"/>
    <col min="6" max="6" width="5.140625" style="984" customWidth="1"/>
    <col min="7" max="7" width="5.42578125" style="984" customWidth="1"/>
    <col min="8" max="8" width="8.5703125" style="984" customWidth="1"/>
    <col min="9" max="9" width="28.5703125" style="984" customWidth="1"/>
    <col min="10" max="10" width="4.140625" style="984" hidden="1" customWidth="1"/>
    <col min="11" max="11" width="9.140625" style="984"/>
    <col min="12" max="12" width="16.140625" style="984" customWidth="1"/>
    <col min="13" max="13" width="11.28515625" style="984" customWidth="1"/>
    <col min="14" max="14" width="10.85546875" style="984" bestFit="1" customWidth="1"/>
    <col min="15" max="16384" width="9.140625" style="984"/>
  </cols>
  <sheetData>
    <row r="2" spans="1:10" ht="15">
      <c r="A2" s="981" t="s">
        <v>3354</v>
      </c>
      <c r="B2" s="982"/>
      <c r="C2" s="982"/>
      <c r="D2" s="982"/>
      <c r="E2" s="983"/>
      <c r="F2" s="982"/>
      <c r="G2" s="982"/>
      <c r="H2" s="982"/>
      <c r="I2" s="982"/>
      <c r="J2" s="982"/>
    </row>
    <row r="3" spans="1:10" ht="15">
      <c r="A3" s="985"/>
    </row>
    <row r="4" spans="1:10" ht="15">
      <c r="A4" s="985" t="s">
        <v>3355</v>
      </c>
      <c r="D4" s="984" t="s">
        <v>3356</v>
      </c>
    </row>
    <row r="5" spans="1:10" ht="15">
      <c r="A5" s="985"/>
    </row>
    <row r="6" spans="1:10" ht="15">
      <c r="A6" s="985" t="s">
        <v>3357</v>
      </c>
      <c r="D6" s="984" t="s">
        <v>3358</v>
      </c>
    </row>
    <row r="7" spans="1:10" ht="15">
      <c r="A7" s="985"/>
    </row>
    <row r="8" spans="1:10" ht="15">
      <c r="A8" s="985" t="s">
        <v>3359</v>
      </c>
      <c r="D8" s="986" t="s">
        <v>3360</v>
      </c>
    </row>
    <row r="9" spans="1:10" ht="15">
      <c r="A9" s="985"/>
    </row>
    <row r="10" spans="1:10" ht="15">
      <c r="A10" s="985" t="s">
        <v>3361</v>
      </c>
      <c r="D10" s="986" t="s">
        <v>3362</v>
      </c>
    </row>
    <row r="11" spans="1:10" ht="15">
      <c r="A11" s="985"/>
      <c r="D11" s="987"/>
    </row>
    <row r="12" spans="1:10" ht="15">
      <c r="A12" s="985" t="s">
        <v>3363</v>
      </c>
      <c r="D12" s="984" t="s">
        <v>648</v>
      </c>
      <c r="F12" s="987" t="str">
        <f>Overview!$C$8</f>
        <v>The Cove at York</v>
      </c>
    </row>
    <row r="13" spans="1:10" ht="15">
      <c r="A13" s="985"/>
      <c r="D13" s="984" t="s">
        <v>3364</v>
      </c>
      <c r="F13" s="987" t="str">
        <f>Overview!E8</f>
        <v>2015-009</v>
      </c>
    </row>
    <row r="14" spans="1:10" ht="15">
      <c r="A14" s="985"/>
      <c r="D14" s="984" t="s">
        <v>3365</v>
      </c>
      <c r="F14" s="987" t="str">
        <f>Overview!H8</f>
        <v>Centerville, Houston</v>
      </c>
    </row>
    <row r="15" spans="1:10" ht="15">
      <c r="A15" s="985"/>
      <c r="D15" s="984" t="s">
        <v>3753</v>
      </c>
      <c r="F15" s="988">
        <f>Overview!$C$25</f>
        <v>787492</v>
      </c>
    </row>
    <row r="16" spans="1:10" ht="15">
      <c r="A16" s="985"/>
      <c r="D16" s="989" t="s">
        <v>3366</v>
      </c>
      <c r="F16" s="990">
        <f>Overview!C13</f>
        <v>96</v>
      </c>
      <c r="G16" s="991" t="s">
        <v>3754</v>
      </c>
      <c r="H16" s="987">
        <f>Overview!D13</f>
        <v>96</v>
      </c>
    </row>
    <row r="17" spans="1:18" ht="15">
      <c r="A17" s="985"/>
      <c r="D17" s="989" t="s">
        <v>3306</v>
      </c>
      <c r="F17" s="987" t="str">
        <f>Overview!C14</f>
        <v>Family</v>
      </c>
    </row>
    <row r="18" spans="1:18" ht="15">
      <c r="A18" s="985"/>
      <c r="D18" s="989" t="s">
        <v>3759</v>
      </c>
      <c r="F18" s="987" t="str">
        <f>Overview!H15</f>
        <v>Urban</v>
      </c>
    </row>
    <row r="19" spans="1:18" ht="15">
      <c r="A19" s="985"/>
      <c r="D19" s="989" t="s">
        <v>3755</v>
      </c>
      <c r="F19" s="987" t="str">
        <f>Overview!E16</f>
        <v>No</v>
      </c>
    </row>
    <row r="20" spans="1:18" ht="15">
      <c r="A20" s="985"/>
      <c r="D20" s="989"/>
    </row>
    <row r="21" spans="1:18" ht="15">
      <c r="A21" s="992" t="s">
        <v>3367</v>
      </c>
    </row>
    <row r="22" spans="1:18" ht="111.75" customHeight="1">
      <c r="A22" s="1745" t="s">
        <v>4285</v>
      </c>
      <c r="B22" s="1745"/>
      <c r="C22" s="1745"/>
      <c r="D22" s="1745"/>
      <c r="E22" s="1745"/>
      <c r="F22" s="1745"/>
      <c r="G22" s="1745"/>
      <c r="H22" s="1745"/>
      <c r="I22" s="1745"/>
      <c r="J22" s="1745"/>
      <c r="L22" s="1746" t="s">
        <v>3764</v>
      </c>
      <c r="M22" s="1746"/>
      <c r="N22" s="1746"/>
      <c r="O22" s="1746"/>
      <c r="P22" s="1746"/>
      <c r="Q22" s="1746"/>
      <c r="R22" s="1746"/>
    </row>
    <row r="23" spans="1:18" ht="0.75" hidden="1" customHeight="1">
      <c r="A23" s="993"/>
      <c r="B23" s="993"/>
      <c r="C23" s="993"/>
      <c r="D23" s="993"/>
      <c r="E23" s="993"/>
      <c r="F23" s="993"/>
      <c r="G23" s="993"/>
      <c r="H23" s="993"/>
      <c r="I23" s="993"/>
      <c r="J23" s="993"/>
    </row>
    <row r="24" spans="1:18" ht="9.75" hidden="1" customHeight="1">
      <c r="A24" s="1747"/>
      <c r="B24" s="1747"/>
      <c r="C24" s="1747"/>
      <c r="D24" s="1747"/>
      <c r="E24" s="1747"/>
      <c r="F24" s="1747"/>
      <c r="G24" s="1747"/>
      <c r="H24" s="1747"/>
      <c r="I24" s="1747"/>
      <c r="J24" s="1747"/>
    </row>
    <row r="25" spans="1:18" ht="10.5" hidden="1" customHeight="1">
      <c r="A25" s="1748"/>
      <c r="B25" s="1748"/>
      <c r="C25" s="1748"/>
      <c r="D25" s="1748"/>
      <c r="E25" s="1748"/>
      <c r="F25" s="1748"/>
      <c r="G25" s="1748"/>
      <c r="H25" s="1748"/>
      <c r="I25" s="1748"/>
      <c r="J25" s="1748"/>
    </row>
    <row r="26" spans="1:18" ht="15">
      <c r="A26" s="992" t="s">
        <v>3368</v>
      </c>
    </row>
    <row r="27" spans="1:18" ht="14.25" customHeight="1">
      <c r="A27" s="1749" t="s">
        <v>3369</v>
      </c>
      <c r="B27" s="1749"/>
      <c r="C27" s="1749"/>
      <c r="D27" s="1749"/>
      <c r="E27" s="1749"/>
      <c r="F27" s="1749"/>
      <c r="G27" s="1749"/>
      <c r="H27" s="1749"/>
      <c r="I27" s="1749"/>
      <c r="J27" s="1749"/>
    </row>
    <row r="28" spans="1:18" ht="14.25" customHeight="1">
      <c r="A28" s="1749"/>
      <c r="B28" s="1749"/>
      <c r="C28" s="1749"/>
      <c r="D28" s="1749"/>
      <c r="E28" s="1749"/>
      <c r="F28" s="1749"/>
      <c r="G28" s="1749"/>
      <c r="H28" s="1749"/>
      <c r="I28" s="1749"/>
      <c r="J28" s="1749"/>
    </row>
    <row r="29" spans="1:18" ht="6.75" customHeight="1">
      <c r="A29" s="1749"/>
      <c r="B29" s="1749"/>
      <c r="C29" s="1749"/>
      <c r="D29" s="1749"/>
      <c r="E29" s="1749"/>
      <c r="F29" s="1749"/>
      <c r="G29" s="1749"/>
      <c r="H29" s="1749"/>
      <c r="I29" s="1749"/>
      <c r="J29" s="1749"/>
    </row>
    <row r="30" spans="1:18" ht="14.25" customHeight="1">
      <c r="A30" s="1749"/>
      <c r="B30" s="1749"/>
      <c r="C30" s="1749"/>
      <c r="D30" s="1749"/>
      <c r="E30" s="1749"/>
      <c r="F30" s="1749"/>
      <c r="G30" s="1749"/>
      <c r="H30" s="1749"/>
      <c r="I30" s="1749"/>
      <c r="J30" s="1749"/>
    </row>
    <row r="31" spans="1:18" ht="14.25" customHeight="1">
      <c r="A31" s="1749"/>
      <c r="B31" s="1749"/>
      <c r="C31" s="1749"/>
      <c r="D31" s="1749"/>
      <c r="E31" s="1749"/>
      <c r="F31" s="1749"/>
      <c r="G31" s="1749"/>
      <c r="H31" s="1749"/>
      <c r="I31" s="1749"/>
      <c r="J31" s="1749"/>
    </row>
    <row r="32" spans="1:18" ht="54.75" customHeight="1">
      <c r="A32" s="1749"/>
      <c r="B32" s="1749"/>
      <c r="C32" s="1749"/>
      <c r="D32" s="1749"/>
      <c r="E32" s="1749"/>
      <c r="F32" s="1749"/>
      <c r="G32" s="1749"/>
      <c r="H32" s="1749"/>
      <c r="I32" s="1749"/>
      <c r="J32" s="1749"/>
    </row>
    <row r="33" spans="1:10" ht="0.75" hidden="1" customHeight="1">
      <c r="A33" s="1749"/>
      <c r="B33" s="1749"/>
      <c r="C33" s="1749"/>
      <c r="D33" s="1749"/>
      <c r="E33" s="1749"/>
      <c r="F33" s="1749"/>
      <c r="G33" s="1749"/>
      <c r="H33" s="1749"/>
      <c r="I33" s="1749"/>
      <c r="J33" s="1749"/>
    </row>
    <row r="34" spans="1:10" ht="3.75" hidden="1" customHeight="1">
      <c r="A34" s="1749"/>
      <c r="B34" s="1749"/>
      <c r="C34" s="1749"/>
      <c r="D34" s="1749"/>
      <c r="E34" s="1749"/>
      <c r="F34" s="1749"/>
      <c r="G34" s="1749"/>
      <c r="H34" s="1749"/>
      <c r="I34" s="1749"/>
      <c r="J34" s="1749"/>
    </row>
    <row r="35" spans="1:10" ht="5.25" customHeight="1">
      <c r="A35" s="994"/>
      <c r="B35" s="994"/>
      <c r="C35" s="994"/>
      <c r="D35" s="994"/>
      <c r="E35" s="994"/>
      <c r="F35" s="994"/>
      <c r="G35" s="994"/>
      <c r="H35" s="994"/>
      <c r="I35" s="994"/>
      <c r="J35" s="994"/>
    </row>
    <row r="36" spans="1:10" ht="19.5" customHeight="1">
      <c r="A36" s="1747" t="s">
        <v>3370</v>
      </c>
      <c r="B36" s="1747"/>
      <c r="C36" s="1747"/>
      <c r="D36" s="993"/>
      <c r="E36" s="993"/>
      <c r="F36" s="993"/>
      <c r="G36" s="993"/>
      <c r="H36" s="993"/>
      <c r="I36" s="993"/>
      <c r="J36" s="993"/>
    </row>
    <row r="37" spans="1:10" ht="15" customHeight="1">
      <c r="A37" s="1744"/>
      <c r="B37" s="1744"/>
      <c r="C37" s="1744"/>
      <c r="D37" s="1744"/>
      <c r="E37" s="1744"/>
      <c r="F37" s="1744"/>
      <c r="G37" s="1744"/>
      <c r="H37" s="1744"/>
      <c r="I37" s="1744"/>
      <c r="J37" s="1744"/>
    </row>
    <row r="38" spans="1:10" ht="33.75" customHeight="1">
      <c r="A38" s="1744"/>
      <c r="B38" s="1744"/>
      <c r="C38" s="1744"/>
      <c r="D38" s="1744"/>
      <c r="E38" s="1744"/>
      <c r="F38" s="1744"/>
      <c r="G38" s="1744"/>
      <c r="H38" s="1744"/>
      <c r="I38" s="1744"/>
      <c r="J38" s="1744"/>
    </row>
    <row r="39" spans="1:10" ht="2.25" customHeight="1">
      <c r="A39" s="993"/>
      <c r="B39" s="993"/>
      <c r="C39" s="993"/>
      <c r="D39" s="993"/>
      <c r="E39" s="993"/>
      <c r="F39" s="993"/>
      <c r="G39" s="993"/>
      <c r="H39" s="993"/>
      <c r="I39" s="993"/>
      <c r="J39" s="993"/>
    </row>
    <row r="40" spans="1:10" ht="15">
      <c r="A40" s="992" t="s">
        <v>3371</v>
      </c>
    </row>
    <row r="41" spans="1:10" ht="135" customHeight="1">
      <c r="A41" s="1748" t="s">
        <v>3896</v>
      </c>
      <c r="B41" s="1748"/>
      <c r="C41" s="1748"/>
      <c r="D41" s="1748"/>
      <c r="E41" s="1748"/>
      <c r="F41" s="1748"/>
      <c r="G41" s="1748"/>
      <c r="H41" s="1748"/>
      <c r="I41" s="1748"/>
      <c r="J41" s="1748"/>
    </row>
    <row r="42" spans="1:10" ht="6" customHeight="1">
      <c r="A42" s="995"/>
      <c r="B42" s="995"/>
      <c r="C42" s="995"/>
      <c r="D42" s="995"/>
      <c r="E42" s="995"/>
      <c r="F42" s="995"/>
      <c r="G42" s="995"/>
      <c r="H42" s="995"/>
      <c r="I42" s="995"/>
      <c r="J42" s="995"/>
    </row>
    <row r="43" spans="1:10" ht="15">
      <c r="A43" s="992" t="s">
        <v>3372</v>
      </c>
    </row>
    <row r="44" spans="1:10" ht="33" customHeight="1">
      <c r="A44" s="1744" t="s">
        <v>3373</v>
      </c>
      <c r="B44" s="1750"/>
      <c r="C44" s="1750"/>
      <c r="D44" s="1750"/>
      <c r="E44" s="1750"/>
      <c r="F44" s="1750"/>
      <c r="G44" s="1750"/>
      <c r="H44" s="1750"/>
      <c r="I44" s="1750"/>
      <c r="J44" s="1744"/>
    </row>
    <row r="45" spans="1:10" ht="3" customHeight="1"/>
    <row r="46" spans="1:10" ht="72.75" customHeight="1">
      <c r="A46" s="1744" t="s">
        <v>3374</v>
      </c>
      <c r="B46" s="1744"/>
      <c r="C46" s="1744"/>
      <c r="D46" s="1744"/>
      <c r="E46" s="1744"/>
      <c r="F46" s="1744"/>
      <c r="G46" s="1744"/>
      <c r="H46" s="1744"/>
      <c r="I46" s="1744"/>
      <c r="J46" s="1744"/>
    </row>
    <row r="47" spans="1:10" ht="3" customHeight="1">
      <c r="A47" s="993"/>
      <c r="B47" s="993"/>
      <c r="C47" s="993"/>
      <c r="D47" s="993"/>
      <c r="E47" s="993"/>
      <c r="F47" s="993"/>
      <c r="G47" s="993"/>
      <c r="H47" s="993"/>
      <c r="I47" s="993"/>
      <c r="J47" s="993"/>
    </row>
    <row r="48" spans="1:10" ht="56.25" customHeight="1">
      <c r="A48" s="1744" t="s">
        <v>3375</v>
      </c>
      <c r="B48" s="1744"/>
      <c r="C48" s="1744"/>
      <c r="D48" s="1744"/>
      <c r="E48" s="1744"/>
      <c r="F48" s="1744"/>
      <c r="G48" s="1744"/>
      <c r="H48" s="1744"/>
      <c r="I48" s="1744"/>
      <c r="J48" s="1744"/>
    </row>
    <row r="49" spans="1:17" ht="3" customHeight="1">
      <c r="A49" s="993"/>
      <c r="B49" s="993"/>
      <c r="C49" s="993"/>
      <c r="D49" s="993"/>
      <c r="E49" s="993"/>
      <c r="F49" s="993"/>
      <c r="G49" s="993"/>
      <c r="H49" s="993"/>
      <c r="I49" s="993"/>
      <c r="J49" s="993"/>
    </row>
    <row r="50" spans="1:17" ht="49.5" customHeight="1">
      <c r="A50" s="1744" t="s">
        <v>3376</v>
      </c>
      <c r="B50" s="1744"/>
      <c r="C50" s="1744"/>
      <c r="D50" s="1744"/>
      <c r="E50" s="1744"/>
      <c r="F50" s="1744"/>
      <c r="G50" s="1744"/>
      <c r="H50" s="1744"/>
      <c r="I50" s="1744"/>
      <c r="J50" s="993"/>
    </row>
    <row r="51" spans="1:17" ht="3" customHeight="1">
      <c r="A51" s="993"/>
      <c r="B51" s="993"/>
      <c r="C51" s="993"/>
      <c r="D51" s="993"/>
      <c r="E51" s="993"/>
      <c r="F51" s="993"/>
      <c r="G51" s="993"/>
      <c r="H51" s="993"/>
      <c r="I51" s="993"/>
      <c r="J51" s="993"/>
    </row>
    <row r="52" spans="1:17" ht="54.75" customHeight="1">
      <c r="A52" s="1751" t="s">
        <v>3765</v>
      </c>
      <c r="B52" s="1752"/>
      <c r="C52" s="1752"/>
      <c r="D52" s="1752"/>
      <c r="E52" s="1752"/>
      <c r="F52" s="1752"/>
      <c r="G52" s="1752"/>
      <c r="H52" s="1752"/>
      <c r="I52" s="1752"/>
      <c r="J52" s="993"/>
    </row>
    <row r="53" spans="1:17" ht="3" customHeight="1">
      <c r="A53" s="993"/>
      <c r="B53" s="993"/>
      <c r="C53" s="993"/>
      <c r="D53" s="993"/>
      <c r="E53" s="993"/>
      <c r="F53" s="993"/>
      <c r="G53" s="993"/>
      <c r="H53" s="993"/>
      <c r="I53" s="993"/>
      <c r="J53" s="993"/>
    </row>
    <row r="54" spans="1:17" ht="62.25" customHeight="1">
      <c r="A54" s="1752" t="s">
        <v>3377</v>
      </c>
      <c r="B54" s="1752"/>
      <c r="C54" s="1752"/>
      <c r="D54" s="1752"/>
      <c r="E54" s="1752"/>
      <c r="F54" s="1752"/>
      <c r="G54" s="1752"/>
      <c r="H54" s="1752"/>
      <c r="I54" s="1752"/>
      <c r="J54" s="1752"/>
    </row>
    <row r="55" spans="1:17" ht="3" customHeight="1"/>
    <row r="56" spans="1:17" ht="73.5" customHeight="1">
      <c r="A56" s="1744" t="s">
        <v>3378</v>
      </c>
      <c r="B56" s="1744"/>
      <c r="C56" s="1744"/>
      <c r="D56" s="1744"/>
      <c r="E56" s="1744"/>
      <c r="F56" s="1744"/>
      <c r="G56" s="1744"/>
      <c r="H56" s="1744"/>
      <c r="I56" s="1744"/>
      <c r="J56" s="1744"/>
    </row>
    <row r="57" spans="1:17" ht="6" customHeight="1">
      <c r="A57" s="993" t="s">
        <v>254</v>
      </c>
      <c r="B57" s="993"/>
      <c r="C57" s="993"/>
      <c r="D57" s="993"/>
      <c r="E57" s="993"/>
      <c r="F57" s="993"/>
      <c r="G57" s="993"/>
      <c r="H57" s="993"/>
      <c r="I57" s="993"/>
      <c r="J57" s="993"/>
    </row>
    <row r="58" spans="1:17" ht="15">
      <c r="A58" s="992" t="s">
        <v>3379</v>
      </c>
      <c r="L58" s="996" t="s">
        <v>4277</v>
      </c>
    </row>
    <row r="59" spans="1:17" ht="73.5" customHeight="1">
      <c r="A59" s="1745" t="s">
        <v>3380</v>
      </c>
      <c r="B59" s="1745"/>
      <c r="C59" s="1745"/>
      <c r="D59" s="1745"/>
      <c r="E59" s="1745"/>
      <c r="F59" s="1745"/>
      <c r="G59" s="1745"/>
      <c r="H59" s="1745"/>
      <c r="I59" s="1745"/>
      <c r="J59" s="1745"/>
      <c r="L59" s="997">
        <f>'Closing term sheet'!C135</f>
        <v>851110</v>
      </c>
      <c r="M59" s="998"/>
      <c r="N59" s="998"/>
      <c r="O59" s="998"/>
    </row>
    <row r="60" spans="1:17" ht="7.5" customHeight="1">
      <c r="A60" s="993"/>
      <c r="B60" s="993"/>
      <c r="C60" s="993"/>
      <c r="D60" s="993"/>
      <c r="E60" s="993"/>
      <c r="F60" s="993"/>
      <c r="G60" s="993"/>
      <c r="H60" s="993"/>
      <c r="I60" s="993"/>
      <c r="J60" s="993"/>
      <c r="L60" s="999" t="s">
        <v>4278</v>
      </c>
      <c r="M60" s="1000" t="s">
        <v>4283</v>
      </c>
      <c r="N60" s="1001" t="s">
        <v>4280</v>
      </c>
      <c r="O60" s="999" t="s">
        <v>4279</v>
      </c>
      <c r="P60" s="1000" t="s">
        <v>4282</v>
      </c>
      <c r="Q60" s="1001" t="s">
        <v>4281</v>
      </c>
    </row>
    <row r="61" spans="1:17" ht="78.75" customHeight="1">
      <c r="A61" s="1752" t="s">
        <v>3897</v>
      </c>
      <c r="B61" s="1752"/>
      <c r="C61" s="1752"/>
      <c r="D61" s="1752"/>
      <c r="E61" s="1752"/>
      <c r="F61" s="1752"/>
      <c r="G61" s="1752"/>
      <c r="H61" s="1752"/>
      <c r="I61" s="1752"/>
      <c r="J61" s="1002"/>
      <c r="L61" s="1003">
        <f>'Part III-Sources of Funds'!I44</f>
        <v>8995101</v>
      </c>
      <c r="M61" s="1004">
        <f>'Part IV-Uses of Funds'!$J$173</f>
        <v>956416.5</v>
      </c>
      <c r="N61" s="1005">
        <f>'Part IV-Uses of Funds'!N166</f>
        <v>0.95</v>
      </c>
      <c r="O61" s="1003">
        <f>'Part III-Sources of Funds'!I45</f>
        <v>4586020</v>
      </c>
      <c r="P61" s="1004">
        <f>M61</f>
        <v>956416.5</v>
      </c>
      <c r="Q61" s="1005">
        <f>'Part IV-Uses of Funds'!Q166</f>
        <v>0.47</v>
      </c>
    </row>
    <row r="62" spans="1:17" ht="18.75" customHeight="1">
      <c r="A62" s="1006" t="s">
        <v>3381</v>
      </c>
    </row>
    <row r="63" spans="1:17" ht="159.75" customHeight="1">
      <c r="A63" s="1752" t="s">
        <v>3898</v>
      </c>
      <c r="B63" s="1752"/>
      <c r="C63" s="1752"/>
      <c r="D63" s="1752"/>
      <c r="E63" s="1752"/>
      <c r="F63" s="1752"/>
      <c r="G63" s="1752"/>
      <c r="H63" s="1752"/>
      <c r="I63" s="1752"/>
      <c r="J63" s="1752"/>
      <c r="L63" s="1007">
        <f>'Part VII-Pro Forma'!K65</f>
        <v>5.885549675082087E-8</v>
      </c>
      <c r="M63" s="1756" t="s">
        <v>4284</v>
      </c>
      <c r="N63" s="1757"/>
    </row>
    <row r="64" spans="1:17" ht="6" customHeight="1">
      <c r="A64" s="992"/>
    </row>
    <row r="65" spans="1:10" ht="15">
      <c r="A65" s="992" t="s">
        <v>3382</v>
      </c>
    </row>
    <row r="66" spans="1:10" ht="66.75" customHeight="1">
      <c r="A66" s="1752" t="s">
        <v>3383</v>
      </c>
      <c r="B66" s="1752"/>
      <c r="C66" s="1752"/>
      <c r="D66" s="1752"/>
      <c r="E66" s="1752"/>
      <c r="F66" s="1752"/>
      <c r="G66" s="1752"/>
      <c r="H66" s="1752"/>
      <c r="I66" s="1752"/>
      <c r="J66" s="1752"/>
    </row>
    <row r="67" spans="1:10" ht="36" customHeight="1">
      <c r="A67" s="1752" t="s">
        <v>3384</v>
      </c>
      <c r="B67" s="1752"/>
      <c r="C67" s="1752"/>
      <c r="D67" s="1752"/>
      <c r="E67" s="1752"/>
      <c r="F67" s="1752"/>
      <c r="G67" s="1752"/>
      <c r="H67" s="1752"/>
      <c r="I67" s="1752"/>
      <c r="J67" s="1752"/>
    </row>
    <row r="68" spans="1:10" ht="6" customHeight="1">
      <c r="A68" s="992"/>
    </row>
    <row r="69" spans="1:10" ht="15">
      <c r="A69" s="992" t="s">
        <v>3385</v>
      </c>
    </row>
    <row r="70" spans="1:10" ht="105.75" customHeight="1">
      <c r="A70" s="1744" t="s">
        <v>3386</v>
      </c>
      <c r="B70" s="1744"/>
      <c r="C70" s="1744"/>
      <c r="D70" s="1744"/>
      <c r="E70" s="1744"/>
      <c r="F70" s="1744"/>
      <c r="G70" s="1744"/>
      <c r="H70" s="1744"/>
      <c r="I70" s="1744"/>
      <c r="J70" s="1744"/>
    </row>
    <row r="71" spans="1:10" ht="6" customHeight="1">
      <c r="A71" s="992"/>
    </row>
    <row r="72" spans="1:10" ht="15">
      <c r="A72" s="992" t="s">
        <v>3387</v>
      </c>
    </row>
    <row r="73" spans="1:10" ht="66" customHeight="1">
      <c r="A73" s="1744" t="s">
        <v>3388</v>
      </c>
      <c r="B73" s="1744"/>
      <c r="C73" s="1744"/>
      <c r="D73" s="1744"/>
      <c r="E73" s="1744"/>
      <c r="F73" s="1744"/>
      <c r="G73" s="1744"/>
      <c r="H73" s="1744"/>
      <c r="I73" s="1744"/>
      <c r="J73" s="1744"/>
    </row>
    <row r="74" spans="1:10" s="994" customFormat="1" ht="6" customHeight="1">
      <c r="A74" s="1744"/>
      <c r="B74" s="1744"/>
      <c r="C74" s="1744"/>
      <c r="D74" s="1744"/>
      <c r="E74" s="1744"/>
      <c r="F74" s="1744"/>
      <c r="G74" s="1744"/>
      <c r="H74" s="1744"/>
      <c r="I74" s="1744"/>
      <c r="J74" s="1744"/>
    </row>
    <row r="75" spans="1:10" ht="16.5" customHeight="1">
      <c r="A75" s="1008" t="s">
        <v>3389</v>
      </c>
      <c r="B75" s="991"/>
      <c r="C75" s="991"/>
      <c r="D75" s="991"/>
      <c r="E75" s="991"/>
      <c r="F75" s="991"/>
      <c r="G75" s="991"/>
      <c r="H75" s="991"/>
      <c r="I75" s="991"/>
      <c r="J75" s="1009"/>
    </row>
    <row r="76" spans="1:10" s="994" customFormat="1" ht="63" customHeight="1">
      <c r="A76" s="1744" t="s">
        <v>3390</v>
      </c>
      <c r="B76" s="1744"/>
      <c r="C76" s="1744"/>
      <c r="D76" s="1744"/>
      <c r="E76" s="1744"/>
      <c r="F76" s="1744"/>
      <c r="G76" s="1744"/>
      <c r="H76" s="1744"/>
      <c r="I76" s="1744"/>
      <c r="J76" s="1744"/>
    </row>
    <row r="77" spans="1:10" s="994" customFormat="1" ht="6" customHeight="1">
      <c r="A77" s="993"/>
      <c r="B77" s="993"/>
      <c r="C77" s="993"/>
      <c r="D77" s="993"/>
      <c r="E77" s="993"/>
      <c r="F77" s="993"/>
      <c r="G77" s="993"/>
      <c r="H77" s="993"/>
      <c r="I77" s="993"/>
      <c r="J77" s="993"/>
    </row>
    <row r="78" spans="1:10" ht="16.5" customHeight="1">
      <c r="A78" s="1753" t="s">
        <v>3391</v>
      </c>
      <c r="B78" s="1754"/>
      <c r="C78" s="1754"/>
      <c r="D78" s="991"/>
      <c r="E78" s="991"/>
      <c r="F78" s="991"/>
      <c r="G78" s="991"/>
      <c r="H78" s="991"/>
      <c r="I78" s="991"/>
      <c r="J78" s="1009"/>
    </row>
    <row r="79" spans="1:10" ht="41.25" customHeight="1">
      <c r="A79" s="1752" t="s">
        <v>3899</v>
      </c>
      <c r="B79" s="1755"/>
      <c r="C79" s="1755"/>
      <c r="D79" s="1755"/>
      <c r="E79" s="1755"/>
      <c r="F79" s="1755"/>
      <c r="G79" s="1755"/>
      <c r="H79" s="1755"/>
      <c r="I79" s="1755"/>
      <c r="J79" s="1755"/>
    </row>
    <row r="80" spans="1:10" ht="6" customHeight="1">
      <c r="A80" s="1010"/>
      <c r="B80" s="991"/>
      <c r="C80" s="991"/>
      <c r="D80" s="991"/>
      <c r="E80" s="991"/>
      <c r="F80" s="991"/>
      <c r="G80" s="991"/>
      <c r="H80" s="991"/>
      <c r="I80" s="991"/>
      <c r="J80" s="1009"/>
    </row>
    <row r="81" spans="1:15" ht="15">
      <c r="A81" s="992" t="s">
        <v>3392</v>
      </c>
    </row>
    <row r="82" spans="1:15" ht="139.5" customHeight="1">
      <c r="A82" s="1752" t="s">
        <v>3393</v>
      </c>
      <c r="B82" s="1752"/>
      <c r="C82" s="1752"/>
      <c r="D82" s="1752"/>
      <c r="E82" s="1752"/>
      <c r="F82" s="1752"/>
      <c r="G82" s="1752"/>
      <c r="H82" s="1752"/>
      <c r="I82" s="1752"/>
      <c r="J82" s="1752"/>
      <c r="L82" s="1760" t="s">
        <v>3394</v>
      </c>
      <c r="M82" s="1760"/>
      <c r="N82" s="1760"/>
    </row>
    <row r="83" spans="1:15" ht="6" customHeight="1">
      <c r="A83" s="1011"/>
      <c r="B83" s="1011"/>
      <c r="C83" s="1011"/>
      <c r="D83" s="1011"/>
      <c r="E83" s="1011"/>
      <c r="F83" s="1011"/>
      <c r="G83" s="1011"/>
      <c r="H83" s="1011"/>
      <c r="I83" s="1011"/>
      <c r="J83" s="1011"/>
      <c r="L83" s="1012"/>
      <c r="M83" s="1012"/>
      <c r="N83" s="1012"/>
    </row>
    <row r="84" spans="1:15" ht="17.25" customHeight="1">
      <c r="A84" s="992" t="s">
        <v>3395</v>
      </c>
    </row>
    <row r="85" spans="1:15" ht="111" customHeight="1">
      <c r="A85" s="1752" t="s">
        <v>3396</v>
      </c>
      <c r="B85" s="1752"/>
      <c r="C85" s="1752"/>
      <c r="D85" s="1752"/>
      <c r="E85" s="1752"/>
      <c r="F85" s="1752"/>
      <c r="G85" s="1752"/>
      <c r="H85" s="1752"/>
      <c r="I85" s="1752"/>
      <c r="J85" s="1752"/>
      <c r="L85" s="1760" t="s">
        <v>3397</v>
      </c>
      <c r="M85" s="1760"/>
      <c r="N85" s="1013" t="e">
        <f>'After-Tax Analysis'!G66</f>
        <v>#VALUE!</v>
      </c>
      <c r="O85" s="1014" t="s">
        <v>3398</v>
      </c>
    </row>
    <row r="86" spans="1:15" ht="6" customHeight="1">
      <c r="A86" s="992"/>
    </row>
    <row r="87" spans="1:15" ht="15">
      <c r="A87" s="992" t="s">
        <v>3399</v>
      </c>
    </row>
    <row r="88" spans="1:15" ht="118.5" customHeight="1">
      <c r="A88" s="1744" t="s">
        <v>3400</v>
      </c>
      <c r="B88" s="1744"/>
      <c r="C88" s="1744"/>
      <c r="D88" s="1744"/>
      <c r="E88" s="1744"/>
      <c r="F88" s="1744"/>
      <c r="G88" s="1744"/>
      <c r="H88" s="1744"/>
      <c r="I88" s="1744"/>
      <c r="J88" s="1744"/>
    </row>
    <row r="89" spans="1:15" ht="20.25" customHeight="1">
      <c r="A89" s="1750" t="s">
        <v>3401</v>
      </c>
      <c r="B89" s="1750"/>
      <c r="C89" s="1750"/>
      <c r="D89" s="1744"/>
      <c r="E89" s="993"/>
      <c r="F89" s="993"/>
      <c r="G89" s="993"/>
      <c r="H89" s="993"/>
      <c r="I89" s="993"/>
      <c r="J89" s="993"/>
    </row>
    <row r="90" spans="1:15" ht="109.5" customHeight="1">
      <c r="A90" s="1744" t="s">
        <v>3402</v>
      </c>
      <c r="B90" s="1750"/>
      <c r="C90" s="1750"/>
      <c r="D90" s="1750"/>
      <c r="E90" s="1750"/>
      <c r="F90" s="1750"/>
      <c r="G90" s="1750"/>
      <c r="H90" s="1750"/>
      <c r="I90" s="1750"/>
      <c r="J90" s="1750"/>
    </row>
    <row r="91" spans="1:15" ht="11.25" customHeight="1">
      <c r="A91" s="992"/>
    </row>
    <row r="92" spans="1:15" ht="15">
      <c r="A92" s="992" t="s">
        <v>3403</v>
      </c>
    </row>
    <row r="93" spans="1:15" ht="122.25" customHeight="1">
      <c r="A93" s="1745" t="s">
        <v>3404</v>
      </c>
      <c r="B93" s="1745"/>
      <c r="C93" s="1745"/>
      <c r="D93" s="1745"/>
      <c r="E93" s="1745"/>
      <c r="F93" s="1745"/>
      <c r="G93" s="1745"/>
      <c r="H93" s="1745"/>
      <c r="I93" s="1745"/>
      <c r="J93" s="1745"/>
      <c r="L93" s="1013">
        <f>'Part VII-Pro Forma'!K65</f>
        <v>5.885549675082087E-8</v>
      </c>
      <c r="M93" s="1761" t="s">
        <v>3405</v>
      </c>
      <c r="N93" s="1761"/>
    </row>
    <row r="94" spans="1:15" ht="11.25" hidden="1" customHeight="1">
      <c r="A94" s="993"/>
      <c r="B94" s="993"/>
      <c r="C94" s="993"/>
      <c r="D94" s="993"/>
      <c r="E94" s="993"/>
      <c r="F94" s="993"/>
      <c r="G94" s="993"/>
      <c r="H94" s="993"/>
      <c r="I94" s="993"/>
      <c r="J94" s="993"/>
    </row>
    <row r="95" spans="1:15" ht="12" hidden="1" customHeight="1">
      <c r="A95" s="993"/>
      <c r="B95" s="993"/>
      <c r="C95" s="993"/>
      <c r="D95" s="993"/>
      <c r="E95" s="993"/>
      <c r="F95" s="993"/>
      <c r="G95" s="993"/>
      <c r="H95" s="993"/>
      <c r="I95" s="993"/>
      <c r="J95" s="1009"/>
    </row>
    <row r="96" spans="1:15" ht="6" customHeight="1">
      <c r="A96" s="993"/>
      <c r="B96" s="993"/>
      <c r="C96" s="993"/>
      <c r="D96" s="993"/>
      <c r="E96" s="993"/>
      <c r="F96" s="993"/>
      <c r="G96" s="993"/>
      <c r="H96" s="993"/>
      <c r="I96" s="993"/>
      <c r="J96" s="1009"/>
    </row>
    <row r="97" spans="1:10" ht="17.25" customHeight="1">
      <c r="A97" s="1750" t="s">
        <v>3406</v>
      </c>
      <c r="B97" s="1750"/>
      <c r="C97" s="1750"/>
      <c r="D97" s="993"/>
      <c r="E97" s="993"/>
      <c r="F97" s="993"/>
      <c r="G97" s="993"/>
      <c r="H97" s="993"/>
      <c r="I97" s="993"/>
      <c r="J97" s="1009"/>
    </row>
    <row r="98" spans="1:10" ht="37.5" customHeight="1">
      <c r="A98" s="1752" t="s">
        <v>3407</v>
      </c>
      <c r="B98" s="1752"/>
      <c r="C98" s="1752"/>
      <c r="D98" s="1752"/>
      <c r="E98" s="1752"/>
      <c r="F98" s="1752"/>
      <c r="G98" s="1752"/>
      <c r="H98" s="1752"/>
      <c r="I98" s="1752"/>
      <c r="J98" s="1752"/>
    </row>
    <row r="99" spans="1:10" ht="6" customHeight="1">
      <c r="A99" s="992"/>
    </row>
    <row r="100" spans="1:10" ht="15">
      <c r="A100" s="992" t="s">
        <v>3408</v>
      </c>
    </row>
    <row r="101" spans="1:10" ht="43.5" customHeight="1">
      <c r="A101" s="1744" t="s">
        <v>3409</v>
      </c>
      <c r="B101" s="1744"/>
      <c r="C101" s="1744"/>
      <c r="D101" s="1744"/>
      <c r="E101" s="1744"/>
      <c r="F101" s="1744"/>
      <c r="G101" s="1744"/>
      <c r="H101" s="1744"/>
      <c r="I101" s="1744"/>
      <c r="J101" s="1744"/>
    </row>
    <row r="102" spans="1:10" ht="6" customHeight="1">
      <c r="A102" s="993"/>
      <c r="B102" s="993"/>
      <c r="C102" s="993"/>
      <c r="D102" s="993"/>
      <c r="E102" s="993"/>
      <c r="F102" s="993"/>
      <c r="G102" s="993"/>
      <c r="H102" s="993"/>
      <c r="I102" s="993"/>
      <c r="J102" s="993"/>
    </row>
    <row r="103" spans="1:10" ht="15">
      <c r="A103" s="992" t="s">
        <v>3410</v>
      </c>
    </row>
    <row r="105" spans="1:10">
      <c r="A105" s="1758" t="s">
        <v>3411</v>
      </c>
      <c r="B105" s="1758"/>
      <c r="C105" s="1758"/>
      <c r="D105" s="1758"/>
      <c r="E105" s="1758"/>
      <c r="F105" s="1758"/>
      <c r="G105" s="1758"/>
      <c r="H105" s="1758"/>
      <c r="I105" s="1758"/>
      <c r="J105" s="1758"/>
    </row>
    <row r="107" spans="1:10" ht="15" thickBot="1">
      <c r="A107" s="1015"/>
      <c r="B107" s="984" t="s">
        <v>3412</v>
      </c>
    </row>
    <row r="110" spans="1:10" ht="15" thickBot="1">
      <c r="A110" s="1015"/>
      <c r="B110" s="984" t="s">
        <v>3413</v>
      </c>
    </row>
    <row r="112" spans="1:10">
      <c r="A112" s="984" t="s">
        <v>3414</v>
      </c>
    </row>
    <row r="115" spans="1:10" ht="15" thickBot="1">
      <c r="A115" s="1015"/>
      <c r="B115" s="1015"/>
      <c r="C115" s="1015"/>
      <c r="D115" s="1015"/>
      <c r="E115" s="1015"/>
      <c r="H115" s="1015"/>
      <c r="I115" s="1015"/>
      <c r="J115" s="1015"/>
    </row>
    <row r="116" spans="1:10">
      <c r="A116" s="1759" t="s">
        <v>3415</v>
      </c>
      <c r="B116" s="1759"/>
      <c r="C116" s="1759"/>
      <c r="D116" s="1759"/>
      <c r="E116" s="1759"/>
      <c r="H116" s="1759" t="s">
        <v>3416</v>
      </c>
      <c r="I116" s="1759"/>
      <c r="J116" s="1759"/>
    </row>
    <row r="118" spans="1:10" ht="15" thickBot="1">
      <c r="A118" s="984" t="s">
        <v>3417</v>
      </c>
      <c r="B118" s="1015"/>
      <c r="C118" s="1015"/>
      <c r="H118" s="984" t="s">
        <v>3417</v>
      </c>
      <c r="I118" s="1015"/>
    </row>
    <row r="206" spans="1:1">
      <c r="A206" s="984"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6" t="s">
        <v>3418</v>
      </c>
      <c r="B1" s="1017"/>
      <c r="C1" s="1017"/>
      <c r="D1" s="1017"/>
      <c r="E1" s="1017"/>
      <c r="F1" s="1017"/>
      <c r="G1" s="1017"/>
      <c r="H1" s="1017"/>
      <c r="I1" s="1017"/>
      <c r="J1" s="1017"/>
      <c r="K1" s="1017"/>
      <c r="L1" s="970"/>
      <c r="M1" s="970"/>
    </row>
    <row r="2" spans="1:13" ht="18">
      <c r="A2" s="1016" t="str">
        <f>+"Financial Analysis for:  "&amp;C8</f>
        <v>Financial Analysis for:  The Cove at York</v>
      </c>
      <c r="B2" s="1017"/>
      <c r="C2" s="1017"/>
      <c r="D2" s="1017"/>
      <c r="E2" s="1017"/>
      <c r="F2" s="1017"/>
      <c r="G2" s="1017"/>
      <c r="H2" s="1017"/>
      <c r="I2" s="1017"/>
      <c r="J2" s="1017"/>
      <c r="K2" s="1017"/>
      <c r="L2" s="970"/>
      <c r="M2" s="970"/>
    </row>
    <row r="5" spans="1:13" ht="15.75">
      <c r="A5" s="1018"/>
      <c r="B5" s="1019"/>
      <c r="C5" s="1020"/>
      <c r="D5" s="1019"/>
      <c r="E5" s="1019"/>
      <c r="F5" s="1018"/>
      <c r="G5" s="1019"/>
      <c r="H5" s="1020"/>
      <c r="I5" s="1019"/>
      <c r="J5" s="1019"/>
      <c r="K5" s="1019"/>
      <c r="L5" s="1019"/>
      <c r="M5" s="970"/>
    </row>
    <row r="7" spans="1:13" ht="15.75">
      <c r="A7" s="973" t="s">
        <v>3419</v>
      </c>
      <c r="B7" s="970"/>
      <c r="C7" s="1021"/>
      <c r="D7" s="1022"/>
      <c r="E7" s="1022"/>
      <c r="F7" s="973" t="s">
        <v>3769</v>
      </c>
      <c r="G7" s="970"/>
      <c r="H7" s="17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2"/>
      <c r="J7" s="1762"/>
      <c r="K7" s="1762"/>
      <c r="L7" s="970"/>
      <c r="M7" s="970"/>
    </row>
    <row r="8" spans="1:13" ht="15.75">
      <c r="A8" s="973" t="s">
        <v>3420</v>
      </c>
      <c r="B8" s="973"/>
      <c r="C8" s="1762" t="str">
        <f>'Part I-Project Information'!F24</f>
        <v>The Cove at York</v>
      </c>
      <c r="D8" s="1762"/>
      <c r="E8" s="1023" t="str">
        <f>'Part I-Project Information'!O4</f>
        <v>2015-009</v>
      </c>
      <c r="F8" s="1024" t="s">
        <v>3421</v>
      </c>
      <c r="G8" s="1022"/>
      <c r="H8" s="1762" t="str">
        <f>CONCATENATE('Part I-Project Information'!F28,", ",'Part I-Project Information'!J29)</f>
        <v>Centerville, Houston</v>
      </c>
      <c r="I8" s="1762"/>
      <c r="J8" s="1762"/>
      <c r="K8" s="1762"/>
      <c r="L8" s="970"/>
      <c r="M8" s="1025"/>
    </row>
    <row r="9" spans="1:13" ht="15.75">
      <c r="A9" s="973" t="s">
        <v>3423</v>
      </c>
      <c r="B9" s="973"/>
      <c r="C9" s="1762" t="s">
        <v>1859</v>
      </c>
      <c r="D9" s="1762"/>
      <c r="E9" s="1022"/>
      <c r="F9" s="1024" t="s">
        <v>3424</v>
      </c>
      <c r="G9" s="1022"/>
      <c r="H9" s="1762" t="str">
        <f>'Part II-Development Team'!H5</f>
        <v>The Cove at York, LP</v>
      </c>
      <c r="I9" s="1762"/>
      <c r="J9" s="1762"/>
      <c r="K9" s="1762"/>
      <c r="L9" s="1762"/>
      <c r="M9" s="1025"/>
    </row>
    <row r="10" spans="1:13" ht="15.75">
      <c r="A10" s="973" t="s">
        <v>3426</v>
      </c>
      <c r="B10" s="970"/>
      <c r="C10" s="965" t="str">
        <f>'Part II-Development Team'!H14</f>
        <v>NAHPA 2015 GA, Inc.</v>
      </c>
      <c r="D10" s="1022"/>
      <c r="E10" s="1022"/>
      <c r="F10" s="1024" t="s">
        <v>4356</v>
      </c>
      <c r="G10" s="1022"/>
      <c r="H10" s="1762" t="str">
        <f>'Part II-Development Team'!H33</f>
        <v>To Be Determined - 42 Equity Partners</v>
      </c>
      <c r="I10" s="1762"/>
      <c r="J10" s="1762"/>
      <c r="K10" s="1762" t="str">
        <f>'Part II-Development Team'!H39</f>
        <v>To Be Determined - Sugar Creek Capital</v>
      </c>
      <c r="L10" s="1762"/>
    </row>
    <row r="11" spans="1:13" ht="15.75">
      <c r="A11" s="973" t="s">
        <v>3427</v>
      </c>
      <c r="B11" s="970"/>
      <c r="C11" s="1022" t="str">
        <f>IF('Part II-Development Team'!H20="","",'Part II-Development Team'!H20)</f>
        <v/>
      </c>
      <c r="D11" s="1022"/>
      <c r="E11" s="1022"/>
      <c r="F11" s="1024" t="s">
        <v>687</v>
      </c>
      <c r="G11" s="1022"/>
      <c r="H11" s="1762" t="str">
        <f>'Part II-Development Team'!H54</f>
        <v>NAHPA Development, LLC</v>
      </c>
      <c r="I11" s="1762"/>
      <c r="J11" s="1762"/>
      <c r="K11" s="1762">
        <f>'Part II-Development Team'!H60</f>
        <v>0</v>
      </c>
      <c r="L11" s="1762"/>
    </row>
    <row r="12" spans="1:13" ht="15.75">
      <c r="A12" s="973" t="s">
        <v>3428</v>
      </c>
      <c r="B12" s="970"/>
      <c r="C12" s="965" t="str">
        <f>'Part II-Development Team'!H86</f>
        <v>Fyffe Construction Company, Inc.</v>
      </c>
      <c r="D12" s="1022"/>
      <c r="E12" s="1022"/>
      <c r="F12" s="1024" t="s">
        <v>3429</v>
      </c>
      <c r="G12" s="1022"/>
      <c r="H12" s="1762" t="str">
        <f>'Part II-Development Team'!H92</f>
        <v>Vantage Management, LLC</v>
      </c>
      <c r="I12" s="1762"/>
      <c r="J12" s="1762"/>
      <c r="K12" s="1762"/>
      <c r="L12" s="970"/>
      <c r="M12" s="970"/>
    </row>
    <row r="13" spans="1:13" ht="15.75">
      <c r="A13" s="973" t="s">
        <v>3430</v>
      </c>
      <c r="B13" s="1024"/>
      <c r="C13" s="963">
        <f>'Part VI-Revenues &amp; Expenses'!M62</f>
        <v>96</v>
      </c>
      <c r="D13" s="964">
        <f>'Part VI-Revenues &amp; Expenses'!M58</f>
        <v>96</v>
      </c>
      <c r="E13" s="1023"/>
      <c r="F13" s="1024" t="s">
        <v>3757</v>
      </c>
      <c r="G13" s="1022"/>
      <c r="H13" s="1768">
        <f>'Part I-Project Information'!H61</f>
        <v>4</v>
      </c>
      <c r="I13" s="1768"/>
      <c r="J13" s="1768"/>
      <c r="K13" s="1768"/>
      <c r="L13" s="970"/>
      <c r="M13" s="970"/>
    </row>
    <row r="14" spans="1:13" ht="15.75">
      <c r="A14" s="973" t="s">
        <v>3756</v>
      </c>
      <c r="B14" s="970"/>
      <c r="C14" s="965" t="str">
        <f>'Part I-Project Information'!H67</f>
        <v>Family</v>
      </c>
      <c r="D14" s="1762" t="str">
        <f>IF('Part I-Project Information'!N67=0,"",'Part I-Project Information'!N67)</f>
        <v/>
      </c>
      <c r="E14" s="1762"/>
      <c r="F14" s="1024" t="s">
        <v>3431</v>
      </c>
      <c r="G14" s="1022"/>
      <c r="H14" s="1763" t="s">
        <v>4286</v>
      </c>
      <c r="I14" s="1763"/>
      <c r="J14" s="1763"/>
      <c r="K14" s="1763" t="s">
        <v>4286</v>
      </c>
      <c r="L14" s="1763"/>
      <c r="M14" s="970"/>
    </row>
    <row r="15" spans="1:13" ht="15.75">
      <c r="A15" s="973" t="s">
        <v>3432</v>
      </c>
      <c r="B15" s="970"/>
      <c r="C15" s="1026"/>
      <c r="D15" s="1022"/>
      <c r="E15" s="1022"/>
      <c r="F15" s="1024" t="s">
        <v>3758</v>
      </c>
      <c r="G15" s="1022"/>
      <c r="H15" s="1022" t="str">
        <f>'Part I-Project Information'!K30</f>
        <v>Urban</v>
      </c>
      <c r="I15" s="1022"/>
      <c r="J15" s="1022"/>
      <c r="K15" s="1022"/>
      <c r="L15" s="970"/>
      <c r="M15" s="970"/>
    </row>
    <row r="16" spans="1:13" ht="15.75">
      <c r="A16" s="973" t="s">
        <v>4324</v>
      </c>
      <c r="B16" s="970"/>
      <c r="C16" s="965" t="str">
        <f>'Part I-Project Information'!H86</f>
        <v>Yes</v>
      </c>
      <c r="D16" s="1027" t="s">
        <v>2820</v>
      </c>
      <c r="E16" s="965" t="str">
        <f>'Part I-Project Information'!H88</f>
        <v>No</v>
      </c>
      <c r="F16" s="1024"/>
      <c r="G16" s="1022"/>
      <c r="H16" s="1022"/>
      <c r="I16" s="1022"/>
      <c r="J16" s="1022"/>
      <c r="K16" s="1022"/>
      <c r="L16" s="970"/>
      <c r="M16" s="970"/>
    </row>
    <row r="17" spans="1:13" ht="15">
      <c r="A17" s="970"/>
      <c r="B17" s="970"/>
      <c r="C17" s="970"/>
      <c r="D17" s="1022"/>
      <c r="E17" s="1022"/>
      <c r="F17" s="1022"/>
      <c r="G17" s="1022"/>
      <c r="H17" s="1022"/>
      <c r="I17" s="1022"/>
      <c r="J17" s="970"/>
      <c r="K17" s="970"/>
      <c r="L17" s="970"/>
      <c r="M17" s="970"/>
    </row>
    <row r="18" spans="1:13" ht="15.75">
      <c r="A18" s="973" t="s">
        <v>3760</v>
      </c>
      <c r="B18" s="970"/>
      <c r="C18" s="1028">
        <f>'Part IV-Uses of Funds'!G130</f>
        <v>14368613</v>
      </c>
      <c r="D18" s="1029">
        <f>IF(C18=0,"",$C$29/C18)</f>
        <v>5.4806403373798156E-2</v>
      </c>
      <c r="E18" s="1022" t="s">
        <v>3761</v>
      </c>
      <c r="F18" s="1024" t="s">
        <v>3762</v>
      </c>
      <c r="G18" s="1022"/>
      <c r="H18" s="1767">
        <f>'Part IV-Uses of Funds'!B44</f>
        <v>9912630</v>
      </c>
      <c r="I18" s="1767"/>
      <c r="J18" s="1030">
        <f>IF(H18=0,"",$C$29/H18)</f>
        <v>7.9443296077832015E-2</v>
      </c>
      <c r="K18" s="1762" t="s">
        <v>3763</v>
      </c>
      <c r="L18" s="1762"/>
      <c r="M18" s="970"/>
    </row>
    <row r="19" spans="1:13" ht="15.75">
      <c r="A19" s="973" t="s">
        <v>3433</v>
      </c>
      <c r="B19" s="970"/>
      <c r="C19" s="966">
        <f>C18/C13</f>
        <v>149673.05208333334</v>
      </c>
      <c r="D19" s="1022"/>
      <c r="E19" s="970"/>
      <c r="F19" s="973" t="s">
        <v>3433</v>
      </c>
      <c r="G19" s="970"/>
      <c r="H19" s="1766">
        <f>H18/C13</f>
        <v>103256.5625</v>
      </c>
      <c r="I19" s="1766"/>
      <c r="J19" s="970"/>
      <c r="K19" s="970"/>
      <c r="L19" s="970"/>
      <c r="M19" s="970"/>
    </row>
    <row r="20" spans="1:13" ht="15.75">
      <c r="A20" s="973" t="s">
        <v>3434</v>
      </c>
      <c r="B20" s="970"/>
      <c r="C20" s="966">
        <f>C18/'Part VI-Revenues &amp; Expenses'!M120</f>
        <v>138.23417417070729</v>
      </c>
      <c r="D20" s="1031"/>
      <c r="E20" s="1032"/>
      <c r="F20" s="973" t="s">
        <v>3434</v>
      </c>
      <c r="G20" s="970"/>
      <c r="H20" s="1766">
        <f>H18/'Part VI-Revenues &amp; Expenses'!M120</f>
        <v>95.365100438697766</v>
      </c>
      <c r="I20" s="1766"/>
      <c r="J20" s="970"/>
      <c r="K20" s="970"/>
      <c r="L20" s="970"/>
      <c r="M20" s="970"/>
    </row>
    <row r="21" spans="1:13" ht="15.75">
      <c r="A21" s="973"/>
      <c r="B21" s="970"/>
      <c r="C21" s="1033"/>
      <c r="D21" s="970"/>
      <c r="E21" s="970"/>
      <c r="F21" s="973"/>
      <c r="G21" s="970"/>
      <c r="H21" s="1033"/>
      <c r="I21" s="970"/>
      <c r="J21" s="970"/>
      <c r="K21" s="970"/>
      <c r="L21" s="970"/>
      <c r="M21" s="970"/>
    </row>
    <row r="22" spans="1:13" ht="15">
      <c r="A22" s="1019"/>
      <c r="B22" s="1019"/>
      <c r="C22" s="1019"/>
      <c r="D22" s="1019"/>
      <c r="E22" s="1019"/>
      <c r="F22" s="1019"/>
      <c r="G22" s="1019"/>
      <c r="H22" s="1019"/>
      <c r="I22" s="1019"/>
      <c r="J22" s="1019"/>
      <c r="K22" s="1019"/>
      <c r="L22" s="1019"/>
      <c r="M22" s="1025"/>
    </row>
    <row r="23" spans="1:13" ht="15.75">
      <c r="A23" s="1034" t="s">
        <v>3435</v>
      </c>
      <c r="B23" s="1035"/>
      <c r="C23" s="1035"/>
      <c r="D23" s="1035"/>
      <c r="E23" s="1022"/>
      <c r="F23" s="1022"/>
      <c r="G23" s="1022"/>
      <c r="H23" s="1022"/>
      <c r="I23" s="1022"/>
      <c r="J23" s="1022"/>
      <c r="K23" s="1022"/>
      <c r="L23" s="970"/>
      <c r="M23" s="1025"/>
    </row>
    <row r="24" spans="1:13" ht="27" customHeight="1">
      <c r="A24" s="970"/>
      <c r="B24" s="970"/>
      <c r="C24" s="970"/>
      <c r="D24" s="1036" t="s">
        <v>3436</v>
      </c>
      <c r="E24" s="970"/>
      <c r="F24" s="970"/>
      <c r="G24" s="970"/>
      <c r="H24" s="970"/>
      <c r="I24" s="970"/>
      <c r="J24" s="970"/>
      <c r="K24" s="970"/>
      <c r="L24" s="970"/>
      <c r="M24" s="1025"/>
    </row>
    <row r="25" spans="1:13" ht="15.75">
      <c r="A25" s="973" t="s">
        <v>3437</v>
      </c>
      <c r="B25" s="1037" t="str">
        <f>'Part III-Sources of Funds'!E36</f>
        <v>C&amp;S Bank - TBD</v>
      </c>
      <c r="C25" s="1038">
        <f>'Part III-Sources of Funds'!I36</f>
        <v>787492</v>
      </c>
      <c r="D25" s="1039" t="s">
        <v>3438</v>
      </c>
      <c r="E25" s="970"/>
      <c r="F25" s="1022"/>
      <c r="G25" s="970" t="s">
        <v>3439</v>
      </c>
      <c r="H25" s="970"/>
      <c r="I25" s="970"/>
      <c r="K25" s="1038"/>
      <c r="L25" s="1022"/>
      <c r="M25" s="1025"/>
    </row>
    <row r="26" spans="1:13" ht="15">
      <c r="A26" s="970"/>
      <c r="B26" s="1037"/>
      <c r="C26" s="1038"/>
      <c r="D26" s="1039"/>
      <c r="E26" s="970"/>
      <c r="F26" s="1022"/>
      <c r="G26" s="970" t="s">
        <v>3440</v>
      </c>
      <c r="H26" s="970"/>
      <c r="I26" s="970"/>
      <c r="K26" s="1040" t="e">
        <f>C29/K25</f>
        <v>#DIV/0!</v>
      </c>
      <c r="L26" s="1022"/>
      <c r="M26" s="970"/>
    </row>
    <row r="27" spans="1:13" ht="15">
      <c r="A27" s="970"/>
      <c r="B27" s="1037"/>
      <c r="C27" s="1038"/>
      <c r="D27" s="1039"/>
      <c r="E27" s="970"/>
      <c r="F27" s="1022"/>
      <c r="G27" s="970"/>
      <c r="H27" s="970"/>
      <c r="I27" s="970"/>
      <c r="K27" s="1022"/>
      <c r="L27" s="1022"/>
      <c r="M27" s="970"/>
    </row>
    <row r="28" spans="1:13" ht="15">
      <c r="A28" s="970"/>
      <c r="B28" s="970"/>
      <c r="C28" s="970"/>
      <c r="D28" s="970"/>
      <c r="E28" s="970"/>
      <c r="F28" s="1022"/>
      <c r="G28" s="970" t="s">
        <v>3441</v>
      </c>
      <c r="H28" s="970"/>
      <c r="I28" s="970"/>
      <c r="K28" s="1038"/>
      <c r="L28" s="1022"/>
      <c r="M28" s="970"/>
    </row>
    <row r="29" spans="1:13" ht="16.5" thickBot="1">
      <c r="A29" s="970"/>
      <c r="B29" s="1041" t="s">
        <v>3442</v>
      </c>
      <c r="C29" s="1042">
        <f>SUM(C25:C27)</f>
        <v>787492</v>
      </c>
      <c r="D29" s="970"/>
      <c r="E29" s="970"/>
      <c r="F29" s="1022"/>
      <c r="G29" s="970" t="s">
        <v>3443</v>
      </c>
      <c r="H29" s="970"/>
      <c r="I29" s="970"/>
      <c r="K29" s="1040" t="e">
        <f>C29/K28</f>
        <v>#DIV/0!</v>
      </c>
      <c r="L29" s="1022"/>
      <c r="M29" s="970"/>
    </row>
    <row r="30" spans="1:13" ht="16.5" thickTop="1">
      <c r="A30" s="973" t="s">
        <v>3444</v>
      </c>
      <c r="B30" s="1041"/>
      <c r="C30" s="1043">
        <f>'Part III-Sources of Funds'!I44+'Part III-Sources of Funds'!I45</f>
        <v>13581121</v>
      </c>
      <c r="D30" s="970"/>
      <c r="E30" s="970"/>
      <c r="F30" s="1022"/>
      <c r="G30" s="970"/>
      <c r="H30" s="970"/>
      <c r="I30" s="970"/>
      <c r="K30" s="1044"/>
      <c r="L30" s="1022"/>
      <c r="M30" s="970"/>
    </row>
    <row r="31" spans="1:13" ht="15">
      <c r="A31" s="1045" t="s">
        <v>3445</v>
      </c>
      <c r="B31" s="1037">
        <f>'Part III-Sources of Funds'!E37</f>
        <v>0</v>
      </c>
      <c r="C31" s="1038">
        <f>'Part III-Sources of Funds'!I37</f>
        <v>0</v>
      </c>
      <c r="D31" s="1039"/>
      <c r="E31" s="970"/>
      <c r="F31" s="1022"/>
      <c r="G31" s="970"/>
      <c r="H31" s="970"/>
      <c r="I31" s="970"/>
      <c r="K31" s="970"/>
      <c r="L31" s="1022"/>
      <c r="M31" s="970"/>
    </row>
    <row r="32" spans="1:13" ht="15">
      <c r="A32" s="1045" t="s">
        <v>3445</v>
      </c>
      <c r="B32" s="1037">
        <f>'Part III-Sources of Funds'!E38</f>
        <v>0</v>
      </c>
      <c r="C32" s="1038">
        <f>'Part III-Sources of Funds'!I38</f>
        <v>0</v>
      </c>
      <c r="D32" s="1039"/>
      <c r="E32" s="970" t="s">
        <v>254</v>
      </c>
      <c r="F32" s="1022"/>
      <c r="G32" s="970" t="s">
        <v>3446</v>
      </c>
      <c r="H32" s="970"/>
      <c r="I32" s="970"/>
      <c r="K32" s="1038"/>
      <c r="L32" s="1022"/>
      <c r="M32" s="1022"/>
    </row>
    <row r="33" spans="1:13" ht="15">
      <c r="A33" s="970"/>
      <c r="B33" s="1022"/>
      <c r="C33" s="1046"/>
      <c r="D33" s="970"/>
      <c r="E33" s="970"/>
      <c r="F33" s="1022"/>
      <c r="G33" s="970" t="s">
        <v>3447</v>
      </c>
      <c r="H33" s="970"/>
      <c r="I33" s="970"/>
      <c r="K33" s="1047"/>
      <c r="L33" s="1022"/>
      <c r="M33" s="1048"/>
    </row>
    <row r="34" spans="1:13" ht="15.75">
      <c r="A34" s="970"/>
      <c r="B34" s="1041" t="s">
        <v>3448</v>
      </c>
      <c r="C34" s="1046">
        <f>SUM(C31:C32)</f>
        <v>0</v>
      </c>
      <c r="D34" s="970"/>
      <c r="E34" s="970"/>
      <c r="F34" s="970"/>
      <c r="G34" s="970"/>
      <c r="H34" s="970"/>
      <c r="I34" s="970"/>
      <c r="K34" s="1022"/>
      <c r="L34" s="970"/>
      <c r="M34" s="1048"/>
    </row>
    <row r="35" spans="1:13" ht="15.75">
      <c r="A35" s="970"/>
      <c r="B35" s="1041"/>
      <c r="C35" s="970"/>
      <c r="D35" s="970"/>
      <c r="E35" s="970"/>
      <c r="F35" s="970"/>
      <c r="G35" s="970" t="s">
        <v>3449</v>
      </c>
      <c r="H35" s="970"/>
      <c r="I35" s="970"/>
      <c r="K35" s="1049" t="e">
        <f>(C36)/K25</f>
        <v>#DIV/0!</v>
      </c>
      <c r="L35" s="970"/>
      <c r="M35" s="1022"/>
    </row>
    <row r="36" spans="1:13" ht="15.75">
      <c r="A36" s="970"/>
      <c r="B36" s="1041" t="s">
        <v>3450</v>
      </c>
      <c r="C36" s="1046">
        <f>C29+C34</f>
        <v>787492</v>
      </c>
      <c r="D36" s="970"/>
      <c r="E36" s="970"/>
      <c r="F36" s="970"/>
      <c r="G36" s="970"/>
      <c r="H36" s="970"/>
      <c r="I36" s="970"/>
      <c r="K36" s="1022"/>
      <c r="L36" s="970"/>
      <c r="M36" s="1022"/>
    </row>
    <row r="37" spans="1:13" ht="15.75">
      <c r="A37" s="970"/>
      <c r="B37" s="1041"/>
      <c r="C37" s="1050"/>
      <c r="D37" s="970"/>
      <c r="E37" s="970"/>
      <c r="F37" s="970"/>
      <c r="G37" s="970" t="s">
        <v>3451</v>
      </c>
      <c r="H37" s="970"/>
      <c r="I37" s="970"/>
      <c r="K37" s="1049" t="e">
        <f>+(C36)/K32</f>
        <v>#DIV/0!</v>
      </c>
      <c r="L37" s="970"/>
      <c r="M37" s="1048"/>
    </row>
    <row r="38" spans="1:13" ht="15.75">
      <c r="A38" s="970"/>
      <c r="B38" s="1041" t="s">
        <v>3452</v>
      </c>
      <c r="C38" s="1051">
        <f>C36/C18</f>
        <v>5.4806403373798156E-2</v>
      </c>
      <c r="D38" s="970"/>
      <c r="E38" s="970"/>
      <c r="F38" s="970"/>
      <c r="G38" s="970"/>
      <c r="H38" s="970"/>
      <c r="I38" s="970"/>
      <c r="K38" s="1022"/>
      <c r="L38" s="970"/>
      <c r="M38" s="1048"/>
    </row>
    <row r="39" spans="1:13" ht="15.75">
      <c r="A39" s="970"/>
      <c r="B39" s="1041"/>
      <c r="C39" s="1050"/>
      <c r="D39" s="970"/>
      <c r="E39" s="970"/>
      <c r="F39" s="970"/>
      <c r="G39" s="970"/>
      <c r="H39" s="970"/>
      <c r="I39" s="970"/>
      <c r="K39" s="1022"/>
      <c r="L39" s="970"/>
      <c r="M39" s="970"/>
    </row>
    <row r="40" spans="1:13" ht="15.75">
      <c r="A40" s="970"/>
      <c r="B40" s="1041" t="s">
        <v>3453</v>
      </c>
      <c r="C40" s="1051">
        <f>C36/H18</f>
        <v>7.9443296077832015E-2</v>
      </c>
      <c r="D40" s="970"/>
      <c r="E40" s="970"/>
      <c r="F40" s="973"/>
      <c r="G40" s="973" t="s">
        <v>3454</v>
      </c>
      <c r="H40" s="970"/>
      <c r="I40" s="970"/>
      <c r="K40" s="1049">
        <f>C30/C18</f>
        <v>0.94519359662620184</v>
      </c>
      <c r="L40" s="970"/>
      <c r="M40" s="970"/>
    </row>
    <row r="46" spans="1:13" ht="15.75">
      <c r="A46" s="1052" t="s">
        <v>3455</v>
      </c>
      <c r="B46" s="1017"/>
      <c r="C46" s="1017"/>
      <c r="D46" s="1017"/>
      <c r="E46" s="1017"/>
      <c r="F46" s="1017"/>
      <c r="G46" s="1017"/>
      <c r="H46" s="1017"/>
      <c r="I46" s="1017"/>
      <c r="J46" s="1017"/>
      <c r="K46" s="1017"/>
      <c r="L46" s="1017"/>
      <c r="M46" s="970"/>
    </row>
    <row r="47" spans="1:13" ht="15.75">
      <c r="A47" s="1052" t="str">
        <f>C8</f>
        <v>The Cove at York</v>
      </c>
      <c r="B47" s="1017"/>
      <c r="C47" s="1017"/>
      <c r="D47" s="1017"/>
      <c r="E47" s="1017"/>
      <c r="F47" s="1017"/>
      <c r="G47" s="1017"/>
      <c r="H47" s="1017"/>
      <c r="I47" s="1017"/>
      <c r="J47" s="1017"/>
      <c r="K47" s="1017"/>
      <c r="L47" s="1017"/>
      <c r="M47" s="970"/>
    </row>
    <row r="50" spans="1:14" s="970" customFormat="1" ht="15.75">
      <c r="A50" s="973" t="s">
        <v>3456</v>
      </c>
      <c r="C50" s="1053" t="s">
        <v>3457</v>
      </c>
      <c r="E50" s="1054" t="s">
        <v>4287</v>
      </c>
      <c r="F50" s="1055">
        <v>0.1</v>
      </c>
      <c r="G50" s="1054" t="s">
        <v>4288</v>
      </c>
      <c r="H50" s="1055">
        <v>0.05</v>
      </c>
      <c r="I50" s="1054" t="s">
        <v>4289</v>
      </c>
      <c r="J50" s="1055">
        <v>0.03</v>
      </c>
      <c r="K50" s="1764" t="s">
        <v>3458</v>
      </c>
      <c r="L50" s="1765"/>
      <c r="M50" s="28"/>
      <c r="N50" s="28"/>
    </row>
    <row r="51" spans="1:14" s="970" customFormat="1" ht="15.75">
      <c r="A51" s="973"/>
      <c r="C51" s="1053"/>
      <c r="E51" s="1053"/>
      <c r="F51" s="1056"/>
      <c r="G51" s="1053"/>
      <c r="H51" s="1056"/>
      <c r="I51" s="1053"/>
      <c r="J51" s="1056"/>
      <c r="K51" s="1053"/>
      <c r="M51" s="28"/>
      <c r="N51" s="28"/>
    </row>
    <row r="52" spans="1:14" s="970" customFormat="1" ht="18.75" customHeight="1">
      <c r="B52" s="1057" t="s">
        <v>3459</v>
      </c>
      <c r="C52" s="1058">
        <f>'Part VII-Pro Forma'!$B$14</f>
        <v>627360</v>
      </c>
      <c r="D52" s="1058"/>
      <c r="E52" s="1058">
        <f>$C$52</f>
        <v>627360</v>
      </c>
      <c r="F52" s="1058"/>
      <c r="G52" s="1058">
        <f>$C$52</f>
        <v>627360</v>
      </c>
      <c r="H52" s="1058"/>
      <c r="I52" s="1058">
        <f>$C$52</f>
        <v>627360</v>
      </c>
      <c r="J52" s="1058"/>
      <c r="K52" s="1058">
        <f>$C$52</f>
        <v>627360</v>
      </c>
      <c r="L52" s="1059"/>
      <c r="M52" s="28"/>
      <c r="N52" s="28"/>
    </row>
    <row r="53" spans="1:14" s="970" customFormat="1" ht="18.75" customHeight="1">
      <c r="B53" s="1057" t="s">
        <v>3462</v>
      </c>
      <c r="C53" s="1058">
        <f>'Part VII-Pro Forma'!B15</f>
        <v>12547.2</v>
      </c>
      <c r="D53" s="1058"/>
      <c r="E53" s="1058">
        <f>$C$53</f>
        <v>12547.2</v>
      </c>
      <c r="F53" s="1058"/>
      <c r="G53" s="1058">
        <f>$C$53</f>
        <v>12547.2</v>
      </c>
      <c r="H53" s="1058"/>
      <c r="I53" s="1058">
        <f>$C$53</f>
        <v>12547.2</v>
      </c>
      <c r="J53" s="1058"/>
      <c r="K53" s="1058">
        <f>$C$53</f>
        <v>12547.2</v>
      </c>
      <c r="L53" s="1059"/>
      <c r="M53" s="28"/>
      <c r="N53" s="28"/>
    </row>
    <row r="54" spans="1:14" s="970" customFormat="1" ht="18.75" customHeight="1">
      <c r="B54" s="1057" t="s">
        <v>3460</v>
      </c>
      <c r="C54" s="1058">
        <f>-($C$52+C53)*0.07</f>
        <v>-44793.504000000001</v>
      </c>
      <c r="D54" s="1058"/>
      <c r="E54" s="1058">
        <f>-($C$52+E53)*F50</f>
        <v>-63990.720000000001</v>
      </c>
      <c r="F54" s="1060"/>
      <c r="G54" s="1058">
        <f>-($C$52+G53)*0.07</f>
        <v>-44793.504000000001</v>
      </c>
      <c r="H54" s="1058"/>
      <c r="I54" s="1058">
        <f>-($C$52+I53)*0.07</f>
        <v>-44793.504000000001</v>
      </c>
      <c r="J54" s="1058"/>
      <c r="K54" s="1058">
        <f>-($C$52+K53)*L54</f>
        <v>-63990.720000000001</v>
      </c>
      <c r="L54" s="1061">
        <v>0.1</v>
      </c>
      <c r="M54" s="28"/>
      <c r="N54" s="28"/>
    </row>
    <row r="55" spans="1:14" s="970" customFormat="1" ht="18.75" customHeight="1">
      <c r="B55" s="1057" t="s">
        <v>3461</v>
      </c>
      <c r="C55" s="1058">
        <f>'Part VI-Revenues &amp; Expenses'!G130+'Part VI-Revenues &amp; Expenses'!G134</f>
        <v>0</v>
      </c>
      <c r="D55" s="1058"/>
      <c r="E55" s="1058">
        <f>$C$55</f>
        <v>0</v>
      </c>
      <c r="F55" s="1060"/>
      <c r="G55" s="1058">
        <f>$C$55</f>
        <v>0</v>
      </c>
      <c r="H55" s="1058"/>
      <c r="I55" s="1058">
        <f>$C$55</f>
        <v>0</v>
      </c>
      <c r="J55" s="1058"/>
      <c r="K55" s="1058">
        <f>$C$55</f>
        <v>0</v>
      </c>
      <c r="L55" s="1062"/>
      <c r="M55" s="28"/>
      <c r="N55" s="28"/>
    </row>
    <row r="56" spans="1:14" s="970" customFormat="1" ht="18.75" customHeight="1">
      <c r="B56" s="1063" t="s">
        <v>3463</v>
      </c>
      <c r="C56" s="1064">
        <f>SUM(C52:C55)</f>
        <v>595113.696</v>
      </c>
      <c r="D56" s="1058"/>
      <c r="E56" s="1064">
        <f>SUM(E52:E55)</f>
        <v>575916.48</v>
      </c>
      <c r="F56" s="1058"/>
      <c r="G56" s="1064">
        <f>SUM(G52:G55)</f>
        <v>595113.696</v>
      </c>
      <c r="H56" s="1058"/>
      <c r="I56" s="1064">
        <f>SUM(I52:I55)</f>
        <v>595113.696</v>
      </c>
      <c r="J56" s="1058"/>
      <c r="K56" s="1064">
        <f>SUM(K52:K55)</f>
        <v>575916.48</v>
      </c>
      <c r="L56" s="1059"/>
      <c r="M56" s="28"/>
      <c r="N56" s="28"/>
    </row>
    <row r="57" spans="1:14" s="970" customFormat="1" ht="24" customHeight="1">
      <c r="B57" s="1057"/>
      <c r="C57" s="1065"/>
      <c r="D57" s="1058"/>
      <c r="E57" s="1065"/>
      <c r="F57" s="1058"/>
      <c r="G57" s="1065"/>
      <c r="H57" s="1058"/>
      <c r="I57" s="1065"/>
      <c r="J57" s="1058"/>
      <c r="K57" s="1065"/>
      <c r="L57" s="1059"/>
      <c r="M57" s="28"/>
      <c r="N57" s="28"/>
    </row>
    <row r="58" spans="1:14" s="970" customFormat="1" ht="18.75" customHeight="1">
      <c r="B58" s="1057" t="s">
        <v>3464</v>
      </c>
      <c r="C58" s="1058">
        <f>'Part VI-Revenues &amp; Expenses'!$F$170+'Part VI-Revenues &amp; Expenses'!$F$179+'Part VI-Revenues &amp; Expenses'!$K$168+'Part VI-Revenues &amp; Expenses'!$K$177</f>
        <v>105428</v>
      </c>
      <c r="D58" s="1058"/>
      <c r="E58" s="1058">
        <f>$C$58</f>
        <v>105428</v>
      </c>
      <c r="F58" s="1058"/>
      <c r="G58" s="1058">
        <f>$C$58</f>
        <v>105428</v>
      </c>
      <c r="H58" s="1058"/>
      <c r="I58" s="1058">
        <f>$C$58</f>
        <v>105428</v>
      </c>
      <c r="J58" s="1058"/>
      <c r="K58" s="1058">
        <f>$C$58</f>
        <v>105428</v>
      </c>
      <c r="L58" s="1059"/>
      <c r="M58" s="28"/>
      <c r="N58" s="28"/>
    </row>
    <row r="59" spans="1:14" s="970" customFormat="1" ht="18.75" customHeight="1">
      <c r="B59" s="1057" t="s">
        <v>3465</v>
      </c>
      <c r="C59" s="1058">
        <f>'Part VI-Revenues &amp; Expenses'!$F$190</f>
        <v>90196</v>
      </c>
      <c r="D59" s="1058"/>
      <c r="E59" s="1058">
        <f>$C$59</f>
        <v>90196</v>
      </c>
      <c r="F59" s="1058"/>
      <c r="G59" s="1058">
        <f>$C$59</f>
        <v>90196</v>
      </c>
      <c r="H59" s="1058"/>
      <c r="I59" s="1058">
        <f>$C$59</f>
        <v>90196</v>
      </c>
      <c r="J59" s="1058"/>
      <c r="K59" s="1058">
        <f>$C$59*(1+$L$59)</f>
        <v>93803.839999999997</v>
      </c>
      <c r="L59" s="1066">
        <v>0.04</v>
      </c>
      <c r="M59" s="28"/>
      <c r="N59" s="28"/>
    </row>
    <row r="60" spans="1:14" s="970" customFormat="1" ht="18.75" customHeight="1">
      <c r="B60" s="1057" t="s">
        <v>1441</v>
      </c>
      <c r="C60" s="1058">
        <f>'Part VI-Revenues &amp; Expenses'!$K$187</f>
        <v>29472</v>
      </c>
      <c r="D60" s="1058"/>
      <c r="E60" s="1058">
        <f>$C$60</f>
        <v>29472</v>
      </c>
      <c r="F60" s="1058"/>
      <c r="G60" s="1058">
        <f>$C$60</f>
        <v>29472</v>
      </c>
      <c r="H60" s="1058"/>
      <c r="I60" s="1058">
        <f>$C$60*(1+$J$50)</f>
        <v>30356.16</v>
      </c>
      <c r="J60" s="1060"/>
      <c r="K60" s="1058">
        <f>$C$60*(1+$J$50)</f>
        <v>30356.16</v>
      </c>
      <c r="L60" s="1061">
        <v>0.03</v>
      </c>
      <c r="M60" s="28"/>
      <c r="N60" s="28"/>
    </row>
    <row r="61" spans="1:14" s="970" customFormat="1" ht="18.75" customHeight="1">
      <c r="B61" s="1057" t="s">
        <v>1442</v>
      </c>
      <c r="C61" s="1058">
        <f>'Part VI-Revenues &amp; Expenses'!$P$169</f>
        <v>145667</v>
      </c>
      <c r="D61" s="1058"/>
      <c r="E61" s="1058">
        <f>$C$61</f>
        <v>145667</v>
      </c>
      <c r="F61" s="1058"/>
      <c r="G61" s="1058">
        <f>$C$61*(1+H50)</f>
        <v>152950.35</v>
      </c>
      <c r="H61" s="1060"/>
      <c r="I61" s="1058">
        <f>$C$61</f>
        <v>145667</v>
      </c>
      <c r="J61" s="1058"/>
      <c r="K61" s="1058">
        <f>$C$61*(1+$L$61)</f>
        <v>152950.35</v>
      </c>
      <c r="L61" s="1061">
        <v>0.05</v>
      </c>
      <c r="M61" s="28"/>
      <c r="N61" s="28"/>
    </row>
    <row r="62" spans="1:14" s="970" customFormat="1" ht="18.75" customHeight="1">
      <c r="B62" s="1063" t="s">
        <v>3466</v>
      </c>
      <c r="C62" s="1064">
        <f>SUM(C58:C61)</f>
        <v>370763</v>
      </c>
      <c r="D62" s="1058"/>
      <c r="E62" s="1064">
        <f>SUM(E58:E61)</f>
        <v>370763</v>
      </c>
      <c r="F62" s="1058"/>
      <c r="G62" s="1064">
        <f>SUM(G58:G61)</f>
        <v>378046.35</v>
      </c>
      <c r="H62" s="1058"/>
      <c r="I62" s="1064">
        <f>SUM(I58:I61)</f>
        <v>371647.16000000003</v>
      </c>
      <c r="J62" s="1058"/>
      <c r="K62" s="1064">
        <f>SUM(K58:K61)</f>
        <v>382538.35</v>
      </c>
      <c r="L62" s="1067"/>
      <c r="M62" s="28"/>
      <c r="N62" s="28"/>
    </row>
    <row r="63" spans="1:14" s="970" customFormat="1" ht="24" customHeight="1">
      <c r="B63" s="1068"/>
      <c r="C63" s="1065"/>
      <c r="D63" s="1065"/>
      <c r="E63" s="1065"/>
      <c r="F63" s="1065"/>
      <c r="G63" s="1065"/>
      <c r="H63" s="1065"/>
      <c r="I63" s="1065"/>
      <c r="J63" s="1065"/>
      <c r="K63" s="1065"/>
      <c r="L63" s="1067"/>
      <c r="M63" s="28"/>
      <c r="N63" s="28"/>
    </row>
    <row r="64" spans="1:14" s="970" customFormat="1" ht="15.75">
      <c r="A64" s="28"/>
      <c r="B64" s="1069" t="s">
        <v>3467</v>
      </c>
      <c r="C64" s="1070">
        <f>C56-C62</f>
        <v>224350.696</v>
      </c>
      <c r="D64" s="1070"/>
      <c r="E64" s="1070">
        <f>E56-E62</f>
        <v>205153.47999999998</v>
      </c>
      <c r="F64" s="1070"/>
      <c r="G64" s="1070">
        <f>G56-G62</f>
        <v>217067.34600000002</v>
      </c>
      <c r="H64" s="1070"/>
      <c r="I64" s="1070">
        <f>I56-I62</f>
        <v>223466.53599999996</v>
      </c>
      <c r="J64" s="1070"/>
      <c r="K64" s="1070">
        <f>K56-K62</f>
        <v>193378.13</v>
      </c>
      <c r="L64" s="32"/>
      <c r="M64" s="28"/>
      <c r="N64" s="28"/>
    </row>
    <row r="65" spans="1:14" s="970" customFormat="1" ht="24" customHeight="1">
      <c r="A65" s="28"/>
      <c r="B65" s="1068"/>
      <c r="C65" s="1065"/>
      <c r="D65" s="1065"/>
      <c r="E65" s="1065"/>
      <c r="F65" s="1065"/>
      <c r="G65" s="1065"/>
      <c r="H65" s="1065"/>
      <c r="I65" s="1065"/>
      <c r="J65" s="1065"/>
      <c r="K65" s="1065"/>
      <c r="L65" s="32"/>
      <c r="M65" s="28"/>
      <c r="N65" s="28"/>
    </row>
    <row r="66" spans="1:14" s="970" customFormat="1" ht="15">
      <c r="A66" s="28"/>
      <c r="B66" s="1068" t="s">
        <v>3468</v>
      </c>
      <c r="C66" s="1065">
        <f>'Part VI-Revenues &amp; Expenses'!$P$181</f>
        <v>24000</v>
      </c>
      <c r="D66" s="1065"/>
      <c r="E66" s="1065">
        <f>$C$66</f>
        <v>24000</v>
      </c>
      <c r="F66" s="1065"/>
      <c r="G66" s="1065">
        <f>$C$66</f>
        <v>24000</v>
      </c>
      <c r="H66" s="1065"/>
      <c r="I66" s="1065">
        <f>$C$66</f>
        <v>24000</v>
      </c>
      <c r="J66" s="1065"/>
      <c r="K66" s="1065">
        <f>$C$66</f>
        <v>24000</v>
      </c>
      <c r="L66" s="32"/>
      <c r="M66" s="28"/>
      <c r="N66" s="28"/>
    </row>
    <row r="67" spans="1:14" s="970" customFormat="1" ht="6" customHeight="1">
      <c r="A67" s="28"/>
      <c r="B67" s="1068"/>
      <c r="C67" s="1065"/>
      <c r="D67" s="1065"/>
      <c r="E67" s="1065"/>
      <c r="F67" s="1065"/>
      <c r="G67" s="1065"/>
      <c r="H67" s="1065"/>
      <c r="I67" s="1065"/>
      <c r="J67" s="1065"/>
      <c r="K67" s="1065"/>
      <c r="L67" s="32"/>
      <c r="M67" s="28"/>
      <c r="N67" s="28"/>
    </row>
    <row r="68" spans="1:14" s="970" customFormat="1" ht="15">
      <c r="A68" s="28"/>
      <c r="B68" s="1068" t="s">
        <v>3469</v>
      </c>
      <c r="C68" s="1065">
        <f>'Part VI-Revenues &amp; Expenses'!$P$172</f>
        <v>53560</v>
      </c>
      <c r="D68" s="1065"/>
      <c r="E68" s="1065">
        <f>$C$68</f>
        <v>53560</v>
      </c>
      <c r="F68" s="1065"/>
      <c r="G68" s="1065">
        <f>$C$68</f>
        <v>53560</v>
      </c>
      <c r="H68" s="1065"/>
      <c r="I68" s="1065">
        <f>$C$68</f>
        <v>53560</v>
      </c>
      <c r="J68" s="1065"/>
      <c r="K68" s="1065">
        <f>$C$68</f>
        <v>53560</v>
      </c>
      <c r="L68" s="32"/>
      <c r="M68" s="28"/>
      <c r="N68" s="28"/>
    </row>
    <row r="69" spans="1:14" s="970" customFormat="1" ht="24" customHeight="1">
      <c r="A69" s="28"/>
      <c r="B69" s="1071"/>
      <c r="C69" s="1065"/>
      <c r="D69" s="1058"/>
      <c r="E69" s="1065"/>
      <c r="F69" s="1058"/>
      <c r="G69" s="1065"/>
      <c r="H69" s="1058"/>
      <c r="I69" s="1065"/>
      <c r="J69" s="1058"/>
      <c r="K69" s="1065"/>
      <c r="L69" s="32"/>
      <c r="M69" s="28"/>
      <c r="N69" s="28"/>
    </row>
    <row r="70" spans="1:14" s="970" customFormat="1" ht="15.75">
      <c r="A70" s="28"/>
      <c r="B70" s="1072" t="s">
        <v>3470</v>
      </c>
      <c r="C70" s="1073">
        <f>C64-C66-C68</f>
        <v>146790.696</v>
      </c>
      <c r="D70" s="1074"/>
      <c r="E70" s="1073">
        <f>E64-E66-E68</f>
        <v>127593.47999999998</v>
      </c>
      <c r="F70" s="1074"/>
      <c r="G70" s="1073">
        <f>G64-G66-G68</f>
        <v>139507.34600000002</v>
      </c>
      <c r="H70" s="1074"/>
      <c r="I70" s="1073">
        <f>I64-I66-I68</f>
        <v>145906.53599999996</v>
      </c>
      <c r="J70" s="1074"/>
      <c r="K70" s="1073">
        <f>K64-K66-K68</f>
        <v>115818.13</v>
      </c>
      <c r="L70" s="32"/>
      <c r="M70" s="28"/>
      <c r="N70" s="28"/>
    </row>
    <row r="71" spans="1:14" s="970" customFormat="1" ht="30" customHeight="1">
      <c r="A71" s="28"/>
      <c r="B71" s="1057"/>
      <c r="C71" s="1058"/>
      <c r="D71" s="1058"/>
      <c r="E71" s="1058"/>
      <c r="F71" s="1058"/>
      <c r="G71" s="1058"/>
      <c r="H71" s="1058"/>
      <c r="I71" s="1058"/>
      <c r="J71" s="1058"/>
      <c r="K71" s="1058"/>
      <c r="L71" s="32"/>
      <c r="M71" s="28"/>
      <c r="N71" s="28"/>
    </row>
    <row r="72" spans="1:14" s="973" customFormat="1" ht="18.75" customHeight="1">
      <c r="A72" s="269"/>
      <c r="B72" s="1075" t="s">
        <v>3471</v>
      </c>
      <c r="C72" s="1076">
        <f>-C70/C75</f>
        <v>1.399161822704083</v>
      </c>
      <c r="D72" s="1076"/>
      <c r="E72" s="1076">
        <f>-E70/E75</f>
        <v>1.2161801184044863</v>
      </c>
      <c r="F72" s="1076"/>
      <c r="G72" s="1076">
        <f>-G70/G75</f>
        <v>1.3297392670579693</v>
      </c>
      <c r="H72" s="1076"/>
      <c r="I72" s="1076">
        <f>-I70/I75</f>
        <v>1.3907342932293123</v>
      </c>
      <c r="J72" s="1076"/>
      <c r="K72" s="1076">
        <f>-K70/K75</f>
        <v>1.1039412598260208</v>
      </c>
      <c r="L72" s="1077"/>
      <c r="M72" s="269"/>
      <c r="N72" s="269"/>
    </row>
    <row r="73" spans="1:14" s="970" customFormat="1" ht="18.75" customHeight="1">
      <c r="A73" s="28"/>
      <c r="B73" s="1057" t="s">
        <v>3472</v>
      </c>
      <c r="C73" s="1078">
        <f>C76/C62</f>
        <v>0.11294920869115825</v>
      </c>
      <c r="D73" s="1078"/>
      <c r="E73" s="1078">
        <f>E76/E62</f>
        <v>6.1171614918316804E-2</v>
      </c>
      <c r="F73" s="1078"/>
      <c r="G73" s="1078">
        <f>G76/G62</f>
        <v>9.1507397074353278E-2</v>
      </c>
      <c r="H73" s="1078"/>
      <c r="I73" s="1078">
        <f>I76/I62</f>
        <v>0.11030146836574743</v>
      </c>
      <c r="J73" s="1078"/>
      <c r="K73" s="1078">
        <f>K76/K62</f>
        <v>2.8506479054871015E-2</v>
      </c>
      <c r="L73" s="32"/>
      <c r="M73" s="28"/>
      <c r="N73" s="28"/>
    </row>
    <row r="74" spans="1:14" s="970" customFormat="1" ht="24" customHeight="1">
      <c r="A74" s="28"/>
      <c r="B74" s="1057"/>
      <c r="C74" s="1058"/>
      <c r="D74" s="1058"/>
      <c r="E74" s="1058"/>
      <c r="F74" s="1058"/>
      <c r="G74" s="1058"/>
      <c r="H74" s="1058"/>
      <c r="I74" s="1058"/>
      <c r="J74" s="1058"/>
      <c r="K74" s="1058"/>
      <c r="L74" s="32"/>
      <c r="M74" s="28"/>
      <c r="N74" s="28"/>
    </row>
    <row r="75" spans="1:14" s="970" customFormat="1" ht="18.75" customHeight="1">
      <c r="A75" s="28"/>
      <c r="B75" s="1057" t="s">
        <v>3473</v>
      </c>
      <c r="C75" s="1058">
        <f>'Part VII-Pro Forma'!$B$23+'Part VII-Pro Forma'!$B$24+'Part VII-Pro Forma'!$B$25+'Part VII-Pro Forma'!$B$26</f>
        <v>-104913.30853804009</v>
      </c>
      <c r="D75" s="1058"/>
      <c r="E75" s="1058">
        <f>$C$75</f>
        <v>-104913.30853804009</v>
      </c>
      <c r="F75" s="1058"/>
      <c r="G75" s="1058">
        <f>$C$75</f>
        <v>-104913.30853804009</v>
      </c>
      <c r="H75" s="1058"/>
      <c r="I75" s="1058">
        <f>$C$75</f>
        <v>-104913.30853804009</v>
      </c>
      <c r="J75" s="1058"/>
      <c r="K75" s="1058">
        <f>$C$75</f>
        <v>-104913.30853804009</v>
      </c>
      <c r="L75" s="32"/>
      <c r="M75" s="28"/>
      <c r="N75" s="28"/>
    </row>
    <row r="76" spans="1:14" s="970" customFormat="1" ht="18.75" customHeight="1">
      <c r="A76" s="28"/>
      <c r="B76" s="1057" t="s">
        <v>1220</v>
      </c>
      <c r="C76" s="1058">
        <f>C70+C75</f>
        <v>41877.387461959908</v>
      </c>
      <c r="D76" s="1058"/>
      <c r="E76" s="1058">
        <f>E70+E75</f>
        <v>22680.171461959893</v>
      </c>
      <c r="F76" s="1058"/>
      <c r="G76" s="1058">
        <f>G70+G75</f>
        <v>34594.037461959932</v>
      </c>
      <c r="H76" s="1058"/>
      <c r="I76" s="1058">
        <f>I70+I75</f>
        <v>40993.227461959876</v>
      </c>
      <c r="J76" s="1058"/>
      <c r="K76" s="1058">
        <f>K70+K75</f>
        <v>10904.821461959917</v>
      </c>
      <c r="L76" s="32"/>
      <c r="M76" s="28"/>
      <c r="N76" s="28"/>
    </row>
    <row r="77" spans="1:14" s="970" customFormat="1" ht="15" hidden="1">
      <c r="A77" s="28"/>
      <c r="B77" s="1057" t="s">
        <v>3474</v>
      </c>
      <c r="C77" s="1079" t="e">
        <f>PV(intrate/12,30*12,C75/12,0)</f>
        <v>#NAME?</v>
      </c>
      <c r="D77" s="1057"/>
      <c r="E77" s="1079" t="e">
        <f>PV(intrate/12,30*12,E75/12,0)</f>
        <v>#NAME?</v>
      </c>
      <c r="F77" s="1057"/>
      <c r="G77" s="1079" t="e">
        <f>PV(intrate/12,30*12,G75/12,0)</f>
        <v>#NAME?</v>
      </c>
      <c r="H77" s="1057"/>
      <c r="I77" s="1079" t="e">
        <f>PV(intrate/12,30*12,I75/12,0)</f>
        <v>#NAME?</v>
      </c>
      <c r="J77" s="1057"/>
      <c r="K77" s="1079" t="e">
        <f>PV(intrate/12,30*12,K75/12,0)</f>
        <v>#NAME?</v>
      </c>
      <c r="L77" s="32"/>
      <c r="M77" s="28"/>
      <c r="N77" s="28"/>
    </row>
    <row r="78" spans="1:14" s="970" customFormat="1" ht="15" hidden="1">
      <c r="A78" s="28"/>
      <c r="B78" s="1080" t="s">
        <v>3475</v>
      </c>
      <c r="C78" s="1067"/>
      <c r="D78" s="1067"/>
      <c r="E78" s="1067"/>
      <c r="F78" s="1067"/>
      <c r="G78" s="1067"/>
      <c r="H78" s="1067"/>
      <c r="I78" s="1067"/>
      <c r="J78" s="1067"/>
      <c r="K78" s="1067"/>
      <c r="L78" s="32"/>
      <c r="M78" s="28"/>
      <c r="N78" s="28"/>
    </row>
    <row r="79" spans="1:14" s="970" customFormat="1" ht="15" hidden="1">
      <c r="A79" s="28"/>
      <c r="B79" s="1067"/>
      <c r="C79" s="1067"/>
      <c r="D79" s="1067"/>
      <c r="E79" s="1067"/>
      <c r="F79" s="1067"/>
      <c r="G79" s="1067"/>
      <c r="H79" s="1067"/>
      <c r="I79" s="1067"/>
      <c r="J79" s="1067"/>
      <c r="K79" s="1067"/>
      <c r="L79" s="32"/>
      <c r="M79" s="28"/>
      <c r="N79" s="28"/>
    </row>
    <row r="80" spans="1:14" s="970" customFormat="1" ht="15.75" hidden="1" thickBot="1">
      <c r="A80" s="28"/>
      <c r="B80" s="1067" t="s">
        <v>3476</v>
      </c>
      <c r="C80" s="1081" t="e">
        <f>MIN(C77,E77,G77,I77,K77)</f>
        <v>#NAME?</v>
      </c>
      <c r="D80" s="1067"/>
      <c r="E80" s="1067" t="s">
        <v>3477</v>
      </c>
      <c r="F80" s="1082">
        <v>0.06</v>
      </c>
      <c r="G80" s="32"/>
      <c r="H80" s="32"/>
      <c r="I80" s="32"/>
      <c r="J80" s="32"/>
      <c r="K80" s="32"/>
      <c r="L80" s="32"/>
      <c r="M80" s="28"/>
      <c r="N80" s="28"/>
    </row>
    <row r="81" spans="1:14" s="970" customFormat="1" ht="15" hidden="1">
      <c r="A81" s="28"/>
      <c r="B81" s="1067" t="s">
        <v>1818</v>
      </c>
      <c r="C81" s="1081" t="e">
        <f>MAX(C77,E77,G77,I77,K77)</f>
        <v>#NAME?</v>
      </c>
      <c r="D81" s="1067"/>
      <c r="E81" s="1067"/>
      <c r="F81" s="1067"/>
      <c r="G81" s="32"/>
      <c r="H81" s="32"/>
      <c r="I81" s="32"/>
      <c r="J81" s="32"/>
      <c r="K81" s="32"/>
      <c r="L81" s="32"/>
      <c r="M81" s="28"/>
      <c r="N81" s="28"/>
    </row>
    <row r="82" spans="1:14" s="970" customFormat="1" ht="15">
      <c r="A82" s="28"/>
      <c r="B82" s="1067"/>
      <c r="C82" s="1067"/>
      <c r="D82" s="1067"/>
      <c r="E82" s="1067" t="s">
        <v>254</v>
      </c>
      <c r="F82" s="1067"/>
      <c r="G82" s="32"/>
      <c r="H82" s="32"/>
      <c r="I82" s="32"/>
      <c r="J82" s="32"/>
      <c r="K82" s="32"/>
      <c r="L82" s="32"/>
      <c r="M82" s="28"/>
      <c r="N82" s="28"/>
    </row>
    <row r="83" spans="1:14" s="970"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4" customWidth="1"/>
    <col min="2" max="2" width="1.7109375" style="984" customWidth="1"/>
    <col min="3" max="3" width="13" style="984" customWidth="1"/>
    <col min="4" max="4" width="11.28515625" style="984" customWidth="1"/>
    <col min="5" max="5" width="14.7109375" style="984" customWidth="1"/>
    <col min="6" max="6" width="15.140625" style="984" customWidth="1"/>
    <col min="7" max="7" width="11.7109375" style="984" customWidth="1"/>
    <col min="8" max="8" width="11.42578125" style="984" customWidth="1"/>
    <col min="9" max="9" width="10.5703125" style="984" customWidth="1"/>
    <col min="10" max="10" width="6" style="984" customWidth="1"/>
    <col min="11" max="11" width="12.7109375" style="984" customWidth="1"/>
    <col min="12" max="12" width="10.85546875" style="984" customWidth="1"/>
    <col min="13" max="13" width="26.28515625" style="984" customWidth="1"/>
    <col min="14" max="14" width="9.140625" style="984"/>
    <col min="15" max="15" width="12.42578125" style="984" customWidth="1"/>
    <col min="16" max="16" width="9.140625" style="984"/>
    <col min="17" max="17" width="11.7109375" style="984" bestFit="1" customWidth="1"/>
    <col min="18" max="16384" width="9.140625" style="984"/>
  </cols>
  <sheetData>
    <row r="1" spans="1:15" ht="13.5" customHeight="1">
      <c r="A1" s="985" t="s">
        <v>3478</v>
      </c>
      <c r="B1" s="1083"/>
      <c r="C1" s="984" t="str">
        <f>'Part I-Project Information'!F24</f>
        <v>The Cove at York</v>
      </c>
    </row>
    <row r="2" spans="1:15" ht="13.5" customHeight="1"/>
    <row r="3" spans="1:15" ht="13.5" customHeight="1">
      <c r="A3" s="985" t="s">
        <v>3479</v>
      </c>
      <c r="C3" s="984" t="s">
        <v>3480</v>
      </c>
      <c r="E3" s="1084">
        <f>SUM('Part IV-Uses of Funds'!J147,'Part IV-Uses of Funds'!M147,'Part IV-Uses of Funds'!P147)</f>
        <v>12931333</v>
      </c>
      <c r="G3" s="1085" t="s">
        <v>3481</v>
      </c>
      <c r="H3" s="985">
        <v>27.5</v>
      </c>
      <c r="I3" s="984" t="s">
        <v>2592</v>
      </c>
      <c r="K3" s="991" t="s">
        <v>3503</v>
      </c>
      <c r="M3" s="987"/>
      <c r="O3" s="1086"/>
    </row>
    <row r="4" spans="1:15" ht="13.5" customHeight="1">
      <c r="C4" s="984" t="s">
        <v>4351</v>
      </c>
      <c r="E4" s="1084">
        <f>SUM('Part IV-Uses of Funds'!G85:H89)</f>
        <v>21813</v>
      </c>
      <c r="G4" s="1085" t="s">
        <v>3482</v>
      </c>
      <c r="H4" s="985">
        <f>'Part III-Sources of Funds'!M36</f>
        <v>10</v>
      </c>
      <c r="I4" s="984" t="s">
        <v>2592</v>
      </c>
      <c r="K4" s="1087" t="s">
        <v>3766</v>
      </c>
      <c r="M4" s="987"/>
    </row>
    <row r="5" spans="1:15" ht="13.5" customHeight="1">
      <c r="C5" s="984" t="s">
        <v>4352</v>
      </c>
      <c r="E5" s="1084">
        <f>SUM('Part IV-Uses of Funds'!G96:H102)</f>
        <v>161813</v>
      </c>
      <c r="G5" s="1085" t="s">
        <v>3482</v>
      </c>
      <c r="H5" s="985">
        <v>15</v>
      </c>
      <c r="I5" s="984" t="s">
        <v>2592</v>
      </c>
      <c r="K5" s="1086">
        <f>-E6</f>
        <v>-13581121</v>
      </c>
    </row>
    <row r="6" spans="1:15" ht="13.5" customHeight="1">
      <c r="C6" s="984" t="s">
        <v>3483</v>
      </c>
      <c r="E6" s="1088">
        <f>'Part III-Sources of Funds'!$I$44+'Part III-Sources of Funds'!$I$45</f>
        <v>13581121</v>
      </c>
      <c r="G6" s="1085" t="s">
        <v>3484</v>
      </c>
      <c r="H6" s="1089">
        <v>0.35</v>
      </c>
      <c r="K6" s="1086" t="e">
        <f>C24</f>
        <v>#VALUE!</v>
      </c>
      <c r="M6" s="984" t="s">
        <v>3485</v>
      </c>
      <c r="O6" s="1090">
        <f>Overview!K32</f>
        <v>0</v>
      </c>
    </row>
    <row r="7" spans="1:15" ht="13.5" customHeight="1">
      <c r="K7" s="1086" t="e">
        <f>D24</f>
        <v>#VALUE!</v>
      </c>
      <c r="O7" s="1091"/>
    </row>
    <row r="8" spans="1:15" ht="13.5" customHeight="1">
      <c r="A8" s="985" t="s">
        <v>2603</v>
      </c>
      <c r="C8" s="1092">
        <v>1</v>
      </c>
      <c r="D8" s="1092">
        <v>2</v>
      </c>
      <c r="E8" s="1092">
        <v>3</v>
      </c>
      <c r="F8" s="1092">
        <v>4</v>
      </c>
      <c r="G8" s="1092">
        <v>5</v>
      </c>
      <c r="H8" s="1092">
        <v>6</v>
      </c>
      <c r="I8" s="1092">
        <v>7</v>
      </c>
      <c r="K8" s="1086" t="e">
        <f>E24</f>
        <v>#VALUE!</v>
      </c>
      <c r="M8" s="984" t="s">
        <v>3486</v>
      </c>
      <c r="O8" s="1091" t="e">
        <f>'Part VII-Pro Forma'!$K$65+'Part VII-Pro Forma'!$K$66</f>
        <v>#VALUE!</v>
      </c>
    </row>
    <row r="9" spans="1:15" ht="13.5" customHeight="1">
      <c r="A9" s="984" t="s">
        <v>3487</v>
      </c>
      <c r="C9" s="1093">
        <f>'Part VII-Pro Forma'!B30</f>
        <v>37377.387461959908</v>
      </c>
      <c r="D9" s="1093">
        <f>'Part VII-Pro Forma'!C30</f>
        <v>36365.771381959843</v>
      </c>
      <c r="E9" s="1093">
        <f>'Part VII-Pro Forma'!D30</f>
        <v>35214.914080359886</v>
      </c>
      <c r="F9" s="1093">
        <f>'Part VII-Pro Forma'!E30</f>
        <v>33918.917865727824</v>
      </c>
      <c r="G9" s="1093">
        <f>'Part VII-Pro Forma'!F30</f>
        <v>32472.660506793356</v>
      </c>
      <c r="H9" s="1093">
        <f>'Part VII-Pro Forma'!G30</f>
        <v>30866.787544069608</v>
      </c>
      <c r="I9" s="1093">
        <f>'Part VII-Pro Forma'!H30</f>
        <v>29095.704351782973</v>
      </c>
      <c r="K9" s="1086" t="e">
        <f>F24</f>
        <v>#VALUE!</v>
      </c>
      <c r="N9" s="1094" t="s">
        <v>3489</v>
      </c>
    </row>
    <row r="10" spans="1:15" ht="13.5" customHeight="1">
      <c r="A10" s="984" t="s">
        <v>3488</v>
      </c>
      <c r="C10" s="1095">
        <f>'Part III-Sources of Funds'!I36-'Part VII-Pro Forma'!B36</f>
        <v>59276.271680723527</v>
      </c>
      <c r="D10" s="1095">
        <f>'Part VII-Pro Forma'!B36-'Part VII-Pro Forma'!C36</f>
        <v>62932.302413476049</v>
      </c>
      <c r="E10" s="1095">
        <f>'Part VII-Pro Forma'!C36-'Part VII-Pro Forma'!D36</f>
        <v>66813.829121934134</v>
      </c>
      <c r="F10" s="1095">
        <f>'Part VII-Pro Forma'!D36-'Part VII-Pro Forma'!E36</f>
        <v>70934.759904463426</v>
      </c>
      <c r="G10" s="1095">
        <f>'Part VII-Pro Forma'!E36-'Part VII-Pro Forma'!F36</f>
        <v>75309.860680504178</v>
      </c>
      <c r="H10" s="1095">
        <f>'Part VII-Pro Forma'!F36-'Part VII-Pro Forma'!G36</f>
        <v>79954.808099097863</v>
      </c>
      <c r="I10" s="1095">
        <f>'Part VII-Pro Forma'!G36-'Part VII-Pro Forma'!H36</f>
        <v>84886.245710696036</v>
      </c>
      <c r="K10" s="1086" t="e">
        <f>G24</f>
        <v>#VALUE!</v>
      </c>
      <c r="N10" s="1094" t="s">
        <v>3490</v>
      </c>
      <c r="O10" s="1091"/>
    </row>
    <row r="11" spans="1:15" ht="13.5" customHeight="1">
      <c r="A11" s="984" t="s">
        <v>3488</v>
      </c>
      <c r="C11" s="1095" t="e">
        <f>'Part III-Sources of Funds'!I37-'Part VII-Pro Forma'!B37</f>
        <v>#VALUE!</v>
      </c>
      <c r="D11" s="1095" t="e">
        <f>'Part VII-Pro Forma'!B37-'Part VII-Pro Forma'!C37</f>
        <v>#VALUE!</v>
      </c>
      <c r="E11" s="1095" t="e">
        <f>'Part VII-Pro Forma'!C37-'Part VII-Pro Forma'!D37</f>
        <v>#VALUE!</v>
      </c>
      <c r="F11" s="1095" t="e">
        <f>'Part VII-Pro Forma'!D37-'Part VII-Pro Forma'!E37</f>
        <v>#VALUE!</v>
      </c>
      <c r="G11" s="1095" t="e">
        <f>'Part VII-Pro Forma'!E37-'Part VII-Pro Forma'!F37</f>
        <v>#VALUE!</v>
      </c>
      <c r="H11" s="1095" t="e">
        <f>'Part VII-Pro Forma'!F37-'Part VII-Pro Forma'!G37</f>
        <v>#VALUE!</v>
      </c>
      <c r="I11" s="1095" t="e">
        <f>'Part VII-Pro Forma'!G37-'Part VII-Pro Forma'!H37</f>
        <v>#VALUE!</v>
      </c>
      <c r="K11" s="1086" t="e">
        <f>H24</f>
        <v>#VALUE!</v>
      </c>
      <c r="O11" s="1091"/>
    </row>
    <row r="12" spans="1:15" ht="13.5" customHeight="1">
      <c r="A12" s="984" t="s">
        <v>3488</v>
      </c>
      <c r="C12" s="1095"/>
      <c r="D12" s="1095"/>
      <c r="E12" s="1095"/>
      <c r="F12" s="1095"/>
      <c r="G12" s="1095"/>
      <c r="H12" s="1095"/>
      <c r="I12" s="1095"/>
      <c r="K12" s="1086" t="e">
        <f>I24</f>
        <v>#VALUE!</v>
      </c>
      <c r="M12" s="984" t="s">
        <v>3492</v>
      </c>
      <c r="N12" s="1096">
        <v>0.06</v>
      </c>
      <c r="O12" s="1091">
        <f>N12*O6</f>
        <v>0</v>
      </c>
    </row>
    <row r="13" spans="1:15" ht="13.5" customHeight="1">
      <c r="A13" s="1097" t="s">
        <v>4354</v>
      </c>
      <c r="B13" s="1098"/>
      <c r="C13" s="1099">
        <f>-SUMIF('Part VII-Pro Forma'!$A$13:$L$13,C$8,'Part VII-Pro Forma'!$A$21:$L$21)-SUMIF('Part VII-Pro Forma'!$A$42:$L$42,C$8,'Part VII-Pro Forma'!$A$50:$L$50)-SUMIF('Part VII-Pro Forma'!$A$71:$L$71,C$8,'Part VII-Pro Forma'!$A$79:$L$79)</f>
        <v>24000</v>
      </c>
      <c r="D13" s="1099">
        <f>-SUMIF('Part VII-Pro Forma'!$A$13:$L$13,D$8,'Part VII-Pro Forma'!$A$21:$L$21)-SUMIF('Part VII-Pro Forma'!$A$42:$L$42,D$8,'Part VII-Pro Forma'!$A$50:$L$50)-SUMIF('Part VII-Pro Forma'!$A$71:$L$71,D$8,'Part VII-Pro Forma'!$A$79:$L$79)</f>
        <v>24720</v>
      </c>
      <c r="E13" s="1099">
        <f>-SUMIF('Part VII-Pro Forma'!$A$13:$L$13,E$8,'Part VII-Pro Forma'!$A$21:$L$21)-SUMIF('Part VII-Pro Forma'!$A$42:$L$42,E$8,'Part VII-Pro Forma'!$A$50:$L$50)-SUMIF('Part VII-Pro Forma'!$A$71:$L$71,E$8,'Part VII-Pro Forma'!$A$79:$L$79)</f>
        <v>25461.599999999999</v>
      </c>
      <c r="F13" s="1099">
        <f>-SUMIF('Part VII-Pro Forma'!$A$13:$L$13,F$8,'Part VII-Pro Forma'!$A$21:$L$21)-SUMIF('Part VII-Pro Forma'!$A$42:$L$42,F$8,'Part VII-Pro Forma'!$A$50:$L$50)-SUMIF('Part VII-Pro Forma'!$A$71:$L$71,F$8,'Part VII-Pro Forma'!$A$79:$L$79)</f>
        <v>26225.448</v>
      </c>
      <c r="G13" s="1099">
        <f>-SUMIF('Part VII-Pro Forma'!$A$13:$L$13,G$8,'Part VII-Pro Forma'!$A$21:$L$21)-SUMIF('Part VII-Pro Forma'!$A$42:$L$42,G$8,'Part VII-Pro Forma'!$A$50:$L$50)-SUMIF('Part VII-Pro Forma'!$A$71:$L$71,G$8,'Part VII-Pro Forma'!$A$79:$L$79)</f>
        <v>27012.211439999999</v>
      </c>
      <c r="H13" s="1099">
        <f>-SUMIF('Part VII-Pro Forma'!$A$13:$L$13,H$8,'Part VII-Pro Forma'!$A$21:$L$21)-SUMIF('Part VII-Pro Forma'!$A$42:$L$42,H$8,'Part VII-Pro Forma'!$A$50:$L$50)-SUMIF('Part VII-Pro Forma'!$A$71:$L$71,H$8,'Part VII-Pro Forma'!$A$79:$L$79)</f>
        <v>27822.577783199995</v>
      </c>
      <c r="I13" s="1099">
        <f>-SUMIF('Part VII-Pro Forma'!$A$13:$L$13,I$8,'Part VII-Pro Forma'!$A$21:$L$21)-SUMIF('Part VII-Pro Forma'!$A$42:$L$42,I$8,'Part VII-Pro Forma'!$A$50:$L$50)-SUMIF('Part VII-Pro Forma'!$A$71:$L$71,I$8,'Part VII-Pro Forma'!$A$79:$L$79)</f>
        <v>28657.255116695997</v>
      </c>
      <c r="K13" s="1086" t="e">
        <f>C44</f>
        <v>#VALUE!</v>
      </c>
      <c r="O13" s="1091"/>
    </row>
    <row r="14" spans="1:15" ht="13.5" customHeight="1">
      <c r="A14" s="1097" t="s">
        <v>4355</v>
      </c>
      <c r="B14" s="1098"/>
      <c r="C14" s="1099">
        <f>-SUMIF('Part VII-Pro Forma'!$A$13:$L$13,C$8,'Part VII-Pro Forma'!$A$29:$L$29)-SUMIF('Part VII-Pro Forma'!$A$42:$L$42,C$8,'Part VII-Pro Forma'!$A$58:$L$58)-SUMIF('Part VII-Pro Forma'!$A$71:$L$71,C$8,'Part VII-Pro Forma'!$A$87:$L$87)</f>
        <v>0</v>
      </c>
      <c r="D14" s="1099">
        <f>-SUMIF('Part VII-Pro Forma'!$A$13:$L$13,D$8,'Part VII-Pro Forma'!$A$29:$L$29)-SUMIF('Part VII-Pro Forma'!$A$42:$L$42,D$8,'Part VII-Pro Forma'!$A$58:$L$58)-SUMIF('Part VII-Pro Forma'!$A$71:$L$71,D$8,'Part VII-Pro Forma'!$A$87:$L$87)</f>
        <v>0</v>
      </c>
      <c r="E14" s="1099">
        <f>-SUMIF('Part VII-Pro Forma'!$A$13:$L$13,E$8,'Part VII-Pro Forma'!$A$29:$L$29)-SUMIF('Part VII-Pro Forma'!$A$42:$L$42,E$8,'Part VII-Pro Forma'!$A$58:$L$58)-SUMIF('Part VII-Pro Forma'!$A$71:$L$71,E$8,'Part VII-Pro Forma'!$A$87:$L$87)</f>
        <v>0</v>
      </c>
      <c r="F14" s="1099">
        <f>-SUMIF('Part VII-Pro Forma'!$A$13:$L$13,F$8,'Part VII-Pro Forma'!$A$29:$L$29)-SUMIF('Part VII-Pro Forma'!$A$42:$L$42,F$8,'Part VII-Pro Forma'!$A$58:$L$58)-SUMIF('Part VII-Pro Forma'!$A$71:$L$71,F$8,'Part VII-Pro Forma'!$A$87:$L$87)</f>
        <v>0</v>
      </c>
      <c r="G14" s="1099">
        <f>-SUMIF('Part VII-Pro Forma'!$A$13:$L$13,G$8,'Part VII-Pro Forma'!$A$29:$L$29)-SUMIF('Part VII-Pro Forma'!$A$42:$L$42,G$8,'Part VII-Pro Forma'!$A$58:$L$58)-SUMIF('Part VII-Pro Forma'!$A$71:$L$71,G$8,'Part VII-Pro Forma'!$A$87:$L$87)</f>
        <v>0</v>
      </c>
      <c r="H14" s="1099">
        <f>-SUMIF('Part VII-Pro Forma'!$A$13:$L$13,H$8,'Part VII-Pro Forma'!$A$29:$L$29)-SUMIF('Part VII-Pro Forma'!$A$42:$L$42,H$8,'Part VII-Pro Forma'!$A$58:$L$58)-SUMIF('Part VII-Pro Forma'!$A$71:$L$71,H$8,'Part VII-Pro Forma'!$A$87:$L$87)</f>
        <v>0</v>
      </c>
      <c r="I14" s="1099">
        <f>-SUMIF('Part VII-Pro Forma'!$A$13:$L$13,I$8,'Part VII-Pro Forma'!$A$29:$L$29)-SUMIF('Part VII-Pro Forma'!$A$42:$L$42,I$8,'Part VII-Pro Forma'!$A$58:$L$58)-SUMIF('Part VII-Pro Forma'!$A$71:$L$71,I$8,'Part VII-Pro Forma'!$A$87:$L$87)</f>
        <v>0</v>
      </c>
      <c r="K14" s="1086" t="e">
        <f>D44</f>
        <v>#VALUE!</v>
      </c>
      <c r="M14" s="984" t="s">
        <v>3495</v>
      </c>
      <c r="O14" s="1091" t="e">
        <f>O6-O8-O12</f>
        <v>#VALUE!</v>
      </c>
    </row>
    <row r="15" spans="1:15" ht="13.5" customHeight="1">
      <c r="A15" s="1100" t="s">
        <v>3491</v>
      </c>
      <c r="C15" s="1101">
        <f t="shared" ref="C15:I15" si="0">$E$3/$H$3</f>
        <v>470230.29090909089</v>
      </c>
      <c r="D15" s="1101">
        <f t="shared" si="0"/>
        <v>470230.29090909089</v>
      </c>
      <c r="E15" s="1101">
        <f t="shared" si="0"/>
        <v>470230.29090909089</v>
      </c>
      <c r="F15" s="1101">
        <f t="shared" si="0"/>
        <v>470230.29090909089</v>
      </c>
      <c r="G15" s="1101">
        <f t="shared" si="0"/>
        <v>470230.29090909089</v>
      </c>
      <c r="H15" s="1101">
        <f t="shared" si="0"/>
        <v>470230.29090909089</v>
      </c>
      <c r="I15" s="1101">
        <f t="shared" si="0"/>
        <v>470230.29090909089</v>
      </c>
      <c r="K15" s="1086" t="e">
        <f>E44</f>
        <v>#VALUE!</v>
      </c>
      <c r="O15" s="1091"/>
    </row>
    <row r="16" spans="1:15" ht="13.5" customHeight="1">
      <c r="A16" s="1100" t="s">
        <v>3493</v>
      </c>
      <c r="C16" s="1101">
        <f>IF(C$8&lt;=$H$4,($E$4/$H$4),0)+IF(C$8&lt;=$H$5,($E$5/$H$5),0)</f>
        <v>12968.833333333332</v>
      </c>
      <c r="D16" s="1101">
        <f t="shared" ref="D16:I16" si="1">IF(D$8&lt;=$H$4,($E$4/$H$4),0)+IF(D$8&lt;=$H$5,($E$5/$H$5),0)</f>
        <v>12968.833333333332</v>
      </c>
      <c r="E16" s="1101">
        <f t="shared" si="1"/>
        <v>12968.833333333332</v>
      </c>
      <c r="F16" s="1101">
        <f t="shared" si="1"/>
        <v>12968.833333333332</v>
      </c>
      <c r="G16" s="1101">
        <f t="shared" si="1"/>
        <v>12968.833333333332</v>
      </c>
      <c r="H16" s="1101">
        <f t="shared" si="1"/>
        <v>12968.833333333332</v>
      </c>
      <c r="I16" s="1101">
        <f t="shared" si="1"/>
        <v>12968.833333333332</v>
      </c>
      <c r="K16" s="1086" t="e">
        <f>F44</f>
        <v>#VALUE!</v>
      </c>
      <c r="M16" s="984" t="s">
        <v>3497</v>
      </c>
      <c r="O16" s="1091">
        <f>E3</f>
        <v>12931333</v>
      </c>
    </row>
    <row r="17" spans="1:17" ht="13.5" customHeight="1">
      <c r="A17" s="1100" t="s">
        <v>3494</v>
      </c>
      <c r="C17" s="1095" t="e">
        <f t="shared" ref="C17:I17" si="2">C9+C10+C11+C12+C13+C14-C15-C16</f>
        <v>#VALUE!</v>
      </c>
      <c r="D17" s="1095" t="e">
        <f t="shared" si="2"/>
        <v>#VALUE!</v>
      </c>
      <c r="E17" s="1095" t="e">
        <f t="shared" si="2"/>
        <v>#VALUE!</v>
      </c>
      <c r="F17" s="1095" t="e">
        <f t="shared" si="2"/>
        <v>#VALUE!</v>
      </c>
      <c r="G17" s="1095" t="e">
        <f t="shared" si="2"/>
        <v>#VALUE!</v>
      </c>
      <c r="H17" s="1095" t="e">
        <f t="shared" si="2"/>
        <v>#VALUE!</v>
      </c>
      <c r="I17" s="1095" t="e">
        <f t="shared" si="2"/>
        <v>#VALUE!</v>
      </c>
      <c r="K17" s="1086" t="e">
        <f>G44</f>
        <v>#VALUE!</v>
      </c>
      <c r="M17" s="984" t="s">
        <v>3491</v>
      </c>
      <c r="O17" s="1091">
        <f>20*(E3/H3)</f>
        <v>9404605.8181818184</v>
      </c>
    </row>
    <row r="18" spans="1:17" ht="13.5" customHeight="1">
      <c r="A18" s="1100" t="s">
        <v>3496</v>
      </c>
      <c r="C18" s="1102" t="e">
        <f t="shared" ref="C18:I18" si="3">C17*$H$6</f>
        <v>#VALUE!</v>
      </c>
      <c r="D18" s="1102" t="e">
        <f t="shared" si="3"/>
        <v>#VALUE!</v>
      </c>
      <c r="E18" s="1102" t="e">
        <f t="shared" si="3"/>
        <v>#VALUE!</v>
      </c>
      <c r="F18" s="1102" t="e">
        <f t="shared" si="3"/>
        <v>#VALUE!</v>
      </c>
      <c r="G18" s="1102" t="e">
        <f t="shared" si="3"/>
        <v>#VALUE!</v>
      </c>
      <c r="H18" s="1102" t="e">
        <f t="shared" si="3"/>
        <v>#VALUE!</v>
      </c>
      <c r="I18" s="1102" t="e">
        <f t="shared" si="3"/>
        <v>#VALUE!</v>
      </c>
      <c r="K18" s="1086" t="e">
        <f>H44</f>
        <v>#VALUE!</v>
      </c>
      <c r="O18" s="1091"/>
    </row>
    <row r="19" spans="1:17" ht="13.5" customHeight="1">
      <c r="A19" s="1100"/>
      <c r="C19" s="1093"/>
      <c r="D19" s="1093"/>
      <c r="E19" s="1093"/>
      <c r="F19" s="1093"/>
      <c r="G19" s="1093"/>
      <c r="H19" s="1093"/>
      <c r="I19" s="1093"/>
      <c r="K19" s="1086" t="e">
        <f>I44</f>
        <v>#VALUE!</v>
      </c>
      <c r="M19" s="984" t="s">
        <v>3501</v>
      </c>
      <c r="O19" s="1091">
        <f>O16-O17</f>
        <v>3526727.1818181816</v>
      </c>
    </row>
    <row r="20" spans="1:17" ht="13.5" customHeight="1">
      <c r="A20" s="984" t="s">
        <v>3498</v>
      </c>
      <c r="C20" s="1095" t="e">
        <f t="shared" ref="C20:I20" si="4">C9-C18</f>
        <v>#VALUE!</v>
      </c>
      <c r="D20" s="1095" t="e">
        <f t="shared" si="4"/>
        <v>#VALUE!</v>
      </c>
      <c r="E20" s="1095" t="e">
        <f t="shared" si="4"/>
        <v>#VALUE!</v>
      </c>
      <c r="F20" s="1095" t="e">
        <f t="shared" si="4"/>
        <v>#VALUE!</v>
      </c>
      <c r="G20" s="1095" t="e">
        <f t="shared" si="4"/>
        <v>#VALUE!</v>
      </c>
      <c r="H20" s="1095" t="e">
        <f t="shared" si="4"/>
        <v>#VALUE!</v>
      </c>
      <c r="I20" s="1095" t="e">
        <f t="shared" si="4"/>
        <v>#VALUE!</v>
      </c>
      <c r="K20" s="1086" t="e">
        <f>C64</f>
        <v>#VALUE!</v>
      </c>
      <c r="O20" s="1091"/>
    </row>
    <row r="21" spans="1:17" ht="13.5" customHeight="1">
      <c r="A21" s="984" t="s">
        <v>3499</v>
      </c>
      <c r="C21" s="1102">
        <f>'Part IV-Uses of Funds'!$J$173</f>
        <v>956416.5</v>
      </c>
      <c r="D21" s="1102">
        <f t="shared" ref="D21:I21" si="5">C21</f>
        <v>956416.5</v>
      </c>
      <c r="E21" s="1102">
        <f t="shared" si="5"/>
        <v>956416.5</v>
      </c>
      <c r="F21" s="1102">
        <f t="shared" si="5"/>
        <v>956416.5</v>
      </c>
      <c r="G21" s="1102">
        <f t="shared" si="5"/>
        <v>956416.5</v>
      </c>
      <c r="H21" s="1102">
        <f t="shared" si="5"/>
        <v>956416.5</v>
      </c>
      <c r="I21" s="1102">
        <f t="shared" si="5"/>
        <v>956416.5</v>
      </c>
      <c r="J21" s="984" t="s">
        <v>254</v>
      </c>
      <c r="K21" s="1086" t="e">
        <f>D64</f>
        <v>#VALUE!</v>
      </c>
      <c r="O21" s="1091"/>
    </row>
    <row r="22" spans="1:17" ht="13.5" customHeight="1">
      <c r="A22" s="984" t="s">
        <v>3500</v>
      </c>
      <c r="C22" s="1102">
        <f>C21</f>
        <v>956416.5</v>
      </c>
      <c r="D22" s="1102">
        <f t="shared" ref="D22:I22" si="6">D21</f>
        <v>956416.5</v>
      </c>
      <c r="E22" s="1102">
        <f t="shared" si="6"/>
        <v>956416.5</v>
      </c>
      <c r="F22" s="1102">
        <f t="shared" si="6"/>
        <v>956416.5</v>
      </c>
      <c r="G22" s="1102">
        <f t="shared" si="6"/>
        <v>956416.5</v>
      </c>
      <c r="H22" s="1102">
        <f t="shared" si="6"/>
        <v>956416.5</v>
      </c>
      <c r="I22" s="1102">
        <f t="shared" si="6"/>
        <v>956416.5</v>
      </c>
      <c r="K22" s="1086" t="e">
        <f>E64</f>
        <v>#VALUE!</v>
      </c>
      <c r="M22" s="984" t="s">
        <v>3485</v>
      </c>
      <c r="O22" s="1091">
        <f>O6</f>
        <v>0</v>
      </c>
    </row>
    <row r="23" spans="1:17" ht="13.5" customHeight="1">
      <c r="A23" s="984" t="s">
        <v>3502</v>
      </c>
      <c r="C23" s="1093">
        <v>0</v>
      </c>
      <c r="D23" s="1093">
        <v>0</v>
      </c>
      <c r="E23" s="1093">
        <v>0</v>
      </c>
      <c r="F23" s="1093">
        <v>0</v>
      </c>
      <c r="G23" s="1093">
        <v>0</v>
      </c>
      <c r="H23" s="1093">
        <v>0</v>
      </c>
      <c r="I23" s="1093">
        <v>0</v>
      </c>
      <c r="K23" s="1086" t="e">
        <f>F64</f>
        <v>#VALUE!</v>
      </c>
      <c r="M23" s="984" t="s">
        <v>3504</v>
      </c>
      <c r="O23" s="1091">
        <f>O19</f>
        <v>3526727.1818181816</v>
      </c>
    </row>
    <row r="24" spans="1:17" ht="13.5" customHeight="1">
      <c r="A24" s="984" t="s">
        <v>3503</v>
      </c>
      <c r="C24" s="1095" t="e">
        <f t="shared" ref="C24:I24" si="7">SUM(C20:C23)</f>
        <v>#VALUE!</v>
      </c>
      <c r="D24" s="1095" t="e">
        <f t="shared" si="7"/>
        <v>#VALUE!</v>
      </c>
      <c r="E24" s="1095" t="e">
        <f t="shared" si="7"/>
        <v>#VALUE!</v>
      </c>
      <c r="F24" s="1095" t="e">
        <f t="shared" si="7"/>
        <v>#VALUE!</v>
      </c>
      <c r="G24" s="1095" t="e">
        <f t="shared" si="7"/>
        <v>#VALUE!</v>
      </c>
      <c r="H24" s="1095" t="e">
        <f t="shared" si="7"/>
        <v>#VALUE!</v>
      </c>
      <c r="I24" s="1095" t="e">
        <f t="shared" si="7"/>
        <v>#VALUE!</v>
      </c>
      <c r="K24" s="1086" t="e">
        <f>G64</f>
        <v>#VALUE!</v>
      </c>
      <c r="O24" s="1091"/>
    </row>
    <row r="25" spans="1:17" ht="13.5" customHeight="1">
      <c r="K25" s="1086" t="e">
        <f>H64</f>
        <v>#VALUE!</v>
      </c>
      <c r="M25" s="984" t="s">
        <v>3505</v>
      </c>
      <c r="O25" s="1091">
        <f>O22-O23</f>
        <v>-3526727.1818181816</v>
      </c>
      <c r="Q25" s="1103"/>
    </row>
    <row r="26" spans="1:17" ht="13.5" customHeight="1">
      <c r="A26" s="1104"/>
      <c r="B26" s="1104"/>
      <c r="C26" s="1104"/>
      <c r="D26" s="1104"/>
      <c r="E26" s="1104"/>
      <c r="F26" s="1104"/>
      <c r="G26" s="1104"/>
      <c r="H26" s="1104"/>
      <c r="I26" s="1104"/>
      <c r="K26" s="1086"/>
      <c r="O26" s="1091"/>
    </row>
    <row r="27" spans="1:17" ht="13.5" customHeight="1">
      <c r="K27" s="1086"/>
      <c r="M27" s="984" t="s">
        <v>3506</v>
      </c>
      <c r="N27" s="1105"/>
      <c r="O27" s="1096">
        <v>0.2</v>
      </c>
    </row>
    <row r="28" spans="1:17" ht="13.5" customHeight="1">
      <c r="A28" s="985" t="s">
        <v>2603</v>
      </c>
      <c r="B28" s="985"/>
      <c r="C28" s="1092">
        <v>8</v>
      </c>
      <c r="D28" s="1092">
        <v>9</v>
      </c>
      <c r="E28" s="1092">
        <v>10</v>
      </c>
      <c r="F28" s="1092">
        <v>11</v>
      </c>
      <c r="G28" s="1092">
        <v>12</v>
      </c>
      <c r="H28" s="1092">
        <v>13</v>
      </c>
      <c r="I28" s="1092">
        <v>14</v>
      </c>
      <c r="N28" s="1105"/>
      <c r="O28" s="1105"/>
    </row>
    <row r="29" spans="1:17" ht="13.5" customHeight="1">
      <c r="A29" s="984" t="s">
        <v>3487</v>
      </c>
      <c r="C29" s="1093">
        <f>'Part VII-Pro Forma'!I30</f>
        <v>27152.567942232505</v>
      </c>
      <c r="D29" s="1093">
        <f>'Part VII-Pro Forma'!J30</f>
        <v>25029.278504470916</v>
      </c>
      <c r="E29" s="1093">
        <f>'Part VII-Pro Forma'!K30</f>
        <v>22717.470668932976</v>
      </c>
      <c r="F29" s="1093">
        <f>'Part VII-Pro Forma'!B59</f>
        <v>125121.81302743262</v>
      </c>
      <c r="G29" s="1093">
        <f>'Part VII-Pro Forma'!C59</f>
        <v>122409.76467139091</v>
      </c>
      <c r="H29" s="1093">
        <f>'Part VII-Pro Forma'!D59</f>
        <v>119483.41680973103</v>
      </c>
      <c r="I29" s="1093">
        <f>'Part VII-Pro Forma'!E59</f>
        <v>116334.24869618504</v>
      </c>
      <c r="N29" s="1105"/>
      <c r="O29" s="1105"/>
    </row>
    <row r="30" spans="1:17" ht="13.5" customHeight="1">
      <c r="A30" s="984" t="s">
        <v>3488</v>
      </c>
      <c r="C30" s="1095">
        <f>'Part VII-Pro Forma'!H36-'Part VII-Pro Forma'!I36</f>
        <v>90121.843603523856</v>
      </c>
      <c r="D30" s="1095">
        <f>'Part VII-Pro Forma'!I36-'Part VII-Pro Forma'!J36</f>
        <v>95680.361718183689</v>
      </c>
      <c r="E30" s="1095">
        <f>'Part VII-Pro Forma'!J36-'Part VII-Pro Forma'!K36</f>
        <v>101581.71706736489</v>
      </c>
      <c r="F30" s="1095">
        <f>'Part VII-Pro Forma'!K36-'Part VII-Pro Forma'!B65</f>
        <v>-1.995209834054956E-9</v>
      </c>
      <c r="G30" s="1095">
        <f>'Part VII-Pro Forma'!B65-'Part VII-Pro Forma'!C65</f>
        <v>-2.1182700108299974E-9</v>
      </c>
      <c r="H30" s="1095">
        <f>'Part VII-Pro Forma'!C65-'Part VII-Pro Forma'!D65</f>
        <v>-2.2489202700361783E-9</v>
      </c>
      <c r="I30" s="1095">
        <f>'Part VII-Pro Forma'!D65-'Part VII-Pro Forma'!E65</f>
        <v>-2.387628751349725E-9</v>
      </c>
    </row>
    <row r="31" spans="1:17" ht="13.5" customHeight="1">
      <c r="A31" s="984" t="s">
        <v>3488</v>
      </c>
      <c r="C31" s="1095" t="e">
        <f>'Part VII-Pro Forma'!H37-'Part VII-Pro Forma'!I37</f>
        <v>#VALUE!</v>
      </c>
      <c r="D31" s="1095" t="e">
        <f>'Part VII-Pro Forma'!I37-'Part VII-Pro Forma'!J37</f>
        <v>#VALUE!</v>
      </c>
      <c r="E31" s="1095" t="e">
        <f>'Part VII-Pro Forma'!J37-'Part VII-Pro Forma'!K37</f>
        <v>#VALUE!</v>
      </c>
      <c r="F31" s="1095" t="e">
        <f>'Part VII-Pro Forma'!K37-'Part VII-Pro Forma'!B66</f>
        <v>#VALUE!</v>
      </c>
      <c r="G31" s="1095" t="e">
        <f>'Part VII-Pro Forma'!B66-'Part VII-Pro Forma'!C66</f>
        <v>#VALUE!</v>
      </c>
      <c r="H31" s="1095" t="e">
        <f>'Part VII-Pro Forma'!C66-'Part VII-Pro Forma'!D66</f>
        <v>#VALUE!</v>
      </c>
      <c r="I31" s="1095" t="e">
        <f>'Part VII-Pro Forma'!D66-'Part VII-Pro Forma'!E66</f>
        <v>#VALUE!</v>
      </c>
      <c r="K31" s="984" t="s">
        <v>254</v>
      </c>
      <c r="M31" s="984" t="s">
        <v>3507</v>
      </c>
      <c r="O31" s="1093">
        <f>O25*O27</f>
        <v>-705345.4363636364</v>
      </c>
    </row>
    <row r="32" spans="1:17" ht="13.5" customHeight="1">
      <c r="A32" s="984" t="s">
        <v>3488</v>
      </c>
      <c r="C32" s="1093"/>
      <c r="D32" s="1093"/>
      <c r="E32" s="1093"/>
      <c r="F32" s="1093"/>
      <c r="G32" s="1093"/>
      <c r="H32" s="1093"/>
      <c r="I32" s="1093"/>
    </row>
    <row r="33" spans="1:15" ht="13.5" customHeight="1">
      <c r="A33" s="1097" t="s">
        <v>4354</v>
      </c>
      <c r="B33" s="1098"/>
      <c r="C33" s="1099">
        <f>-SUMIF('Part VII-Pro Forma'!$A$13:$L$13,C$28,'Part VII-Pro Forma'!$A$21:$L$21)-SUMIF('Part VII-Pro Forma'!$A$42:$L$42,C$28,'Part VII-Pro Forma'!$A$50:$L$50)-SUMIF('Part VII-Pro Forma'!$A$71:$L$71,C$28,'Part VII-Pro Forma'!$A$79:$L$79)</f>
        <v>29516.97277019688</v>
      </c>
      <c r="D33" s="1099">
        <f>-SUMIF('Part VII-Pro Forma'!$A$13:$L$13,D$28,'Part VII-Pro Forma'!$A$21:$L$21)-SUMIF('Part VII-Pro Forma'!$A$42:$L$42,D$28,'Part VII-Pro Forma'!$A$50:$L$50)-SUMIF('Part VII-Pro Forma'!$A$71:$L$71,D$28,'Part VII-Pro Forma'!$A$79:$L$79)</f>
        <v>30402.481953302784</v>
      </c>
      <c r="E33" s="1099">
        <f>-SUMIF('Part VII-Pro Forma'!$A$13:$L$13,E$28,'Part VII-Pro Forma'!$A$21:$L$21)-SUMIF('Part VII-Pro Forma'!$A$42:$L$42,E$28,'Part VII-Pro Forma'!$A$50:$L$50)-SUMIF('Part VII-Pro Forma'!$A$71:$L$71,E$28,'Part VII-Pro Forma'!$A$79:$L$79)</f>
        <v>31314.556411901867</v>
      </c>
      <c r="F33" s="1099">
        <f>-SUMIF('Part VII-Pro Forma'!$A$13:$L$13,F$28,'Part VII-Pro Forma'!$A$21:$L$21)-SUMIF('Part VII-Pro Forma'!$A$42:$L$42,F$28,'Part VII-Pro Forma'!$A$50:$L$50)-SUMIF('Part VII-Pro Forma'!$A$71:$L$71,F$28,'Part VII-Pro Forma'!$A$79:$L$79)</f>
        <v>32253.993104258923</v>
      </c>
      <c r="G33" s="1099">
        <f>-SUMIF('Part VII-Pro Forma'!$A$13:$L$13,G$28,'Part VII-Pro Forma'!$A$21:$L$21)-SUMIF('Part VII-Pro Forma'!$A$42:$L$42,G$28,'Part VII-Pro Forma'!$A$50:$L$50)-SUMIF('Part VII-Pro Forma'!$A$71:$L$71,G$28,'Part VII-Pro Forma'!$A$79:$L$79)</f>
        <v>33221.612897386694</v>
      </c>
      <c r="H33" s="1099">
        <f>-SUMIF('Part VII-Pro Forma'!$A$13:$L$13,H$28,'Part VII-Pro Forma'!$A$21:$L$21)-SUMIF('Part VII-Pro Forma'!$A$42:$L$42,H$28,'Part VII-Pro Forma'!$A$50:$L$50)-SUMIF('Part VII-Pro Forma'!$A$71:$L$71,H$28,'Part VII-Pro Forma'!$A$79:$L$79)</f>
        <v>34218.26128430829</v>
      </c>
      <c r="I33" s="1099">
        <f>-SUMIF('Part VII-Pro Forma'!$A$13:$L$13,I$28,'Part VII-Pro Forma'!$A$21:$L$21)-SUMIF('Part VII-Pro Forma'!$A$42:$L$42,I$28,'Part VII-Pro Forma'!$A$50:$L$50)-SUMIF('Part VII-Pro Forma'!$A$71:$L$71,I$28,'Part VII-Pro Forma'!$A$79:$L$79)</f>
        <v>35244.809122837534</v>
      </c>
      <c r="K33" s="984" t="s">
        <v>254</v>
      </c>
      <c r="M33" s="984" t="s">
        <v>3508</v>
      </c>
      <c r="O33" s="1093" t="e">
        <f>O14-O31</f>
        <v>#VALUE!</v>
      </c>
    </row>
    <row r="34" spans="1:15" ht="13.5" customHeight="1">
      <c r="A34" s="1097" t="s">
        <v>4355</v>
      </c>
      <c r="B34" s="1098"/>
      <c r="C34" s="1099">
        <f>-SUMIF('Part VII-Pro Forma'!$A$13:$L$13,C$28,'Part VII-Pro Forma'!$A$29:$L$29)-SUMIF('Part VII-Pro Forma'!$A$42:$L$42,C$28,'Part VII-Pro Forma'!$A$58:$L$58)-SUMIF('Part VII-Pro Forma'!$A$71:$L$71,C$28,'Part VII-Pro Forma'!$A$87:$L$87)</f>
        <v>0</v>
      </c>
      <c r="D34" s="1099">
        <f>-SUMIF('Part VII-Pro Forma'!$A$13:$L$13,D$28,'Part VII-Pro Forma'!$A$29:$L$29)-SUMIF('Part VII-Pro Forma'!$A$42:$L$42,D$28,'Part VII-Pro Forma'!$A$58:$L$58)-SUMIF('Part VII-Pro Forma'!$A$71:$L$71,D$28,'Part VII-Pro Forma'!$A$87:$L$87)</f>
        <v>0</v>
      </c>
      <c r="E34" s="1099">
        <f>-SUMIF('Part VII-Pro Forma'!$A$13:$L$13,E$28,'Part VII-Pro Forma'!$A$29:$L$29)-SUMIF('Part VII-Pro Forma'!$A$42:$L$42,E$28,'Part VII-Pro Forma'!$A$58:$L$58)-SUMIF('Part VII-Pro Forma'!$A$71:$L$71,E$28,'Part VII-Pro Forma'!$A$87:$L$87)</f>
        <v>0</v>
      </c>
      <c r="F34" s="1099">
        <f>-SUMIF('Part VII-Pro Forma'!$A$13:$L$13,F$28,'Part VII-Pro Forma'!$A$29:$L$29)-SUMIF('Part VII-Pro Forma'!$A$42:$L$42,F$28,'Part VII-Pro Forma'!$A$58:$L$58)-SUMIF('Part VII-Pro Forma'!$A$71:$L$71,F$28,'Part VII-Pro Forma'!$A$87:$L$87)</f>
        <v>0</v>
      </c>
      <c r="G34" s="1099">
        <f>-SUMIF('Part VII-Pro Forma'!$A$13:$L$13,G$28,'Part VII-Pro Forma'!$A$29:$L$29)-SUMIF('Part VII-Pro Forma'!$A$42:$L$42,G$28,'Part VII-Pro Forma'!$A$58:$L$58)-SUMIF('Part VII-Pro Forma'!$A$71:$L$71,G$28,'Part VII-Pro Forma'!$A$87:$L$87)</f>
        <v>0</v>
      </c>
      <c r="H34" s="1099">
        <f>-SUMIF('Part VII-Pro Forma'!$A$13:$L$13,H$28,'Part VII-Pro Forma'!$A$29:$L$29)-SUMIF('Part VII-Pro Forma'!$A$42:$L$42,H$28,'Part VII-Pro Forma'!$A$58:$L$58)-SUMIF('Part VII-Pro Forma'!$A$71:$L$71,H$28,'Part VII-Pro Forma'!$A$87:$L$87)</f>
        <v>0</v>
      </c>
      <c r="I34" s="1099">
        <f>-SUMIF('Part VII-Pro Forma'!$A$13:$L$13,I$28,'Part VII-Pro Forma'!$A$29:$L$29)-SUMIF('Part VII-Pro Forma'!$A$42:$L$42,I$28,'Part VII-Pro Forma'!$A$58:$L$58)-SUMIF('Part VII-Pro Forma'!$A$71:$L$71,I$28,'Part VII-Pro Forma'!$A$87:$L$87)</f>
        <v>0</v>
      </c>
    </row>
    <row r="35" spans="1:15" ht="13.5" customHeight="1">
      <c r="A35" s="1100" t="s">
        <v>3491</v>
      </c>
      <c r="C35" s="1101">
        <f t="shared" ref="C35:I35" si="8">$E$3/$H$3</f>
        <v>470230.29090909089</v>
      </c>
      <c r="D35" s="1101">
        <f t="shared" si="8"/>
        <v>470230.29090909089</v>
      </c>
      <c r="E35" s="1101">
        <f t="shared" si="8"/>
        <v>470230.29090909089</v>
      </c>
      <c r="F35" s="1101">
        <f t="shared" si="8"/>
        <v>470230.29090909089</v>
      </c>
      <c r="G35" s="1101">
        <f t="shared" si="8"/>
        <v>470230.29090909089</v>
      </c>
      <c r="H35" s="1101">
        <f t="shared" si="8"/>
        <v>470230.29090909089</v>
      </c>
      <c r="I35" s="1101">
        <f t="shared" si="8"/>
        <v>470230.29090909089</v>
      </c>
    </row>
    <row r="36" spans="1:15" ht="13.5" customHeight="1">
      <c r="A36" s="1100" t="s">
        <v>3493</v>
      </c>
      <c r="C36" s="1093">
        <f>IF(C$28&lt;=$H$4,($E$4/$H$4),0)+IF(C$28&lt;=$H$5,($E$5/$H$5),0)</f>
        <v>12968.833333333332</v>
      </c>
      <c r="D36" s="1093">
        <f t="shared" ref="D36:I36" si="9">IF(D$28&lt;=$H$4,($E$4/$H$4),0)+IF(D$28&lt;=$H$5,($E$5/$H$5),0)</f>
        <v>12968.833333333332</v>
      </c>
      <c r="E36" s="1093">
        <f t="shared" si="9"/>
        <v>12968.833333333332</v>
      </c>
      <c r="F36" s="1093">
        <f t="shared" si="9"/>
        <v>10787.533333333333</v>
      </c>
      <c r="G36" s="1093">
        <f t="shared" si="9"/>
        <v>10787.533333333333</v>
      </c>
      <c r="H36" s="1093">
        <f t="shared" si="9"/>
        <v>10787.533333333333</v>
      </c>
      <c r="I36" s="1093">
        <f t="shared" si="9"/>
        <v>10787.533333333333</v>
      </c>
    </row>
    <row r="37" spans="1:15" ht="13.5" customHeight="1">
      <c r="A37" s="1100" t="s">
        <v>3494</v>
      </c>
      <c r="C37" s="1095" t="e">
        <f t="shared" ref="C37:I37" si="10">C29+C30+C31+C32+C33+C34-C35-C36</f>
        <v>#VALUE!</v>
      </c>
      <c r="D37" s="1095" t="e">
        <f t="shared" si="10"/>
        <v>#VALUE!</v>
      </c>
      <c r="E37" s="1095" t="e">
        <f t="shared" si="10"/>
        <v>#VALUE!</v>
      </c>
      <c r="F37" s="1095" t="e">
        <f t="shared" si="10"/>
        <v>#VALUE!</v>
      </c>
      <c r="G37" s="1095" t="e">
        <f t="shared" si="10"/>
        <v>#VALUE!</v>
      </c>
      <c r="H37" s="1095" t="e">
        <f t="shared" si="10"/>
        <v>#VALUE!</v>
      </c>
      <c r="I37" s="1095" t="e">
        <f t="shared" si="10"/>
        <v>#VALUE!</v>
      </c>
    </row>
    <row r="38" spans="1:15" ht="13.5" customHeight="1">
      <c r="A38" s="984" t="s">
        <v>3496</v>
      </c>
      <c r="C38" s="1102" t="e">
        <f t="shared" ref="C38:I38" si="11">C37*$H$6</f>
        <v>#VALUE!</v>
      </c>
      <c r="D38" s="1102" t="e">
        <f t="shared" si="11"/>
        <v>#VALUE!</v>
      </c>
      <c r="E38" s="1102" t="e">
        <f t="shared" si="11"/>
        <v>#VALUE!</v>
      </c>
      <c r="F38" s="1102" t="e">
        <f t="shared" si="11"/>
        <v>#VALUE!</v>
      </c>
      <c r="G38" s="1102" t="e">
        <f t="shared" si="11"/>
        <v>#VALUE!</v>
      </c>
      <c r="H38" s="1102" t="e">
        <f t="shared" si="11"/>
        <v>#VALUE!</v>
      </c>
      <c r="I38" s="1102" t="e">
        <f t="shared" si="11"/>
        <v>#VALUE!</v>
      </c>
    </row>
    <row r="39" spans="1:15" ht="13.5" customHeight="1">
      <c r="C39" s="1095"/>
      <c r="D39" s="1095"/>
      <c r="E39" s="1095"/>
      <c r="F39" s="1095"/>
      <c r="G39" s="1095"/>
      <c r="H39" s="1095"/>
      <c r="I39" s="1095"/>
    </row>
    <row r="40" spans="1:15" ht="13.5" customHeight="1">
      <c r="A40" s="984" t="s">
        <v>3498</v>
      </c>
      <c r="C40" s="1095" t="e">
        <f t="shared" ref="C40:I40" si="12">C29-C38</f>
        <v>#VALUE!</v>
      </c>
      <c r="D40" s="1095" t="e">
        <f t="shared" si="12"/>
        <v>#VALUE!</v>
      </c>
      <c r="E40" s="1095" t="e">
        <f t="shared" si="12"/>
        <v>#VALUE!</v>
      </c>
      <c r="F40" s="1095" t="e">
        <f t="shared" si="12"/>
        <v>#VALUE!</v>
      </c>
      <c r="G40" s="1095" t="e">
        <f t="shared" si="12"/>
        <v>#VALUE!</v>
      </c>
      <c r="H40" s="1095" t="e">
        <f t="shared" si="12"/>
        <v>#VALUE!</v>
      </c>
      <c r="I40" s="1095" t="e">
        <f t="shared" si="12"/>
        <v>#VALUE!</v>
      </c>
    </row>
    <row r="41" spans="1:15" ht="13.5" customHeight="1">
      <c r="A41" s="984" t="s">
        <v>3499</v>
      </c>
      <c r="C41" s="1102">
        <f>C21</f>
        <v>956416.5</v>
      </c>
      <c r="D41" s="1102">
        <f>C41</f>
        <v>956416.5</v>
      </c>
      <c r="E41" s="1102">
        <f>D41</f>
        <v>956416.5</v>
      </c>
      <c r="F41" s="1102">
        <v>0</v>
      </c>
      <c r="G41" s="1102">
        <v>0</v>
      </c>
      <c r="H41" s="1102">
        <v>0</v>
      </c>
      <c r="I41" s="1102">
        <v>0</v>
      </c>
    </row>
    <row r="42" spans="1:15" ht="13.5" customHeight="1">
      <c r="A42" s="984" t="s">
        <v>3500</v>
      </c>
      <c r="C42" s="1102">
        <f>C22</f>
        <v>956416.5</v>
      </c>
      <c r="D42" s="1102">
        <f>C42</f>
        <v>956416.5</v>
      </c>
      <c r="E42" s="1102">
        <f>D42</f>
        <v>956416.5</v>
      </c>
      <c r="F42" s="1102">
        <v>0</v>
      </c>
      <c r="G42" s="1102">
        <v>0</v>
      </c>
      <c r="H42" s="1102">
        <v>0</v>
      </c>
      <c r="I42" s="1102">
        <v>0</v>
      </c>
    </row>
    <row r="43" spans="1:15" ht="13.5" customHeight="1">
      <c r="A43" s="984" t="s">
        <v>3502</v>
      </c>
      <c r="C43" s="1095">
        <v>0</v>
      </c>
      <c r="D43" s="1095">
        <v>0</v>
      </c>
      <c r="E43" s="1095">
        <v>0</v>
      </c>
      <c r="F43" s="1095">
        <v>0</v>
      </c>
      <c r="G43" s="1095">
        <v>0</v>
      </c>
      <c r="H43" s="1095">
        <v>0</v>
      </c>
      <c r="I43" s="1095">
        <v>0</v>
      </c>
    </row>
    <row r="44" spans="1:15" ht="13.5" customHeight="1">
      <c r="A44" s="984" t="s">
        <v>3503</v>
      </c>
      <c r="C44" s="1095" t="e">
        <f t="shared" ref="C44:I44" si="13">SUM(C40:C43)</f>
        <v>#VALUE!</v>
      </c>
      <c r="D44" s="1095" t="e">
        <f t="shared" si="13"/>
        <v>#VALUE!</v>
      </c>
      <c r="E44" s="1095" t="e">
        <f t="shared" si="13"/>
        <v>#VALUE!</v>
      </c>
      <c r="F44" s="1095" t="e">
        <f t="shared" si="13"/>
        <v>#VALUE!</v>
      </c>
      <c r="G44" s="1095" t="e">
        <f t="shared" si="13"/>
        <v>#VALUE!</v>
      </c>
      <c r="H44" s="1095" t="e">
        <f t="shared" si="13"/>
        <v>#VALUE!</v>
      </c>
      <c r="I44" s="1095" t="e">
        <f t="shared" si="13"/>
        <v>#VALUE!</v>
      </c>
    </row>
    <row r="45" spans="1:15" ht="13.5" customHeight="1"/>
    <row r="46" spans="1:15" ht="13.5" customHeight="1">
      <c r="A46" s="1104"/>
      <c r="B46" s="1104"/>
      <c r="C46" s="1104"/>
      <c r="D46" s="1104"/>
      <c r="E46" s="1104"/>
      <c r="F46" s="1104"/>
      <c r="G46" s="1104"/>
      <c r="H46" s="1104"/>
      <c r="I46" s="1104"/>
    </row>
    <row r="47" spans="1:15" ht="13.5" customHeight="1">
      <c r="I47" s="991"/>
    </row>
    <row r="48" spans="1:15" ht="13.5" customHeight="1">
      <c r="A48" s="985" t="s">
        <v>2603</v>
      </c>
      <c r="B48" s="985"/>
      <c r="C48" s="1092">
        <v>15</v>
      </c>
      <c r="D48" s="985">
        <v>16</v>
      </c>
      <c r="E48" s="985">
        <v>17</v>
      </c>
      <c r="F48" s="985">
        <v>18</v>
      </c>
      <c r="G48" s="985">
        <v>19</v>
      </c>
      <c r="H48" s="985">
        <v>20</v>
      </c>
    </row>
    <row r="49" spans="1:10" ht="13.5" customHeight="1">
      <c r="A49" s="984" t="s">
        <v>3487</v>
      </c>
      <c r="C49" s="1093">
        <f>'Part VII-Pro Forma'!F59</f>
        <v>112953.42592687599</v>
      </c>
      <c r="D49" s="1093">
        <f>'Part VII-Pro Forma'!G59</f>
        <v>109331.78986988336</v>
      </c>
      <c r="E49" s="1093">
        <f>'Part VII-Pro Forma'!H59</f>
        <v>105457.84675448568</v>
      </c>
      <c r="F49" s="1093">
        <f>'Part VII-Pro Forma'!I59</f>
        <v>101322.75640939586</v>
      </c>
      <c r="G49" s="1093">
        <f>'Part VII-Pro Forma'!J59</f>
        <v>96914.320638998717</v>
      </c>
      <c r="H49" s="1093">
        <f>'Part VII-Pro Forma'!K59</f>
        <v>92221.971226236201</v>
      </c>
    </row>
    <row r="50" spans="1:10" ht="13.5" customHeight="1">
      <c r="A50" s="984" t="s">
        <v>3488</v>
      </c>
      <c r="C50" s="1093">
        <f>'Part VII-Pro Forma'!E65-'Part VII-Pro Forma'!F65</f>
        <v>-2.534892468277739E-9</v>
      </c>
      <c r="D50" s="1093">
        <f>'Part VII-Pro Forma'!F65-'Part VII-Pro Forma'!G65</f>
        <v>-2.6912390890329045E-9</v>
      </c>
      <c r="E50" s="1093">
        <f>'Part VII-Pro Forma'!G65-'Part VII-Pro Forma'!H65</f>
        <v>-2.8572288272486567E-9</v>
      </c>
      <c r="F50" s="1093">
        <f>'Part VII-Pro Forma'!H65-'Part VII-Pro Forma'!I65</f>
        <v>-3.0334564493095181E-9</v>
      </c>
      <c r="G50" s="1093">
        <f>'Part VII-Pro Forma'!I65-'Part VII-Pro Forma'!J65</f>
        <v>-3.2205534054891766E-9</v>
      </c>
      <c r="H50" s="1093">
        <f>'Part VII-Pro Forma'!J65-'Part VII-Pro Forma'!K65</f>
        <v>-3.4191900925325063E-9</v>
      </c>
    </row>
    <row r="51" spans="1:10" ht="13.5" customHeight="1">
      <c r="A51" s="984" t="s">
        <v>3488</v>
      </c>
      <c r="C51" s="1093" t="e">
        <f>'Part VII-Pro Forma'!E66-'Part VII-Pro Forma'!F66</f>
        <v>#VALUE!</v>
      </c>
      <c r="D51" s="1093" t="e">
        <f>'Part VII-Pro Forma'!F66-'Part VII-Pro Forma'!G66</f>
        <v>#VALUE!</v>
      </c>
      <c r="E51" s="1093" t="e">
        <f>'Part VII-Pro Forma'!G66-'Part VII-Pro Forma'!H66</f>
        <v>#VALUE!</v>
      </c>
      <c r="F51" s="1093" t="e">
        <f>'Part VII-Pro Forma'!H66-'Part VII-Pro Forma'!I66</f>
        <v>#VALUE!</v>
      </c>
      <c r="G51" s="1093" t="e">
        <f>'Part VII-Pro Forma'!I66-'Part VII-Pro Forma'!J66</f>
        <v>#VALUE!</v>
      </c>
      <c r="H51" s="1093" t="e">
        <f>'Part VII-Pro Forma'!J66-'Part VII-Pro Forma'!K66</f>
        <v>#VALUE!</v>
      </c>
    </row>
    <row r="52" spans="1:10" ht="13.5" customHeight="1">
      <c r="A52" s="984" t="s">
        <v>3488</v>
      </c>
      <c r="C52" s="1106"/>
      <c r="D52" s="1106"/>
      <c r="E52" s="1106"/>
      <c r="F52" s="1106"/>
      <c r="G52" s="1106"/>
      <c r="H52" s="1106"/>
    </row>
    <row r="53" spans="1:10" ht="13.5" customHeight="1">
      <c r="A53" s="1097" t="s">
        <v>4354</v>
      </c>
      <c r="B53" s="1098"/>
      <c r="C53" s="1099">
        <f>-SUMIF('Part VII-Pro Forma'!$A$13:$L$13,C$48,'Part VII-Pro Forma'!$A$21:$L$21)-SUMIF('Part VII-Pro Forma'!$A$42:$L$42,C$48,'Part VII-Pro Forma'!$A$50:$L$50)-SUMIF('Part VII-Pro Forma'!$A$71:$L$71,C$48,'Part VII-Pro Forma'!$A$79:$L$79)</f>
        <v>36302.153396522663</v>
      </c>
      <c r="D53" s="1099">
        <f>-SUMIF('Part VII-Pro Forma'!$A$13:$L$13,D$48,'Part VII-Pro Forma'!$A$21:$L$21)-SUMIF('Part VII-Pro Forma'!$A$42:$L$42,D$48,'Part VII-Pro Forma'!$A$50:$L$50)-SUMIF('Part VII-Pro Forma'!$A$71:$L$71,D$48,'Part VII-Pro Forma'!$A$79:$L$79)</f>
        <v>37391.217998418346</v>
      </c>
      <c r="E53" s="1099">
        <f>-SUMIF('Part VII-Pro Forma'!$A$13:$L$13,E$48,'Part VII-Pro Forma'!$A$21:$L$21)-SUMIF('Part VII-Pro Forma'!$A$42:$L$42,E$48,'Part VII-Pro Forma'!$A$50:$L$50)-SUMIF('Part VII-Pro Forma'!$A$71:$L$71,E$48,'Part VII-Pro Forma'!$A$79:$L$79)</f>
        <v>38512.95453837089</v>
      </c>
      <c r="F53" s="1099">
        <f>-SUMIF('Part VII-Pro Forma'!$A$13:$L$13,F$48,'Part VII-Pro Forma'!$A$21:$L$21)-SUMIF('Part VII-Pro Forma'!$A$42:$L$42,F$48,'Part VII-Pro Forma'!$A$50:$L$50)-SUMIF('Part VII-Pro Forma'!$A$71:$L$71,F$48,'Part VII-Pro Forma'!$A$79:$L$79)</f>
        <v>39668.343174522015</v>
      </c>
      <c r="G53" s="1099">
        <f>-SUMIF('Part VII-Pro Forma'!$A$13:$L$13,G$48,'Part VII-Pro Forma'!$A$21:$L$21)-SUMIF('Part VII-Pro Forma'!$A$42:$L$42,G$48,'Part VII-Pro Forma'!$A$50:$L$50)-SUMIF('Part VII-Pro Forma'!$A$71:$L$71,G$48,'Part VII-Pro Forma'!$A$79:$L$79)</f>
        <v>40858.393469757677</v>
      </c>
      <c r="H53" s="1099">
        <f>-SUMIF('Part VII-Pro Forma'!$A$13:$L$13,H$48,'Part VII-Pro Forma'!$A$21:$L$21)-SUMIF('Part VII-Pro Forma'!$A$42:$L$42,H$48,'Part VII-Pro Forma'!$A$50:$L$50)-SUMIF('Part VII-Pro Forma'!$A$71:$L$71,H$48,'Part VII-Pro Forma'!$A$79:$L$79)</f>
        <v>42084.145273850409</v>
      </c>
    </row>
    <row r="54" spans="1:10" ht="13.5" customHeight="1">
      <c r="A54" s="1097" t="s">
        <v>4355</v>
      </c>
      <c r="C54" s="1107">
        <f>-SUMIF('Part VII-Pro Forma'!$A$13:$L$13,C$48,'Part VII-Pro Forma'!$A$31:$L$31)-SUMIF('Part VII-Pro Forma'!$A$48:$L$48,C$48,'Part VII-Pro Forma'!$A$66:$L$66)-SUMIF('Part VII-Pro Forma'!$A$83:$L$83,C$48,'Part VII-Pro Forma'!$A$101:$L$101)</f>
        <v>0</v>
      </c>
      <c r="D54" s="1107">
        <f>-SUMIF('Part VII-Pro Forma'!$A$13:$L$13,D$48,'Part VII-Pro Forma'!$A$31:$L$31)-SUMIF('Part VII-Pro Forma'!$A$48:$L$48,D$48,'Part VII-Pro Forma'!$A$66:$L$66)-SUMIF('Part VII-Pro Forma'!$A$83:$L$83,D$48,'Part VII-Pro Forma'!$A$101:$L$101)</f>
        <v>0</v>
      </c>
      <c r="E54" s="1107">
        <f>-SUMIF('Part VII-Pro Forma'!$A$13:$L$13,E$48,'Part VII-Pro Forma'!$A$31:$L$31)-SUMIF('Part VII-Pro Forma'!$A$48:$L$48,E$48,'Part VII-Pro Forma'!$A$66:$L$66)-SUMIF('Part VII-Pro Forma'!$A$83:$L$83,E$48,'Part VII-Pro Forma'!$A$101:$L$101)</f>
        <v>0</v>
      </c>
      <c r="F54" s="1107">
        <f>-SUMIF('Part VII-Pro Forma'!$A$13:$L$13,F$48,'Part VII-Pro Forma'!$A$31:$L$31)-SUMIF('Part VII-Pro Forma'!$A$48:$L$48,F$48,'Part VII-Pro Forma'!$A$66:$L$66)-SUMIF('Part VII-Pro Forma'!$A$83:$L$83,F$48,'Part VII-Pro Forma'!$A$101:$L$101)</f>
        <v>0</v>
      </c>
      <c r="G54" s="1107">
        <f>-SUMIF('Part VII-Pro Forma'!$A$13:$L$13,G$48,'Part VII-Pro Forma'!$A$31:$L$31)-SUMIF('Part VII-Pro Forma'!$A$48:$L$48,G$48,'Part VII-Pro Forma'!$A$66:$L$66)-SUMIF('Part VII-Pro Forma'!$A$83:$L$83,G$48,'Part VII-Pro Forma'!$A$101:$L$101)</f>
        <v>0</v>
      </c>
      <c r="H54" s="1107">
        <f>-SUMIF('Part VII-Pro Forma'!$A$13:$L$13,H$48,'Part VII-Pro Forma'!$A$31:$L$31)-SUMIF('Part VII-Pro Forma'!$A$48:$L$48,H$48,'Part VII-Pro Forma'!$A$66:$L$66)-SUMIF('Part VII-Pro Forma'!$A$83:$L$83,H$48,'Part VII-Pro Forma'!$A$101:$L$101)</f>
        <v>0</v>
      </c>
    </row>
    <row r="55" spans="1:10" ht="13.5" customHeight="1">
      <c r="A55" s="1100" t="s">
        <v>3491</v>
      </c>
      <c r="C55" s="1101">
        <f t="shared" ref="C55:H55" si="14">$E$3/$H$3</f>
        <v>470230.29090909089</v>
      </c>
      <c r="D55" s="1101">
        <f t="shared" si="14"/>
        <v>470230.29090909089</v>
      </c>
      <c r="E55" s="1101">
        <f t="shared" si="14"/>
        <v>470230.29090909089</v>
      </c>
      <c r="F55" s="1101">
        <f t="shared" si="14"/>
        <v>470230.29090909089</v>
      </c>
      <c r="G55" s="1101">
        <f t="shared" si="14"/>
        <v>470230.29090909089</v>
      </c>
      <c r="H55" s="1101">
        <f t="shared" si="14"/>
        <v>470230.29090909089</v>
      </c>
    </row>
    <row r="56" spans="1:10" ht="13.5" customHeight="1">
      <c r="A56" s="1100" t="s">
        <v>3493</v>
      </c>
      <c r="C56" s="1093">
        <f t="shared" ref="C56:H56" si="15">IF(C$48&lt;=$H$4,($E$4/$H$4),0)+IF(C$48&lt;=$H$5,($E$5/$H$5),0)</f>
        <v>10787.533333333333</v>
      </c>
      <c r="D56" s="1093">
        <f t="shared" si="15"/>
        <v>0</v>
      </c>
      <c r="E56" s="1093">
        <f t="shared" si="15"/>
        <v>0</v>
      </c>
      <c r="F56" s="1093">
        <f t="shared" si="15"/>
        <v>0</v>
      </c>
      <c r="G56" s="1093">
        <f t="shared" si="15"/>
        <v>0</v>
      </c>
      <c r="H56" s="1093">
        <f t="shared" si="15"/>
        <v>0</v>
      </c>
    </row>
    <row r="57" spans="1:10" ht="13.5" customHeight="1">
      <c r="A57" s="1100" t="s">
        <v>3494</v>
      </c>
      <c r="C57" s="1093" t="e">
        <f t="shared" ref="C57:H57" si="16">C49+C50+C51+C52+C53+C54-C55-C56</f>
        <v>#VALUE!</v>
      </c>
      <c r="D57" s="1093" t="e">
        <f t="shared" si="16"/>
        <v>#VALUE!</v>
      </c>
      <c r="E57" s="1093" t="e">
        <f t="shared" si="16"/>
        <v>#VALUE!</v>
      </c>
      <c r="F57" s="1093" t="e">
        <f t="shared" si="16"/>
        <v>#VALUE!</v>
      </c>
      <c r="G57" s="1093" t="e">
        <f t="shared" si="16"/>
        <v>#VALUE!</v>
      </c>
      <c r="H57" s="1093" t="e">
        <f t="shared" si="16"/>
        <v>#VALUE!</v>
      </c>
    </row>
    <row r="58" spans="1:10" ht="13.5" customHeight="1">
      <c r="A58" s="984" t="s">
        <v>3496</v>
      </c>
      <c r="C58" s="1101" t="e">
        <f t="shared" ref="C58:H58" si="17">C57*$H$6</f>
        <v>#VALUE!</v>
      </c>
      <c r="D58" s="1101" t="e">
        <f t="shared" si="17"/>
        <v>#VALUE!</v>
      </c>
      <c r="E58" s="1101" t="e">
        <f t="shared" si="17"/>
        <v>#VALUE!</v>
      </c>
      <c r="F58" s="1101" t="e">
        <f t="shared" si="17"/>
        <v>#VALUE!</v>
      </c>
      <c r="G58" s="1101" t="e">
        <f t="shared" si="17"/>
        <v>#VALUE!</v>
      </c>
      <c r="H58" s="1101" t="e">
        <f t="shared" si="17"/>
        <v>#VALUE!</v>
      </c>
      <c r="J58" s="984" t="s">
        <v>254</v>
      </c>
    </row>
    <row r="59" spans="1:10" s="1108" customFormat="1" ht="16.5" customHeight="1">
      <c r="A59" s="984"/>
      <c r="B59" s="984"/>
      <c r="C59" s="1093"/>
      <c r="D59" s="1093"/>
      <c r="E59" s="1093"/>
      <c r="F59" s="1093"/>
      <c r="G59" s="1093"/>
      <c r="H59" s="1093"/>
      <c r="I59" s="984"/>
      <c r="J59" s="984"/>
    </row>
    <row r="60" spans="1:10">
      <c r="A60" s="984" t="s">
        <v>3498</v>
      </c>
      <c r="C60" s="1093" t="e">
        <f t="shared" ref="C60:H60" si="18">C49-C58</f>
        <v>#VALUE!</v>
      </c>
      <c r="D60" s="1093" t="e">
        <f t="shared" si="18"/>
        <v>#VALUE!</v>
      </c>
      <c r="E60" s="1093" t="e">
        <f t="shared" si="18"/>
        <v>#VALUE!</v>
      </c>
      <c r="F60" s="1093" t="e">
        <f t="shared" si="18"/>
        <v>#VALUE!</v>
      </c>
      <c r="G60" s="1093" t="e">
        <f t="shared" si="18"/>
        <v>#VALUE!</v>
      </c>
      <c r="H60" s="1093" t="e">
        <f t="shared" si="18"/>
        <v>#VALUE!</v>
      </c>
    </row>
    <row r="61" spans="1:10">
      <c r="A61" s="984" t="s">
        <v>3499</v>
      </c>
      <c r="C61" s="1101">
        <v>0</v>
      </c>
      <c r="D61" s="1101">
        <v>0</v>
      </c>
      <c r="E61" s="1101">
        <v>0</v>
      </c>
      <c r="F61" s="1101">
        <v>0</v>
      </c>
      <c r="G61" s="1101">
        <v>0</v>
      </c>
      <c r="H61" s="1093">
        <v>0</v>
      </c>
    </row>
    <row r="62" spans="1:10">
      <c r="A62" s="984" t="s">
        <v>3500</v>
      </c>
      <c r="C62" s="1101">
        <v>0</v>
      </c>
      <c r="D62" s="1093">
        <v>0</v>
      </c>
      <c r="E62" s="1093">
        <v>0</v>
      </c>
      <c r="F62" s="1093">
        <v>0</v>
      </c>
      <c r="G62" s="1093">
        <v>0</v>
      </c>
      <c r="H62" s="1093">
        <v>0</v>
      </c>
    </row>
    <row r="63" spans="1:10">
      <c r="A63" s="984" t="s">
        <v>3502</v>
      </c>
      <c r="C63" s="1093">
        <v>0</v>
      </c>
      <c r="D63" s="1093">
        <v>0</v>
      </c>
      <c r="E63" s="1093">
        <v>0</v>
      </c>
      <c r="F63" s="1093">
        <v>0</v>
      </c>
      <c r="G63" s="1093">
        <v>0</v>
      </c>
      <c r="H63" s="1093" t="e">
        <f>O33</f>
        <v>#VALUE!</v>
      </c>
    </row>
    <row r="64" spans="1:10">
      <c r="A64" s="984" t="s">
        <v>3503</v>
      </c>
      <c r="C64" s="1093" t="e">
        <f t="shared" ref="C64:H64" si="19">SUM(C60:C63)</f>
        <v>#VALUE!</v>
      </c>
      <c r="D64" s="1093" t="e">
        <f t="shared" si="19"/>
        <v>#VALUE!</v>
      </c>
      <c r="E64" s="1093" t="e">
        <f t="shared" si="19"/>
        <v>#VALUE!</v>
      </c>
      <c r="F64" s="1093" t="e">
        <f t="shared" si="19"/>
        <v>#VALUE!</v>
      </c>
      <c r="G64" s="1093" t="e">
        <f t="shared" si="19"/>
        <v>#VALUE!</v>
      </c>
      <c r="H64" s="1093" t="e">
        <f t="shared" si="19"/>
        <v>#VALUE!</v>
      </c>
    </row>
    <row r="66" spans="1:10" ht="15">
      <c r="A66" s="1109"/>
      <c r="B66" s="1110"/>
      <c r="C66" s="1110"/>
      <c r="D66" s="1110"/>
      <c r="E66" s="1110"/>
      <c r="F66" s="1111" t="s">
        <v>3509</v>
      </c>
      <c r="G66" s="1769" t="e">
        <f>IRR(K5:K25)</f>
        <v>#VALUE!</v>
      </c>
      <c r="H66" s="1770"/>
      <c r="I66" s="1108"/>
      <c r="J66" s="1108"/>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The Cove at York</v>
      </c>
      <c r="B1" s="1772"/>
      <c r="C1" s="1772"/>
      <c r="D1" s="1772"/>
      <c r="E1" s="1772"/>
      <c r="F1" s="1772"/>
      <c r="G1" s="1772"/>
      <c r="H1" s="1772"/>
    </row>
    <row r="2" spans="1:8" ht="21.95" customHeight="1">
      <c r="A2" s="969"/>
      <c r="B2" s="969"/>
      <c r="C2" s="969"/>
      <c r="D2" s="969"/>
      <c r="E2" s="969"/>
      <c r="F2" s="969"/>
      <c r="G2" s="969"/>
      <c r="H2" s="969"/>
    </row>
    <row r="3" spans="1:8" ht="20.25" customHeight="1">
      <c r="C3" s="1771" t="s">
        <v>3510</v>
      </c>
      <c r="D3" s="1771"/>
      <c r="E3" s="1771"/>
      <c r="F3" s="1771"/>
    </row>
    <row r="5" spans="1:8" ht="15.75">
      <c r="D5" s="677"/>
      <c r="E5" s="677" t="s">
        <v>3511</v>
      </c>
    </row>
    <row r="6" spans="1:8" ht="15.75">
      <c r="D6" s="677" t="s">
        <v>2603</v>
      </c>
      <c r="E6" s="677" t="s">
        <v>3512</v>
      </c>
    </row>
    <row r="7" spans="1:8" ht="15">
      <c r="D7" s="678"/>
      <c r="E7" s="678"/>
    </row>
    <row r="8" spans="1:8" ht="15">
      <c r="D8" s="679">
        <v>1</v>
      </c>
      <c r="E8" s="680">
        <f>-'Part VII-Pro Forma'!B23/12</f>
        <v>8742.7757115033401</v>
      </c>
    </row>
    <row r="9" spans="1:8" ht="15">
      <c r="D9" s="679">
        <v>2</v>
      </c>
      <c r="E9" s="680">
        <f>-'Part VII-Pro Forma'!C23/12</f>
        <v>8742.7757115033401</v>
      </c>
    </row>
    <row r="10" spans="1:8" ht="15">
      <c r="D10" s="679">
        <v>3</v>
      </c>
      <c r="E10" s="680">
        <f>-'Part VII-Pro Forma'!D23/12</f>
        <v>8742.7757115033401</v>
      </c>
    </row>
    <row r="11" spans="1:8" ht="15">
      <c r="D11" s="681">
        <v>4</v>
      </c>
      <c r="E11" s="680">
        <f>-'Part VII-Pro Forma'!E23/12</f>
        <v>8742.7757115033401</v>
      </c>
    </row>
    <row r="12" spans="1:8" ht="15">
      <c r="D12" s="681">
        <v>5</v>
      </c>
      <c r="E12" s="680">
        <f>-'Part VII-Pro Forma'!F23/12</f>
        <v>8742.7757115033401</v>
      </c>
    </row>
    <row r="13" spans="1:8" ht="15">
      <c r="D13" s="679">
        <v>6</v>
      </c>
      <c r="E13" s="680">
        <f>-'Part VII-Pro Forma'!G23/12</f>
        <v>8742.7757115033401</v>
      </c>
    </row>
    <row r="14" spans="1:8" ht="15">
      <c r="D14" s="679">
        <v>7</v>
      </c>
      <c r="E14" s="680">
        <f>-'Part VII-Pro Forma'!H23/12</f>
        <v>8742.7757115033401</v>
      </c>
    </row>
    <row r="15" spans="1:8" ht="15">
      <c r="D15" s="681">
        <v>8</v>
      </c>
      <c r="E15" s="680">
        <f>-'Part VII-Pro Forma'!I23/12</f>
        <v>8742.7757115033401</v>
      </c>
    </row>
    <row r="16" spans="1:8" ht="15">
      <c r="D16" s="679">
        <v>9</v>
      </c>
      <c r="E16" s="680">
        <f>-'Part VII-Pro Forma'!J23/12</f>
        <v>8742.7757115033401</v>
      </c>
    </row>
    <row r="17" spans="4:8" ht="15">
      <c r="D17" s="679">
        <v>10</v>
      </c>
      <c r="E17" s="680">
        <f>-'Part VII-Pro Forma'!K23/12</f>
        <v>8742.7757115033401</v>
      </c>
    </row>
    <row r="18" spans="4:8" ht="15">
      <c r="D18" s="681">
        <v>11</v>
      </c>
      <c r="E18" s="680">
        <f>-'Part VII-Pro Forma'!B52/12</f>
        <v>0</v>
      </c>
    </row>
    <row r="19" spans="4:8" ht="15">
      <c r="D19" s="679">
        <v>12</v>
      </c>
      <c r="E19" s="680">
        <f>-'Part VII-Pro Forma'!C52/12</f>
        <v>0</v>
      </c>
    </row>
    <row r="20" spans="4:8" ht="15">
      <c r="D20" s="679">
        <v>13</v>
      </c>
      <c r="E20" s="680">
        <f>-'Part VII-Pro Forma'!D52/12</f>
        <v>0</v>
      </c>
    </row>
    <row r="21" spans="4:8" ht="15">
      <c r="D21" s="679">
        <v>14</v>
      </c>
      <c r="E21" s="680">
        <f>-'Part VII-Pro Forma'!E52/12</f>
        <v>0</v>
      </c>
    </row>
    <row r="22" spans="4:8" ht="15">
      <c r="D22" s="679">
        <v>15</v>
      </c>
      <c r="E22" s="680">
        <f>-'Part VII-Pro Forma'!F52/12</f>
        <v>0</v>
      </c>
    </row>
    <row r="23" spans="4:8" ht="15">
      <c r="D23" s="679">
        <v>16</v>
      </c>
      <c r="E23" s="680">
        <f>-'Part VII-Pro Forma'!G52/12</f>
        <v>0</v>
      </c>
    </row>
    <row r="24" spans="4:8" ht="15">
      <c r="D24" s="679">
        <v>17</v>
      </c>
      <c r="E24" s="680">
        <f>-'Part VII-Pro Forma'!H52/12</f>
        <v>0</v>
      </c>
      <c r="H24" s="676" t="s">
        <v>254</v>
      </c>
    </row>
    <row r="25" spans="4:8" ht="15">
      <c r="D25" s="679">
        <v>18</v>
      </c>
      <c r="E25" s="680">
        <f>-'Part VII-Pro Forma'!I52/12</f>
        <v>0</v>
      </c>
    </row>
    <row r="26" spans="4:8" ht="15">
      <c r="D26" s="679">
        <v>19</v>
      </c>
      <c r="E26" s="680">
        <f>-'Part VII-Pro Forma'!J52/12</f>
        <v>0</v>
      </c>
    </row>
    <row r="27" spans="4:8" ht="15">
      <c r="D27" s="679">
        <v>20</v>
      </c>
      <c r="E27" s="680">
        <f>-'Part VII-Pro Forma'!K52/12</f>
        <v>0</v>
      </c>
    </row>
    <row r="28" spans="4:8" ht="15">
      <c r="D28" s="679">
        <v>21</v>
      </c>
      <c r="E28" s="680">
        <f>-'Part VII-Pro Forma'!B81/12</f>
        <v>0</v>
      </c>
    </row>
    <row r="29" spans="4:8" ht="15">
      <c r="D29" s="679">
        <v>22</v>
      </c>
      <c r="E29" s="680">
        <f>-'Part VII-Pro Forma'!C81/12</f>
        <v>0</v>
      </c>
    </row>
    <row r="30" spans="4:8" ht="15">
      <c r="D30" s="679">
        <v>23</v>
      </c>
      <c r="E30" s="680">
        <f>-'Part VII-Pro Forma'!D81/12</f>
        <v>0</v>
      </c>
    </row>
    <row r="31" spans="4:8" ht="15">
      <c r="D31" s="679">
        <v>24</v>
      </c>
      <c r="E31" s="680">
        <f>-'Part VII-Pro Forma'!E81/12</f>
        <v>0</v>
      </c>
    </row>
    <row r="32" spans="4:8" ht="15">
      <c r="D32" s="679">
        <v>25</v>
      </c>
      <c r="E32" s="680">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1238" t="s">
        <v>1027</v>
      </c>
    </row>
    <row r="2" spans="1:6" ht="15" customHeight="1">
      <c r="A2" s="1239" t="str">
        <f>'Part I-Project Information'!F24</f>
        <v>The Cove at York</v>
      </c>
    </row>
    <row r="3" spans="1:6" ht="15" customHeight="1">
      <c r="A3" s="1239" t="str">
        <f>CONCATENATE('Part I-Project Information'!F28,", ", 'Part I-Project Information'!J29," County")</f>
        <v>Centerville, Houston County</v>
      </c>
    </row>
    <row r="4" spans="1:6" ht="12" customHeight="1"/>
    <row r="5" spans="1:6" ht="111" customHeight="1">
      <c r="A5" s="2048" t="s">
        <v>4536</v>
      </c>
      <c r="B5" s="1328" t="s">
        <v>3335</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057QqoaaKfX4oN+xjR3Xy/8XhsbgGSdeYYm2brEyWPNRj9ChFUa3EJDdRBTQZu6m9dtQ/Pc2Hpw+0LhHQ6fbnQ==" saltValue="K6i465DhuPAt+FyozzaAjA==" spinCount="100000" sheet="1" objects="1" scenarios="1" formatColumns="0" formatRows="0"/>
  <mergeCells count="2">
    <mergeCell ref="A5:A23"/>
    <mergeCell ref="B5:F7"/>
  </mergeCells>
  <phoneticPr fontId="9"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2" customWidth="1"/>
    <col min="2" max="2" width="10.140625" style="1112" customWidth="1"/>
    <col min="3" max="3" width="11.7109375" style="1112" customWidth="1"/>
    <col min="4" max="4" width="8.5703125" style="1112" customWidth="1"/>
    <col min="5" max="5" width="13.7109375" style="1112" customWidth="1"/>
    <col min="6" max="6" width="2.7109375" style="1112" customWidth="1"/>
    <col min="7" max="7" width="11.7109375" style="1112" customWidth="1"/>
    <col min="8" max="8" width="8.5703125" style="1112" customWidth="1"/>
    <col min="9" max="9" width="13.7109375" style="1112" customWidth="1"/>
    <col min="10" max="10" width="4.7109375" style="1112" customWidth="1"/>
    <col min="11" max="11" width="25.7109375" style="1112" customWidth="1"/>
    <col min="12" max="256" width="8.85546875" style="1112"/>
    <col min="257" max="257" width="11.5703125" style="1112" bestFit="1" customWidth="1"/>
    <col min="258" max="258" width="12.5703125" style="1112" customWidth="1"/>
    <col min="259" max="259" width="10.28515625" style="1112" customWidth="1"/>
    <col min="260" max="260" width="14.7109375" style="1112" customWidth="1"/>
    <col min="261" max="261" width="13.28515625" style="1112" bestFit="1" customWidth="1"/>
    <col min="262" max="262" width="4.85546875" style="1112" customWidth="1"/>
    <col min="263" max="263" width="11.7109375" style="1112" customWidth="1"/>
    <col min="264" max="264" width="12" style="1112" customWidth="1"/>
    <col min="265" max="265" width="9.7109375" style="1112" customWidth="1"/>
    <col min="266" max="266" width="13.7109375" style="1112" bestFit="1" customWidth="1"/>
    <col min="267" max="512" width="8.85546875" style="1112"/>
    <col min="513" max="513" width="11.5703125" style="1112" bestFit="1" customWidth="1"/>
    <col min="514" max="514" width="12.5703125" style="1112" customWidth="1"/>
    <col min="515" max="515" width="10.28515625" style="1112" customWidth="1"/>
    <col min="516" max="516" width="14.7109375" style="1112" customWidth="1"/>
    <col min="517" max="517" width="13.28515625" style="1112" bestFit="1" customWidth="1"/>
    <col min="518" max="518" width="4.85546875" style="1112" customWidth="1"/>
    <col min="519" max="519" width="11.7109375" style="1112" customWidth="1"/>
    <col min="520" max="520" width="12" style="1112" customWidth="1"/>
    <col min="521" max="521" width="9.7109375" style="1112" customWidth="1"/>
    <col min="522" max="522" width="13.7109375" style="1112" bestFit="1" customWidth="1"/>
    <col min="523" max="768" width="8.85546875" style="1112"/>
    <col min="769" max="769" width="11.5703125" style="1112" bestFit="1" customWidth="1"/>
    <col min="770" max="770" width="12.5703125" style="1112" customWidth="1"/>
    <col min="771" max="771" width="10.28515625" style="1112" customWidth="1"/>
    <col min="772" max="772" width="14.7109375" style="1112" customWidth="1"/>
    <col min="773" max="773" width="13.28515625" style="1112" bestFit="1" customWidth="1"/>
    <col min="774" max="774" width="4.85546875" style="1112" customWidth="1"/>
    <col min="775" max="775" width="11.7109375" style="1112" customWidth="1"/>
    <col min="776" max="776" width="12" style="1112" customWidth="1"/>
    <col min="777" max="777" width="9.7109375" style="1112" customWidth="1"/>
    <col min="778" max="778" width="13.7109375" style="1112" bestFit="1" customWidth="1"/>
    <col min="779" max="1024" width="8.85546875" style="1112"/>
    <col min="1025" max="1025" width="11.5703125" style="1112" bestFit="1" customWidth="1"/>
    <col min="1026" max="1026" width="12.5703125" style="1112" customWidth="1"/>
    <col min="1027" max="1027" width="10.28515625" style="1112" customWidth="1"/>
    <col min="1028" max="1028" width="14.7109375" style="1112" customWidth="1"/>
    <col min="1029" max="1029" width="13.28515625" style="1112" bestFit="1" customWidth="1"/>
    <col min="1030" max="1030" width="4.85546875" style="1112" customWidth="1"/>
    <col min="1031" max="1031" width="11.7109375" style="1112" customWidth="1"/>
    <col min="1032" max="1032" width="12" style="1112" customWidth="1"/>
    <col min="1033" max="1033" width="9.7109375" style="1112" customWidth="1"/>
    <col min="1034" max="1034" width="13.7109375" style="1112" bestFit="1" customWidth="1"/>
    <col min="1035" max="1280" width="8.85546875" style="1112"/>
    <col min="1281" max="1281" width="11.5703125" style="1112" bestFit="1" customWidth="1"/>
    <col min="1282" max="1282" width="12.5703125" style="1112" customWidth="1"/>
    <col min="1283" max="1283" width="10.28515625" style="1112" customWidth="1"/>
    <col min="1284" max="1284" width="14.7109375" style="1112" customWidth="1"/>
    <col min="1285" max="1285" width="13.28515625" style="1112" bestFit="1" customWidth="1"/>
    <col min="1286" max="1286" width="4.85546875" style="1112" customWidth="1"/>
    <col min="1287" max="1287" width="11.7109375" style="1112" customWidth="1"/>
    <col min="1288" max="1288" width="12" style="1112" customWidth="1"/>
    <col min="1289" max="1289" width="9.7109375" style="1112" customWidth="1"/>
    <col min="1290" max="1290" width="13.7109375" style="1112" bestFit="1" customWidth="1"/>
    <col min="1291" max="1536" width="8.85546875" style="1112"/>
    <col min="1537" max="1537" width="11.5703125" style="1112" bestFit="1" customWidth="1"/>
    <col min="1538" max="1538" width="12.5703125" style="1112" customWidth="1"/>
    <col min="1539" max="1539" width="10.28515625" style="1112" customWidth="1"/>
    <col min="1540" max="1540" width="14.7109375" style="1112" customWidth="1"/>
    <col min="1541" max="1541" width="13.28515625" style="1112" bestFit="1" customWidth="1"/>
    <col min="1542" max="1542" width="4.85546875" style="1112" customWidth="1"/>
    <col min="1543" max="1543" width="11.7109375" style="1112" customWidth="1"/>
    <col min="1544" max="1544" width="12" style="1112" customWidth="1"/>
    <col min="1545" max="1545" width="9.7109375" style="1112" customWidth="1"/>
    <col min="1546" max="1546" width="13.7109375" style="1112" bestFit="1" customWidth="1"/>
    <col min="1547" max="1792" width="8.85546875" style="1112"/>
    <col min="1793" max="1793" width="11.5703125" style="1112" bestFit="1" customWidth="1"/>
    <col min="1794" max="1794" width="12.5703125" style="1112" customWidth="1"/>
    <col min="1795" max="1795" width="10.28515625" style="1112" customWidth="1"/>
    <col min="1796" max="1796" width="14.7109375" style="1112" customWidth="1"/>
    <col min="1797" max="1797" width="13.28515625" style="1112" bestFit="1" customWidth="1"/>
    <col min="1798" max="1798" width="4.85546875" style="1112" customWidth="1"/>
    <col min="1799" max="1799" width="11.7109375" style="1112" customWidth="1"/>
    <col min="1800" max="1800" width="12" style="1112" customWidth="1"/>
    <col min="1801" max="1801" width="9.7109375" style="1112" customWidth="1"/>
    <col min="1802" max="1802" width="13.7109375" style="1112" bestFit="1" customWidth="1"/>
    <col min="1803" max="2048" width="8.85546875" style="1112"/>
    <col min="2049" max="2049" width="11.5703125" style="1112" bestFit="1" customWidth="1"/>
    <col min="2050" max="2050" width="12.5703125" style="1112" customWidth="1"/>
    <col min="2051" max="2051" width="10.28515625" style="1112" customWidth="1"/>
    <col min="2052" max="2052" width="14.7109375" style="1112" customWidth="1"/>
    <col min="2053" max="2053" width="13.28515625" style="1112" bestFit="1" customWidth="1"/>
    <col min="2054" max="2054" width="4.85546875" style="1112" customWidth="1"/>
    <col min="2055" max="2055" width="11.7109375" style="1112" customWidth="1"/>
    <col min="2056" max="2056" width="12" style="1112" customWidth="1"/>
    <col min="2057" max="2057" width="9.7109375" style="1112" customWidth="1"/>
    <col min="2058" max="2058" width="13.7109375" style="1112" bestFit="1" customWidth="1"/>
    <col min="2059" max="2304" width="8.85546875" style="1112"/>
    <col min="2305" max="2305" width="11.5703125" style="1112" bestFit="1" customWidth="1"/>
    <col min="2306" max="2306" width="12.5703125" style="1112" customWidth="1"/>
    <col min="2307" max="2307" width="10.28515625" style="1112" customWidth="1"/>
    <col min="2308" max="2308" width="14.7109375" style="1112" customWidth="1"/>
    <col min="2309" max="2309" width="13.28515625" style="1112" bestFit="1" customWidth="1"/>
    <col min="2310" max="2310" width="4.85546875" style="1112" customWidth="1"/>
    <col min="2311" max="2311" width="11.7109375" style="1112" customWidth="1"/>
    <col min="2312" max="2312" width="12" style="1112" customWidth="1"/>
    <col min="2313" max="2313" width="9.7109375" style="1112" customWidth="1"/>
    <col min="2314" max="2314" width="13.7109375" style="1112" bestFit="1" customWidth="1"/>
    <col min="2315" max="2560" width="8.85546875" style="1112"/>
    <col min="2561" max="2561" width="11.5703125" style="1112" bestFit="1" customWidth="1"/>
    <col min="2562" max="2562" width="12.5703125" style="1112" customWidth="1"/>
    <col min="2563" max="2563" width="10.28515625" style="1112" customWidth="1"/>
    <col min="2564" max="2564" width="14.7109375" style="1112" customWidth="1"/>
    <col min="2565" max="2565" width="13.28515625" style="1112" bestFit="1" customWidth="1"/>
    <col min="2566" max="2566" width="4.85546875" style="1112" customWidth="1"/>
    <col min="2567" max="2567" width="11.7109375" style="1112" customWidth="1"/>
    <col min="2568" max="2568" width="12" style="1112" customWidth="1"/>
    <col min="2569" max="2569" width="9.7109375" style="1112" customWidth="1"/>
    <col min="2570" max="2570" width="13.7109375" style="1112" bestFit="1" customWidth="1"/>
    <col min="2571" max="2816" width="8.85546875" style="1112"/>
    <col min="2817" max="2817" width="11.5703125" style="1112" bestFit="1" customWidth="1"/>
    <col min="2818" max="2818" width="12.5703125" style="1112" customWidth="1"/>
    <col min="2819" max="2819" width="10.28515625" style="1112" customWidth="1"/>
    <col min="2820" max="2820" width="14.7109375" style="1112" customWidth="1"/>
    <col min="2821" max="2821" width="13.28515625" style="1112" bestFit="1" customWidth="1"/>
    <col min="2822" max="2822" width="4.85546875" style="1112" customWidth="1"/>
    <col min="2823" max="2823" width="11.7109375" style="1112" customWidth="1"/>
    <col min="2824" max="2824" width="12" style="1112" customWidth="1"/>
    <col min="2825" max="2825" width="9.7109375" style="1112" customWidth="1"/>
    <col min="2826" max="2826" width="13.7109375" style="1112" bestFit="1" customWidth="1"/>
    <col min="2827" max="3072" width="8.85546875" style="1112"/>
    <col min="3073" max="3073" width="11.5703125" style="1112" bestFit="1" customWidth="1"/>
    <col min="3074" max="3074" width="12.5703125" style="1112" customWidth="1"/>
    <col min="3075" max="3075" width="10.28515625" style="1112" customWidth="1"/>
    <col min="3076" max="3076" width="14.7109375" style="1112" customWidth="1"/>
    <col min="3077" max="3077" width="13.28515625" style="1112" bestFit="1" customWidth="1"/>
    <col min="3078" max="3078" width="4.85546875" style="1112" customWidth="1"/>
    <col min="3079" max="3079" width="11.7109375" style="1112" customWidth="1"/>
    <col min="3080" max="3080" width="12" style="1112" customWidth="1"/>
    <col min="3081" max="3081" width="9.7109375" style="1112" customWidth="1"/>
    <col min="3082" max="3082" width="13.7109375" style="1112" bestFit="1" customWidth="1"/>
    <col min="3083" max="3328" width="8.85546875" style="1112"/>
    <col min="3329" max="3329" width="11.5703125" style="1112" bestFit="1" customWidth="1"/>
    <col min="3330" max="3330" width="12.5703125" style="1112" customWidth="1"/>
    <col min="3331" max="3331" width="10.28515625" style="1112" customWidth="1"/>
    <col min="3332" max="3332" width="14.7109375" style="1112" customWidth="1"/>
    <col min="3333" max="3333" width="13.28515625" style="1112" bestFit="1" customWidth="1"/>
    <col min="3334" max="3334" width="4.85546875" style="1112" customWidth="1"/>
    <col min="3335" max="3335" width="11.7109375" style="1112" customWidth="1"/>
    <col min="3336" max="3336" width="12" style="1112" customWidth="1"/>
    <col min="3337" max="3337" width="9.7109375" style="1112" customWidth="1"/>
    <col min="3338" max="3338" width="13.7109375" style="1112" bestFit="1" customWidth="1"/>
    <col min="3339" max="3584" width="8.85546875" style="1112"/>
    <col min="3585" max="3585" width="11.5703125" style="1112" bestFit="1" customWidth="1"/>
    <col min="3586" max="3586" width="12.5703125" style="1112" customWidth="1"/>
    <col min="3587" max="3587" width="10.28515625" style="1112" customWidth="1"/>
    <col min="3588" max="3588" width="14.7109375" style="1112" customWidth="1"/>
    <col min="3589" max="3589" width="13.28515625" style="1112" bestFit="1" customWidth="1"/>
    <col min="3590" max="3590" width="4.85546875" style="1112" customWidth="1"/>
    <col min="3591" max="3591" width="11.7109375" style="1112" customWidth="1"/>
    <col min="3592" max="3592" width="12" style="1112" customWidth="1"/>
    <col min="3593" max="3593" width="9.7109375" style="1112" customWidth="1"/>
    <col min="3594" max="3594" width="13.7109375" style="1112" bestFit="1" customWidth="1"/>
    <col min="3595" max="3840" width="8.85546875" style="1112"/>
    <col min="3841" max="3841" width="11.5703125" style="1112" bestFit="1" customWidth="1"/>
    <col min="3842" max="3842" width="12.5703125" style="1112" customWidth="1"/>
    <col min="3843" max="3843" width="10.28515625" style="1112" customWidth="1"/>
    <col min="3844" max="3844" width="14.7109375" style="1112" customWidth="1"/>
    <col min="3845" max="3845" width="13.28515625" style="1112" bestFit="1" customWidth="1"/>
    <col min="3846" max="3846" width="4.85546875" style="1112" customWidth="1"/>
    <col min="3847" max="3847" width="11.7109375" style="1112" customWidth="1"/>
    <col min="3848" max="3848" width="12" style="1112" customWidth="1"/>
    <col min="3849" max="3849" width="9.7109375" style="1112" customWidth="1"/>
    <col min="3850" max="3850" width="13.7109375" style="1112" bestFit="1" customWidth="1"/>
    <col min="3851" max="4096" width="8.85546875" style="1112"/>
    <col min="4097" max="4097" width="11.5703125" style="1112" bestFit="1" customWidth="1"/>
    <col min="4098" max="4098" width="12.5703125" style="1112" customWidth="1"/>
    <col min="4099" max="4099" width="10.28515625" style="1112" customWidth="1"/>
    <col min="4100" max="4100" width="14.7109375" style="1112" customWidth="1"/>
    <col min="4101" max="4101" width="13.28515625" style="1112" bestFit="1" customWidth="1"/>
    <col min="4102" max="4102" width="4.85546875" style="1112" customWidth="1"/>
    <col min="4103" max="4103" width="11.7109375" style="1112" customWidth="1"/>
    <col min="4104" max="4104" width="12" style="1112" customWidth="1"/>
    <col min="4105" max="4105" width="9.7109375" style="1112" customWidth="1"/>
    <col min="4106" max="4106" width="13.7109375" style="1112" bestFit="1" customWidth="1"/>
    <col min="4107" max="4352" width="8.85546875" style="1112"/>
    <col min="4353" max="4353" width="11.5703125" style="1112" bestFit="1" customWidth="1"/>
    <col min="4354" max="4354" width="12.5703125" style="1112" customWidth="1"/>
    <col min="4355" max="4355" width="10.28515625" style="1112" customWidth="1"/>
    <col min="4356" max="4356" width="14.7109375" style="1112" customWidth="1"/>
    <col min="4357" max="4357" width="13.28515625" style="1112" bestFit="1" customWidth="1"/>
    <col min="4358" max="4358" width="4.85546875" style="1112" customWidth="1"/>
    <col min="4359" max="4359" width="11.7109375" style="1112" customWidth="1"/>
    <col min="4360" max="4360" width="12" style="1112" customWidth="1"/>
    <col min="4361" max="4361" width="9.7109375" style="1112" customWidth="1"/>
    <col min="4362" max="4362" width="13.7109375" style="1112" bestFit="1" customWidth="1"/>
    <col min="4363" max="4608" width="8.85546875" style="1112"/>
    <col min="4609" max="4609" width="11.5703125" style="1112" bestFit="1" customWidth="1"/>
    <col min="4610" max="4610" width="12.5703125" style="1112" customWidth="1"/>
    <col min="4611" max="4611" width="10.28515625" style="1112" customWidth="1"/>
    <col min="4612" max="4612" width="14.7109375" style="1112" customWidth="1"/>
    <col min="4613" max="4613" width="13.28515625" style="1112" bestFit="1" customWidth="1"/>
    <col min="4614" max="4614" width="4.85546875" style="1112" customWidth="1"/>
    <col min="4615" max="4615" width="11.7109375" style="1112" customWidth="1"/>
    <col min="4616" max="4616" width="12" style="1112" customWidth="1"/>
    <col min="4617" max="4617" width="9.7109375" style="1112" customWidth="1"/>
    <col min="4618" max="4618" width="13.7109375" style="1112" bestFit="1" customWidth="1"/>
    <col min="4619" max="4864" width="8.85546875" style="1112"/>
    <col min="4865" max="4865" width="11.5703125" style="1112" bestFit="1" customWidth="1"/>
    <col min="4866" max="4866" width="12.5703125" style="1112" customWidth="1"/>
    <col min="4867" max="4867" width="10.28515625" style="1112" customWidth="1"/>
    <col min="4868" max="4868" width="14.7109375" style="1112" customWidth="1"/>
    <col min="4869" max="4869" width="13.28515625" style="1112" bestFit="1" customWidth="1"/>
    <col min="4870" max="4870" width="4.85546875" style="1112" customWidth="1"/>
    <col min="4871" max="4871" width="11.7109375" style="1112" customWidth="1"/>
    <col min="4872" max="4872" width="12" style="1112" customWidth="1"/>
    <col min="4873" max="4873" width="9.7109375" style="1112" customWidth="1"/>
    <col min="4874" max="4874" width="13.7109375" style="1112" bestFit="1" customWidth="1"/>
    <col min="4875" max="5120" width="8.85546875" style="1112"/>
    <col min="5121" max="5121" width="11.5703125" style="1112" bestFit="1" customWidth="1"/>
    <col min="5122" max="5122" width="12.5703125" style="1112" customWidth="1"/>
    <col min="5123" max="5123" width="10.28515625" style="1112" customWidth="1"/>
    <col min="5124" max="5124" width="14.7109375" style="1112" customWidth="1"/>
    <col min="5125" max="5125" width="13.28515625" style="1112" bestFit="1" customWidth="1"/>
    <col min="5126" max="5126" width="4.85546875" style="1112" customWidth="1"/>
    <col min="5127" max="5127" width="11.7109375" style="1112" customWidth="1"/>
    <col min="5128" max="5128" width="12" style="1112" customWidth="1"/>
    <col min="5129" max="5129" width="9.7109375" style="1112" customWidth="1"/>
    <col min="5130" max="5130" width="13.7109375" style="1112" bestFit="1" customWidth="1"/>
    <col min="5131" max="5376" width="8.85546875" style="1112"/>
    <col min="5377" max="5377" width="11.5703125" style="1112" bestFit="1" customWidth="1"/>
    <col min="5378" max="5378" width="12.5703125" style="1112" customWidth="1"/>
    <col min="5379" max="5379" width="10.28515625" style="1112" customWidth="1"/>
    <col min="5380" max="5380" width="14.7109375" style="1112" customWidth="1"/>
    <col min="5381" max="5381" width="13.28515625" style="1112" bestFit="1" customWidth="1"/>
    <col min="5382" max="5382" width="4.85546875" style="1112" customWidth="1"/>
    <col min="5383" max="5383" width="11.7109375" style="1112" customWidth="1"/>
    <col min="5384" max="5384" width="12" style="1112" customWidth="1"/>
    <col min="5385" max="5385" width="9.7109375" style="1112" customWidth="1"/>
    <col min="5386" max="5386" width="13.7109375" style="1112" bestFit="1" customWidth="1"/>
    <col min="5387" max="5632" width="8.85546875" style="1112"/>
    <col min="5633" max="5633" width="11.5703125" style="1112" bestFit="1" customWidth="1"/>
    <col min="5634" max="5634" width="12.5703125" style="1112" customWidth="1"/>
    <col min="5635" max="5635" width="10.28515625" style="1112" customWidth="1"/>
    <col min="5636" max="5636" width="14.7109375" style="1112" customWidth="1"/>
    <col min="5637" max="5637" width="13.28515625" style="1112" bestFit="1" customWidth="1"/>
    <col min="5638" max="5638" width="4.85546875" style="1112" customWidth="1"/>
    <col min="5639" max="5639" width="11.7109375" style="1112" customWidth="1"/>
    <col min="5640" max="5640" width="12" style="1112" customWidth="1"/>
    <col min="5641" max="5641" width="9.7109375" style="1112" customWidth="1"/>
    <col min="5642" max="5642" width="13.7109375" style="1112" bestFit="1" customWidth="1"/>
    <col min="5643" max="5888" width="8.85546875" style="1112"/>
    <col min="5889" max="5889" width="11.5703125" style="1112" bestFit="1" customWidth="1"/>
    <col min="5890" max="5890" width="12.5703125" style="1112" customWidth="1"/>
    <col min="5891" max="5891" width="10.28515625" style="1112" customWidth="1"/>
    <col min="5892" max="5892" width="14.7109375" style="1112" customWidth="1"/>
    <col min="5893" max="5893" width="13.28515625" style="1112" bestFit="1" customWidth="1"/>
    <col min="5894" max="5894" width="4.85546875" style="1112" customWidth="1"/>
    <col min="5895" max="5895" width="11.7109375" style="1112" customWidth="1"/>
    <col min="5896" max="5896" width="12" style="1112" customWidth="1"/>
    <col min="5897" max="5897" width="9.7109375" style="1112" customWidth="1"/>
    <col min="5898" max="5898" width="13.7109375" style="1112" bestFit="1" customWidth="1"/>
    <col min="5899" max="6144" width="8.85546875" style="1112"/>
    <col min="6145" max="6145" width="11.5703125" style="1112" bestFit="1" customWidth="1"/>
    <col min="6146" max="6146" width="12.5703125" style="1112" customWidth="1"/>
    <col min="6147" max="6147" width="10.28515625" style="1112" customWidth="1"/>
    <col min="6148" max="6148" width="14.7109375" style="1112" customWidth="1"/>
    <col min="6149" max="6149" width="13.28515625" style="1112" bestFit="1" customWidth="1"/>
    <col min="6150" max="6150" width="4.85546875" style="1112" customWidth="1"/>
    <col min="6151" max="6151" width="11.7109375" style="1112" customWidth="1"/>
    <col min="6152" max="6152" width="12" style="1112" customWidth="1"/>
    <col min="6153" max="6153" width="9.7109375" style="1112" customWidth="1"/>
    <col min="6154" max="6154" width="13.7109375" style="1112" bestFit="1" customWidth="1"/>
    <col min="6155" max="6400" width="8.85546875" style="1112"/>
    <col min="6401" max="6401" width="11.5703125" style="1112" bestFit="1" customWidth="1"/>
    <col min="6402" max="6402" width="12.5703125" style="1112" customWidth="1"/>
    <col min="6403" max="6403" width="10.28515625" style="1112" customWidth="1"/>
    <col min="6404" max="6404" width="14.7109375" style="1112" customWidth="1"/>
    <col min="6405" max="6405" width="13.28515625" style="1112" bestFit="1" customWidth="1"/>
    <col min="6406" max="6406" width="4.85546875" style="1112" customWidth="1"/>
    <col min="6407" max="6407" width="11.7109375" style="1112" customWidth="1"/>
    <col min="6408" max="6408" width="12" style="1112" customWidth="1"/>
    <col min="6409" max="6409" width="9.7109375" style="1112" customWidth="1"/>
    <col min="6410" max="6410" width="13.7109375" style="1112" bestFit="1" customWidth="1"/>
    <col min="6411" max="6656" width="8.85546875" style="1112"/>
    <col min="6657" max="6657" width="11.5703125" style="1112" bestFit="1" customWidth="1"/>
    <col min="6658" max="6658" width="12.5703125" style="1112" customWidth="1"/>
    <col min="6659" max="6659" width="10.28515625" style="1112" customWidth="1"/>
    <col min="6660" max="6660" width="14.7109375" style="1112" customWidth="1"/>
    <col min="6661" max="6661" width="13.28515625" style="1112" bestFit="1" customWidth="1"/>
    <col min="6662" max="6662" width="4.85546875" style="1112" customWidth="1"/>
    <col min="6663" max="6663" width="11.7109375" style="1112" customWidth="1"/>
    <col min="6664" max="6664" width="12" style="1112" customWidth="1"/>
    <col min="6665" max="6665" width="9.7109375" style="1112" customWidth="1"/>
    <col min="6666" max="6666" width="13.7109375" style="1112" bestFit="1" customWidth="1"/>
    <col min="6667" max="6912" width="8.85546875" style="1112"/>
    <col min="6913" max="6913" width="11.5703125" style="1112" bestFit="1" customWidth="1"/>
    <col min="6914" max="6914" width="12.5703125" style="1112" customWidth="1"/>
    <col min="6915" max="6915" width="10.28515625" style="1112" customWidth="1"/>
    <col min="6916" max="6916" width="14.7109375" style="1112" customWidth="1"/>
    <col min="6917" max="6917" width="13.28515625" style="1112" bestFit="1" customWidth="1"/>
    <col min="6918" max="6918" width="4.85546875" style="1112" customWidth="1"/>
    <col min="6919" max="6919" width="11.7109375" style="1112" customWidth="1"/>
    <col min="6920" max="6920" width="12" style="1112" customWidth="1"/>
    <col min="6921" max="6921" width="9.7109375" style="1112" customWidth="1"/>
    <col min="6922" max="6922" width="13.7109375" style="1112" bestFit="1" customWidth="1"/>
    <col min="6923" max="7168" width="8.85546875" style="1112"/>
    <col min="7169" max="7169" width="11.5703125" style="1112" bestFit="1" customWidth="1"/>
    <col min="7170" max="7170" width="12.5703125" style="1112" customWidth="1"/>
    <col min="7171" max="7171" width="10.28515625" style="1112" customWidth="1"/>
    <col min="7172" max="7172" width="14.7109375" style="1112" customWidth="1"/>
    <col min="7173" max="7173" width="13.28515625" style="1112" bestFit="1" customWidth="1"/>
    <col min="7174" max="7174" width="4.85546875" style="1112" customWidth="1"/>
    <col min="7175" max="7175" width="11.7109375" style="1112" customWidth="1"/>
    <col min="7176" max="7176" width="12" style="1112" customWidth="1"/>
    <col min="7177" max="7177" width="9.7109375" style="1112" customWidth="1"/>
    <col min="7178" max="7178" width="13.7109375" style="1112" bestFit="1" customWidth="1"/>
    <col min="7179" max="7424" width="8.85546875" style="1112"/>
    <col min="7425" max="7425" width="11.5703125" style="1112" bestFit="1" customWidth="1"/>
    <col min="7426" max="7426" width="12.5703125" style="1112" customWidth="1"/>
    <col min="7427" max="7427" width="10.28515625" style="1112" customWidth="1"/>
    <col min="7428" max="7428" width="14.7109375" style="1112" customWidth="1"/>
    <col min="7429" max="7429" width="13.28515625" style="1112" bestFit="1" customWidth="1"/>
    <col min="7430" max="7430" width="4.85546875" style="1112" customWidth="1"/>
    <col min="7431" max="7431" width="11.7109375" style="1112" customWidth="1"/>
    <col min="7432" max="7432" width="12" style="1112" customWidth="1"/>
    <col min="7433" max="7433" width="9.7109375" style="1112" customWidth="1"/>
    <col min="7434" max="7434" width="13.7109375" style="1112" bestFit="1" customWidth="1"/>
    <col min="7435" max="7680" width="8.85546875" style="1112"/>
    <col min="7681" max="7681" width="11.5703125" style="1112" bestFit="1" customWidth="1"/>
    <col min="7682" max="7682" width="12.5703125" style="1112" customWidth="1"/>
    <col min="7683" max="7683" width="10.28515625" style="1112" customWidth="1"/>
    <col min="7684" max="7684" width="14.7109375" style="1112" customWidth="1"/>
    <col min="7685" max="7685" width="13.28515625" style="1112" bestFit="1" customWidth="1"/>
    <col min="7686" max="7686" width="4.85546875" style="1112" customWidth="1"/>
    <col min="7687" max="7687" width="11.7109375" style="1112" customWidth="1"/>
    <col min="7688" max="7688" width="12" style="1112" customWidth="1"/>
    <col min="7689" max="7689" width="9.7109375" style="1112" customWidth="1"/>
    <col min="7690" max="7690" width="13.7109375" style="1112" bestFit="1" customWidth="1"/>
    <col min="7691" max="7936" width="8.85546875" style="1112"/>
    <col min="7937" max="7937" width="11.5703125" style="1112" bestFit="1" customWidth="1"/>
    <col min="7938" max="7938" width="12.5703125" style="1112" customWidth="1"/>
    <col min="7939" max="7939" width="10.28515625" style="1112" customWidth="1"/>
    <col min="7940" max="7940" width="14.7109375" style="1112" customWidth="1"/>
    <col min="7941" max="7941" width="13.28515625" style="1112" bestFit="1" customWidth="1"/>
    <col min="7942" max="7942" width="4.85546875" style="1112" customWidth="1"/>
    <col min="7943" max="7943" width="11.7109375" style="1112" customWidth="1"/>
    <col min="7944" max="7944" width="12" style="1112" customWidth="1"/>
    <col min="7945" max="7945" width="9.7109375" style="1112" customWidth="1"/>
    <col min="7946" max="7946" width="13.7109375" style="1112" bestFit="1" customWidth="1"/>
    <col min="7947" max="8192" width="8.85546875" style="1112"/>
    <col min="8193" max="8193" width="11.5703125" style="1112" bestFit="1" customWidth="1"/>
    <col min="8194" max="8194" width="12.5703125" style="1112" customWidth="1"/>
    <col min="8195" max="8195" width="10.28515625" style="1112" customWidth="1"/>
    <col min="8196" max="8196" width="14.7109375" style="1112" customWidth="1"/>
    <col min="8197" max="8197" width="13.28515625" style="1112" bestFit="1" customWidth="1"/>
    <col min="8198" max="8198" width="4.85546875" style="1112" customWidth="1"/>
    <col min="8199" max="8199" width="11.7109375" style="1112" customWidth="1"/>
    <col min="8200" max="8200" width="12" style="1112" customWidth="1"/>
    <col min="8201" max="8201" width="9.7109375" style="1112" customWidth="1"/>
    <col min="8202" max="8202" width="13.7109375" style="1112" bestFit="1" customWidth="1"/>
    <col min="8203" max="8448" width="8.85546875" style="1112"/>
    <col min="8449" max="8449" width="11.5703125" style="1112" bestFit="1" customWidth="1"/>
    <col min="8450" max="8450" width="12.5703125" style="1112" customWidth="1"/>
    <col min="8451" max="8451" width="10.28515625" style="1112" customWidth="1"/>
    <col min="8452" max="8452" width="14.7109375" style="1112" customWidth="1"/>
    <col min="8453" max="8453" width="13.28515625" style="1112" bestFit="1" customWidth="1"/>
    <col min="8454" max="8454" width="4.85546875" style="1112" customWidth="1"/>
    <col min="8455" max="8455" width="11.7109375" style="1112" customWidth="1"/>
    <col min="8456" max="8456" width="12" style="1112" customWidth="1"/>
    <col min="8457" max="8457" width="9.7109375" style="1112" customWidth="1"/>
    <col min="8458" max="8458" width="13.7109375" style="1112" bestFit="1" customWidth="1"/>
    <col min="8459" max="8704" width="8.85546875" style="1112"/>
    <col min="8705" max="8705" width="11.5703125" style="1112" bestFit="1" customWidth="1"/>
    <col min="8706" max="8706" width="12.5703125" style="1112" customWidth="1"/>
    <col min="8707" max="8707" width="10.28515625" style="1112" customWidth="1"/>
    <col min="8708" max="8708" width="14.7109375" style="1112" customWidth="1"/>
    <col min="8709" max="8709" width="13.28515625" style="1112" bestFit="1" customWidth="1"/>
    <col min="8710" max="8710" width="4.85546875" style="1112" customWidth="1"/>
    <col min="8711" max="8711" width="11.7109375" style="1112" customWidth="1"/>
    <col min="8712" max="8712" width="12" style="1112" customWidth="1"/>
    <col min="8713" max="8713" width="9.7109375" style="1112" customWidth="1"/>
    <col min="8714" max="8714" width="13.7109375" style="1112" bestFit="1" customWidth="1"/>
    <col min="8715" max="8960" width="8.85546875" style="1112"/>
    <col min="8961" max="8961" width="11.5703125" style="1112" bestFit="1" customWidth="1"/>
    <col min="8962" max="8962" width="12.5703125" style="1112" customWidth="1"/>
    <col min="8963" max="8963" width="10.28515625" style="1112" customWidth="1"/>
    <col min="8964" max="8964" width="14.7109375" style="1112" customWidth="1"/>
    <col min="8965" max="8965" width="13.28515625" style="1112" bestFit="1" customWidth="1"/>
    <col min="8966" max="8966" width="4.85546875" style="1112" customWidth="1"/>
    <col min="8967" max="8967" width="11.7109375" style="1112" customWidth="1"/>
    <col min="8968" max="8968" width="12" style="1112" customWidth="1"/>
    <col min="8969" max="8969" width="9.7109375" style="1112" customWidth="1"/>
    <col min="8970" max="8970" width="13.7109375" style="1112" bestFit="1" customWidth="1"/>
    <col min="8971" max="9216" width="8.85546875" style="1112"/>
    <col min="9217" max="9217" width="11.5703125" style="1112" bestFit="1" customWidth="1"/>
    <col min="9218" max="9218" width="12.5703125" style="1112" customWidth="1"/>
    <col min="9219" max="9219" width="10.28515625" style="1112" customWidth="1"/>
    <col min="9220" max="9220" width="14.7109375" style="1112" customWidth="1"/>
    <col min="9221" max="9221" width="13.28515625" style="1112" bestFit="1" customWidth="1"/>
    <col min="9222" max="9222" width="4.85546875" style="1112" customWidth="1"/>
    <col min="9223" max="9223" width="11.7109375" style="1112" customWidth="1"/>
    <col min="9224" max="9224" width="12" style="1112" customWidth="1"/>
    <col min="9225" max="9225" width="9.7109375" style="1112" customWidth="1"/>
    <col min="9226" max="9226" width="13.7109375" style="1112" bestFit="1" customWidth="1"/>
    <col min="9227" max="9472" width="8.85546875" style="1112"/>
    <col min="9473" max="9473" width="11.5703125" style="1112" bestFit="1" customWidth="1"/>
    <col min="9474" max="9474" width="12.5703125" style="1112" customWidth="1"/>
    <col min="9475" max="9475" width="10.28515625" style="1112" customWidth="1"/>
    <col min="9476" max="9476" width="14.7109375" style="1112" customWidth="1"/>
    <col min="9477" max="9477" width="13.28515625" style="1112" bestFit="1" customWidth="1"/>
    <col min="9478" max="9478" width="4.85546875" style="1112" customWidth="1"/>
    <col min="9479" max="9479" width="11.7109375" style="1112" customWidth="1"/>
    <col min="9480" max="9480" width="12" style="1112" customWidth="1"/>
    <col min="9481" max="9481" width="9.7109375" style="1112" customWidth="1"/>
    <col min="9482" max="9482" width="13.7109375" style="1112" bestFit="1" customWidth="1"/>
    <col min="9483" max="9728" width="8.85546875" style="1112"/>
    <col min="9729" max="9729" width="11.5703125" style="1112" bestFit="1" customWidth="1"/>
    <col min="9730" max="9730" width="12.5703125" style="1112" customWidth="1"/>
    <col min="9731" max="9731" width="10.28515625" style="1112" customWidth="1"/>
    <col min="9732" max="9732" width="14.7109375" style="1112" customWidth="1"/>
    <col min="9733" max="9733" width="13.28515625" style="1112" bestFit="1" customWidth="1"/>
    <col min="9734" max="9734" width="4.85546875" style="1112" customWidth="1"/>
    <col min="9735" max="9735" width="11.7109375" style="1112" customWidth="1"/>
    <col min="9736" max="9736" width="12" style="1112" customWidth="1"/>
    <col min="9737" max="9737" width="9.7109375" style="1112" customWidth="1"/>
    <col min="9738" max="9738" width="13.7109375" style="1112" bestFit="1" customWidth="1"/>
    <col min="9739" max="9984" width="8.85546875" style="1112"/>
    <col min="9985" max="9985" width="11.5703125" style="1112" bestFit="1" customWidth="1"/>
    <col min="9986" max="9986" width="12.5703125" style="1112" customWidth="1"/>
    <col min="9987" max="9987" width="10.28515625" style="1112" customWidth="1"/>
    <col min="9988" max="9988" width="14.7109375" style="1112" customWidth="1"/>
    <col min="9989" max="9989" width="13.28515625" style="1112" bestFit="1" customWidth="1"/>
    <col min="9990" max="9990" width="4.85546875" style="1112" customWidth="1"/>
    <col min="9991" max="9991" width="11.7109375" style="1112" customWidth="1"/>
    <col min="9992" max="9992" width="12" style="1112" customWidth="1"/>
    <col min="9993" max="9993" width="9.7109375" style="1112" customWidth="1"/>
    <col min="9994" max="9994" width="13.7109375" style="1112" bestFit="1" customWidth="1"/>
    <col min="9995" max="10240" width="8.85546875" style="1112"/>
    <col min="10241" max="10241" width="11.5703125" style="1112" bestFit="1" customWidth="1"/>
    <col min="10242" max="10242" width="12.5703125" style="1112" customWidth="1"/>
    <col min="10243" max="10243" width="10.28515625" style="1112" customWidth="1"/>
    <col min="10244" max="10244" width="14.7109375" style="1112" customWidth="1"/>
    <col min="10245" max="10245" width="13.28515625" style="1112" bestFit="1" customWidth="1"/>
    <col min="10246" max="10246" width="4.85546875" style="1112" customWidth="1"/>
    <col min="10247" max="10247" width="11.7109375" style="1112" customWidth="1"/>
    <col min="10248" max="10248" width="12" style="1112" customWidth="1"/>
    <col min="10249" max="10249" width="9.7109375" style="1112" customWidth="1"/>
    <col min="10250" max="10250" width="13.7109375" style="1112" bestFit="1" customWidth="1"/>
    <col min="10251" max="10496" width="8.85546875" style="1112"/>
    <col min="10497" max="10497" width="11.5703125" style="1112" bestFit="1" customWidth="1"/>
    <col min="10498" max="10498" width="12.5703125" style="1112" customWidth="1"/>
    <col min="10499" max="10499" width="10.28515625" style="1112" customWidth="1"/>
    <col min="10500" max="10500" width="14.7109375" style="1112" customWidth="1"/>
    <col min="10501" max="10501" width="13.28515625" style="1112" bestFit="1" customWidth="1"/>
    <col min="10502" max="10502" width="4.85546875" style="1112" customWidth="1"/>
    <col min="10503" max="10503" width="11.7109375" style="1112" customWidth="1"/>
    <col min="10504" max="10504" width="12" style="1112" customWidth="1"/>
    <col min="10505" max="10505" width="9.7109375" style="1112" customWidth="1"/>
    <col min="10506" max="10506" width="13.7109375" style="1112" bestFit="1" customWidth="1"/>
    <col min="10507" max="10752" width="8.85546875" style="1112"/>
    <col min="10753" max="10753" width="11.5703125" style="1112" bestFit="1" customWidth="1"/>
    <col min="10754" max="10754" width="12.5703125" style="1112" customWidth="1"/>
    <col min="10755" max="10755" width="10.28515625" style="1112" customWidth="1"/>
    <col min="10756" max="10756" width="14.7109375" style="1112" customWidth="1"/>
    <col min="10757" max="10757" width="13.28515625" style="1112" bestFit="1" customWidth="1"/>
    <col min="10758" max="10758" width="4.85546875" style="1112" customWidth="1"/>
    <col min="10759" max="10759" width="11.7109375" style="1112" customWidth="1"/>
    <col min="10760" max="10760" width="12" style="1112" customWidth="1"/>
    <col min="10761" max="10761" width="9.7109375" style="1112" customWidth="1"/>
    <col min="10762" max="10762" width="13.7109375" style="1112" bestFit="1" customWidth="1"/>
    <col min="10763" max="11008" width="8.85546875" style="1112"/>
    <col min="11009" max="11009" width="11.5703125" style="1112" bestFit="1" customWidth="1"/>
    <col min="11010" max="11010" width="12.5703125" style="1112" customWidth="1"/>
    <col min="11011" max="11011" width="10.28515625" style="1112" customWidth="1"/>
    <col min="11012" max="11012" width="14.7109375" style="1112" customWidth="1"/>
    <col min="11013" max="11013" width="13.28515625" style="1112" bestFit="1" customWidth="1"/>
    <col min="11014" max="11014" width="4.85546875" style="1112" customWidth="1"/>
    <col min="11015" max="11015" width="11.7109375" style="1112" customWidth="1"/>
    <col min="11016" max="11016" width="12" style="1112" customWidth="1"/>
    <col min="11017" max="11017" width="9.7109375" style="1112" customWidth="1"/>
    <col min="11018" max="11018" width="13.7109375" style="1112" bestFit="1" customWidth="1"/>
    <col min="11019" max="11264" width="8.85546875" style="1112"/>
    <col min="11265" max="11265" width="11.5703125" style="1112" bestFit="1" customWidth="1"/>
    <col min="11266" max="11266" width="12.5703125" style="1112" customWidth="1"/>
    <col min="11267" max="11267" width="10.28515625" style="1112" customWidth="1"/>
    <col min="11268" max="11268" width="14.7109375" style="1112" customWidth="1"/>
    <col min="11269" max="11269" width="13.28515625" style="1112" bestFit="1" customWidth="1"/>
    <col min="11270" max="11270" width="4.85546875" style="1112" customWidth="1"/>
    <col min="11271" max="11271" width="11.7109375" style="1112" customWidth="1"/>
    <col min="11272" max="11272" width="12" style="1112" customWidth="1"/>
    <col min="11273" max="11273" width="9.7109375" style="1112" customWidth="1"/>
    <col min="11274" max="11274" width="13.7109375" style="1112" bestFit="1" customWidth="1"/>
    <col min="11275" max="11520" width="8.85546875" style="1112"/>
    <col min="11521" max="11521" width="11.5703125" style="1112" bestFit="1" customWidth="1"/>
    <col min="11522" max="11522" width="12.5703125" style="1112" customWidth="1"/>
    <col min="11523" max="11523" width="10.28515625" style="1112" customWidth="1"/>
    <col min="11524" max="11524" width="14.7109375" style="1112" customWidth="1"/>
    <col min="11525" max="11525" width="13.28515625" style="1112" bestFit="1" customWidth="1"/>
    <col min="11526" max="11526" width="4.85546875" style="1112" customWidth="1"/>
    <col min="11527" max="11527" width="11.7109375" style="1112" customWidth="1"/>
    <col min="11528" max="11528" width="12" style="1112" customWidth="1"/>
    <col min="11529" max="11529" width="9.7109375" style="1112" customWidth="1"/>
    <col min="11530" max="11530" width="13.7109375" style="1112" bestFit="1" customWidth="1"/>
    <col min="11531" max="11776" width="8.85546875" style="1112"/>
    <col min="11777" max="11777" width="11.5703125" style="1112" bestFit="1" customWidth="1"/>
    <col min="11778" max="11778" width="12.5703125" style="1112" customWidth="1"/>
    <col min="11779" max="11779" width="10.28515625" style="1112" customWidth="1"/>
    <col min="11780" max="11780" width="14.7109375" style="1112" customWidth="1"/>
    <col min="11781" max="11781" width="13.28515625" style="1112" bestFit="1" customWidth="1"/>
    <col min="11782" max="11782" width="4.85546875" style="1112" customWidth="1"/>
    <col min="11783" max="11783" width="11.7109375" style="1112" customWidth="1"/>
    <col min="11784" max="11784" width="12" style="1112" customWidth="1"/>
    <col min="11785" max="11785" width="9.7109375" style="1112" customWidth="1"/>
    <col min="11786" max="11786" width="13.7109375" style="1112" bestFit="1" customWidth="1"/>
    <col min="11787" max="12032" width="8.85546875" style="1112"/>
    <col min="12033" max="12033" width="11.5703125" style="1112" bestFit="1" customWidth="1"/>
    <col min="12034" max="12034" width="12.5703125" style="1112" customWidth="1"/>
    <col min="12035" max="12035" width="10.28515625" style="1112" customWidth="1"/>
    <col min="12036" max="12036" width="14.7109375" style="1112" customWidth="1"/>
    <col min="12037" max="12037" width="13.28515625" style="1112" bestFit="1" customWidth="1"/>
    <col min="12038" max="12038" width="4.85546875" style="1112" customWidth="1"/>
    <col min="12039" max="12039" width="11.7109375" style="1112" customWidth="1"/>
    <col min="12040" max="12040" width="12" style="1112" customWidth="1"/>
    <col min="12041" max="12041" width="9.7109375" style="1112" customWidth="1"/>
    <col min="12042" max="12042" width="13.7109375" style="1112" bestFit="1" customWidth="1"/>
    <col min="12043" max="12288" width="8.85546875" style="1112"/>
    <col min="12289" max="12289" width="11.5703125" style="1112" bestFit="1" customWidth="1"/>
    <col min="12290" max="12290" width="12.5703125" style="1112" customWidth="1"/>
    <col min="12291" max="12291" width="10.28515625" style="1112" customWidth="1"/>
    <col min="12292" max="12292" width="14.7109375" style="1112" customWidth="1"/>
    <col min="12293" max="12293" width="13.28515625" style="1112" bestFit="1" customWidth="1"/>
    <col min="12294" max="12294" width="4.85546875" style="1112" customWidth="1"/>
    <col min="12295" max="12295" width="11.7109375" style="1112" customWidth="1"/>
    <col min="12296" max="12296" width="12" style="1112" customWidth="1"/>
    <col min="12297" max="12297" width="9.7109375" style="1112" customWidth="1"/>
    <col min="12298" max="12298" width="13.7109375" style="1112" bestFit="1" customWidth="1"/>
    <col min="12299" max="12544" width="8.85546875" style="1112"/>
    <col min="12545" max="12545" width="11.5703125" style="1112" bestFit="1" customWidth="1"/>
    <col min="12546" max="12546" width="12.5703125" style="1112" customWidth="1"/>
    <col min="12547" max="12547" width="10.28515625" style="1112" customWidth="1"/>
    <col min="12548" max="12548" width="14.7109375" style="1112" customWidth="1"/>
    <col min="12549" max="12549" width="13.28515625" style="1112" bestFit="1" customWidth="1"/>
    <col min="12550" max="12550" width="4.85546875" style="1112" customWidth="1"/>
    <col min="12551" max="12551" width="11.7109375" style="1112" customWidth="1"/>
    <col min="12552" max="12552" width="12" style="1112" customWidth="1"/>
    <col min="12553" max="12553" width="9.7109375" style="1112" customWidth="1"/>
    <col min="12554" max="12554" width="13.7109375" style="1112" bestFit="1" customWidth="1"/>
    <col min="12555" max="12800" width="8.85546875" style="1112"/>
    <col min="12801" max="12801" width="11.5703125" style="1112" bestFit="1" customWidth="1"/>
    <col min="12802" max="12802" width="12.5703125" style="1112" customWidth="1"/>
    <col min="12803" max="12803" width="10.28515625" style="1112" customWidth="1"/>
    <col min="12804" max="12804" width="14.7109375" style="1112" customWidth="1"/>
    <col min="12805" max="12805" width="13.28515625" style="1112" bestFit="1" customWidth="1"/>
    <col min="12806" max="12806" width="4.85546875" style="1112" customWidth="1"/>
    <col min="12807" max="12807" width="11.7109375" style="1112" customWidth="1"/>
    <col min="12808" max="12808" width="12" style="1112" customWidth="1"/>
    <col min="12809" max="12809" width="9.7109375" style="1112" customWidth="1"/>
    <col min="12810" max="12810" width="13.7109375" style="1112" bestFit="1" customWidth="1"/>
    <col min="12811" max="13056" width="8.85546875" style="1112"/>
    <col min="13057" max="13057" width="11.5703125" style="1112" bestFit="1" customWidth="1"/>
    <col min="13058" max="13058" width="12.5703125" style="1112" customWidth="1"/>
    <col min="13059" max="13059" width="10.28515625" style="1112" customWidth="1"/>
    <col min="13060" max="13060" width="14.7109375" style="1112" customWidth="1"/>
    <col min="13061" max="13061" width="13.28515625" style="1112" bestFit="1" customWidth="1"/>
    <col min="13062" max="13062" width="4.85546875" style="1112" customWidth="1"/>
    <col min="13063" max="13063" width="11.7109375" style="1112" customWidth="1"/>
    <col min="13064" max="13064" width="12" style="1112" customWidth="1"/>
    <col min="13065" max="13065" width="9.7109375" style="1112" customWidth="1"/>
    <col min="13066" max="13066" width="13.7109375" style="1112" bestFit="1" customWidth="1"/>
    <col min="13067" max="13312" width="8.85546875" style="1112"/>
    <col min="13313" max="13313" width="11.5703125" style="1112" bestFit="1" customWidth="1"/>
    <col min="13314" max="13314" width="12.5703125" style="1112" customWidth="1"/>
    <col min="13315" max="13315" width="10.28515625" style="1112" customWidth="1"/>
    <col min="13316" max="13316" width="14.7109375" style="1112" customWidth="1"/>
    <col min="13317" max="13317" width="13.28515625" style="1112" bestFit="1" customWidth="1"/>
    <col min="13318" max="13318" width="4.85546875" style="1112" customWidth="1"/>
    <col min="13319" max="13319" width="11.7109375" style="1112" customWidth="1"/>
    <col min="13320" max="13320" width="12" style="1112" customWidth="1"/>
    <col min="13321" max="13321" width="9.7109375" style="1112" customWidth="1"/>
    <col min="13322" max="13322" width="13.7109375" style="1112" bestFit="1" customWidth="1"/>
    <col min="13323" max="13568" width="8.85546875" style="1112"/>
    <col min="13569" max="13569" width="11.5703125" style="1112" bestFit="1" customWidth="1"/>
    <col min="13570" max="13570" width="12.5703125" style="1112" customWidth="1"/>
    <col min="13571" max="13571" width="10.28515625" style="1112" customWidth="1"/>
    <col min="13572" max="13572" width="14.7109375" style="1112" customWidth="1"/>
    <col min="13573" max="13573" width="13.28515625" style="1112" bestFit="1" customWidth="1"/>
    <col min="13574" max="13574" width="4.85546875" style="1112" customWidth="1"/>
    <col min="13575" max="13575" width="11.7109375" style="1112" customWidth="1"/>
    <col min="13576" max="13576" width="12" style="1112" customWidth="1"/>
    <col min="13577" max="13577" width="9.7109375" style="1112" customWidth="1"/>
    <col min="13578" max="13578" width="13.7109375" style="1112" bestFit="1" customWidth="1"/>
    <col min="13579" max="13824" width="8.85546875" style="1112"/>
    <col min="13825" max="13825" width="11.5703125" style="1112" bestFit="1" customWidth="1"/>
    <col min="13826" max="13826" width="12.5703125" style="1112" customWidth="1"/>
    <col min="13827" max="13827" width="10.28515625" style="1112" customWidth="1"/>
    <col min="13828" max="13828" width="14.7109375" style="1112" customWidth="1"/>
    <col min="13829" max="13829" width="13.28515625" style="1112" bestFit="1" customWidth="1"/>
    <col min="13830" max="13830" width="4.85546875" style="1112" customWidth="1"/>
    <col min="13831" max="13831" width="11.7109375" style="1112" customWidth="1"/>
    <col min="13832" max="13832" width="12" style="1112" customWidth="1"/>
    <col min="13833" max="13833" width="9.7109375" style="1112" customWidth="1"/>
    <col min="13834" max="13834" width="13.7109375" style="1112" bestFit="1" customWidth="1"/>
    <col min="13835" max="14080" width="8.85546875" style="1112"/>
    <col min="14081" max="14081" width="11.5703125" style="1112" bestFit="1" customWidth="1"/>
    <col min="14082" max="14082" width="12.5703125" style="1112" customWidth="1"/>
    <col min="14083" max="14083" width="10.28515625" style="1112" customWidth="1"/>
    <col min="14084" max="14084" width="14.7109375" style="1112" customWidth="1"/>
    <col min="14085" max="14085" width="13.28515625" style="1112" bestFit="1" customWidth="1"/>
    <col min="14086" max="14086" width="4.85546875" style="1112" customWidth="1"/>
    <col min="14087" max="14087" width="11.7109375" style="1112" customWidth="1"/>
    <col min="14088" max="14088" width="12" style="1112" customWidth="1"/>
    <col min="14089" max="14089" width="9.7109375" style="1112" customWidth="1"/>
    <col min="14090" max="14090" width="13.7109375" style="1112" bestFit="1" customWidth="1"/>
    <col min="14091" max="14336" width="8.85546875" style="1112"/>
    <col min="14337" max="14337" width="11.5703125" style="1112" bestFit="1" customWidth="1"/>
    <col min="14338" max="14338" width="12.5703125" style="1112" customWidth="1"/>
    <col min="14339" max="14339" width="10.28515625" style="1112" customWidth="1"/>
    <col min="14340" max="14340" width="14.7109375" style="1112" customWidth="1"/>
    <col min="14341" max="14341" width="13.28515625" style="1112" bestFit="1" customWidth="1"/>
    <col min="14342" max="14342" width="4.85546875" style="1112" customWidth="1"/>
    <col min="14343" max="14343" width="11.7109375" style="1112" customWidth="1"/>
    <col min="14344" max="14344" width="12" style="1112" customWidth="1"/>
    <col min="14345" max="14345" width="9.7109375" style="1112" customWidth="1"/>
    <col min="14346" max="14346" width="13.7109375" style="1112" bestFit="1" customWidth="1"/>
    <col min="14347" max="14592" width="8.85546875" style="1112"/>
    <col min="14593" max="14593" width="11.5703125" style="1112" bestFit="1" customWidth="1"/>
    <col min="14594" max="14594" width="12.5703125" style="1112" customWidth="1"/>
    <col min="14595" max="14595" width="10.28515625" style="1112" customWidth="1"/>
    <col min="14596" max="14596" width="14.7109375" style="1112" customWidth="1"/>
    <col min="14597" max="14597" width="13.28515625" style="1112" bestFit="1" customWidth="1"/>
    <col min="14598" max="14598" width="4.85546875" style="1112" customWidth="1"/>
    <col min="14599" max="14599" width="11.7109375" style="1112" customWidth="1"/>
    <col min="14600" max="14600" width="12" style="1112" customWidth="1"/>
    <col min="14601" max="14601" width="9.7109375" style="1112" customWidth="1"/>
    <col min="14602" max="14602" width="13.7109375" style="1112" bestFit="1" customWidth="1"/>
    <col min="14603" max="14848" width="8.85546875" style="1112"/>
    <col min="14849" max="14849" width="11.5703125" style="1112" bestFit="1" customWidth="1"/>
    <col min="14850" max="14850" width="12.5703125" style="1112" customWidth="1"/>
    <col min="14851" max="14851" width="10.28515625" style="1112" customWidth="1"/>
    <col min="14852" max="14852" width="14.7109375" style="1112" customWidth="1"/>
    <col min="14853" max="14853" width="13.28515625" style="1112" bestFit="1" customWidth="1"/>
    <col min="14854" max="14854" width="4.85546875" style="1112" customWidth="1"/>
    <col min="14855" max="14855" width="11.7109375" style="1112" customWidth="1"/>
    <col min="14856" max="14856" width="12" style="1112" customWidth="1"/>
    <col min="14857" max="14857" width="9.7109375" style="1112" customWidth="1"/>
    <col min="14858" max="14858" width="13.7109375" style="1112" bestFit="1" customWidth="1"/>
    <col min="14859" max="15104" width="8.85546875" style="1112"/>
    <col min="15105" max="15105" width="11.5703125" style="1112" bestFit="1" customWidth="1"/>
    <col min="15106" max="15106" width="12.5703125" style="1112" customWidth="1"/>
    <col min="15107" max="15107" width="10.28515625" style="1112" customWidth="1"/>
    <col min="15108" max="15108" width="14.7109375" style="1112" customWidth="1"/>
    <col min="15109" max="15109" width="13.28515625" style="1112" bestFit="1" customWidth="1"/>
    <col min="15110" max="15110" width="4.85546875" style="1112" customWidth="1"/>
    <col min="15111" max="15111" width="11.7109375" style="1112" customWidth="1"/>
    <col min="15112" max="15112" width="12" style="1112" customWidth="1"/>
    <col min="15113" max="15113" width="9.7109375" style="1112" customWidth="1"/>
    <col min="15114" max="15114" width="13.7109375" style="1112" bestFit="1" customWidth="1"/>
    <col min="15115" max="15360" width="8.85546875" style="1112"/>
    <col min="15361" max="15361" width="11.5703125" style="1112" bestFit="1" customWidth="1"/>
    <col min="15362" max="15362" width="12.5703125" style="1112" customWidth="1"/>
    <col min="15363" max="15363" width="10.28515625" style="1112" customWidth="1"/>
    <col min="15364" max="15364" width="14.7109375" style="1112" customWidth="1"/>
    <col min="15365" max="15365" width="13.28515625" style="1112" bestFit="1" customWidth="1"/>
    <col min="15366" max="15366" width="4.85546875" style="1112" customWidth="1"/>
    <col min="15367" max="15367" width="11.7109375" style="1112" customWidth="1"/>
    <col min="15368" max="15368" width="12" style="1112" customWidth="1"/>
    <col min="15369" max="15369" width="9.7109375" style="1112" customWidth="1"/>
    <col min="15370" max="15370" width="13.7109375" style="1112" bestFit="1" customWidth="1"/>
    <col min="15371" max="15616" width="8.85546875" style="1112"/>
    <col min="15617" max="15617" width="11.5703125" style="1112" bestFit="1" customWidth="1"/>
    <col min="15618" max="15618" width="12.5703125" style="1112" customWidth="1"/>
    <col min="15619" max="15619" width="10.28515625" style="1112" customWidth="1"/>
    <col min="15620" max="15620" width="14.7109375" style="1112" customWidth="1"/>
    <col min="15621" max="15621" width="13.28515625" style="1112" bestFit="1" customWidth="1"/>
    <col min="15622" max="15622" width="4.85546875" style="1112" customWidth="1"/>
    <col min="15623" max="15623" width="11.7109375" style="1112" customWidth="1"/>
    <col min="15624" max="15624" width="12" style="1112" customWidth="1"/>
    <col min="15625" max="15625" width="9.7109375" style="1112" customWidth="1"/>
    <col min="15626" max="15626" width="13.7109375" style="1112" bestFit="1" customWidth="1"/>
    <col min="15627" max="15872" width="8.85546875" style="1112"/>
    <col min="15873" max="15873" width="11.5703125" style="1112" bestFit="1" customWidth="1"/>
    <col min="15874" max="15874" width="12.5703125" style="1112" customWidth="1"/>
    <col min="15875" max="15875" width="10.28515625" style="1112" customWidth="1"/>
    <col min="15876" max="15876" width="14.7109375" style="1112" customWidth="1"/>
    <col min="15877" max="15877" width="13.28515625" style="1112" bestFit="1" customWidth="1"/>
    <col min="15878" max="15878" width="4.85546875" style="1112" customWidth="1"/>
    <col min="15879" max="15879" width="11.7109375" style="1112" customWidth="1"/>
    <col min="15880" max="15880" width="12" style="1112" customWidth="1"/>
    <col min="15881" max="15881" width="9.7109375" style="1112" customWidth="1"/>
    <col min="15882" max="15882" width="13.7109375" style="1112" bestFit="1" customWidth="1"/>
    <col min="15883" max="16128" width="8.85546875" style="1112"/>
    <col min="16129" max="16129" width="11.5703125" style="1112" bestFit="1" customWidth="1"/>
    <col min="16130" max="16130" width="12.5703125" style="1112" customWidth="1"/>
    <col min="16131" max="16131" width="10.28515625" style="1112" customWidth="1"/>
    <col min="16132" max="16132" width="14.7109375" style="1112" customWidth="1"/>
    <col min="16133" max="16133" width="13.28515625" style="1112" bestFit="1" customWidth="1"/>
    <col min="16134" max="16134" width="4.85546875" style="1112" customWidth="1"/>
    <col min="16135" max="16135" width="11.7109375" style="1112" customWidth="1"/>
    <col min="16136" max="16136" width="12" style="1112" customWidth="1"/>
    <col min="16137" max="16137" width="9.7109375" style="1112" customWidth="1"/>
    <col min="16138" max="16138" width="13.7109375" style="1112" bestFit="1" customWidth="1"/>
    <col min="16139" max="16384" width="8.85546875" style="1112"/>
  </cols>
  <sheetData>
    <row r="1" spans="1:11" ht="23.25">
      <c r="A1" s="1773" t="s">
        <v>3513</v>
      </c>
      <c r="B1" s="1773"/>
      <c r="C1" s="1773"/>
      <c r="D1" s="1773"/>
      <c r="E1" s="1773"/>
      <c r="F1" s="1773"/>
      <c r="G1" s="1773"/>
      <c r="H1" s="1773"/>
      <c r="I1" s="1773"/>
      <c r="J1" s="1773"/>
      <c r="K1" s="1773"/>
    </row>
    <row r="2" spans="1:11" ht="15">
      <c r="A2" s="1113" t="str">
        <f>Overview!E8</f>
        <v>2015-009</v>
      </c>
      <c r="B2" s="1113" t="str">
        <f>Overview!C8</f>
        <v>The Cove at York</v>
      </c>
      <c r="C2" s="1114"/>
    </row>
    <row r="3" spans="1:11" ht="12.6" customHeight="1">
      <c r="A3" s="1114"/>
      <c r="B3" s="1114"/>
      <c r="C3" s="1114"/>
    </row>
    <row r="4" spans="1:11" ht="18">
      <c r="A4" s="1115" t="s">
        <v>4347</v>
      </c>
      <c r="B4" s="1114"/>
      <c r="C4" s="1114"/>
    </row>
    <row r="5" spans="1:11" s="1067" customFormat="1" ht="17.25" customHeight="1">
      <c r="C5" s="1776" t="s">
        <v>4330</v>
      </c>
      <c r="D5" s="1777"/>
      <c r="E5" s="1778"/>
      <c r="F5" s="727"/>
      <c r="G5" s="1776" t="s">
        <v>4331</v>
      </c>
      <c r="H5" s="1777"/>
      <c r="I5" s="1778"/>
      <c r="J5" s="1112"/>
      <c r="K5" s="1116" t="s">
        <v>4336</v>
      </c>
    </row>
    <row r="6" spans="1:11" s="1118" customFormat="1" ht="15" customHeight="1">
      <c r="A6" s="1117" t="s">
        <v>2887</v>
      </c>
      <c r="C6" s="1119" t="s">
        <v>4326</v>
      </c>
      <c r="D6" s="1119" t="s">
        <v>3514</v>
      </c>
      <c r="E6" s="1119" t="s">
        <v>2089</v>
      </c>
      <c r="G6" s="1119" t="s">
        <v>4327</v>
      </c>
      <c r="H6" s="1119" t="s">
        <v>3514</v>
      </c>
      <c r="I6" s="1119" t="s">
        <v>2089</v>
      </c>
      <c r="K6" s="1120" t="s">
        <v>3517</v>
      </c>
    </row>
    <row r="7" spans="1:11" s="727" customFormat="1" ht="13.5" customHeight="1">
      <c r="A7" s="727" t="s">
        <v>3515</v>
      </c>
      <c r="C7" s="1121">
        <f>'DCA Underwriting Assumptions'!$J$45</f>
        <v>110481</v>
      </c>
      <c r="D7" s="1122">
        <f>'Part VI-Revenues &amp; Expenses'!$H$62</f>
        <v>0</v>
      </c>
      <c r="E7" s="1123">
        <f>C7*D7</f>
        <v>0</v>
      </c>
      <c r="G7" s="1121">
        <f>'DCA Underwriting Assumptions'!$J$45</f>
        <v>110481</v>
      </c>
      <c r="H7" s="1122">
        <f>'Part VI-Revenues &amp; Expenses'!$H$62</f>
        <v>0</v>
      </c>
      <c r="I7" s="1123">
        <f>G7*H7</f>
        <v>0</v>
      </c>
      <c r="K7" s="1124">
        <f>'Part I-Project Information'!$O$165</f>
        <v>0</v>
      </c>
    </row>
    <row r="8" spans="1:11" s="727" customFormat="1" ht="13.5" customHeight="1">
      <c r="A8" s="727" t="s">
        <v>2885</v>
      </c>
      <c r="C8" s="1121">
        <f>'DCA Underwriting Assumptions'!$K$45</f>
        <v>126647</v>
      </c>
      <c r="D8" s="1122">
        <f>'Part VI-Revenues &amp; Expenses'!$I$62</f>
        <v>18</v>
      </c>
      <c r="E8" s="1123">
        <f>C8*D8</f>
        <v>2279646</v>
      </c>
      <c r="G8" s="1121">
        <f>'DCA Underwriting Assumptions'!$K$45</f>
        <v>126647</v>
      </c>
      <c r="H8" s="1122">
        <f>'Part VI-Revenues &amp; Expenses'!$I$62</f>
        <v>18</v>
      </c>
      <c r="I8" s="1123">
        <f>G8*H8</f>
        <v>2279646</v>
      </c>
      <c r="K8" s="1120" t="s">
        <v>4328</v>
      </c>
    </row>
    <row r="9" spans="1:11" s="727" customFormat="1" ht="13.5" customHeight="1">
      <c r="A9" s="727" t="s">
        <v>2886</v>
      </c>
      <c r="C9" s="1121">
        <f>'DCA Underwriting Assumptions'!$L$45</f>
        <v>154003</v>
      </c>
      <c r="D9" s="1122">
        <f>'Part VI-Revenues &amp; Expenses'!$J$62</f>
        <v>54</v>
      </c>
      <c r="E9" s="1123">
        <f>C9*D9</f>
        <v>8316162</v>
      </c>
      <c r="G9" s="1121">
        <f>'DCA Underwriting Assumptions'!$L$45</f>
        <v>154003</v>
      </c>
      <c r="H9" s="1122">
        <f>'Part VI-Revenues &amp; Expenses'!$J$62</f>
        <v>54</v>
      </c>
      <c r="I9" s="1123">
        <f>G9*H9</f>
        <v>8316162</v>
      </c>
      <c r="K9" s="1124">
        <f>'Part IV-Uses of Funds'!$G$130</f>
        <v>14368613</v>
      </c>
    </row>
    <row r="10" spans="1:11" s="727" customFormat="1" ht="13.5" customHeight="1">
      <c r="A10" s="727" t="s">
        <v>2889</v>
      </c>
      <c r="C10" s="1121">
        <f>'DCA Underwriting Assumptions'!$M$45</f>
        <v>199229</v>
      </c>
      <c r="D10" s="1122">
        <f>'Part VI-Revenues &amp; Expenses'!$K$62</f>
        <v>24</v>
      </c>
      <c r="E10" s="1123">
        <f>C10*D10</f>
        <v>4781496</v>
      </c>
      <c r="G10" s="1121">
        <f>'DCA Underwriting Assumptions'!$M$45</f>
        <v>199229</v>
      </c>
      <c r="H10" s="1122">
        <f>'Part VI-Revenues &amp; Expenses'!$K$62</f>
        <v>24</v>
      </c>
      <c r="I10" s="1123">
        <f>G10*H10</f>
        <v>4781496</v>
      </c>
      <c r="K10" s="1120" t="s">
        <v>4329</v>
      </c>
    </row>
    <row r="11" spans="1:11" s="727" customFormat="1" ht="13.5" customHeight="1">
      <c r="A11" s="1125" t="s">
        <v>4325</v>
      </c>
      <c r="C11" s="1126">
        <f>'DCA Underwriting Assumptions'!$N$45</f>
        <v>199229</v>
      </c>
      <c r="D11" s="1127">
        <f>'Part VI-Revenues &amp; Expenses'!$L$62</f>
        <v>0</v>
      </c>
      <c r="E11" s="1128">
        <f>C11*D11</f>
        <v>0</v>
      </c>
      <c r="G11" s="1126">
        <f>'DCA Underwriting Assumptions'!$N$45</f>
        <v>199229</v>
      </c>
      <c r="H11" s="1127">
        <f>'Part VI-Revenues &amp; Expenses'!$L$62</f>
        <v>0</v>
      </c>
      <c r="I11" s="1128">
        <f>G11*H11</f>
        <v>0</v>
      </c>
      <c r="K11" s="1779" t="s">
        <v>4337</v>
      </c>
    </row>
    <row r="12" spans="1:11" ht="13.5" customHeight="1" thickBot="1">
      <c r="A12" s="1129" t="s">
        <v>4291</v>
      </c>
      <c r="D12" s="1130">
        <f>SUM(D7:D11)</f>
        <v>96</v>
      </c>
      <c r="E12" s="1131"/>
      <c r="G12" s="1129" t="s">
        <v>1881</v>
      </c>
      <c r="H12" s="1130">
        <f>SUM(H7:H11)</f>
        <v>96</v>
      </c>
      <c r="I12" s="1131"/>
      <c r="K12" s="1780"/>
    </row>
    <row r="13" spans="1:11" s="727" customFormat="1" ht="13.5" customHeight="1" thickBot="1">
      <c r="A13" s="1129" t="s">
        <v>3516</v>
      </c>
      <c r="B13" s="1132"/>
      <c r="E13" s="1133">
        <f>SUM(E7:E11)</f>
        <v>15377304</v>
      </c>
      <c r="G13" s="1129" t="s">
        <v>3770</v>
      </c>
      <c r="H13" s="1132"/>
      <c r="I13" s="1134">
        <f>SUM(I7:I11)</f>
        <v>15377304</v>
      </c>
      <c r="K13" s="1124">
        <f>'Part VIII-Threshold Criteria'!$P$60</f>
        <v>17206590</v>
      </c>
    </row>
    <row r="14" spans="1:11" ht="11.25" customHeight="1">
      <c r="G14" s="1135" t="s">
        <v>4333</v>
      </c>
    </row>
    <row r="15" spans="1:11" s="727" customFormat="1" ht="13.5" customHeight="1"/>
    <row r="16" spans="1:11" ht="16.5" customHeight="1">
      <c r="A16" s="1115" t="s">
        <v>4348</v>
      </c>
    </row>
    <row r="17" spans="1:11" ht="6" customHeight="1"/>
    <row r="18" spans="1:11" s="727" customFormat="1" ht="13.5" customHeight="1">
      <c r="A18" s="727" t="s">
        <v>4335</v>
      </c>
      <c r="E18" s="1136" t="s">
        <v>3768</v>
      </c>
      <c r="K18" s="1137">
        <f>Overview!D13</f>
        <v>96</v>
      </c>
    </row>
    <row r="19" spans="1:11" s="727" customFormat="1" ht="13.5" customHeight="1">
      <c r="A19" s="727" t="s">
        <v>3518</v>
      </c>
      <c r="K19" s="959">
        <f>Overview!C13</f>
        <v>96</v>
      </c>
    </row>
    <row r="20" spans="1:11" ht="3" customHeight="1">
      <c r="A20" s="1138"/>
    </row>
    <row r="21" spans="1:11" s="727" customFormat="1" ht="13.5" customHeight="1">
      <c r="A21" s="727" t="s">
        <v>3519</v>
      </c>
      <c r="E21" s="1136" t="s">
        <v>4334</v>
      </c>
      <c r="K21" s="1139">
        <f>K18/K19</f>
        <v>1</v>
      </c>
    </row>
    <row r="22" spans="1:11" ht="9" customHeight="1"/>
    <row r="23" spans="1:11" s="727" customFormat="1" ht="13.5" customHeight="1">
      <c r="A23" s="727" t="s">
        <v>4290</v>
      </c>
      <c r="C23" s="1140"/>
      <c r="E23" s="1136" t="s">
        <v>3522</v>
      </c>
      <c r="K23" s="959">
        <f>K9</f>
        <v>14368613</v>
      </c>
    </row>
    <row r="24" spans="1:11" s="727" customFormat="1" ht="13.5" customHeight="1">
      <c r="A24" s="1141" t="s">
        <v>1848</v>
      </c>
      <c r="K24" s="1124">
        <f>'Part IV-Uses of Funds'!$G$120</f>
        <v>264618</v>
      </c>
    </row>
    <row r="25" spans="1:11" s="727" customFormat="1" ht="13.5" customHeight="1">
      <c r="A25" s="1141" t="s">
        <v>3523</v>
      </c>
      <c r="K25" s="1142">
        <v>0</v>
      </c>
    </row>
    <row r="26" spans="1:11" s="727" customFormat="1" ht="13.5" customHeight="1">
      <c r="A26" s="1141" t="s">
        <v>3523</v>
      </c>
      <c r="K26" s="1142">
        <v>0</v>
      </c>
    </row>
    <row r="27" spans="1:11" ht="3" customHeight="1">
      <c r="A27" s="1143"/>
      <c r="K27" s="1144">
        <v>0</v>
      </c>
    </row>
    <row r="28" spans="1:11" s="1132" customFormat="1" ht="13.5" customHeight="1">
      <c r="A28" s="1132" t="s">
        <v>3524</v>
      </c>
      <c r="K28" s="1145">
        <f>K23-SUM(K24:K27)</f>
        <v>14103995</v>
      </c>
    </row>
    <row r="29" spans="1:11" ht="9" customHeight="1">
      <c r="A29" s="1138"/>
      <c r="K29" s="1146"/>
    </row>
    <row r="30" spans="1:11" s="727" customFormat="1" ht="15" customHeight="1">
      <c r="A30" s="1132" t="s">
        <v>3525</v>
      </c>
      <c r="E30" s="1136" t="s">
        <v>4342</v>
      </c>
      <c r="F30" s="1147"/>
      <c r="G30" s="1147"/>
      <c r="H30" s="1147"/>
      <c r="I30" s="1147"/>
      <c r="K30" s="1148">
        <f>K21*K28</f>
        <v>14103995</v>
      </c>
    </row>
    <row r="31" spans="1:11" ht="27.75" customHeight="1">
      <c r="K31" s="1146"/>
    </row>
    <row r="32" spans="1:11" s="727" customFormat="1" ht="16.5" customHeight="1">
      <c r="A32" s="1149" t="s">
        <v>4349</v>
      </c>
      <c r="B32" s="1132"/>
      <c r="C32" s="1132"/>
      <c r="D32" s="1132"/>
      <c r="E32" s="1136"/>
    </row>
    <row r="33" spans="1:11" ht="6" customHeight="1" thickBot="1"/>
    <row r="34" spans="1:11" s="727" customFormat="1" ht="24" customHeight="1" thickBot="1">
      <c r="A34" s="1150" t="s">
        <v>4345</v>
      </c>
      <c r="B34" s="1132"/>
      <c r="C34" s="1132"/>
      <c r="D34" s="1132"/>
      <c r="E34" s="1136" t="s">
        <v>4343</v>
      </c>
      <c r="K34" s="1151">
        <f>MIN(E13,K30)</f>
        <v>14103995</v>
      </c>
    </row>
    <row r="35" spans="1:11" ht="6" customHeight="1"/>
    <row r="36" spans="1:11" s="727" customFormat="1" ht="15" customHeight="1">
      <c r="A36" s="1132" t="s">
        <v>4346</v>
      </c>
      <c r="E36" s="1136" t="s">
        <v>4344</v>
      </c>
      <c r="K36" s="1152">
        <f>Overview!C25</f>
        <v>787492</v>
      </c>
    </row>
    <row r="37" spans="1:11" s="727" customFormat="1" ht="9" customHeight="1" thickBot="1">
      <c r="E37" s="1153"/>
      <c r="F37" s="1153"/>
      <c r="G37" s="1153"/>
      <c r="H37" s="1153"/>
      <c r="K37" s="1154"/>
    </row>
    <row r="38" spans="1:11" s="727" customFormat="1" ht="15.75" customHeight="1">
      <c r="A38" s="1781" t="s">
        <v>4340</v>
      </c>
      <c r="B38" s="1781"/>
      <c r="C38" s="1781"/>
      <c r="D38" s="1784" t="s">
        <v>3520</v>
      </c>
      <c r="E38" s="1784"/>
      <c r="F38" s="1784" t="s">
        <v>3521</v>
      </c>
      <c r="G38" s="1784"/>
      <c r="H38" s="1784"/>
      <c r="I38" s="1155" t="s">
        <v>3158</v>
      </c>
      <c r="K38" s="1774">
        <f>ROUND((D39/F39)*I39,0)</f>
        <v>5</v>
      </c>
    </row>
    <row r="39" spans="1:11" s="727" customFormat="1" ht="15.75" customHeight="1" thickBot="1">
      <c r="A39" s="1781"/>
      <c r="B39" s="1781"/>
      <c r="C39" s="1781"/>
      <c r="D39" s="1783">
        <f>K36</f>
        <v>787492</v>
      </c>
      <c r="E39" s="1783"/>
      <c r="F39" s="1782">
        <f>K28</f>
        <v>14103995</v>
      </c>
      <c r="G39" s="1782"/>
      <c r="H39" s="1782"/>
      <c r="I39" s="1156">
        <f>K19</f>
        <v>96</v>
      </c>
      <c r="K39" s="1775"/>
    </row>
    <row r="40" spans="1:11" ht="12.75" customHeight="1">
      <c r="D40" s="1157" t="s">
        <v>4341</v>
      </c>
      <c r="H40" s="1157"/>
      <c r="I40" s="1157"/>
      <c r="K40" s="1157"/>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2015-009  The Cove at York</v>
      </c>
      <c r="B1" s="1785"/>
      <c r="C1" s="1785"/>
      <c r="D1" s="1785"/>
      <c r="E1" s="1785"/>
      <c r="F1" s="1785"/>
      <c r="G1" s="1785"/>
      <c r="H1" s="1785"/>
    </row>
    <row r="3" spans="1:13" ht="12" customHeight="1">
      <c r="A3" s="1786" t="s">
        <v>4294</v>
      </c>
      <c r="B3" s="1786"/>
      <c r="C3" s="1786"/>
      <c r="D3" s="1786"/>
      <c r="E3" s="1786"/>
      <c r="F3" s="1786"/>
      <c r="G3" s="1786"/>
      <c r="H3" s="1786"/>
      <c r="I3" s="711"/>
      <c r="J3" s="684" t="s">
        <v>3526</v>
      </c>
      <c r="K3" s="684"/>
      <c r="L3" s="684"/>
      <c r="M3" s="684"/>
    </row>
    <row r="5" spans="1:13" ht="12" customHeight="1">
      <c r="A5" s="682">
        <v>1</v>
      </c>
      <c r="C5" s="682" t="s">
        <v>3527</v>
      </c>
      <c r="E5" s="712" t="str">
        <f>Overview!H9</f>
        <v>The Cove at York, LP</v>
      </c>
    </row>
    <row r="6" spans="1:13" ht="3" customHeight="1">
      <c r="H6" s="967"/>
    </row>
    <row r="7" spans="1:13" ht="12" customHeight="1">
      <c r="A7" s="682">
        <v>2</v>
      </c>
      <c r="C7" s="682" t="s">
        <v>3528</v>
      </c>
      <c r="E7" s="712" t="str">
        <f>'Part II-Development Team'!H6</f>
        <v>624 Skyland Blvd East, Suite D</v>
      </c>
    </row>
    <row r="8" spans="1:13" ht="12" customHeight="1">
      <c r="E8" s="712" t="str">
        <f>+'Part II-Development Team'!H7&amp;","&amp;" "&amp;'Part II-Development Team'!H8&amp;" "&amp;LEFT('Part II-Development Team'!J8,5)</f>
        <v>Tuscaloosa, AL 35405</v>
      </c>
    </row>
    <row r="9" spans="1:13" ht="12" customHeight="1">
      <c r="C9" s="682" t="s">
        <v>3529</v>
      </c>
      <c r="E9" s="1787"/>
      <c r="F9" s="1787"/>
    </row>
    <row r="10" spans="1:13" ht="12" customHeight="1">
      <c r="C10" s="682" t="s">
        <v>3530</v>
      </c>
      <c r="E10" s="712" t="str">
        <f>'Part II-Development Team'!Q5</f>
        <v>Mark E. English</v>
      </c>
    </row>
    <row r="11" spans="1:13" ht="12" customHeight="1">
      <c r="C11" s="682" t="s">
        <v>3531</v>
      </c>
      <c r="E11" s="712" t="str">
        <f>'Part II-Development Team'!O9</f>
        <v>mark@nahpa.org</v>
      </c>
    </row>
    <row r="12" spans="1:13" ht="12" customHeight="1">
      <c r="C12" s="682" t="s">
        <v>3532</v>
      </c>
      <c r="E12" s="721">
        <f>'Part II-Development Team'!H9</f>
        <v>2057229331</v>
      </c>
    </row>
    <row r="13" spans="1:13" ht="12" customHeight="1">
      <c r="C13" s="682" t="s">
        <v>3533</v>
      </c>
      <c r="E13" s="721">
        <f>'Part II-Development Team'!L9</f>
        <v>2053453813</v>
      </c>
    </row>
    <row r="14" spans="1:13" ht="3" customHeight="1"/>
    <row r="15" spans="1:13" ht="12" customHeight="1">
      <c r="A15" s="682">
        <v>3</v>
      </c>
      <c r="C15" s="682" t="s">
        <v>3534</v>
      </c>
      <c r="E15" s="712" t="str">
        <f>Overview!C8</f>
        <v>The Cove at York</v>
      </c>
    </row>
    <row r="16" spans="1:13" ht="12" customHeight="1">
      <c r="C16" s="682" t="s">
        <v>3535</v>
      </c>
      <c r="E16" s="712" t="str">
        <f>'Part I-Project Information'!$F$25</f>
        <v>Parcel 0C0180 007000 (N. Houston Lake Rd.)</v>
      </c>
    </row>
    <row r="17" spans="1:8" ht="12" customHeight="1">
      <c r="E17" s="712" t="str">
        <f>+'Part I-Project Information'!$F$28&amp;","&amp;" "&amp;'Part I-Project Information'!$J$29&amp;" "&amp;LEFT('Part I-Project Information'!$J$28,5)</f>
        <v>Centerville, Houston 31028</v>
      </c>
    </row>
    <row r="18" spans="1:8" ht="3" customHeight="1"/>
    <row r="19" spans="1:8" ht="12" customHeight="1">
      <c r="A19" s="682">
        <v>4</v>
      </c>
      <c r="C19" s="682" t="s">
        <v>3536</v>
      </c>
      <c r="E19" s="712" t="str">
        <f>'Part II-Development Team'!H92</f>
        <v>Vantage Management, LLC</v>
      </c>
    </row>
    <row r="20" spans="1:8" ht="12" customHeight="1">
      <c r="C20" s="682" t="s">
        <v>3537</v>
      </c>
      <c r="E20" s="712" t="str">
        <f>'Part II-Development Team'!H93</f>
        <v>1544 S. Main Street</v>
      </c>
    </row>
    <row r="21" spans="1:8" ht="12" customHeight="1">
      <c r="E21" s="712" t="str">
        <f>+'Part II-Development Team'!H94&amp;","&amp;" "&amp;'Part II-Development Team'!H95&amp;" "&amp;LEFT('Part II-Development Team'!J95,5)</f>
        <v>Fyffe, AL 35971</v>
      </c>
    </row>
    <row r="22" spans="1:8" ht="12" customHeight="1">
      <c r="C22" s="682" t="s">
        <v>3532</v>
      </c>
      <c r="E22" s="721">
        <f>'Part II-Development Team'!H96</f>
        <v>2564174921</v>
      </c>
    </row>
    <row r="23" spans="1:8" ht="12" customHeight="1">
      <c r="C23" s="682" t="s">
        <v>3533</v>
      </c>
      <c r="E23" s="721">
        <f>'Part II-Development Team'!L96</f>
        <v>2566233944</v>
      </c>
    </row>
    <row r="24" spans="1:8" ht="12" customHeight="1">
      <c r="C24" s="682" t="s">
        <v>1888</v>
      </c>
      <c r="E24" s="721" t="str">
        <f>'Part II-Development Team'!O96</f>
        <v>lbarron@thevantagegroup.biz</v>
      </c>
    </row>
    <row r="25" spans="1:8" ht="3" customHeight="1">
      <c r="E25" s="712"/>
    </row>
    <row r="26" spans="1:8" ht="12" customHeight="1">
      <c r="A26" s="682">
        <v>5</v>
      </c>
      <c r="C26" s="682" t="s">
        <v>3538</v>
      </c>
      <c r="E26" s="712" t="str">
        <f>Overview!$H$7</f>
        <v>New Construction</v>
      </c>
    </row>
    <row r="27" spans="1:8" ht="12" customHeight="1">
      <c r="E27" s="712" t="s">
        <v>1859</v>
      </c>
    </row>
    <row r="28" spans="1:8" ht="12" customHeight="1">
      <c r="C28" s="682" t="s">
        <v>4292</v>
      </c>
      <c r="E28" s="682" t="str">
        <f>Overview!$C$9</f>
        <v>&lt;&lt;Select&gt;&gt;</v>
      </c>
    </row>
    <row r="29" spans="1:8" ht="3" customHeight="1">
      <c r="H29" s="683"/>
    </row>
    <row r="30" spans="1:8" ht="12" customHeight="1">
      <c r="A30" s="682">
        <v>6</v>
      </c>
      <c r="C30" s="682" t="s">
        <v>3539</v>
      </c>
      <c r="E30" s="682" t="s">
        <v>2529</v>
      </c>
      <c r="F30" s="713">
        <f>'Part III-Sources of Funds'!L18</f>
        <v>9078110</v>
      </c>
      <c r="G30" s="682" t="s">
        <v>3540</v>
      </c>
    </row>
    <row r="31" spans="1:8" ht="12" customHeight="1">
      <c r="F31" s="713" t="s">
        <v>3541</v>
      </c>
      <c r="G31" s="682" t="s">
        <v>3542</v>
      </c>
    </row>
    <row r="32" spans="1:8" ht="3" customHeight="1">
      <c r="F32" s="689"/>
    </row>
    <row r="33" spans="1:7" ht="12" customHeight="1">
      <c r="A33" s="682">
        <v>7</v>
      </c>
      <c r="C33" s="682" t="s">
        <v>3543</v>
      </c>
      <c r="F33" s="715">
        <v>0</v>
      </c>
    </row>
    <row r="34" spans="1:7" ht="3" customHeight="1">
      <c r="F34" s="689"/>
    </row>
    <row r="35" spans="1:7" ht="12" customHeight="1">
      <c r="A35" s="682">
        <v>8</v>
      </c>
      <c r="C35" s="682" t="s">
        <v>3544</v>
      </c>
      <c r="E35" s="682" t="s">
        <v>2529</v>
      </c>
      <c r="F35" s="714">
        <v>0.01</v>
      </c>
    </row>
    <row r="36" spans="1:7" ht="3" customHeight="1">
      <c r="F36" s="715"/>
    </row>
    <row r="37" spans="1:7" ht="12" customHeight="1">
      <c r="A37" s="682">
        <v>9</v>
      </c>
      <c r="C37" s="682" t="s">
        <v>3545</v>
      </c>
      <c r="F37" s="716">
        <v>24</v>
      </c>
      <c r="G37" s="682" t="s">
        <v>3546</v>
      </c>
    </row>
    <row r="38" spans="1:7" ht="3" customHeight="1">
      <c r="F38" s="715"/>
    </row>
    <row r="39" spans="1:7" ht="12" customHeight="1">
      <c r="A39" s="682">
        <v>10</v>
      </c>
      <c r="C39" s="682" t="s">
        <v>3547</v>
      </c>
      <c r="E39" s="682" t="s">
        <v>2529</v>
      </c>
      <c r="F39" s="689">
        <f>'Part III-Sources of Funds'!L36*12</f>
        <v>120</v>
      </c>
      <c r="G39" s="682" t="s">
        <v>3546</v>
      </c>
    </row>
    <row r="40" spans="1:7" ht="3" customHeight="1">
      <c r="F40" s="689"/>
    </row>
    <row r="41" spans="1:7" ht="12" customHeight="1">
      <c r="A41" s="682">
        <v>11</v>
      </c>
      <c r="C41" s="682" t="s">
        <v>3548</v>
      </c>
      <c r="F41" s="722">
        <v>24</v>
      </c>
      <c r="G41" s="682" t="s">
        <v>3546</v>
      </c>
    </row>
    <row r="42" spans="1:7" ht="3" customHeight="1"/>
    <row r="43" spans="1:7" ht="12" customHeight="1">
      <c r="A43" s="682">
        <v>12</v>
      </c>
      <c r="C43" s="682" t="s">
        <v>3549</v>
      </c>
      <c r="F43" s="724" t="s">
        <v>3550</v>
      </c>
    </row>
    <row r="44" spans="1:7" ht="3" customHeight="1"/>
    <row r="45" spans="1:7" ht="12" customHeight="1">
      <c r="A45" s="682">
        <v>13</v>
      </c>
      <c r="C45" s="682" t="s">
        <v>3551</v>
      </c>
      <c r="E45" s="682" t="s">
        <v>2529</v>
      </c>
      <c r="F45" s="712" t="s">
        <v>3552</v>
      </c>
    </row>
    <row r="46" spans="1:7" ht="3" customHeight="1">
      <c r="F46" s="967"/>
    </row>
    <row r="47" spans="1:7" ht="12" customHeight="1">
      <c r="A47" s="682">
        <v>14</v>
      </c>
      <c r="C47" s="682" t="s">
        <v>3553</v>
      </c>
      <c r="E47" s="712" t="str">
        <f>'Part II-Development Team'!H14</f>
        <v>NAHPA 2015 GA, Inc.</v>
      </c>
    </row>
    <row r="48" spans="1:7" ht="3" customHeight="1">
      <c r="E48" s="712"/>
    </row>
    <row r="49" spans="1:7" ht="12" customHeight="1">
      <c r="A49" s="682">
        <v>15</v>
      </c>
      <c r="C49" s="682" t="s">
        <v>3554</v>
      </c>
      <c r="E49" s="712" t="str">
        <f>'Part II-Development Team'!Q98</f>
        <v>Matt Aiken</v>
      </c>
    </row>
    <row r="50" spans="1:7" ht="12" customHeight="1">
      <c r="C50" s="682" t="s">
        <v>3555</v>
      </c>
      <c r="E50" s="712" t="str">
        <f>'Part II-Development Team'!O102</f>
        <v>maiken@balch.com</v>
      </c>
      <c r="F50" s="689"/>
    </row>
    <row r="51" spans="1:7" ht="3" customHeight="1">
      <c r="F51" s="689"/>
    </row>
    <row r="52" spans="1:7" ht="12" customHeight="1">
      <c r="A52" s="682">
        <v>16</v>
      </c>
      <c r="C52" s="682" t="s">
        <v>3556</v>
      </c>
      <c r="F52" s="689">
        <f>'Part VI-Revenues &amp; Expenses'!$M$62</f>
        <v>96</v>
      </c>
    </row>
    <row r="53" spans="1:7" ht="3" customHeight="1">
      <c r="F53" s="689"/>
    </row>
    <row r="54" spans="1:7" ht="12" customHeight="1">
      <c r="A54" s="717">
        <v>17</v>
      </c>
      <c r="B54" s="717"/>
      <c r="C54" s="717" t="s">
        <v>3557</v>
      </c>
      <c r="D54" s="717"/>
      <c r="E54" s="717"/>
      <c r="F54" s="953">
        <f>'Subsidy Layering WS'!D12</f>
        <v>96</v>
      </c>
      <c r="G54" s="717"/>
    </row>
    <row r="55" spans="1:7" ht="3" customHeight="1">
      <c r="F55" s="689"/>
    </row>
    <row r="56" spans="1:7" ht="12" customHeight="1">
      <c r="A56" s="682">
        <v>18</v>
      </c>
      <c r="C56" s="682" t="s">
        <v>3558</v>
      </c>
      <c r="E56" s="682" t="s">
        <v>2637</v>
      </c>
      <c r="F56" s="689">
        <f>'Part VI-Revenues &amp; Expenses'!$M$61</f>
        <v>0</v>
      </c>
    </row>
    <row r="57" spans="1:7" ht="3" customHeight="1">
      <c r="F57" s="689"/>
    </row>
    <row r="58" spans="1:7" ht="12" customHeight="1">
      <c r="A58" s="682">
        <v>19</v>
      </c>
      <c r="C58" s="682" t="s">
        <v>3559</v>
      </c>
      <c r="F58" s="723"/>
      <c r="G58" s="682" t="s">
        <v>4295</v>
      </c>
    </row>
    <row r="59" spans="1:7" ht="3" customHeight="1">
      <c r="F59" s="689"/>
    </row>
    <row r="60" spans="1:7" ht="12" customHeight="1">
      <c r="A60" s="682">
        <v>20</v>
      </c>
      <c r="C60" s="682" t="s">
        <v>3560</v>
      </c>
      <c r="F60" s="718">
        <f>'Part VII-Pro Forma'!$K$65</f>
        <v>5.885549675082087E-8</v>
      </c>
      <c r="G60" s="717">
        <v>300</v>
      </c>
    </row>
    <row r="61" spans="1:7" ht="3" customHeight="1"/>
    <row r="62" spans="1:7" ht="12" customHeight="1">
      <c r="A62" s="682">
        <v>21</v>
      </c>
      <c r="C62" s="682" t="s">
        <v>4313</v>
      </c>
      <c r="E62" s="684" t="s">
        <v>4296</v>
      </c>
      <c r="F62" s="954" t="s">
        <v>4297</v>
      </c>
      <c r="G62" s="684" t="s">
        <v>3561</v>
      </c>
    </row>
    <row r="63" spans="1:7" ht="12" customHeight="1">
      <c r="E63" s="684" t="s">
        <v>4296</v>
      </c>
      <c r="F63" s="954" t="s">
        <v>4297</v>
      </c>
      <c r="G63" s="684"/>
    </row>
    <row r="64" spans="1:7" ht="3" customHeight="1"/>
    <row r="65" spans="1:6" ht="12" customHeight="1">
      <c r="A65" s="682">
        <v>22</v>
      </c>
      <c r="C65" s="682" t="s">
        <v>3562</v>
      </c>
      <c r="E65" s="712" t="str">
        <f>Overview!H9</f>
        <v>The Cove at York, LP</v>
      </c>
    </row>
    <row r="66" spans="1:6" ht="3" customHeight="1"/>
    <row r="67" spans="1:6" ht="12" customHeight="1">
      <c r="A67" s="682">
        <v>23</v>
      </c>
      <c r="C67" s="682" t="s">
        <v>3563</v>
      </c>
      <c r="F67" s="689" t="s">
        <v>3564</v>
      </c>
    </row>
    <row r="68" spans="1:6" ht="3" customHeight="1"/>
    <row r="69" spans="1:6" ht="12" customHeight="1">
      <c r="A69" s="682">
        <v>24</v>
      </c>
      <c r="C69" s="682" t="s">
        <v>3565</v>
      </c>
      <c r="E69" s="682" t="s">
        <v>2529</v>
      </c>
      <c r="F69" s="689">
        <v>20</v>
      </c>
    </row>
    <row r="70" spans="1:6" ht="3" customHeight="1"/>
    <row r="71" spans="1:6" ht="12" customHeight="1">
      <c r="A71" s="682">
        <v>25</v>
      </c>
      <c r="C71" s="682" t="s">
        <v>3566</v>
      </c>
      <c r="F71" s="719">
        <f>'Part IV-Uses of Funds'!$G$120</f>
        <v>264618</v>
      </c>
    </row>
    <row r="72" spans="1:6" ht="3" customHeight="1">
      <c r="F72" s="719"/>
    </row>
    <row r="73" spans="1:6" ht="12" customHeight="1">
      <c r="A73" s="682">
        <v>26</v>
      </c>
      <c r="C73" s="682" t="s">
        <v>3567</v>
      </c>
      <c r="F73" s="719">
        <f>'Part IV-Uses of Funds'!$G$121</f>
        <v>0</v>
      </c>
    </row>
    <row r="74" spans="1:6" ht="3" customHeight="1">
      <c r="F74" s="719"/>
    </row>
    <row r="75" spans="1:6" ht="12" customHeight="1">
      <c r="A75" s="682">
        <v>27</v>
      </c>
      <c r="C75" s="682" t="s">
        <v>3568</v>
      </c>
      <c r="F75" s="720">
        <f>'Part IV-Uses of Funds'!$G$119</f>
        <v>106081</v>
      </c>
    </row>
    <row r="76" spans="1:6" ht="3" customHeight="1">
      <c r="F76" s="719"/>
    </row>
    <row r="77" spans="1:6" ht="12" customHeight="1">
      <c r="A77" s="682">
        <v>28</v>
      </c>
      <c r="C77" s="682" t="s">
        <v>3569</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2" customWidth="1"/>
    <col min="2" max="2" width="11" style="1112" customWidth="1"/>
    <col min="3" max="3" width="31.140625" style="1112" customWidth="1"/>
    <col min="4" max="4" width="14" style="1112" customWidth="1"/>
    <col min="5" max="5" width="13" style="1112" customWidth="1"/>
    <col min="6" max="6" width="10.85546875" style="1112" customWidth="1"/>
    <col min="7" max="8" width="9.7109375" style="1112" customWidth="1"/>
    <col min="9" max="10" width="2.28515625" style="1112" customWidth="1"/>
    <col min="11" max="16384" width="9.140625" style="1112"/>
  </cols>
  <sheetData>
    <row r="1" spans="1:10" ht="15">
      <c r="A1" s="1799" t="s">
        <v>3773</v>
      </c>
      <c r="B1" s="1799"/>
      <c r="C1" s="1799"/>
      <c r="D1" s="1799"/>
      <c r="E1" s="1799"/>
      <c r="F1" s="1799"/>
      <c r="G1" s="1799"/>
      <c r="H1" s="1799"/>
      <c r="I1" s="1799"/>
      <c r="J1" s="1799"/>
    </row>
    <row r="2" spans="1:10" ht="15">
      <c r="A2" s="1799" t="str">
        <f>Overview!E8&amp;"  "&amp;Overview!C8</f>
        <v>2015-009  The Cove at York</v>
      </c>
      <c r="B2" s="1799"/>
      <c r="C2" s="1799"/>
      <c r="D2" s="1799"/>
      <c r="E2" s="1799"/>
      <c r="F2" s="1799"/>
      <c r="G2" s="1799"/>
      <c r="H2" s="1799"/>
      <c r="I2" s="1799"/>
      <c r="J2" s="1799"/>
    </row>
    <row r="3" spans="1:10" ht="6" customHeight="1"/>
    <row r="4" spans="1:10" ht="12" customHeight="1">
      <c r="A4" s="1158" t="s">
        <v>3570</v>
      </c>
    </row>
    <row r="5" spans="1:10" ht="12" customHeight="1">
      <c r="A5" s="1112" t="s">
        <v>3571</v>
      </c>
      <c r="C5" s="1159" t="str">
        <f>'Subsidy Layering Memo'!D6</f>
        <v>(Underwriter)</v>
      </c>
      <c r="F5" s="1802" t="s">
        <v>3526</v>
      </c>
      <c r="G5" s="1802"/>
      <c r="H5" s="1802"/>
      <c r="I5" s="1159"/>
    </row>
    <row r="6" spans="1:10" ht="6" customHeight="1">
      <c r="C6" s="1045"/>
      <c r="D6" s="1159"/>
      <c r="I6" s="1159"/>
    </row>
    <row r="7" spans="1:10" ht="12" customHeight="1">
      <c r="A7" s="1158" t="s">
        <v>3572</v>
      </c>
      <c r="C7" s="1045"/>
      <c r="D7" s="1159"/>
      <c r="I7" s="1159"/>
    </row>
    <row r="8" spans="1:10" ht="12" customHeight="1">
      <c r="A8" s="1112" t="s">
        <v>3573</v>
      </c>
      <c r="C8" s="1159" t="str">
        <f>Overview!$H$9</f>
        <v>The Cove at York, LP</v>
      </c>
      <c r="I8" s="1159"/>
    </row>
    <row r="9" spans="1:10" ht="3" customHeight="1">
      <c r="C9" s="1045"/>
      <c r="D9" s="1159"/>
      <c r="I9" s="1159"/>
    </row>
    <row r="10" spans="1:10" ht="12" customHeight="1">
      <c r="A10" s="1112" t="s">
        <v>3574</v>
      </c>
      <c r="C10" s="1045" t="s">
        <v>1859</v>
      </c>
      <c r="I10" s="1159"/>
    </row>
    <row r="11" spans="1:10" ht="12" customHeight="1">
      <c r="C11" s="1045" t="s">
        <v>1859</v>
      </c>
      <c r="I11" s="1159"/>
    </row>
    <row r="12" spans="1:10" ht="12" customHeight="1">
      <c r="C12" s="1159" t="s">
        <v>2820</v>
      </c>
      <c r="D12" s="1160" t="s">
        <v>1859</v>
      </c>
      <c r="I12" s="1159"/>
    </row>
    <row r="13" spans="1:10" ht="12" customHeight="1">
      <c r="C13" s="1159" t="s">
        <v>3575</v>
      </c>
      <c r="D13" s="1161"/>
      <c r="I13" s="1159"/>
    </row>
    <row r="14" spans="1:10" ht="3" customHeight="1">
      <c r="G14" s="1045"/>
      <c r="H14" s="1159"/>
      <c r="I14" s="1159"/>
    </row>
    <row r="15" spans="1:10" ht="12" customHeight="1">
      <c r="A15" s="1112" t="s">
        <v>3576</v>
      </c>
      <c r="C15" s="1162" t="str">
        <f>'Part II-Development Team'!$Q$5</f>
        <v>Mark E. English</v>
      </c>
      <c r="G15" s="1045"/>
      <c r="I15" s="1159"/>
    </row>
    <row r="16" spans="1:10" ht="12" customHeight="1">
      <c r="A16" s="1163" t="s">
        <v>2078</v>
      </c>
      <c r="C16" s="1162" t="str">
        <f>'Part II-Development Team'!$Q$6</f>
        <v>President of GP</v>
      </c>
      <c r="G16" s="1045"/>
      <c r="I16" s="1159"/>
    </row>
    <row r="17" spans="1:9" ht="3" customHeight="1">
      <c r="G17" s="1045"/>
      <c r="H17" s="1159"/>
      <c r="I17" s="1159"/>
    </row>
    <row r="18" spans="1:9" ht="12" customHeight="1">
      <c r="A18" s="1112" t="s">
        <v>3577</v>
      </c>
      <c r="C18" s="1162" t="str">
        <f>'Preview term'!$E$7</f>
        <v>624 Skyland Blvd East, Suite D</v>
      </c>
      <c r="G18" s="1045"/>
      <c r="I18" s="1159"/>
    </row>
    <row r="19" spans="1:9" ht="12" customHeight="1">
      <c r="C19" s="1162" t="str">
        <f>'Preview term'!$E$8</f>
        <v>Tuscaloosa, AL 35405</v>
      </c>
      <c r="G19" s="1045"/>
      <c r="I19" s="1159"/>
    </row>
    <row r="20" spans="1:9" ht="3" customHeight="1">
      <c r="G20" s="1045"/>
      <c r="H20" s="1159"/>
      <c r="I20" s="1159"/>
    </row>
    <row r="21" spans="1:9" ht="12" customHeight="1">
      <c r="A21" s="1112" t="s">
        <v>3578</v>
      </c>
      <c r="C21" s="1162" t="str">
        <f>'Preview term'!$E$49</f>
        <v>Matt Aiken</v>
      </c>
      <c r="G21" s="1045"/>
      <c r="I21" s="1159"/>
    </row>
    <row r="22" spans="1:9" ht="3" customHeight="1">
      <c r="C22" s="1162"/>
      <c r="G22" s="1045"/>
      <c r="I22" s="1159"/>
    </row>
    <row r="23" spans="1:9" ht="12" customHeight="1">
      <c r="A23" s="1112" t="s">
        <v>3579</v>
      </c>
      <c r="C23" s="1162">
        <f>'Part II-Development Team'!$H$102</f>
        <v>2052263425</v>
      </c>
      <c r="G23" s="1045"/>
      <c r="I23" s="1159"/>
    </row>
    <row r="24" spans="1:9" ht="3" customHeight="1">
      <c r="C24" s="1162"/>
      <c r="G24" s="1045"/>
      <c r="I24" s="1159"/>
    </row>
    <row r="25" spans="1:9" ht="12" customHeight="1">
      <c r="A25" s="1112" t="s">
        <v>3580</v>
      </c>
      <c r="C25" s="955" t="str">
        <f>'Preview term'!$E$50</f>
        <v>maiken@balch.com</v>
      </c>
      <c r="G25" s="1045"/>
    </row>
    <row r="26" spans="1:9" ht="6" customHeight="1">
      <c r="G26" s="1045"/>
      <c r="H26" s="1159"/>
      <c r="I26" s="1159"/>
    </row>
    <row r="27" spans="1:9" ht="12" customHeight="1">
      <c r="A27" s="1158" t="s">
        <v>3581</v>
      </c>
      <c r="G27" s="1045"/>
      <c r="H27" s="1159"/>
      <c r="I27" s="1159"/>
    </row>
    <row r="28" spans="1:9" ht="12" customHeight="1">
      <c r="A28" s="1112" t="s">
        <v>3582</v>
      </c>
      <c r="C28" s="1162" t="str">
        <f>Overview!$C$8</f>
        <v>The Cove at York</v>
      </c>
      <c r="I28" s="1159"/>
    </row>
    <row r="29" spans="1:9" ht="3" customHeight="1">
      <c r="C29" s="1162"/>
      <c r="I29" s="1159"/>
    </row>
    <row r="30" spans="1:9" ht="12" customHeight="1">
      <c r="A30" s="1112" t="s">
        <v>3583</v>
      </c>
      <c r="C30" s="1162" t="str">
        <f>'Preview term'!E16</f>
        <v>Parcel 0C0180 007000 (N. Houston Lake Rd.)</v>
      </c>
      <c r="I30" s="1159"/>
    </row>
    <row r="31" spans="1:9">
      <c r="C31" s="1159" t="str">
        <f>'Preview term'!E17</f>
        <v>Centerville, Houston 31028</v>
      </c>
      <c r="I31" s="1159"/>
    </row>
    <row r="32" spans="1:9" ht="3" customHeight="1">
      <c r="C32" s="1045"/>
      <c r="D32" s="1045"/>
      <c r="I32" s="1045"/>
    </row>
    <row r="33" spans="1:10" ht="12" customHeight="1">
      <c r="A33" s="1112" t="s">
        <v>3584</v>
      </c>
      <c r="C33" s="1045" t="s">
        <v>3585</v>
      </c>
      <c r="D33" s="1164">
        <f>'Preview term'!F54</f>
        <v>96</v>
      </c>
      <c r="I33" s="1045"/>
    </row>
    <row r="34" spans="1:10" ht="12" customHeight="1">
      <c r="C34" s="1045" t="s">
        <v>3586</v>
      </c>
      <c r="D34" s="1165">
        <f>'Part VI-Revenues &amp; Expenses'!$M$59+'Part VI-Revenues &amp; Expenses'!$M$61</f>
        <v>0</v>
      </c>
      <c r="I34" s="1045"/>
    </row>
    <row r="35" spans="1:10" ht="12" customHeight="1">
      <c r="C35" s="1045" t="s">
        <v>3587</v>
      </c>
      <c r="D35" s="1166">
        <f>SUM(D33:D34)</f>
        <v>96</v>
      </c>
      <c r="I35" s="1045"/>
    </row>
    <row r="36" spans="1:10" ht="3" customHeight="1">
      <c r="C36" s="1045"/>
      <c r="D36" s="1045"/>
      <c r="I36" s="1045"/>
    </row>
    <row r="37" spans="1:10" ht="12" customHeight="1">
      <c r="A37" s="1112" t="s">
        <v>3588</v>
      </c>
      <c r="C37" s="1045" t="s">
        <v>3422</v>
      </c>
      <c r="D37" s="1167"/>
      <c r="I37" s="1045"/>
    </row>
    <row r="38" spans="1:10" ht="12" customHeight="1">
      <c r="C38" s="1045" t="s">
        <v>3425</v>
      </c>
      <c r="D38" s="1168"/>
      <c r="I38" s="1045"/>
    </row>
    <row r="39" spans="1:10" ht="12" customHeight="1">
      <c r="C39" s="1045" t="s">
        <v>3589</v>
      </c>
      <c r="D39" s="1169">
        <f>'Part VI-Revenues &amp; Expenses'!$M$61</f>
        <v>0</v>
      </c>
      <c r="I39" s="1045"/>
    </row>
    <row r="40" spans="1:10" ht="3" customHeight="1">
      <c r="G40" s="1170"/>
      <c r="H40" s="1045"/>
      <c r="I40" s="1045"/>
    </row>
    <row r="41" spans="1:10" ht="25.5" customHeight="1">
      <c r="A41" s="1171" t="s">
        <v>3590</v>
      </c>
      <c r="C41" s="17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pavillion with picnic area and BBQ grills, Equipped playground, , </v>
      </c>
      <c r="D41" s="1790"/>
      <c r="E41" s="1790"/>
      <c r="F41" s="1790"/>
      <c r="G41" s="1790"/>
      <c r="H41" s="1790"/>
      <c r="I41" s="1790"/>
      <c r="J41" s="1790"/>
    </row>
    <row r="42" spans="1:10" ht="3" customHeight="1">
      <c r="G42" s="1045"/>
      <c r="H42" s="1045"/>
      <c r="I42" s="1045"/>
    </row>
    <row r="43" spans="1:10" ht="25.5" customHeight="1">
      <c r="A43" s="1171" t="s">
        <v>3591</v>
      </c>
      <c r="C43" s="1791" t="s">
        <v>4298</v>
      </c>
      <c r="D43" s="1791"/>
      <c r="E43" s="1791"/>
      <c r="F43" s="1791"/>
      <c r="G43" s="1791"/>
      <c r="H43" s="1791"/>
      <c r="I43" s="1791"/>
      <c r="J43" s="1791"/>
    </row>
    <row r="44" spans="1:10" ht="3" customHeight="1">
      <c r="C44" s="725"/>
      <c r="D44" s="725"/>
      <c r="E44" s="725"/>
      <c r="F44" s="725"/>
      <c r="G44" s="725"/>
      <c r="H44" s="726"/>
      <c r="I44" s="727"/>
      <c r="J44" s="726"/>
    </row>
    <row r="45" spans="1:10" ht="12" customHeight="1">
      <c r="A45" s="1112" t="s">
        <v>3592</v>
      </c>
      <c r="C45" s="956" t="str">
        <f>'Part I-Project Information'!$J$29</f>
        <v>Houston</v>
      </c>
      <c r="D45" s="725"/>
      <c r="F45" s="726"/>
      <c r="I45" s="727"/>
      <c r="J45" s="726"/>
    </row>
    <row r="46" spans="1:10" ht="3" customHeight="1">
      <c r="C46" s="725"/>
      <c r="D46" s="725"/>
      <c r="E46" s="725"/>
      <c r="F46" s="726"/>
      <c r="I46" s="727"/>
      <c r="J46" s="726"/>
    </row>
    <row r="47" spans="1:10" ht="12" customHeight="1">
      <c r="A47" s="1112" t="s">
        <v>3593</v>
      </c>
      <c r="C47" s="1045"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5"/>
      <c r="D48" s="1172"/>
      <c r="I48" s="1045"/>
    </row>
    <row r="49" spans="1:10" ht="12" customHeight="1">
      <c r="A49" s="1112" t="s">
        <v>3594</v>
      </c>
      <c r="C49" s="1045" t="s">
        <v>3595</v>
      </c>
      <c r="D49" s="1173">
        <v>2</v>
      </c>
      <c r="I49" s="1174"/>
      <c r="J49" s="1174"/>
    </row>
    <row r="50" spans="1:10" ht="3" customHeight="1">
      <c r="D50" s="1174"/>
      <c r="E50" s="1174"/>
      <c r="F50" s="1174"/>
      <c r="G50" s="1175"/>
      <c r="H50" s="1045"/>
      <c r="I50" s="1174"/>
      <c r="J50" s="1174"/>
    </row>
    <row r="51" spans="1:10" ht="12" customHeight="1">
      <c r="B51" s="1112" t="s">
        <v>3596</v>
      </c>
      <c r="C51" s="1791" t="s">
        <v>602</v>
      </c>
      <c r="D51" s="1791"/>
      <c r="E51" s="1791"/>
      <c r="F51" s="1791"/>
      <c r="G51" s="1791"/>
      <c r="H51" s="1791"/>
      <c r="I51" s="1791"/>
      <c r="J51" s="1791"/>
    </row>
    <row r="52" spans="1:10" ht="12" customHeight="1">
      <c r="C52" s="1792" t="s">
        <v>1899</v>
      </c>
      <c r="D52" s="1792"/>
      <c r="E52" s="1792"/>
      <c r="F52" s="1792"/>
      <c r="G52" s="1792"/>
      <c r="H52" s="1792"/>
      <c r="I52" s="1792"/>
      <c r="J52" s="1792"/>
    </row>
    <row r="53" spans="1:10" ht="3" customHeight="1">
      <c r="D53" s="1174"/>
      <c r="E53" s="1174"/>
      <c r="F53" s="1174"/>
      <c r="G53" s="1175"/>
      <c r="H53" s="1045"/>
      <c r="I53" s="1174"/>
      <c r="J53" s="1174"/>
    </row>
    <row r="54" spans="1:10" ht="25.5" customHeight="1">
      <c r="A54" s="1171" t="s">
        <v>3597</v>
      </c>
      <c r="B54" s="1171"/>
      <c r="C54" s="1176" t="s">
        <v>3598</v>
      </c>
      <c r="D54" s="1176" t="s">
        <v>4299</v>
      </c>
      <c r="E54" s="1793"/>
      <c r="F54" s="1793"/>
      <c r="G54" s="1793"/>
      <c r="H54" s="1793"/>
      <c r="I54" s="1793"/>
      <c r="J54" s="1793"/>
    </row>
    <row r="55" spans="1:10" ht="12" customHeight="1">
      <c r="A55" s="1171"/>
      <c r="B55" s="1171"/>
      <c r="C55" s="1171"/>
      <c r="D55" s="1176" t="s">
        <v>4300</v>
      </c>
      <c r="E55" s="1794"/>
      <c r="F55" s="1794"/>
      <c r="G55" s="1794"/>
      <c r="H55" s="1794"/>
      <c r="I55" s="1794"/>
      <c r="J55" s="1794"/>
    </row>
    <row r="56" spans="1:10" ht="12" customHeight="1">
      <c r="A56" s="1158" t="s">
        <v>3599</v>
      </c>
      <c r="G56" s="1045"/>
      <c r="H56" s="1045"/>
      <c r="I56" s="1045"/>
    </row>
    <row r="57" spans="1:10" ht="18" customHeight="1">
      <c r="A57" s="1112" t="s">
        <v>3600</v>
      </c>
      <c r="C57" s="1160" t="str">
        <f>Overview!C10</f>
        <v>NAHPA 2015 GA, Inc.</v>
      </c>
      <c r="G57" s="1045"/>
      <c r="I57" s="1045"/>
    </row>
    <row r="58" spans="1:10" ht="3" customHeight="1">
      <c r="C58" s="1160"/>
      <c r="G58" s="1045"/>
      <c r="I58" s="1045"/>
    </row>
    <row r="59" spans="1:10" ht="12" customHeight="1">
      <c r="A59" s="1112" t="s">
        <v>3601</v>
      </c>
      <c r="C59" s="1160" t="str">
        <f>Overview!C11</f>
        <v/>
      </c>
      <c r="G59" s="1045"/>
      <c r="I59" s="1045"/>
    </row>
    <row r="60" spans="1:10" ht="3" customHeight="1">
      <c r="C60" s="1160"/>
      <c r="G60" s="1045"/>
      <c r="I60" s="1045"/>
    </row>
    <row r="61" spans="1:10" ht="12" customHeight="1">
      <c r="A61" s="1112" t="s">
        <v>3602</v>
      </c>
      <c r="C61" s="1160" t="s">
        <v>3140</v>
      </c>
      <c r="G61" s="1045"/>
      <c r="I61" s="1045"/>
    </row>
    <row r="62" spans="1:10" ht="6" customHeight="1">
      <c r="G62" s="1045"/>
      <c r="H62" s="1045"/>
      <c r="I62" s="1045"/>
    </row>
    <row r="63" spans="1:10" ht="12" customHeight="1">
      <c r="A63" s="1158" t="s">
        <v>3603</v>
      </c>
      <c r="G63" s="1045"/>
      <c r="H63" s="1045"/>
      <c r="I63" s="1045"/>
    </row>
    <row r="64" spans="1:10" ht="12" customHeight="1">
      <c r="A64" s="1112" t="s">
        <v>3604</v>
      </c>
      <c r="C64" s="1112" t="s">
        <v>3605</v>
      </c>
      <c r="D64" s="1177">
        <f>'Preview term'!F30</f>
        <v>9078110</v>
      </c>
      <c r="G64" s="1045"/>
      <c r="I64" s="1045"/>
    </row>
    <row r="65" spans="1:10" ht="3" customHeight="1">
      <c r="D65" s="1178"/>
      <c r="G65" s="1045"/>
      <c r="H65" s="1179"/>
      <c r="I65" s="1045"/>
    </row>
    <row r="66" spans="1:10" ht="12" customHeight="1">
      <c r="A66" s="1112" t="s">
        <v>3606</v>
      </c>
      <c r="C66" s="1112" t="s">
        <v>3608</v>
      </c>
      <c r="D66" s="1160" t="s">
        <v>3607</v>
      </c>
      <c r="G66" s="1045"/>
      <c r="I66" s="1045"/>
    </row>
    <row r="67" spans="1:10" ht="3" customHeight="1">
      <c r="D67" s="1178"/>
      <c r="G67" s="1045"/>
      <c r="H67" s="1045"/>
      <c r="I67" s="1045"/>
    </row>
    <row r="68" spans="1:10" ht="12" customHeight="1">
      <c r="A68" s="1112" t="s">
        <v>3609</v>
      </c>
      <c r="C68" s="1045" t="s">
        <v>1859</v>
      </c>
      <c r="D68" s="1178"/>
      <c r="I68" s="1045"/>
    </row>
    <row r="69" spans="1:10" ht="12" customHeight="1">
      <c r="C69" s="1112" t="s">
        <v>3610</v>
      </c>
      <c r="D69" s="1161"/>
      <c r="I69" s="1045"/>
    </row>
    <row r="70" spans="1:10" ht="12" customHeight="1">
      <c r="C70" s="1112" t="s">
        <v>3575</v>
      </c>
      <c r="D70" s="1161"/>
      <c r="I70" s="1045"/>
    </row>
    <row r="71" spans="1:10" ht="3" customHeight="1">
      <c r="D71" s="1178"/>
      <c r="E71" s="1045"/>
      <c r="F71" s="1045"/>
      <c r="I71" s="1045"/>
    </row>
    <row r="72" spans="1:10" ht="12" customHeight="1">
      <c r="A72" s="1112" t="s">
        <v>3611</v>
      </c>
      <c r="C72" s="1112" t="s">
        <v>2529</v>
      </c>
      <c r="D72" s="1160" t="s">
        <v>1859</v>
      </c>
      <c r="I72" s="1045"/>
    </row>
    <row r="73" spans="1:10" ht="3" customHeight="1">
      <c r="D73" s="1045"/>
      <c r="E73" s="1045"/>
      <c r="I73" s="1045"/>
    </row>
    <row r="74" spans="1:10" ht="12" customHeight="1">
      <c r="A74" s="1112" t="s">
        <v>3612</v>
      </c>
      <c r="C74" s="1045" t="s">
        <v>1859</v>
      </c>
      <c r="I74" s="1045"/>
    </row>
    <row r="75" spans="1:10" ht="3" customHeight="1">
      <c r="C75" s="1178"/>
      <c r="G75" s="1180"/>
      <c r="H75" s="1045"/>
      <c r="I75" s="1045"/>
    </row>
    <row r="76" spans="1:10" ht="12" customHeight="1">
      <c r="A76" s="1112" t="s">
        <v>3613</v>
      </c>
      <c r="C76" s="1178" t="s">
        <v>3614</v>
      </c>
      <c r="D76" s="1181">
        <v>0</v>
      </c>
      <c r="J76" s="1045"/>
    </row>
    <row r="77" spans="1:10" ht="12" customHeight="1">
      <c r="C77" s="1182" t="s">
        <v>3785</v>
      </c>
      <c r="D77" s="1183">
        <v>0.01</v>
      </c>
      <c r="J77" s="1045"/>
    </row>
    <row r="78" spans="1:10" ht="3" customHeight="1">
      <c r="C78" s="1178"/>
      <c r="D78" s="1178"/>
      <c r="G78" s="1045"/>
      <c r="H78" s="1045"/>
      <c r="I78" s="1045"/>
    </row>
    <row r="79" spans="1:10" ht="12" customHeight="1">
      <c r="A79" s="1112" t="s">
        <v>3615</v>
      </c>
      <c r="C79" s="1178" t="s">
        <v>4357</v>
      </c>
      <c r="D79" s="1184">
        <v>24</v>
      </c>
      <c r="I79" s="1045"/>
    </row>
    <row r="80" spans="1:10" ht="3" customHeight="1">
      <c r="D80" s="1178"/>
      <c r="E80" s="1045"/>
      <c r="F80" s="1045"/>
      <c r="I80" s="1045"/>
    </row>
    <row r="81" spans="1:9" ht="12" customHeight="1">
      <c r="A81" s="1112" t="s">
        <v>3616</v>
      </c>
      <c r="C81" s="1112" t="s">
        <v>2529</v>
      </c>
      <c r="D81" s="1185">
        <f>'Preview term'!F39</f>
        <v>120</v>
      </c>
      <c r="E81" s="1045" t="s">
        <v>4305</v>
      </c>
      <c r="I81" s="1045"/>
    </row>
    <row r="82" spans="1:9" ht="3" customHeight="1">
      <c r="D82" s="1178"/>
      <c r="G82" s="1045"/>
      <c r="H82" s="1045"/>
      <c r="I82" s="1045"/>
    </row>
    <row r="83" spans="1:9" ht="12" customHeight="1">
      <c r="A83" s="1112" t="s">
        <v>3617</v>
      </c>
      <c r="D83" s="1186">
        <v>0</v>
      </c>
      <c r="E83" s="1187">
        <f>D83*12</f>
        <v>0</v>
      </c>
      <c r="F83" s="1045" t="s">
        <v>4358</v>
      </c>
    </row>
    <row r="84" spans="1:9" ht="3" customHeight="1">
      <c r="D84" s="1160"/>
      <c r="E84" s="1045"/>
      <c r="G84" s="1045"/>
    </row>
    <row r="85" spans="1:9" ht="12" customHeight="1">
      <c r="A85" s="1112" t="s">
        <v>3618</v>
      </c>
      <c r="D85" s="1188" t="s">
        <v>3607</v>
      </c>
      <c r="E85" s="1045" t="s">
        <v>3619</v>
      </c>
      <c r="G85" s="1045"/>
    </row>
    <row r="86" spans="1:9" ht="3" customHeight="1">
      <c r="G86" s="1045"/>
      <c r="H86" s="1045"/>
      <c r="I86" s="1045"/>
    </row>
    <row r="87" spans="1:9" ht="12" customHeight="1">
      <c r="A87" s="1112" t="s">
        <v>3620</v>
      </c>
      <c r="C87" s="1177">
        <f>'Part VII-Pro Forma'!$K$65</f>
        <v>5.885549675082087E-8</v>
      </c>
      <c r="D87" s="1189" t="s">
        <v>4301</v>
      </c>
      <c r="I87" s="1045"/>
    </row>
    <row r="88" spans="1:9" ht="3" customHeight="1">
      <c r="C88" s="1045" t="s">
        <v>1859</v>
      </c>
      <c r="D88" s="1045"/>
      <c r="E88" s="1045"/>
      <c r="I88" s="1045"/>
    </row>
    <row r="89" spans="1:9" ht="12" customHeight="1">
      <c r="A89" s="1112" t="s">
        <v>3621</v>
      </c>
      <c r="B89" s="1190"/>
      <c r="C89" s="1045" t="s">
        <v>3622</v>
      </c>
      <c r="I89" s="1045"/>
    </row>
    <row r="90" spans="1:9" ht="3" customHeight="1">
      <c r="G90" s="1045"/>
      <c r="H90" s="1045"/>
      <c r="I90" s="1045"/>
    </row>
    <row r="91" spans="1:9" ht="12" customHeight="1">
      <c r="A91" s="1112" t="s">
        <v>3623</v>
      </c>
      <c r="C91" s="1178" t="s">
        <v>3624</v>
      </c>
      <c r="D91" s="1160" t="s">
        <v>3550</v>
      </c>
      <c r="I91" s="1045"/>
    </row>
    <row r="92" spans="1:9" ht="12" customHeight="1">
      <c r="C92" s="1178" t="s">
        <v>3625</v>
      </c>
      <c r="D92" s="1160" t="s">
        <v>3607</v>
      </c>
      <c r="I92" s="1045"/>
    </row>
    <row r="93" spans="1:9" ht="3" customHeight="1">
      <c r="G93" s="1045"/>
      <c r="H93" s="1045"/>
      <c r="I93" s="1045"/>
    </row>
    <row r="94" spans="1:9" ht="12" customHeight="1">
      <c r="A94" s="1112" t="s">
        <v>3626</v>
      </c>
      <c r="C94" s="1178" t="s">
        <v>3614</v>
      </c>
      <c r="D94" s="1045" t="s">
        <v>3627</v>
      </c>
      <c r="E94" s="1178" t="str">
        <f>'Part III-Sources of Funds'!H18</f>
        <v>C&amp;S Bank - TBD</v>
      </c>
      <c r="I94" s="1045"/>
    </row>
    <row r="95" spans="1:9" ht="12" customHeight="1">
      <c r="C95" s="1178"/>
      <c r="D95" s="1045"/>
      <c r="E95" s="1178" t="s">
        <v>1885</v>
      </c>
      <c r="F95" s="1798"/>
      <c r="G95" s="1798"/>
      <c r="H95" s="1798"/>
      <c r="I95" s="1045"/>
    </row>
    <row r="96" spans="1:9" ht="12" customHeight="1">
      <c r="C96" s="1178"/>
      <c r="D96" s="1045"/>
      <c r="E96" s="1178" t="s">
        <v>2080</v>
      </c>
      <c r="F96" s="1797"/>
      <c r="G96" s="1797"/>
      <c r="H96" s="1797"/>
      <c r="I96" s="1045"/>
    </row>
    <row r="97" spans="1:10" ht="12" customHeight="1">
      <c r="C97" s="1178"/>
      <c r="D97" s="1045"/>
      <c r="E97" s="1178" t="s">
        <v>1888</v>
      </c>
      <c r="F97" s="1796"/>
      <c r="G97" s="1796"/>
      <c r="H97" s="1796"/>
      <c r="I97" s="1045"/>
    </row>
    <row r="98" spans="1:10" ht="12" customHeight="1">
      <c r="B98" s="1163" t="s">
        <v>3628</v>
      </c>
      <c r="C98" s="1182" t="s">
        <v>3785</v>
      </c>
      <c r="D98" s="1045" t="s">
        <v>3627</v>
      </c>
      <c r="E98" s="1178" t="str">
        <f>'Part III-Sources of Funds'!E36</f>
        <v>C&amp;S Bank - TBD</v>
      </c>
      <c r="I98" s="1045"/>
    </row>
    <row r="99" spans="1:10" ht="12" customHeight="1">
      <c r="C99" s="1178"/>
      <c r="D99" s="1045"/>
      <c r="E99" s="1178" t="s">
        <v>1885</v>
      </c>
      <c r="F99" s="1798"/>
      <c r="G99" s="1798"/>
      <c r="H99" s="1798"/>
      <c r="I99" s="1045"/>
    </row>
    <row r="100" spans="1:10" ht="12" customHeight="1">
      <c r="C100" s="1178"/>
      <c r="D100" s="1045"/>
      <c r="E100" s="1178" t="s">
        <v>2080</v>
      </c>
      <c r="F100" s="1797"/>
      <c r="G100" s="1797"/>
      <c r="H100" s="1797"/>
      <c r="I100" s="1045"/>
    </row>
    <row r="101" spans="1:10" ht="12" customHeight="1">
      <c r="C101" s="1178"/>
      <c r="D101" s="1045"/>
      <c r="E101" s="1178" t="s">
        <v>1888</v>
      </c>
      <c r="F101" s="1796"/>
      <c r="G101" s="1796"/>
      <c r="H101" s="1796"/>
      <c r="I101" s="1045"/>
    </row>
    <row r="102" spans="1:10" ht="3" customHeight="1">
      <c r="D102" s="1191"/>
      <c r="G102" s="1045"/>
      <c r="H102" s="1045"/>
      <c r="I102" s="1045"/>
    </row>
    <row r="103" spans="1:10" ht="12" customHeight="1">
      <c r="A103" s="1112" t="s">
        <v>3629</v>
      </c>
      <c r="D103" s="1192" t="str">
        <f>'Part IX A-Scoring Criteria'!O193</f>
        <v>Yes</v>
      </c>
      <c r="E103" s="1045" t="s">
        <v>3607</v>
      </c>
      <c r="G103" s="1112">
        <f>'Part IX A-Scoring Criteria'!P192</f>
        <v>0</v>
      </c>
      <c r="H103" s="1112" t="s">
        <v>4302</v>
      </c>
      <c r="I103" s="1045"/>
    </row>
    <row r="104" spans="1:10" ht="3" customHeight="1">
      <c r="E104" s="1045"/>
      <c r="F104" s="1045"/>
      <c r="I104" s="1045"/>
    </row>
    <row r="105" spans="1:10" ht="12" customHeight="1">
      <c r="A105" s="1045" t="s">
        <v>3786</v>
      </c>
      <c r="D105" s="1112" t="s">
        <v>3607</v>
      </c>
      <c r="E105" s="1045"/>
      <c r="I105" s="1045"/>
    </row>
    <row r="106" spans="1:10" ht="6" customHeight="1">
      <c r="G106" s="1045"/>
      <c r="H106" s="1045"/>
      <c r="I106" s="1045"/>
    </row>
    <row r="107" spans="1:10" ht="12" customHeight="1">
      <c r="A107" s="1158" t="s">
        <v>3787</v>
      </c>
      <c r="I107" s="1045"/>
    </row>
    <row r="108" spans="1:10" ht="12" customHeight="1">
      <c r="A108" s="1112" t="s">
        <v>3630</v>
      </c>
      <c r="C108" s="1160" t="s">
        <v>1859</v>
      </c>
      <c r="D108" s="1791"/>
      <c r="E108" s="1791"/>
      <c r="F108" s="1791"/>
      <c r="G108" s="1791"/>
      <c r="H108" s="1791"/>
      <c r="I108" s="1791"/>
      <c r="J108" s="1791"/>
    </row>
    <row r="109" spans="1:10" ht="3" customHeight="1">
      <c r="C109" s="1178"/>
      <c r="D109" s="1045"/>
      <c r="I109" s="1045"/>
    </row>
    <row r="110" spans="1:10" ht="12" customHeight="1">
      <c r="A110" s="1112" t="s">
        <v>3631</v>
      </c>
      <c r="C110" s="1160" t="s">
        <v>1859</v>
      </c>
    </row>
    <row r="111" spans="1:10" ht="3" customHeight="1">
      <c r="C111" s="1178"/>
      <c r="E111" s="1045"/>
      <c r="F111" s="1045"/>
      <c r="I111" s="1045"/>
    </row>
    <row r="112" spans="1:10" ht="12" customHeight="1">
      <c r="A112" s="1112" t="s">
        <v>3632</v>
      </c>
      <c r="C112" s="1160" t="s">
        <v>1859</v>
      </c>
      <c r="I112" s="1045"/>
    </row>
    <row r="113" spans="1:9" ht="3" customHeight="1">
      <c r="D113" s="1170"/>
      <c r="I113" s="1045"/>
    </row>
    <row r="114" spans="1:9" ht="12" customHeight="1">
      <c r="A114" s="1112" t="s">
        <v>3633</v>
      </c>
      <c r="D114" s="1185">
        <v>24</v>
      </c>
      <c r="E114" s="1045" t="s">
        <v>3634</v>
      </c>
      <c r="I114" s="1045"/>
    </row>
    <row r="115" spans="1:9" ht="12" customHeight="1">
      <c r="C115" s="1160" t="s">
        <v>4304</v>
      </c>
      <c r="I115" s="1045"/>
    </row>
    <row r="116" spans="1:9" ht="12" customHeight="1">
      <c r="C116" s="1160" t="s">
        <v>4303</v>
      </c>
      <c r="G116" s="1045"/>
      <c r="I116" s="1045"/>
    </row>
    <row r="117" spans="1:9" ht="3" customHeight="1">
      <c r="G117" s="1045"/>
      <c r="H117" s="1045"/>
      <c r="I117" s="1045"/>
    </row>
    <row r="118" spans="1:9" ht="12" customHeight="1">
      <c r="A118" s="1112" t="s">
        <v>3635</v>
      </c>
      <c r="D118" s="1193">
        <v>0</v>
      </c>
      <c r="E118" s="1194" t="s">
        <v>3636</v>
      </c>
      <c r="I118" s="1045"/>
    </row>
    <row r="119" spans="1:9" ht="3" customHeight="1">
      <c r="D119" s="1178"/>
      <c r="E119" s="1045"/>
      <c r="F119" s="1045"/>
      <c r="I119" s="1045"/>
    </row>
    <row r="120" spans="1:9" ht="12" customHeight="1">
      <c r="A120" s="1112" t="s">
        <v>3637</v>
      </c>
      <c r="C120" s="1045" t="s">
        <v>1859</v>
      </c>
      <c r="D120" s="1195"/>
      <c r="I120" s="1045"/>
    </row>
    <row r="121" spans="1:9" ht="12" customHeight="1">
      <c r="C121" s="1045" t="s">
        <v>3638</v>
      </c>
      <c r="D121" s="1192"/>
      <c r="I121" s="1045"/>
    </row>
    <row r="122" spans="1:9" ht="12" customHeight="1">
      <c r="C122" s="1045" t="s">
        <v>3639</v>
      </c>
      <c r="D122" s="1161"/>
      <c r="I122" s="1045"/>
    </row>
    <row r="123" spans="1:9" ht="12" customHeight="1">
      <c r="C123" s="1045" t="s">
        <v>3640</v>
      </c>
      <c r="D123" s="1161"/>
      <c r="I123" s="1045"/>
    </row>
    <row r="124" spans="1:9" ht="3" customHeight="1">
      <c r="E124" s="1045"/>
      <c r="F124" s="1045"/>
      <c r="I124" s="1045"/>
    </row>
    <row r="125" spans="1:9" ht="12" customHeight="1">
      <c r="A125" s="1112" t="s">
        <v>3641</v>
      </c>
      <c r="D125" s="1196" t="s">
        <v>3607</v>
      </c>
      <c r="I125" s="1045"/>
    </row>
    <row r="126" spans="1:9" ht="3" customHeight="1">
      <c r="D126" s="1045"/>
      <c r="I126" s="1045"/>
    </row>
    <row r="127" spans="1:9" ht="12" customHeight="1">
      <c r="A127" s="1112" t="s">
        <v>3642</v>
      </c>
      <c r="D127" s="1045" t="s">
        <v>3607</v>
      </c>
      <c r="I127" s="1045"/>
    </row>
    <row r="128" spans="1:9" ht="3" customHeight="1">
      <c r="G128" s="1045"/>
      <c r="H128" s="1045"/>
      <c r="I128" s="1045"/>
    </row>
    <row r="129" spans="1:10" ht="12" customHeight="1">
      <c r="A129" s="1112" t="s">
        <v>3643</v>
      </c>
      <c r="D129" s="1045" t="s">
        <v>3644</v>
      </c>
      <c r="G129" s="1045"/>
      <c r="I129" s="1045"/>
    </row>
    <row r="130" spans="1:10" ht="7.5" customHeight="1">
      <c r="G130" s="1045"/>
      <c r="H130" s="1045"/>
      <c r="I130" s="1045"/>
    </row>
    <row r="131" spans="1:10" ht="12" customHeight="1">
      <c r="A131" s="1158" t="s">
        <v>3645</v>
      </c>
      <c r="G131" s="1045"/>
      <c r="H131" s="1045"/>
      <c r="I131" s="1045"/>
    </row>
    <row r="132" spans="1:10" ht="12" customHeight="1">
      <c r="A132" s="1112" t="s">
        <v>3646</v>
      </c>
      <c r="C132" s="1160" t="str">
        <f>Overview!H11</f>
        <v>NAHPA Development, LLC</v>
      </c>
      <c r="G132" s="1045"/>
      <c r="I132" s="1045"/>
    </row>
    <row r="133" spans="1:10" ht="12" customHeight="1">
      <c r="C133" s="1160">
        <f>Overview!K11</f>
        <v>0</v>
      </c>
      <c r="G133" s="1045"/>
      <c r="I133" s="1045"/>
    </row>
    <row r="134" spans="1:10" ht="3" customHeight="1">
      <c r="C134" s="1045"/>
      <c r="G134" s="1045"/>
      <c r="I134" s="1045"/>
    </row>
    <row r="135" spans="1:10" ht="12" customHeight="1">
      <c r="A135" s="1112" t="s">
        <v>3647</v>
      </c>
      <c r="C135" s="1197">
        <f>('Part IV-Uses of Funds'!G116-'Part III-Sources of Funds'!I41)/2</f>
        <v>851110</v>
      </c>
      <c r="G135" s="1045"/>
      <c r="I135" s="1045"/>
    </row>
    <row r="136" spans="1:10" ht="3" customHeight="1">
      <c r="C136" s="1045"/>
      <c r="G136" s="1045"/>
      <c r="I136" s="1045"/>
    </row>
    <row r="137" spans="1:10" ht="12" customHeight="1">
      <c r="A137" s="1112" t="s">
        <v>3648</v>
      </c>
      <c r="C137" s="1188" t="s">
        <v>3649</v>
      </c>
      <c r="G137" s="1045"/>
      <c r="I137" s="1045"/>
    </row>
    <row r="138" spans="1:10" ht="3" customHeight="1">
      <c r="C138" s="1160"/>
      <c r="G138" s="1045"/>
      <c r="I138" s="1045"/>
    </row>
    <row r="139" spans="1:10" ht="12" customHeight="1">
      <c r="A139" s="1112" t="s">
        <v>3650</v>
      </c>
      <c r="C139" s="1160" t="str">
        <f>'Preview term'!E19</f>
        <v>Vantage Management, LLC</v>
      </c>
      <c r="G139" s="1045"/>
      <c r="I139" s="1045"/>
      <c r="J139" s="1198"/>
    </row>
    <row r="140" spans="1:10" ht="3" customHeight="1">
      <c r="C140" s="1160"/>
      <c r="G140" s="1045"/>
      <c r="I140" s="1045"/>
    </row>
    <row r="141" spans="1:10" ht="12" customHeight="1">
      <c r="A141" s="1112" t="s">
        <v>3651</v>
      </c>
      <c r="C141" s="1162" t="str">
        <f>C8</f>
        <v>The Cove at York, LP</v>
      </c>
      <c r="G141" s="1045"/>
      <c r="I141" s="1159"/>
      <c r="J141" s="1199"/>
    </row>
    <row r="142" spans="1:10" ht="3" customHeight="1">
      <c r="C142" s="1162"/>
      <c r="G142" s="1045"/>
      <c r="I142" s="1159"/>
      <c r="J142" s="1199"/>
    </row>
    <row r="143" spans="1:10" ht="12" customHeight="1">
      <c r="A143" s="1112" t="s">
        <v>3652</v>
      </c>
      <c r="C143" s="1162" t="str">
        <f>C132</f>
        <v>NAHPA Development, LLC</v>
      </c>
      <c r="G143" s="1045"/>
      <c r="I143" s="1159"/>
      <c r="J143" s="1199"/>
    </row>
    <row r="144" spans="1:10">
      <c r="C144" s="1162" t="str">
        <f>'Part II-Development Team'!$H$55&amp;", "&amp;'Part II-Development Team'!$H$56&amp;", "&amp;'Part II-Development Team'!$H$57&amp;"  "&amp;'Part II-Development Team'!$J$57</f>
        <v>624 Skyland Blvd East, Suite D, Tuscaloosa, AL  354054021</v>
      </c>
      <c r="G144" s="1045"/>
      <c r="I144" s="1159"/>
      <c r="J144" s="1199"/>
    </row>
    <row r="145" spans="1:10" ht="3" customHeight="1">
      <c r="C145" s="1200"/>
      <c r="G145" s="1045"/>
      <c r="I145" s="1159"/>
      <c r="J145" s="1199"/>
    </row>
    <row r="146" spans="1:10" ht="12" customHeight="1">
      <c r="A146" s="1112" t="s">
        <v>3653</v>
      </c>
      <c r="C146" s="1162" t="str">
        <f>Overview!H10</f>
        <v>To Be Determined - 42 Equity Partners</v>
      </c>
      <c r="G146" s="1045"/>
      <c r="I146" s="1159"/>
      <c r="J146" s="1198"/>
    </row>
    <row r="147" spans="1:10" ht="3" customHeight="1">
      <c r="C147" s="1162"/>
      <c r="G147" s="1045"/>
      <c r="I147" s="1159"/>
      <c r="J147" s="1199"/>
    </row>
    <row r="148" spans="1:10" ht="12" customHeight="1">
      <c r="A148" s="1112" t="s">
        <v>3654</v>
      </c>
      <c r="C148" s="1162" t="str">
        <f>Overview!K10</f>
        <v>To Be Determined - Sugar Creek Capital</v>
      </c>
      <c r="G148" s="1045"/>
      <c r="I148" s="1159"/>
      <c r="J148" s="1198"/>
    </row>
    <row r="149" spans="1:10" ht="3" customHeight="1">
      <c r="C149" s="1200"/>
      <c r="G149" s="1045"/>
      <c r="I149" s="1159"/>
      <c r="J149" s="1199"/>
    </row>
    <row r="150" spans="1:10" ht="12" customHeight="1">
      <c r="A150" s="1112" t="s">
        <v>3655</v>
      </c>
      <c r="C150" s="1201" t="s">
        <v>3607</v>
      </c>
      <c r="G150" s="1045"/>
      <c r="I150" s="1045"/>
    </row>
    <row r="151" spans="1:10" ht="3" customHeight="1">
      <c r="C151" s="1201"/>
      <c r="G151" s="1045"/>
      <c r="I151" s="1045"/>
    </row>
    <row r="152" spans="1:10" ht="12" customHeight="1">
      <c r="A152" s="1112" t="s">
        <v>3656</v>
      </c>
      <c r="C152" s="1201" t="s">
        <v>3607</v>
      </c>
      <c r="G152" s="1045"/>
      <c r="I152" s="1045"/>
    </row>
    <row r="153" spans="1:10" ht="7.5" customHeight="1">
      <c r="G153" s="1045"/>
      <c r="H153" s="1045"/>
      <c r="I153" s="1045"/>
    </row>
    <row r="154" spans="1:10" ht="12" customHeight="1">
      <c r="A154" s="1158" t="s">
        <v>3657</v>
      </c>
      <c r="G154" s="1045"/>
      <c r="H154" s="1045"/>
      <c r="I154" s="1045"/>
    </row>
    <row r="155" spans="1:10" ht="3" customHeight="1">
      <c r="D155" s="1045"/>
      <c r="E155" s="1045"/>
      <c r="G155" s="1045"/>
    </row>
    <row r="156" spans="1:10" ht="12" customHeight="1">
      <c r="A156" s="1112" t="s">
        <v>3658</v>
      </c>
      <c r="C156" s="1045" t="s">
        <v>4306</v>
      </c>
      <c r="D156" s="1045"/>
      <c r="G156" s="1045"/>
      <c r="H156" s="1045"/>
      <c r="I156" s="1045"/>
    </row>
    <row r="157" spans="1:10" ht="3" customHeight="1">
      <c r="D157" s="1045"/>
      <c r="E157" s="1045"/>
      <c r="G157" s="1045"/>
    </row>
    <row r="158" spans="1:10" ht="12" customHeight="1">
      <c r="A158" s="1112" t="s">
        <v>3659</v>
      </c>
      <c r="D158" s="1188">
        <v>20</v>
      </c>
      <c r="E158" s="1045" t="s">
        <v>2529</v>
      </c>
    </row>
    <row r="159" spans="1:10" ht="3" customHeight="1">
      <c r="D159" s="1045"/>
      <c r="E159" s="1045"/>
      <c r="G159" s="1045"/>
    </row>
    <row r="160" spans="1:10" ht="12" customHeight="1">
      <c r="A160" s="1112" t="s">
        <v>3660</v>
      </c>
      <c r="C160" s="1045" t="s">
        <v>1859</v>
      </c>
      <c r="D160" s="1045" t="s">
        <v>4359</v>
      </c>
      <c r="G160" s="1045"/>
    </row>
    <row r="161" spans="1:13" ht="3" customHeight="1">
      <c r="G161" s="1045"/>
      <c r="H161" s="1045"/>
      <c r="I161" s="1045"/>
    </row>
    <row r="162" spans="1:13" ht="12" customHeight="1">
      <c r="A162" s="1112" t="s">
        <v>3661</v>
      </c>
      <c r="G162" s="1045"/>
      <c r="H162" s="1045"/>
      <c r="I162" s="1045"/>
    </row>
    <row r="163" spans="1:13" ht="7.5" customHeight="1">
      <c r="G163" s="1045"/>
      <c r="H163" s="1045"/>
      <c r="I163" s="1045"/>
    </row>
    <row r="164" spans="1:13" ht="12" customHeight="1">
      <c r="A164" s="1158" t="s">
        <v>3662</v>
      </c>
      <c r="G164" s="1045"/>
      <c r="H164" s="1045"/>
      <c r="I164" s="1045"/>
    </row>
    <row r="165" spans="1:13" ht="12" customHeight="1">
      <c r="A165" s="1112" t="s">
        <v>3777</v>
      </c>
      <c r="C165" s="1112" t="s">
        <v>3778</v>
      </c>
      <c r="E165" s="1188">
        <f>'Preview term'!F77</f>
        <v>0</v>
      </c>
      <c r="G165" s="1045"/>
      <c r="I165" s="1045"/>
    </row>
    <row r="166" spans="1:13" ht="12" customHeight="1">
      <c r="C166" s="1112" t="s">
        <v>4307</v>
      </c>
      <c r="I166" s="1045"/>
    </row>
    <row r="167" spans="1:13" ht="3" customHeight="1">
      <c r="E167" s="1045"/>
      <c r="G167" s="1045"/>
      <c r="I167" s="1045"/>
    </row>
    <row r="168" spans="1:13" ht="12" customHeight="1">
      <c r="A168" s="1112" t="s">
        <v>3663</v>
      </c>
      <c r="C168" s="1112" t="s">
        <v>3664</v>
      </c>
      <c r="E168" s="1202">
        <f>'Preview term'!F71</f>
        <v>264618</v>
      </c>
      <c r="G168" s="1045"/>
      <c r="I168" s="1045"/>
    </row>
    <row r="169" spans="1:13" ht="12" customHeight="1">
      <c r="C169" s="1112" t="s">
        <v>4307</v>
      </c>
      <c r="I169" s="1045"/>
    </row>
    <row r="170" spans="1:13" ht="12" customHeight="1">
      <c r="C170" s="1112" t="s">
        <v>3665</v>
      </c>
      <c r="E170" s="1160" t="s">
        <v>3140</v>
      </c>
      <c r="G170" s="1045"/>
      <c r="I170" s="1045"/>
    </row>
    <row r="171" spans="1:13" ht="3" customHeight="1">
      <c r="E171" s="1160"/>
      <c r="G171" s="1045"/>
      <c r="I171" s="1045"/>
    </row>
    <row r="172" spans="1:13" ht="12" customHeight="1">
      <c r="A172" s="1112" t="s">
        <v>3779</v>
      </c>
      <c r="C172" s="1112" t="s">
        <v>3780</v>
      </c>
      <c r="E172" s="1202">
        <f>'Preview term'!F73</f>
        <v>0</v>
      </c>
      <c r="G172" s="1045"/>
      <c r="I172" s="1045"/>
    </row>
    <row r="173" spans="1:13" ht="12" customHeight="1">
      <c r="C173" s="1112" t="s">
        <v>3666</v>
      </c>
      <c r="E173" s="1202">
        <f>'Preview term'!F74</f>
        <v>0</v>
      </c>
      <c r="G173" s="1045"/>
      <c r="I173" s="1159"/>
      <c r="J173" s="1199"/>
      <c r="K173" s="1199"/>
      <c r="L173" s="1199"/>
      <c r="M173" s="1199"/>
    </row>
    <row r="174" spans="1:13" ht="12" customHeight="1">
      <c r="C174" s="1112" t="s">
        <v>3667</v>
      </c>
      <c r="E174" s="1197">
        <f>'Part VI-Revenues &amp; Expenses'!P182</f>
        <v>250</v>
      </c>
      <c r="F174" s="1159" t="s">
        <v>3668</v>
      </c>
      <c r="J174" s="1199"/>
      <c r="K174" s="1199"/>
      <c r="L174" s="1199"/>
      <c r="M174" s="1199"/>
    </row>
    <row r="175" spans="1:13">
      <c r="E175" s="1202">
        <f>E174/12</f>
        <v>20.833333333333332</v>
      </c>
      <c r="F175" s="1045" t="s">
        <v>3511</v>
      </c>
    </row>
    <row r="176" spans="1:13" ht="12" customHeight="1">
      <c r="C176" s="1112" t="s">
        <v>4308</v>
      </c>
      <c r="I176" s="1045"/>
    </row>
    <row r="177" spans="1:10" ht="12" customHeight="1">
      <c r="C177" s="1112" t="s">
        <v>3669</v>
      </c>
      <c r="E177" s="1045" t="s">
        <v>3422</v>
      </c>
      <c r="I177" s="1045"/>
    </row>
    <row r="178" spans="1:10" ht="12" customHeight="1">
      <c r="C178" s="1112" t="s">
        <v>3670</v>
      </c>
      <c r="E178" s="1045" t="s">
        <v>3140</v>
      </c>
      <c r="I178" s="1045"/>
    </row>
    <row r="179" spans="1:10" ht="3" customHeight="1">
      <c r="E179" s="1045"/>
      <c r="F179" s="1045"/>
      <c r="I179" s="1045"/>
    </row>
    <row r="180" spans="1:10" ht="12" customHeight="1">
      <c r="A180" s="1112" t="s">
        <v>3775</v>
      </c>
      <c r="C180" s="1112" t="s">
        <v>3776</v>
      </c>
      <c r="E180" s="1160" t="s">
        <v>1859</v>
      </c>
      <c r="F180" s="1203"/>
      <c r="I180" s="1045"/>
    </row>
    <row r="181" spans="1:10" ht="12" customHeight="1">
      <c r="C181" s="1112" t="s">
        <v>3671</v>
      </c>
      <c r="E181" s="1160" t="s">
        <v>1859</v>
      </c>
      <c r="F181" s="1800"/>
      <c r="G181" s="1800"/>
      <c r="H181" s="1800"/>
      <c r="I181" s="1800"/>
      <c r="J181" s="1800"/>
    </row>
    <row r="182" spans="1:10" ht="12" customHeight="1">
      <c r="C182" s="1112" t="s">
        <v>4309</v>
      </c>
      <c r="E182" s="1045" t="s">
        <v>3607</v>
      </c>
      <c r="I182" s="1045"/>
    </row>
    <row r="183" spans="1:10" ht="12" customHeight="1">
      <c r="C183" s="1112" t="s">
        <v>3672</v>
      </c>
      <c r="E183" s="1045" t="s">
        <v>3140</v>
      </c>
      <c r="I183" s="1045"/>
    </row>
    <row r="184" spans="1:10" ht="3" customHeight="1">
      <c r="G184" s="1045"/>
      <c r="H184" s="1045"/>
      <c r="I184" s="1045"/>
    </row>
    <row r="185" spans="1:10" ht="12" customHeight="1">
      <c r="A185" s="1112" t="s">
        <v>3781</v>
      </c>
      <c r="C185" s="1112" t="s">
        <v>3782</v>
      </c>
      <c r="E185" s="1202">
        <f>'Preview term'!F75</f>
        <v>106081</v>
      </c>
      <c r="G185" s="1045"/>
      <c r="I185" s="1045"/>
    </row>
    <row r="186" spans="1:10" ht="12" customHeight="1">
      <c r="C186" s="1112" t="s">
        <v>4307</v>
      </c>
      <c r="E186" s="1160">
        <f>E169</f>
        <v>0</v>
      </c>
      <c r="G186" s="1045"/>
      <c r="I186" s="1045"/>
    </row>
    <row r="187" spans="1:10" ht="12" customHeight="1">
      <c r="C187" s="1112" t="s">
        <v>3673</v>
      </c>
      <c r="E187" s="1160" t="s">
        <v>3607</v>
      </c>
      <c r="G187" s="1045"/>
      <c r="I187" s="1045"/>
    </row>
    <row r="188" spans="1:10" ht="3" customHeight="1">
      <c r="E188" s="1160"/>
      <c r="G188" s="1045"/>
      <c r="I188" s="1045"/>
    </row>
    <row r="189" spans="1:10" ht="12" customHeight="1">
      <c r="A189" s="1112" t="s">
        <v>3783</v>
      </c>
      <c r="C189" s="1112" t="s">
        <v>3784</v>
      </c>
      <c r="E189" s="1160" t="s">
        <v>3607</v>
      </c>
      <c r="G189" s="1045"/>
      <c r="I189" s="1045"/>
    </row>
    <row r="190" spans="1:10" ht="12" customHeight="1">
      <c r="C190" s="1112" t="s">
        <v>3664</v>
      </c>
      <c r="E190" s="1178"/>
      <c r="G190" s="1045"/>
      <c r="H190" s="1187"/>
      <c r="I190" s="1045"/>
    </row>
    <row r="191" spans="1:10" ht="12" customHeight="1">
      <c r="C191" s="1112" t="s">
        <v>4307</v>
      </c>
      <c r="E191" s="1178"/>
      <c r="I191" s="1160"/>
    </row>
    <row r="192" spans="1:10" ht="12" customHeight="1">
      <c r="C192" s="1112" t="s">
        <v>3665</v>
      </c>
      <c r="E192" s="1178"/>
      <c r="G192" s="1045"/>
      <c r="H192" s="1045"/>
      <c r="I192" s="1045"/>
    </row>
    <row r="193" spans="1:10" ht="9" customHeight="1">
      <c r="G193" s="1045"/>
      <c r="H193" s="1045"/>
      <c r="I193" s="1045"/>
    </row>
    <row r="194" spans="1:10" ht="12" customHeight="1">
      <c r="A194" s="1158" t="s">
        <v>3674</v>
      </c>
      <c r="C194" s="1045" t="s">
        <v>3675</v>
      </c>
      <c r="E194" s="1045"/>
      <c r="I194" s="1045"/>
    </row>
    <row r="195" spans="1:10" ht="9" customHeight="1">
      <c r="E195" s="1045"/>
      <c r="F195" s="1045"/>
      <c r="I195" s="1045"/>
    </row>
    <row r="196" spans="1:10" ht="12" customHeight="1">
      <c r="A196" s="1158" t="s">
        <v>3676</v>
      </c>
      <c r="E196" s="1045"/>
      <c r="F196" s="1045"/>
      <c r="I196" s="1045"/>
    </row>
    <row r="197" spans="1:10" ht="12" customHeight="1">
      <c r="A197" s="1112" t="s">
        <v>3677</v>
      </c>
      <c r="C197" s="1045" t="s">
        <v>1859</v>
      </c>
      <c r="E197" s="1045"/>
      <c r="F197" s="1045"/>
      <c r="I197" s="1045"/>
    </row>
    <row r="198" spans="1:10" ht="3" customHeight="1">
      <c r="G198" s="1045"/>
      <c r="H198" s="1045"/>
      <c r="I198" s="1045"/>
    </row>
    <row r="199" spans="1:10">
      <c r="A199" s="1171" t="s">
        <v>4311</v>
      </c>
      <c r="B199" s="1171"/>
      <c r="C199" s="1171"/>
      <c r="D199" s="1171"/>
      <c r="E199" s="1176" t="s">
        <v>4310</v>
      </c>
      <c r="F199" s="1795"/>
      <c r="G199" s="1795"/>
      <c r="H199" s="1795"/>
      <c r="I199" s="1795"/>
      <c r="J199" s="1795"/>
    </row>
    <row r="200" spans="1:10" ht="9" customHeight="1">
      <c r="G200" s="1045"/>
      <c r="H200" s="1045"/>
      <c r="I200" s="1045"/>
    </row>
    <row r="201" spans="1:10" ht="12" customHeight="1">
      <c r="A201" s="1204" t="s">
        <v>3774</v>
      </c>
      <c r="G201" s="1045"/>
      <c r="H201" s="1045"/>
      <c r="I201" s="1187"/>
    </row>
    <row r="202" spans="1:10" ht="25.5" customHeight="1">
      <c r="A202" s="1801" t="str">
        <f>'Subsidy Layering Memo'!A98</f>
        <v>Include any reserve requirements; explain any reserves far in excess of 6 month ODR, 3 mo lease up, 1 year RR, 6 mo T&amp;I standards.</v>
      </c>
      <c r="B202" s="1801"/>
      <c r="C202" s="1801"/>
      <c r="D202" s="1801"/>
      <c r="E202" s="1801"/>
      <c r="F202" s="1801"/>
      <c r="G202" s="1801"/>
      <c r="H202" s="1801"/>
      <c r="I202" s="1801"/>
      <c r="J202" s="1801"/>
    </row>
    <row r="203" spans="1:10">
      <c r="A203" s="1045"/>
      <c r="G203" s="1045"/>
      <c r="H203" s="1045"/>
      <c r="I203" s="1045"/>
    </row>
    <row r="204" spans="1:10">
      <c r="A204" s="1158" t="s">
        <v>3678</v>
      </c>
      <c r="G204" s="1045"/>
      <c r="H204" s="1045"/>
      <c r="I204" s="1045"/>
    </row>
    <row r="205" spans="1:10" ht="3" customHeight="1">
      <c r="G205" s="1045"/>
      <c r="H205" s="1045"/>
      <c r="I205" s="1045"/>
    </row>
    <row r="206" spans="1:10" ht="76.5" customHeight="1">
      <c r="A206" s="1788" t="s">
        <v>3369</v>
      </c>
      <c r="B206" s="1788"/>
      <c r="C206" s="1788"/>
      <c r="D206" s="1788"/>
      <c r="E206" s="1788"/>
      <c r="F206" s="1788"/>
      <c r="G206" s="1788"/>
      <c r="H206" s="1788"/>
      <c r="I206" s="1788"/>
      <c r="J206" s="1788"/>
    </row>
    <row r="207" spans="1:10">
      <c r="A207" s="1045" t="s">
        <v>3370</v>
      </c>
      <c r="G207" s="1045"/>
      <c r="H207" s="1045"/>
      <c r="I207" s="1045"/>
    </row>
    <row r="208" spans="1:10" ht="38.25" customHeight="1">
      <c r="A208" s="1788" t="str">
        <f>'Subsidy Layering Memo'!A37&amp;".  "&amp;'Subsidy Layering Memo'!A38</f>
        <v xml:space="preserve">.  </v>
      </c>
      <c r="B208" s="1789"/>
      <c r="C208" s="1789"/>
      <c r="D208" s="1789"/>
      <c r="E208" s="1789"/>
      <c r="F208" s="1789"/>
      <c r="G208" s="1789"/>
      <c r="H208" s="1789"/>
      <c r="I208" s="1789"/>
      <c r="J208" s="1789"/>
    </row>
    <row r="209" spans="1:4">
      <c r="A209" s="1160"/>
    </row>
    <row r="210" spans="1:4">
      <c r="A210" s="1160"/>
    </row>
    <row r="211" spans="1:4">
      <c r="A211" s="1045"/>
    </row>
    <row r="215" spans="1:4">
      <c r="D215" s="1112"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2" customWidth="1"/>
    <col min="2" max="2" width="4.28515625" style="1112" customWidth="1"/>
    <col min="3" max="3" width="18.5703125" style="1112" customWidth="1"/>
    <col min="4" max="4" width="2.7109375" style="1112" customWidth="1"/>
    <col min="5" max="5" width="6.5703125" style="1112" customWidth="1"/>
    <col min="6" max="6" width="39.28515625" style="1112" customWidth="1"/>
    <col min="7" max="8" width="8.42578125" style="1112" customWidth="1"/>
    <col min="9" max="16384" width="9.140625" style="1112"/>
  </cols>
  <sheetData>
    <row r="1" spans="1:11">
      <c r="A1" s="1045" t="s">
        <v>3679</v>
      </c>
      <c r="H1" s="1163" t="str">
        <f>Overview!C8</f>
        <v>The Cove at York</v>
      </c>
    </row>
    <row r="2" spans="1:11">
      <c r="A2" s="1045" t="s">
        <v>3680</v>
      </c>
    </row>
    <row r="3" spans="1:11" ht="3" customHeight="1"/>
    <row r="4" spans="1:11" ht="51.75" customHeight="1">
      <c r="A4" s="1789" t="s">
        <v>3791</v>
      </c>
      <c r="B4" s="1789"/>
      <c r="C4" s="1789"/>
      <c r="D4" s="1789"/>
      <c r="E4" s="1789"/>
      <c r="F4" s="1789"/>
      <c r="G4" s="1789"/>
      <c r="H4" s="1789"/>
      <c r="J4" s="1205">
        <f>SUM('Part VII-Pro Forma'!B14:B16)/12</f>
        <v>49592.807999999997</v>
      </c>
      <c r="K4" s="1112" t="s">
        <v>4360</v>
      </c>
    </row>
    <row r="5" spans="1:11" ht="1.5" customHeight="1">
      <c r="C5" s="1206"/>
      <c r="D5" s="1206"/>
      <c r="E5" s="1206"/>
      <c r="F5" s="1206"/>
      <c r="G5" s="1206"/>
      <c r="H5" s="1206"/>
    </row>
    <row r="6" spans="1:11" ht="12.75" customHeight="1">
      <c r="B6" s="1207" t="s">
        <v>2556</v>
      </c>
      <c r="C6" s="1789" t="s">
        <v>3681</v>
      </c>
      <c r="D6" s="1789"/>
      <c r="E6" s="1789"/>
      <c r="F6" s="1789"/>
      <c r="G6" s="1789"/>
      <c r="H6" s="1789"/>
    </row>
    <row r="7" spans="1:11" ht="12.75" customHeight="1">
      <c r="B7" s="1207" t="s">
        <v>2557</v>
      </c>
      <c r="C7" s="1789" t="s">
        <v>3682</v>
      </c>
      <c r="D7" s="1789"/>
      <c r="E7" s="1789"/>
      <c r="F7" s="1789"/>
      <c r="G7" s="1789"/>
      <c r="H7" s="1789"/>
    </row>
    <row r="8" spans="1:11" ht="3" customHeight="1"/>
    <row r="9" spans="1:11">
      <c r="A9" s="1112" t="s">
        <v>3683</v>
      </c>
    </row>
    <row r="10" spans="1:11" ht="1.5" customHeight="1"/>
    <row r="11" spans="1:11" ht="26.25" customHeight="1">
      <c r="A11" s="1208" t="s">
        <v>2081</v>
      </c>
      <c r="B11" s="1808" t="s">
        <v>3788</v>
      </c>
      <c r="C11" s="1808"/>
      <c r="D11" s="1808"/>
      <c r="E11" s="1808"/>
      <c r="F11" s="1808"/>
      <c r="G11" s="1805">
        <f>'Part III-Sources of Funds'!I44+'Part III-Sources of Funds'!I45</f>
        <v>13581121</v>
      </c>
      <c r="H11" s="1805"/>
    </row>
    <row r="12" spans="1:11" ht="1.5" customHeight="1">
      <c r="G12" s="1171"/>
      <c r="H12" s="1171"/>
    </row>
    <row r="13" spans="1:11" ht="26.25" customHeight="1">
      <c r="A13" s="1208" t="s">
        <v>2084</v>
      </c>
      <c r="B13" s="1808" t="s">
        <v>3789</v>
      </c>
      <c r="C13" s="1808"/>
      <c r="D13" s="1808"/>
      <c r="E13" s="1808"/>
      <c r="F13" s="1808"/>
      <c r="G13" s="1807" t="s">
        <v>3607</v>
      </c>
      <c r="H13" s="1807"/>
    </row>
    <row r="14" spans="1:11" ht="12" customHeight="1">
      <c r="A14" s="1208"/>
      <c r="B14" s="1790"/>
      <c r="C14" s="1790"/>
      <c r="D14" s="1790"/>
      <c r="E14" s="1790"/>
      <c r="F14" s="1790"/>
      <c r="G14" s="1790"/>
      <c r="H14" s="1790"/>
    </row>
    <row r="15" spans="1:11" ht="1.5" customHeight="1"/>
    <row r="16" spans="1:11" ht="12" customHeight="1">
      <c r="A16" s="1208" t="s">
        <v>789</v>
      </c>
      <c r="B16" s="1112" t="s">
        <v>3793</v>
      </c>
      <c r="F16" s="1199"/>
      <c r="G16" s="1806" t="s">
        <v>3425</v>
      </c>
      <c r="H16" s="1806"/>
    </row>
    <row r="17" spans="1:8" ht="1.5" customHeight="1">
      <c r="G17" s="1178"/>
    </row>
    <row r="18" spans="1:8" ht="12" customHeight="1">
      <c r="A18" s="1208" t="s">
        <v>2216</v>
      </c>
      <c r="B18" s="1171" t="s">
        <v>3790</v>
      </c>
      <c r="C18" s="1208"/>
      <c r="D18" s="1208"/>
      <c r="E18" s="1208"/>
      <c r="G18" s="1790" t="s">
        <v>3140</v>
      </c>
      <c r="H18" s="1790"/>
    </row>
    <row r="19" spans="1:8" ht="12" customHeight="1">
      <c r="B19" s="1790"/>
      <c r="C19" s="1790"/>
      <c r="D19" s="1790"/>
      <c r="E19" s="1790"/>
      <c r="F19" s="1790"/>
      <c r="G19" s="1790"/>
      <c r="H19" s="1790"/>
    </row>
    <row r="20" spans="1:8" ht="13.5" customHeight="1"/>
    <row r="21" spans="1:8" ht="12" customHeight="1">
      <c r="A21" s="1045" t="s">
        <v>3684</v>
      </c>
    </row>
    <row r="22" spans="1:8" ht="3" customHeight="1"/>
    <row r="23" spans="1:8" ht="26.25" customHeight="1">
      <c r="A23" s="1803" t="s">
        <v>3792</v>
      </c>
      <c r="B23" s="1803"/>
      <c r="C23" s="1803"/>
      <c r="D23" s="1803"/>
      <c r="E23" s="1803"/>
      <c r="F23" s="1803"/>
      <c r="G23" s="1803"/>
      <c r="H23" s="1803"/>
    </row>
    <row r="24" spans="1:8" ht="26.25" customHeight="1">
      <c r="A24" s="1804" t="s">
        <v>3685</v>
      </c>
      <c r="B24" s="1804"/>
      <c r="C24" s="1804"/>
      <c r="D24" s="1804"/>
      <c r="E24" s="1804"/>
      <c r="F24" s="1804"/>
      <c r="G24" s="1804"/>
      <c r="H24" s="1804"/>
    </row>
    <row r="25" spans="1:8" ht="9" customHeight="1">
      <c r="A25" s="1138"/>
    </row>
    <row r="26" spans="1:8">
      <c r="A26" s="1178" t="s">
        <v>3794</v>
      </c>
      <c r="B26" s="1209"/>
      <c r="C26" s="1178" t="s">
        <v>3795</v>
      </c>
      <c r="D26" s="1210" t="s">
        <v>4318</v>
      </c>
    </row>
    <row r="27" spans="1:8" ht="6" customHeight="1"/>
    <row r="28" spans="1:8" ht="12.75" customHeight="1">
      <c r="C28" s="1171" t="s">
        <v>3686</v>
      </c>
      <c r="D28" s="1211" t="s">
        <v>2085</v>
      </c>
      <c r="E28" s="1212"/>
      <c r="F28" s="1789" t="s">
        <v>3687</v>
      </c>
      <c r="G28" s="1789"/>
      <c r="H28" s="1789"/>
    </row>
    <row r="29" spans="1:8" ht="12.75" customHeight="1">
      <c r="C29" s="1213" t="s">
        <v>1419</v>
      </c>
      <c r="D29" s="1211" t="s">
        <v>2087</v>
      </c>
      <c r="E29" s="1789" t="s">
        <v>3799</v>
      </c>
      <c r="F29" s="1789"/>
      <c r="G29" s="1789"/>
      <c r="H29" s="1789"/>
    </row>
    <row r="30" spans="1:8" ht="12.75" customHeight="1">
      <c r="E30" s="1789" t="s">
        <v>4314</v>
      </c>
      <c r="F30" s="1789"/>
      <c r="G30" s="1789"/>
      <c r="H30" s="1789"/>
    </row>
    <row r="31" spans="1:8" ht="12.75" customHeight="1">
      <c r="D31" s="1214" t="s">
        <v>3798</v>
      </c>
      <c r="E31" s="1789" t="s">
        <v>4315</v>
      </c>
      <c r="F31" s="1789"/>
      <c r="G31" s="1789"/>
      <c r="H31" s="1789"/>
    </row>
    <row r="32" spans="1:8" ht="3" customHeight="1">
      <c r="D32" s="1211"/>
      <c r="E32" s="1215"/>
      <c r="F32" s="1215"/>
      <c r="G32" s="1215"/>
      <c r="H32" s="1215"/>
    </row>
    <row r="33" spans="1:11">
      <c r="A33" s="1178" t="s">
        <v>3794</v>
      </c>
      <c r="B33" s="1209"/>
      <c r="C33" s="1178" t="s">
        <v>3796</v>
      </c>
      <c r="D33" s="1210" t="s">
        <v>4319</v>
      </c>
    </row>
    <row r="34" spans="1:11" ht="4.5" customHeight="1"/>
    <row r="35" spans="1:11" ht="12.75" customHeight="1">
      <c r="C35" s="1171" t="s">
        <v>3686</v>
      </c>
      <c r="D35" s="1211" t="s">
        <v>2085</v>
      </c>
      <c r="E35" s="1212"/>
      <c r="F35" s="1789" t="s">
        <v>3687</v>
      </c>
      <c r="G35" s="1789"/>
      <c r="H35" s="1789"/>
    </row>
    <row r="36" spans="1:11" ht="12.75" customHeight="1">
      <c r="C36" s="1213" t="s">
        <v>1419</v>
      </c>
      <c r="D36" s="1211" t="s">
        <v>2087</v>
      </c>
      <c r="E36" s="1789" t="s">
        <v>3800</v>
      </c>
      <c r="F36" s="1789"/>
      <c r="G36" s="1789"/>
      <c r="H36" s="1789"/>
    </row>
    <row r="37" spans="1:11" ht="12.75" customHeight="1">
      <c r="E37" s="1789" t="s">
        <v>4314</v>
      </c>
      <c r="F37" s="1789"/>
      <c r="G37" s="1789"/>
      <c r="H37" s="1789"/>
    </row>
    <row r="38" spans="1:11" ht="12.75" customHeight="1">
      <c r="D38" s="1214" t="s">
        <v>3798</v>
      </c>
      <c r="E38" s="1789" t="s">
        <v>4315</v>
      </c>
      <c r="F38" s="1789"/>
      <c r="G38" s="1789"/>
      <c r="H38" s="1789"/>
    </row>
    <row r="39" spans="1:11" ht="3" customHeight="1">
      <c r="D39" s="1211"/>
      <c r="E39" s="1215"/>
      <c r="F39" s="1215"/>
      <c r="G39" s="1215"/>
      <c r="H39" s="1215"/>
    </row>
    <row r="40" spans="1:11">
      <c r="A40" s="1178" t="s">
        <v>3794</v>
      </c>
      <c r="B40" s="1209"/>
      <c r="C40" s="1178" t="s">
        <v>3797</v>
      </c>
      <c r="D40" s="1210" t="s">
        <v>4320</v>
      </c>
    </row>
    <row r="41" spans="1:11" ht="4.5" customHeight="1"/>
    <row r="42" spans="1:11" ht="12.75" customHeight="1">
      <c r="C42" s="1171" t="s">
        <v>3686</v>
      </c>
      <c r="D42" s="1211" t="s">
        <v>2085</v>
      </c>
      <c r="E42" s="1212"/>
      <c r="F42" s="1789" t="s">
        <v>3687</v>
      </c>
      <c r="G42" s="1789"/>
      <c r="H42" s="1789"/>
      <c r="K42" s="1112" t="s">
        <v>254</v>
      </c>
    </row>
    <row r="43" spans="1:11" ht="12.75" customHeight="1">
      <c r="C43" s="1213" t="s">
        <v>1419</v>
      </c>
      <c r="D43" s="1211" t="s">
        <v>2087</v>
      </c>
      <c r="E43" s="1789" t="s">
        <v>3800</v>
      </c>
      <c r="F43" s="1789"/>
      <c r="G43" s="1789"/>
      <c r="H43" s="1789"/>
    </row>
    <row r="44" spans="1:11" ht="12.75" customHeight="1">
      <c r="E44" s="1789" t="s">
        <v>4314</v>
      </c>
      <c r="F44" s="1789"/>
      <c r="G44" s="1789"/>
      <c r="H44" s="1789"/>
    </row>
    <row r="45" spans="1:11" ht="12.75" customHeight="1">
      <c r="D45" s="1214" t="s">
        <v>3798</v>
      </c>
      <c r="E45" s="1789" t="s">
        <v>4315</v>
      </c>
      <c r="F45" s="1789"/>
      <c r="G45" s="1789"/>
      <c r="H45" s="1789"/>
    </row>
    <row r="46" spans="1:11" ht="9" customHeight="1"/>
    <row r="47" spans="1:11" ht="7.5" customHeight="1">
      <c r="E47" s="1789"/>
      <c r="F47" s="1789"/>
      <c r="G47" s="1789"/>
      <c r="H47" s="1789"/>
    </row>
    <row r="48" spans="1:11">
      <c r="A48" s="1138" t="s">
        <v>3688</v>
      </c>
      <c r="E48" s="1215"/>
      <c r="F48" s="1215"/>
      <c r="G48" s="1215"/>
      <c r="H48" s="1215"/>
    </row>
    <row r="49" spans="1:11" ht="9" customHeight="1"/>
    <row r="50" spans="1:11" ht="26.25" customHeight="1">
      <c r="A50" s="1803" t="s">
        <v>4316</v>
      </c>
      <c r="B50" s="1803"/>
      <c r="C50" s="1803"/>
      <c r="D50" s="1803"/>
      <c r="E50" s="1803"/>
      <c r="F50" s="1803"/>
      <c r="G50" s="1803"/>
      <c r="H50" s="1803"/>
    </row>
    <row r="51" spans="1:11" ht="9" customHeight="1">
      <c r="A51" s="1138"/>
    </row>
    <row r="52" spans="1:11">
      <c r="A52" s="1178" t="s">
        <v>3794</v>
      </c>
      <c r="B52" s="1209"/>
      <c r="C52" s="1178" t="s">
        <v>3795</v>
      </c>
      <c r="D52" s="1210" t="s">
        <v>4317</v>
      </c>
    </row>
    <row r="53" spans="1:11" ht="4.5" customHeight="1"/>
    <row r="54" spans="1:11" ht="12.75" customHeight="1">
      <c r="C54" s="1171" t="s">
        <v>3686</v>
      </c>
      <c r="D54" s="1211" t="s">
        <v>2085</v>
      </c>
      <c r="E54" s="1212"/>
      <c r="F54" s="1789" t="s">
        <v>3687</v>
      </c>
      <c r="G54" s="1789"/>
      <c r="H54" s="1789"/>
    </row>
    <row r="55" spans="1:11" ht="12.75" customHeight="1">
      <c r="C55" s="1213" t="s">
        <v>1419</v>
      </c>
      <c r="D55" s="1211" t="s">
        <v>2087</v>
      </c>
      <c r="E55" s="1789" t="s">
        <v>4323</v>
      </c>
      <c r="F55" s="1789"/>
      <c r="G55" s="1789"/>
      <c r="H55" s="1789"/>
    </row>
    <row r="56" spans="1:11" ht="3" customHeight="1">
      <c r="D56" s="1211"/>
      <c r="E56" s="1215"/>
      <c r="F56" s="1215"/>
      <c r="G56" s="1215"/>
      <c r="H56" s="1215"/>
    </row>
    <row r="57" spans="1:11">
      <c r="A57" s="1178" t="s">
        <v>3794</v>
      </c>
      <c r="B57" s="1209"/>
      <c r="C57" s="1178" t="s">
        <v>3796</v>
      </c>
      <c r="D57" s="1210" t="s">
        <v>4321</v>
      </c>
    </row>
    <row r="58" spans="1:11" ht="4.5" customHeight="1"/>
    <row r="59" spans="1:11">
      <c r="C59" s="1171" t="s">
        <v>3686</v>
      </c>
      <c r="D59" s="1211" t="s">
        <v>2085</v>
      </c>
      <c r="E59" s="1212"/>
      <c r="F59" s="1789" t="s">
        <v>3687</v>
      </c>
      <c r="G59" s="1789"/>
      <c r="H59" s="1789"/>
    </row>
    <row r="60" spans="1:11" ht="12.75" customHeight="1">
      <c r="C60" s="1213" t="s">
        <v>1419</v>
      </c>
      <c r="D60" s="1211" t="s">
        <v>2087</v>
      </c>
      <c r="E60" s="1789" t="s">
        <v>4323</v>
      </c>
      <c r="F60" s="1789"/>
      <c r="G60" s="1789"/>
      <c r="H60" s="1789"/>
    </row>
    <row r="61" spans="1:11" ht="3" customHeight="1">
      <c r="D61" s="1211"/>
      <c r="E61" s="1215"/>
      <c r="F61" s="1215"/>
      <c r="G61" s="1215"/>
      <c r="H61" s="1215"/>
    </row>
    <row r="62" spans="1:11">
      <c r="A62" s="1178" t="s">
        <v>3794</v>
      </c>
      <c r="B62" s="1209"/>
      <c r="C62" s="1178" t="s">
        <v>3797</v>
      </c>
      <c r="D62" s="1210" t="s">
        <v>4322</v>
      </c>
    </row>
    <row r="63" spans="1:11" ht="4.5" customHeight="1"/>
    <row r="64" spans="1:11">
      <c r="C64" s="1171" t="s">
        <v>3686</v>
      </c>
      <c r="D64" s="1211" t="s">
        <v>2085</v>
      </c>
      <c r="E64" s="1212"/>
      <c r="F64" s="1789" t="s">
        <v>3687</v>
      </c>
      <c r="G64" s="1789"/>
      <c r="H64" s="1789"/>
      <c r="K64" s="1112" t="s">
        <v>254</v>
      </c>
    </row>
    <row r="65" spans="3:8" ht="12.75" customHeight="1">
      <c r="C65" s="1213" t="s">
        <v>1419</v>
      </c>
      <c r="D65" s="1211" t="s">
        <v>2087</v>
      </c>
      <c r="E65" s="1789" t="s">
        <v>4323</v>
      </c>
      <c r="F65" s="1789"/>
      <c r="G65" s="1789"/>
      <c r="H65" s="1789"/>
    </row>
    <row r="66" spans="3:8" ht="7.5" customHeight="1">
      <c r="E66" s="1789"/>
      <c r="F66" s="1789"/>
      <c r="G66" s="1789"/>
      <c r="H66" s="17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09" t="s">
        <v>3689</v>
      </c>
      <c r="C1" s="1810"/>
      <c r="D1" s="1810"/>
      <c r="E1" s="1810"/>
      <c r="F1" s="1810"/>
      <c r="G1" s="1810"/>
      <c r="H1" s="1810"/>
      <c r="I1" s="1811"/>
    </row>
    <row r="2" spans="2:13">
      <c r="B2" s="1812" t="s">
        <v>3690</v>
      </c>
      <c r="C2" s="1813"/>
      <c r="D2" s="1813"/>
      <c r="E2" s="1813" t="s">
        <v>3691</v>
      </c>
      <c r="F2" s="1813"/>
      <c r="G2" s="1813"/>
      <c r="H2" s="1813" t="s">
        <v>648</v>
      </c>
      <c r="I2" s="1814"/>
      <c r="J2" s="684" t="s">
        <v>3526</v>
      </c>
      <c r="K2" s="684"/>
      <c r="L2" s="685"/>
      <c r="M2" s="685"/>
    </row>
    <row r="3" spans="2:13">
      <c r="B3" s="1815" t="str">
        <f>'Closing term sheet'!C8</f>
        <v>The Cove at York, LP</v>
      </c>
      <c r="C3" s="1816"/>
      <c r="D3" s="1817"/>
      <c r="E3" s="1818"/>
      <c r="F3" s="1819"/>
      <c r="G3" s="1820"/>
      <c r="H3" s="1821" t="str">
        <f>'Preview term'!E15</f>
        <v>The Cove at York</v>
      </c>
      <c r="I3" s="1822"/>
      <c r="K3" s="682"/>
    </row>
    <row r="4" spans="2:13" ht="15" customHeight="1">
      <c r="D4" s="957"/>
      <c r="E4" s="957"/>
      <c r="F4" s="957"/>
      <c r="G4" s="957"/>
      <c r="H4" s="957"/>
      <c r="I4" s="957"/>
      <c r="K4" s="682"/>
    </row>
    <row r="5" spans="2:13">
      <c r="B5" s="1826" t="s">
        <v>3692</v>
      </c>
      <c r="C5" s="1827"/>
      <c r="D5" s="686"/>
      <c r="H5" s="1837">
        <f>'Preview term'!E9</f>
        <v>0</v>
      </c>
      <c r="I5" s="1838"/>
    </row>
    <row r="6" spans="2:13" ht="7.5" customHeight="1">
      <c r="B6" s="738"/>
      <c r="C6" s="686"/>
      <c r="D6" s="686"/>
      <c r="E6" s="686"/>
      <c r="F6" s="686"/>
      <c r="G6" s="686"/>
      <c r="H6" s="686"/>
      <c r="I6" s="739"/>
    </row>
    <row r="7" spans="2:13">
      <c r="B7" s="757" t="s">
        <v>3693</v>
      </c>
      <c r="C7" s="758"/>
      <c r="D7" s="686"/>
      <c r="E7" s="688" t="s">
        <v>3694</v>
      </c>
      <c r="F7" s="686"/>
      <c r="G7" s="686"/>
      <c r="H7" s="686"/>
      <c r="I7" s="760" t="str">
        <f>'Closing term sheet'!D12</f>
        <v>&lt;&lt;Select&gt;&gt;</v>
      </c>
    </row>
    <row r="8" spans="2:13" ht="7.5" customHeight="1">
      <c r="B8" s="738"/>
      <c r="C8" s="686"/>
      <c r="D8" s="686"/>
      <c r="E8" s="686"/>
      <c r="F8" s="686"/>
      <c r="G8" s="686"/>
      <c r="H8" s="686"/>
      <c r="I8" s="739"/>
    </row>
    <row r="9" spans="2:13">
      <c r="B9" s="740" t="s">
        <v>3695</v>
      </c>
      <c r="C9" s="686"/>
      <c r="D9" s="687"/>
      <c r="E9" s="686"/>
      <c r="F9" s="686"/>
      <c r="G9" s="686"/>
      <c r="H9" s="686"/>
      <c r="I9" s="739"/>
    </row>
    <row r="10" spans="2:13">
      <c r="B10" s="740" t="s">
        <v>3696</v>
      </c>
      <c r="C10" s="686"/>
      <c r="D10" s="686"/>
      <c r="E10" s="686"/>
      <c r="F10" s="686"/>
      <c r="G10" s="686"/>
      <c r="H10" s="686"/>
      <c r="I10" s="760" t="s">
        <v>3425</v>
      </c>
    </row>
    <row r="11" spans="2:13">
      <c r="B11" s="738"/>
      <c r="C11" s="759"/>
      <c r="D11" s="686"/>
      <c r="E11" s="688" t="s">
        <v>3697</v>
      </c>
      <c r="F11" s="686"/>
      <c r="G11" s="686"/>
      <c r="H11" s="686"/>
      <c r="I11" s="739"/>
    </row>
    <row r="12" spans="2:13" ht="7.5" customHeight="1">
      <c r="B12" s="740"/>
      <c r="C12" s="686"/>
      <c r="D12" s="686"/>
      <c r="E12" s="686"/>
      <c r="F12" s="687"/>
      <c r="G12" s="686"/>
      <c r="H12" s="686"/>
      <c r="I12" s="739"/>
    </row>
    <row r="13" spans="2:13">
      <c r="B13" s="740" t="s">
        <v>3803</v>
      </c>
      <c r="C13" s="686"/>
      <c r="D13" s="686"/>
      <c r="E13" s="686"/>
      <c r="F13" s="683"/>
      <c r="G13" s="686"/>
      <c r="H13" s="686"/>
      <c r="I13" s="761"/>
    </row>
    <row r="14" spans="2:13">
      <c r="B14" s="741" t="s">
        <v>3802</v>
      </c>
      <c r="C14" s="686"/>
      <c r="D14" s="686"/>
      <c r="E14" s="756" t="s">
        <v>4022</v>
      </c>
      <c r="F14" s="686"/>
      <c r="G14" s="686"/>
      <c r="H14" s="686"/>
      <c r="I14" s="761"/>
    </row>
    <row r="15" spans="2:13" ht="7.5" customHeight="1">
      <c r="B15" s="738"/>
      <c r="C15" s="686"/>
      <c r="D15" s="686"/>
      <c r="E15" s="686"/>
      <c r="F15" s="686"/>
      <c r="G15" s="686"/>
      <c r="H15" s="686"/>
      <c r="I15" s="739"/>
    </row>
    <row r="16" spans="2:13">
      <c r="B16" s="740" t="s">
        <v>3698</v>
      </c>
      <c r="C16" s="686"/>
      <c r="D16" s="686"/>
      <c r="E16" s="686"/>
      <c r="F16" s="686"/>
      <c r="G16" s="686"/>
      <c r="H16" s="686"/>
      <c r="I16" s="760" t="s">
        <v>3425</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3699</v>
      </c>
      <c r="C20" s="686"/>
      <c r="D20" s="730">
        <v>2</v>
      </c>
      <c r="F20" s="686"/>
      <c r="G20" s="683" t="s">
        <v>3700</v>
      </c>
      <c r="H20" s="686"/>
      <c r="I20" s="746">
        <v>2</v>
      </c>
    </row>
    <row r="21" spans="2:9">
      <c r="B21" s="738"/>
      <c r="C21" s="756" t="s">
        <v>3701</v>
      </c>
      <c r="D21" s="692"/>
      <c r="E21" s="692"/>
      <c r="F21" s="692"/>
      <c r="H21" s="692" t="s">
        <v>3702</v>
      </c>
      <c r="I21" s="739"/>
    </row>
    <row r="22" spans="2:9">
      <c r="B22" s="738"/>
      <c r="C22" s="756" t="s">
        <v>3703</v>
      </c>
      <c r="D22" s="692"/>
      <c r="E22" s="692"/>
      <c r="F22" s="692"/>
      <c r="H22" s="692" t="s">
        <v>3704</v>
      </c>
      <c r="I22" s="739"/>
    </row>
    <row r="23" spans="2:9">
      <c r="B23" s="738"/>
      <c r="C23" s="756" t="s">
        <v>3705</v>
      </c>
      <c r="D23" s="692"/>
      <c r="E23" s="692"/>
      <c r="F23" s="692"/>
      <c r="H23" s="692" t="s">
        <v>3706</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3801</v>
      </c>
      <c r="C27" s="686"/>
      <c r="D27" s="731"/>
      <c r="F27" s="763" t="s">
        <v>3707</v>
      </c>
      <c r="H27" s="686"/>
      <c r="I27" s="739"/>
    </row>
    <row r="28" spans="2:9">
      <c r="B28" s="755" t="s">
        <v>3708</v>
      </c>
      <c r="C28" s="692"/>
      <c r="D28" s="692" t="s">
        <v>3709</v>
      </c>
      <c r="E28" s="686"/>
      <c r="F28" s="1828" t="str">
        <f>'Closing term sheet'!C30</f>
        <v>Parcel 0C0180 007000 (N. Houston Lake Rd.)</v>
      </c>
      <c r="G28" s="1829"/>
      <c r="H28" s="1829"/>
      <c r="I28" s="1830"/>
    </row>
    <row r="29" spans="2:9">
      <c r="B29" s="755" t="s">
        <v>3710</v>
      </c>
      <c r="D29" s="692" t="s">
        <v>3711</v>
      </c>
      <c r="E29" s="686"/>
      <c r="F29" s="1828"/>
      <c r="G29" s="1829"/>
      <c r="H29" s="1829"/>
      <c r="I29" s="1830"/>
    </row>
    <row r="30" spans="2:9">
      <c r="B30" s="755" t="s">
        <v>3712</v>
      </c>
      <c r="D30" s="686"/>
      <c r="E30" s="686"/>
      <c r="F30" s="1828"/>
      <c r="G30" s="1829"/>
      <c r="H30" s="1829"/>
      <c r="I30" s="1830"/>
    </row>
    <row r="31" spans="2:9" ht="7.5" customHeight="1">
      <c r="B31" s="738"/>
      <c r="C31" s="686"/>
      <c r="D31" s="686"/>
      <c r="E31" s="686"/>
      <c r="F31" s="686"/>
      <c r="G31" s="686"/>
      <c r="H31" s="686"/>
      <c r="I31" s="739"/>
    </row>
    <row r="32" spans="2:9">
      <c r="B32" s="753" t="s">
        <v>649</v>
      </c>
      <c r="C32" s="1831" t="str">
        <f>'Part I-Project Information'!F28</f>
        <v>Centerville</v>
      </c>
      <c r="D32" s="1832"/>
      <c r="E32" s="691" t="s">
        <v>1887</v>
      </c>
      <c r="F32" s="729" t="s">
        <v>890</v>
      </c>
      <c r="G32" s="691" t="s">
        <v>3713</v>
      </c>
      <c r="H32" s="733">
        <f>'Part I-Project Information'!J28</f>
        <v>310281043</v>
      </c>
      <c r="I32" s="739"/>
    </row>
    <row r="33" spans="2:9">
      <c r="B33" s="753" t="s">
        <v>650</v>
      </c>
      <c r="C33" s="1831" t="str">
        <f>'Part I-Project Information'!J29</f>
        <v>Houston</v>
      </c>
      <c r="D33" s="1832"/>
      <c r="E33" s="686"/>
      <c r="F33" s="686"/>
      <c r="G33" s="686"/>
      <c r="H33" s="686"/>
      <c r="I33" s="739"/>
    </row>
    <row r="34" spans="2:9">
      <c r="B34" s="754" t="s">
        <v>3714</v>
      </c>
      <c r="C34" s="1833">
        <f>'Subsidy Layering WS'!D12</f>
        <v>96</v>
      </c>
      <c r="D34" s="1834"/>
      <c r="E34" s="686"/>
      <c r="F34" s="688" t="s">
        <v>3715</v>
      </c>
      <c r="G34" s="686"/>
      <c r="H34" s="686"/>
      <c r="I34" s="739"/>
    </row>
    <row r="35" spans="2:9">
      <c r="B35" s="754" t="s">
        <v>4312</v>
      </c>
      <c r="C35" s="1835">
        <f>'Closing term sheet'!D64</f>
        <v>9078110</v>
      </c>
      <c r="D35" s="1836"/>
      <c r="E35" s="686"/>
      <c r="F35" s="688" t="s">
        <v>3716</v>
      </c>
      <c r="G35" s="686"/>
      <c r="H35" s="686"/>
      <c r="I35" s="739"/>
    </row>
    <row r="36" spans="2:9">
      <c r="B36" s="747" t="s">
        <v>3717</v>
      </c>
      <c r="C36" s="690"/>
      <c r="D36" s="732"/>
      <c r="E36" s="686"/>
      <c r="F36" s="688" t="s">
        <v>3718</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23" t="s">
        <v>3719</v>
      </c>
      <c r="C40" s="1824"/>
      <c r="D40" s="1824"/>
      <c r="E40" s="1824"/>
      <c r="F40" s="1824"/>
      <c r="G40" s="1824"/>
      <c r="H40" s="1824"/>
      <c r="I40" s="1825"/>
    </row>
    <row r="41" spans="2:9" ht="7.5" customHeight="1">
      <c r="B41" s="1839"/>
      <c r="C41" s="1840"/>
      <c r="D41" s="1840"/>
      <c r="E41" s="686"/>
      <c r="F41" s="686"/>
      <c r="G41" s="748"/>
      <c r="H41" s="686"/>
      <c r="I41" s="739"/>
    </row>
    <row r="42" spans="2:9">
      <c r="B42" s="749" t="s">
        <v>3721</v>
      </c>
      <c r="C42" s="686"/>
      <c r="D42" s="734">
        <v>4</v>
      </c>
      <c r="F42" s="686"/>
      <c r="G42" s="1841" t="s">
        <v>3720</v>
      </c>
      <c r="H42" s="1841"/>
      <c r="I42" s="1842"/>
    </row>
    <row r="43" spans="2:9">
      <c r="B43" s="738"/>
      <c r="C43" s="692" t="s">
        <v>3724</v>
      </c>
      <c r="D43" s="692" t="s">
        <v>3725</v>
      </c>
      <c r="F43" s="686"/>
      <c r="G43" s="968" t="s">
        <v>3722</v>
      </c>
      <c r="H43" s="686"/>
      <c r="I43" s="750">
        <f>Overview!C13</f>
        <v>96</v>
      </c>
    </row>
    <row r="44" spans="2:9">
      <c r="B44" s="738"/>
      <c r="C44" s="692" t="s">
        <v>3726</v>
      </c>
      <c r="D44" s="692" t="s">
        <v>3727</v>
      </c>
      <c r="F44" s="686"/>
      <c r="G44" s="751" t="s">
        <v>3723</v>
      </c>
      <c r="H44" s="686"/>
      <c r="I44" s="750">
        <f>C34</f>
        <v>96</v>
      </c>
    </row>
    <row r="45" spans="2:9">
      <c r="B45" s="755"/>
      <c r="C45" s="692" t="s">
        <v>3728</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3729</v>
      </c>
      <c r="C49" s="686"/>
      <c r="D49" s="686"/>
      <c r="E49" s="686"/>
      <c r="F49" s="686"/>
      <c r="G49" s="686"/>
      <c r="H49" s="686"/>
      <c r="I49" s="739"/>
    </row>
    <row r="50" spans="2:9" ht="7.5" customHeight="1">
      <c r="B50" s="738"/>
      <c r="C50" s="686"/>
      <c r="D50" s="686"/>
      <c r="E50" s="686"/>
      <c r="F50" s="686"/>
      <c r="G50" s="686"/>
      <c r="H50" s="686"/>
      <c r="I50" s="739"/>
    </row>
    <row r="51" spans="2:9">
      <c r="B51" s="740" t="s">
        <v>3730</v>
      </c>
      <c r="D51" s="686"/>
      <c r="E51" s="686"/>
      <c r="F51" s="686"/>
      <c r="G51" s="686"/>
      <c r="H51" s="686"/>
      <c r="I51" s="731"/>
    </row>
    <row r="52" spans="2:9" ht="7.5" customHeight="1">
      <c r="B52" s="738"/>
      <c r="C52" s="686"/>
      <c r="D52" s="686"/>
      <c r="E52" s="686"/>
      <c r="F52" s="686"/>
      <c r="G52" s="686"/>
      <c r="H52" s="686"/>
      <c r="I52" s="739"/>
    </row>
    <row r="53" spans="2:9">
      <c r="B53" s="738" t="s">
        <v>3731</v>
      </c>
      <c r="D53" s="686"/>
      <c r="E53" s="686"/>
      <c r="F53" s="686" t="s">
        <v>3804</v>
      </c>
      <c r="G53" s="686"/>
      <c r="H53" s="686"/>
      <c r="I53" s="735"/>
    </row>
    <row r="54" spans="2:9">
      <c r="B54" s="738"/>
      <c r="E54" s="686"/>
      <c r="F54" s="686" t="s">
        <v>3805</v>
      </c>
      <c r="G54" s="686"/>
      <c r="H54" s="686"/>
      <c r="I54" s="735"/>
    </row>
    <row r="55" spans="2:9">
      <c r="B55" s="738"/>
      <c r="E55" s="686"/>
      <c r="F55" s="686" t="s">
        <v>3806</v>
      </c>
      <c r="G55" s="686"/>
      <c r="H55" s="686"/>
      <c r="I55" s="735"/>
    </row>
    <row r="56" spans="2:9">
      <c r="B56" s="738"/>
      <c r="E56" s="686"/>
      <c r="F56" s="683" t="s">
        <v>3807</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23" t="s">
        <v>3732</v>
      </c>
      <c r="C60" s="1824"/>
      <c r="D60" s="1824"/>
      <c r="E60" s="1824"/>
      <c r="F60" s="1824"/>
      <c r="G60" s="1824"/>
      <c r="H60" s="1824"/>
      <c r="I60" s="1825"/>
    </row>
    <row r="61" spans="2:9">
      <c r="B61" s="738"/>
      <c r="C61" s="686"/>
      <c r="D61" s="686"/>
      <c r="E61" s="686"/>
      <c r="F61" s="686"/>
      <c r="G61" s="686"/>
      <c r="H61" s="686"/>
      <c r="I61" s="739"/>
    </row>
    <row r="62" spans="2:9">
      <c r="B62" s="740" t="s">
        <v>3733</v>
      </c>
      <c r="C62" s="686"/>
      <c r="D62" s="686"/>
      <c r="E62" s="686"/>
      <c r="F62" s="686"/>
      <c r="G62" s="686"/>
      <c r="H62" s="686"/>
      <c r="I62" s="739"/>
    </row>
    <row r="63" spans="2:9">
      <c r="B63" s="738"/>
      <c r="C63" s="683" t="s">
        <v>3734</v>
      </c>
      <c r="D63" s="686"/>
      <c r="E63" s="686"/>
      <c r="F63" s="1843">
        <f>'Closing term sheet'!D64</f>
        <v>9078110</v>
      </c>
      <c r="G63" s="1843"/>
      <c r="H63" s="686"/>
      <c r="I63" s="739"/>
    </row>
    <row r="64" spans="2:9">
      <c r="B64" s="738"/>
      <c r="C64" s="683" t="s">
        <v>3735</v>
      </c>
      <c r="D64" s="686"/>
      <c r="E64" s="686"/>
      <c r="F64" s="1844">
        <f>'Part III-Sources of Funds'!I42+'Part III-Sources of Funds'!I43</f>
        <v>0</v>
      </c>
      <c r="G64" s="1844"/>
      <c r="H64" s="686"/>
      <c r="I64" s="739"/>
    </row>
    <row r="65" spans="2:9">
      <c r="B65" s="738"/>
      <c r="C65" s="683" t="s">
        <v>3736</v>
      </c>
      <c r="D65" s="686"/>
      <c r="E65" s="686"/>
      <c r="F65" s="1845"/>
      <c r="G65" s="1845"/>
      <c r="H65" s="686"/>
      <c r="I65" s="739"/>
    </row>
    <row r="66" spans="2:9">
      <c r="B66" s="738"/>
      <c r="C66" s="692" t="s">
        <v>3737</v>
      </c>
      <c r="D66" s="686"/>
      <c r="E66" s="686"/>
      <c r="F66" s="1844">
        <v>11000</v>
      </c>
      <c r="G66" s="1844"/>
      <c r="H66" s="686"/>
      <c r="I66" s="739"/>
    </row>
    <row r="67" spans="2:9">
      <c r="B67" s="738"/>
      <c r="C67" s="683" t="s">
        <v>3738</v>
      </c>
      <c r="D67" s="686"/>
      <c r="E67" s="686"/>
      <c r="F67" s="1846"/>
      <c r="G67" s="1846"/>
      <c r="H67" s="686"/>
      <c r="I67" s="739"/>
    </row>
    <row r="68" spans="2:9">
      <c r="B68" s="738"/>
      <c r="C68" s="688" t="s">
        <v>3739</v>
      </c>
      <c r="D68" s="686"/>
      <c r="E68" s="686"/>
      <c r="F68" s="1847">
        <f>SUM(F63:G67)</f>
        <v>9089110</v>
      </c>
      <c r="G68" s="1847"/>
      <c r="H68" s="686"/>
      <c r="I68" s="739"/>
    </row>
    <row r="69" spans="2:9">
      <c r="B69" s="738"/>
      <c r="C69" s="686"/>
      <c r="D69" s="686"/>
      <c r="E69" s="686"/>
      <c r="F69" s="1848"/>
      <c r="G69" s="1848"/>
      <c r="H69" s="686"/>
      <c r="I69" s="739"/>
    </row>
    <row r="70" spans="2:9">
      <c r="B70" s="740" t="s">
        <v>3740</v>
      </c>
      <c r="C70" s="686"/>
      <c r="D70" s="686"/>
      <c r="E70" s="686"/>
      <c r="F70" s="686"/>
      <c r="G70" s="686"/>
      <c r="H70" s="686"/>
      <c r="I70" s="739"/>
    </row>
    <row r="71" spans="2:9">
      <c r="B71" s="738"/>
      <c r="C71" s="683" t="s">
        <v>3741</v>
      </c>
      <c r="D71" s="686"/>
      <c r="E71" s="686"/>
      <c r="F71" s="1843"/>
      <c r="G71" s="1843"/>
      <c r="H71" s="686"/>
      <c r="I71" s="739"/>
    </row>
    <row r="72" spans="2:9">
      <c r="B72" s="738"/>
      <c r="C72" s="683" t="s">
        <v>3742</v>
      </c>
      <c r="D72" s="686"/>
      <c r="E72" s="686"/>
      <c r="F72" s="1850"/>
      <c r="G72" s="1850"/>
      <c r="H72" s="686"/>
      <c r="I72" s="739"/>
    </row>
    <row r="73" spans="2:9">
      <c r="B73" s="738"/>
      <c r="C73" s="683" t="s">
        <v>3743</v>
      </c>
      <c r="D73" s="686"/>
      <c r="E73" s="686"/>
      <c r="F73" s="1851" t="s">
        <v>3607</v>
      </c>
      <c r="G73" s="1849"/>
      <c r="H73" s="686"/>
      <c r="I73" s="739"/>
    </row>
    <row r="74" spans="2:9">
      <c r="B74" s="738"/>
      <c r="C74" s="688" t="s">
        <v>3744</v>
      </c>
      <c r="D74" s="686"/>
      <c r="E74" s="686"/>
      <c r="F74" s="1847">
        <f>+SUM(F71:G73)</f>
        <v>0</v>
      </c>
      <c r="G74" s="1847"/>
      <c r="H74" s="686"/>
      <c r="I74" s="739"/>
    </row>
    <row r="75" spans="2:9">
      <c r="B75" s="738"/>
      <c r="C75" s="686"/>
      <c r="D75" s="686"/>
      <c r="E75" s="686"/>
      <c r="F75" s="686"/>
      <c r="G75" s="686"/>
      <c r="H75" s="686"/>
      <c r="I75" s="739"/>
    </row>
    <row r="76" spans="2:9">
      <c r="B76" s="740" t="s">
        <v>3745</v>
      </c>
      <c r="C76" s="686"/>
      <c r="D76" s="686"/>
      <c r="E76" s="686"/>
      <c r="F76" s="686"/>
      <c r="G76" s="686"/>
      <c r="H76" s="686"/>
      <c r="I76" s="739"/>
    </row>
    <row r="77" spans="2:9">
      <c r="B77" s="738"/>
      <c r="C77" s="683" t="s">
        <v>3746</v>
      </c>
      <c r="D77" s="686"/>
      <c r="E77" s="686"/>
      <c r="F77" s="1843"/>
      <c r="G77" s="1843"/>
      <c r="H77" s="686"/>
      <c r="I77" s="739"/>
    </row>
    <row r="78" spans="2:9">
      <c r="B78" s="738"/>
      <c r="C78" s="683" t="s">
        <v>3747</v>
      </c>
      <c r="D78" s="686"/>
      <c r="E78" s="686"/>
      <c r="F78" s="1850"/>
      <c r="G78" s="1850"/>
      <c r="H78" s="686"/>
      <c r="I78" s="739"/>
    </row>
    <row r="79" spans="2:9">
      <c r="B79" s="738"/>
      <c r="C79" s="683" t="s">
        <v>3748</v>
      </c>
      <c r="D79" s="686"/>
      <c r="E79" s="686"/>
      <c r="F79" s="1846"/>
      <c r="G79" s="1846"/>
      <c r="H79" s="686"/>
      <c r="I79" s="739"/>
    </row>
    <row r="80" spans="2:9">
      <c r="B80" s="738"/>
      <c r="C80" s="688" t="s">
        <v>3749</v>
      </c>
      <c r="D80" s="686"/>
      <c r="E80" s="686"/>
      <c r="F80" s="1847">
        <f>+SUM(F77:G79)</f>
        <v>0</v>
      </c>
      <c r="G80" s="1847"/>
      <c r="H80" s="686"/>
      <c r="I80" s="739"/>
    </row>
    <row r="81" spans="2:9">
      <c r="B81" s="738"/>
      <c r="C81" s="686"/>
      <c r="D81" s="686"/>
      <c r="E81" s="686"/>
      <c r="F81" s="686"/>
      <c r="G81" s="686"/>
      <c r="H81" s="686"/>
      <c r="I81" s="739"/>
    </row>
    <row r="82" spans="2:9">
      <c r="B82" s="749" t="s">
        <v>3750</v>
      </c>
      <c r="C82" s="683"/>
      <c r="D82" s="686"/>
      <c r="E82" s="686"/>
      <c r="F82" s="1849">
        <f>'Part III-Sources of Funds'!I44+'Part III-Sources of Funds'!I45</f>
        <v>13581121</v>
      </c>
      <c r="G82" s="1849"/>
      <c r="H82" s="686"/>
      <c r="I82" s="739"/>
    </row>
    <row r="83" spans="2:9">
      <c r="B83" s="738"/>
      <c r="C83" s="686"/>
      <c r="D83" s="686"/>
      <c r="E83" s="686"/>
      <c r="F83" s="686"/>
      <c r="G83" s="686"/>
      <c r="H83" s="686"/>
      <c r="I83" s="752" t="s">
        <v>3751</v>
      </c>
    </row>
    <row r="84" spans="2:9">
      <c r="B84" s="740" t="s">
        <v>3752</v>
      </c>
      <c r="C84" s="686"/>
      <c r="D84" s="686"/>
      <c r="E84" s="686"/>
      <c r="F84" s="1849">
        <f>+F82+F80+F74+F68</f>
        <v>22670231</v>
      </c>
      <c r="G84" s="1849"/>
      <c r="H84" s="686"/>
      <c r="I84" s="739"/>
    </row>
    <row r="85" spans="2:9">
      <c r="B85" s="742"/>
      <c r="C85" s="743"/>
      <c r="D85" s="743"/>
      <c r="E85" s="743"/>
      <c r="F85" s="743"/>
      <c r="G85" s="743"/>
      <c r="H85" s="743"/>
      <c r="I85" s="744"/>
    </row>
    <row r="87" spans="2:9">
      <c r="C87" s="693" t="s">
        <v>3422</v>
      </c>
    </row>
    <row r="88" spans="2:9">
      <c r="C88" s="693" t="s">
        <v>3425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60" customWidth="1"/>
    <col min="2" max="12" width="7.28515625" style="2660" customWidth="1"/>
    <col min="13" max="13" width="8.7109375" style="2660" customWidth="1"/>
    <col min="14" max="15" width="5.85546875" style="2660" customWidth="1"/>
    <col min="16" max="16384" width="8.85546875" style="2660"/>
  </cols>
  <sheetData>
    <row r="1" spans="1:26" ht="19.5">
      <c r="N1" s="2661" t="s">
        <v>1574</v>
      </c>
      <c r="O1" s="2661"/>
      <c r="P1" s="2661"/>
      <c r="Q1" s="2661"/>
      <c r="R1" s="2661"/>
      <c r="S1" s="2661"/>
      <c r="T1" s="2661"/>
      <c r="U1" s="2661"/>
      <c r="V1" s="2661"/>
      <c r="W1" s="2661"/>
      <c r="X1" s="2661"/>
      <c r="Y1" s="2661"/>
      <c r="Z1" s="2661"/>
    </row>
    <row r="3" spans="1:26">
      <c r="N3" s="2662" t="s">
        <v>1575</v>
      </c>
      <c r="O3" s="2662"/>
      <c r="P3" s="2662"/>
      <c r="Q3" s="2662"/>
      <c r="R3" s="2662"/>
      <c r="S3" s="2662"/>
      <c r="T3" s="2662"/>
      <c r="U3" s="2662"/>
      <c r="V3" s="2662"/>
      <c r="W3" s="2662"/>
      <c r="X3" s="2662"/>
      <c r="Y3" s="2662"/>
      <c r="Z3" s="2662"/>
    </row>
    <row r="4" spans="1:26">
      <c r="N4" s="2663" t="s">
        <v>1576</v>
      </c>
      <c r="O4" s="2663"/>
      <c r="P4" s="2663"/>
      <c r="Q4" s="2663"/>
      <c r="R4" s="2663"/>
      <c r="S4" s="2663"/>
      <c r="T4" s="2663"/>
      <c r="U4" s="2663"/>
      <c r="V4" s="2663"/>
      <c r="W4" s="2663"/>
      <c r="X4" s="2663"/>
      <c r="Y4" s="2663"/>
      <c r="Z4" s="2663"/>
    </row>
    <row r="5" spans="1:26">
      <c r="B5" s="2664"/>
      <c r="C5" s="2664"/>
      <c r="D5" s="2664"/>
      <c r="E5" s="2664"/>
      <c r="F5" s="2664"/>
      <c r="G5" s="2664"/>
      <c r="H5" s="2664"/>
      <c r="I5" s="2664"/>
      <c r="J5" s="2664"/>
      <c r="K5" s="2664"/>
      <c r="L5" s="2664"/>
      <c r="M5" s="2664"/>
      <c r="N5" s="2665" t="s">
        <v>740</v>
      </c>
    </row>
    <row r="6" spans="1:26" ht="57" customHeight="1">
      <c r="A6" s="2666" t="s">
        <v>3011</v>
      </c>
      <c r="B6" s="2666"/>
      <c r="C6" s="2666"/>
      <c r="D6" s="2666"/>
      <c r="E6" s="2666"/>
      <c r="F6" s="2666"/>
      <c r="G6" s="2666"/>
      <c r="H6" s="2666"/>
      <c r="I6" s="2666"/>
      <c r="J6" s="2666"/>
      <c r="K6" s="2666"/>
      <c r="L6" s="2666"/>
      <c r="M6" s="2666"/>
    </row>
    <row r="7" spans="1:26" ht="11.45" customHeight="1">
      <c r="A7" s="2664"/>
      <c r="B7" s="2664"/>
      <c r="C7" s="2664"/>
      <c r="D7" s="2664"/>
      <c r="E7" s="2664"/>
      <c r="F7" s="2664"/>
      <c r="G7" s="2664"/>
      <c r="H7" s="2664"/>
      <c r="I7" s="2664"/>
      <c r="J7" s="2664"/>
      <c r="K7" s="2664"/>
      <c r="L7" s="2664"/>
      <c r="M7" s="2664"/>
    </row>
    <row r="8" spans="1:26">
      <c r="A8" s="2664" t="s">
        <v>745</v>
      </c>
      <c r="B8" s="2664"/>
      <c r="C8" s="2664"/>
      <c r="D8" s="2664"/>
      <c r="E8" s="2664"/>
      <c r="F8" s="2664"/>
      <c r="G8" s="2664"/>
      <c r="H8" s="2664"/>
      <c r="I8" s="2664"/>
      <c r="J8" s="2664"/>
      <c r="K8" s="2664"/>
      <c r="L8" s="2664"/>
      <c r="M8" s="2664"/>
    </row>
    <row r="9" spans="1:26" ht="11.45" customHeight="1">
      <c r="A9" s="2664"/>
      <c r="B9" s="2664"/>
      <c r="C9" s="2664"/>
      <c r="D9" s="2664"/>
      <c r="E9" s="2664"/>
      <c r="F9" s="2664"/>
      <c r="G9" s="2664"/>
      <c r="H9" s="2664"/>
      <c r="I9" s="2664"/>
      <c r="J9" s="2664"/>
      <c r="K9" s="2664"/>
      <c r="L9" s="2664"/>
      <c r="M9" s="2664"/>
    </row>
    <row r="10" spans="1:26">
      <c r="A10" s="2667" t="s">
        <v>2003</v>
      </c>
      <c r="B10" s="2667"/>
      <c r="C10" s="2667"/>
      <c r="D10" s="2667"/>
      <c r="E10" s="2667"/>
      <c r="F10" s="2667"/>
      <c r="G10" s="2667"/>
      <c r="H10" s="2667"/>
      <c r="I10" s="2667"/>
      <c r="J10" s="2667"/>
      <c r="K10" s="2667"/>
      <c r="L10" s="2667"/>
      <c r="M10" s="2667"/>
    </row>
    <row r="11" spans="1:26" ht="6.75" customHeight="1">
      <c r="A11" s="2667"/>
      <c r="B11" s="2667"/>
      <c r="C11" s="2667"/>
      <c r="D11" s="2667"/>
      <c r="E11" s="2667"/>
      <c r="F11" s="2667"/>
      <c r="G11" s="2667"/>
      <c r="H11" s="2667"/>
      <c r="I11" s="2667"/>
      <c r="J11" s="2667"/>
      <c r="K11" s="2667"/>
      <c r="L11" s="2667"/>
      <c r="M11" s="2667"/>
    </row>
    <row r="12" spans="1:26" ht="44.25" customHeight="1">
      <c r="A12" s="2668" t="s">
        <v>4243</v>
      </c>
      <c r="B12" s="2668"/>
      <c r="C12" s="2668"/>
      <c r="D12" s="2668"/>
      <c r="E12" s="2668"/>
      <c r="F12" s="2668"/>
      <c r="G12" s="2668"/>
      <c r="H12" s="2668"/>
      <c r="I12" s="2668"/>
      <c r="J12" s="2668"/>
      <c r="K12" s="2668"/>
      <c r="L12" s="2668"/>
      <c r="M12" s="2668"/>
    </row>
    <row r="13" spans="1:26" ht="3" customHeight="1">
      <c r="A13" s="2667"/>
      <c r="B13" s="2667"/>
      <c r="C13" s="2667"/>
      <c r="D13" s="2667"/>
      <c r="E13" s="2667"/>
      <c r="F13" s="2667"/>
      <c r="G13" s="2667"/>
      <c r="H13" s="2667"/>
      <c r="I13" s="2667"/>
      <c r="J13" s="2667"/>
      <c r="K13" s="2667"/>
      <c r="L13" s="2667"/>
      <c r="M13" s="2667"/>
    </row>
    <row r="14" spans="1:26" ht="87.75" customHeight="1">
      <c r="A14" s="2669" t="s">
        <v>1825</v>
      </c>
      <c r="B14" s="2670" t="s">
        <v>4058</v>
      </c>
      <c r="C14" s="2670"/>
      <c r="D14" s="2670"/>
      <c r="E14" s="2670"/>
      <c r="F14" s="2670"/>
      <c r="G14" s="2670"/>
      <c r="H14" s="2670"/>
      <c r="I14" s="2670"/>
      <c r="J14" s="2670"/>
      <c r="K14" s="2670"/>
      <c r="L14" s="2670"/>
      <c r="M14" s="2670"/>
    </row>
    <row r="15" spans="1:26" ht="57" customHeight="1">
      <c r="A15" s="2669" t="s">
        <v>1826</v>
      </c>
      <c r="B15" s="2670" t="s">
        <v>3012</v>
      </c>
      <c r="C15" s="2670"/>
      <c r="D15" s="2670"/>
      <c r="E15" s="2670"/>
      <c r="F15" s="2670"/>
      <c r="G15" s="2670"/>
      <c r="H15" s="2670"/>
      <c r="I15" s="2670"/>
      <c r="J15" s="2670"/>
      <c r="K15" s="2670"/>
      <c r="L15" s="2670"/>
      <c r="M15" s="2670"/>
    </row>
    <row r="16" spans="1:26" ht="117.75" customHeight="1">
      <c r="A16" s="2669" t="s">
        <v>1827</v>
      </c>
      <c r="B16" s="2670" t="s">
        <v>675</v>
      </c>
      <c r="C16" s="2670"/>
      <c r="D16" s="2670"/>
      <c r="E16" s="2670"/>
      <c r="F16" s="2670"/>
      <c r="G16" s="2670"/>
      <c r="H16" s="2670"/>
      <c r="I16" s="2670"/>
      <c r="J16" s="2670"/>
      <c r="K16" s="2670"/>
      <c r="L16" s="2670"/>
      <c r="M16" s="2670"/>
    </row>
    <row r="17" spans="1:13" ht="147.75" customHeight="1">
      <c r="A17" s="2669" t="s">
        <v>2477</v>
      </c>
      <c r="B17" s="2670" t="s">
        <v>4057</v>
      </c>
      <c r="C17" s="2670"/>
      <c r="D17" s="2670"/>
      <c r="E17" s="2670"/>
      <c r="F17" s="2670"/>
      <c r="G17" s="2670"/>
      <c r="H17" s="2670"/>
      <c r="I17" s="2670"/>
      <c r="J17" s="2670"/>
      <c r="K17" s="2670"/>
      <c r="L17" s="2670"/>
      <c r="M17" s="2670"/>
    </row>
    <row r="18" spans="1:13" ht="42" customHeight="1">
      <c r="A18" s="2669" t="s">
        <v>1626</v>
      </c>
      <c r="B18" s="2670" t="s">
        <v>719</v>
      </c>
      <c r="C18" s="2670"/>
      <c r="D18" s="2670"/>
      <c r="E18" s="2670"/>
      <c r="F18" s="2670"/>
      <c r="G18" s="2670"/>
      <c r="H18" s="2670"/>
      <c r="I18" s="2670"/>
      <c r="J18" s="2670"/>
      <c r="K18" s="2670"/>
      <c r="L18" s="2670"/>
      <c r="M18" s="2670"/>
    </row>
    <row r="19" spans="1:13" ht="177" customHeight="1">
      <c r="A19" s="2669" t="s">
        <v>1627</v>
      </c>
      <c r="B19" s="2670" t="s">
        <v>4056</v>
      </c>
      <c r="C19" s="2670"/>
      <c r="D19" s="2670"/>
      <c r="E19" s="2670"/>
      <c r="F19" s="2670"/>
      <c r="G19" s="2670"/>
      <c r="H19" s="2670"/>
      <c r="I19" s="2670"/>
      <c r="J19" s="2670"/>
      <c r="K19" s="2670"/>
      <c r="L19" s="2670"/>
      <c r="M19" s="2670"/>
    </row>
    <row r="20" spans="1:13" ht="74.25" customHeight="1">
      <c r="A20" s="2669" t="s">
        <v>100</v>
      </c>
      <c r="B20" s="2671" t="s">
        <v>4244</v>
      </c>
      <c r="C20" s="2671"/>
      <c r="D20" s="2671"/>
      <c r="E20" s="2671"/>
      <c r="F20" s="2671"/>
      <c r="G20" s="2671"/>
      <c r="H20" s="2671"/>
      <c r="I20" s="2671"/>
      <c r="J20" s="2671"/>
      <c r="K20" s="2671"/>
      <c r="L20" s="2671"/>
      <c r="M20" s="2671"/>
    </row>
    <row r="21" spans="1:13" ht="61.5" customHeight="1">
      <c r="A21" s="2669" t="s">
        <v>535</v>
      </c>
      <c r="B21" s="2670" t="s">
        <v>4062</v>
      </c>
      <c r="C21" s="2670"/>
      <c r="D21" s="2670"/>
      <c r="E21" s="2670"/>
      <c r="F21" s="2670"/>
      <c r="G21" s="2670"/>
      <c r="H21" s="2670"/>
      <c r="I21" s="2670"/>
      <c r="J21" s="2670"/>
      <c r="K21" s="2670"/>
      <c r="L21" s="2670"/>
      <c r="M21" s="2670"/>
    </row>
    <row r="22" spans="1:13" ht="32.450000000000003" customHeight="1">
      <c r="A22" s="2669" t="s">
        <v>536</v>
      </c>
      <c r="B22" s="2670" t="s">
        <v>4245</v>
      </c>
      <c r="C22" s="2670"/>
      <c r="D22" s="2670"/>
      <c r="E22" s="2670"/>
      <c r="F22" s="2670"/>
      <c r="G22" s="2670"/>
      <c r="H22" s="2670"/>
      <c r="I22" s="2670"/>
      <c r="J22" s="2670"/>
      <c r="K22" s="2670"/>
      <c r="L22" s="2670"/>
      <c r="M22" s="2670"/>
    </row>
    <row r="23" spans="1:13" ht="1.5" customHeight="1">
      <c r="A23" s="2667"/>
      <c r="B23" s="2667"/>
      <c r="C23" s="2667"/>
      <c r="D23" s="2667"/>
      <c r="E23" s="2667"/>
      <c r="F23" s="2667"/>
      <c r="G23" s="2667"/>
      <c r="H23" s="2667"/>
      <c r="I23" s="2667"/>
      <c r="J23" s="2667"/>
      <c r="K23" s="2667"/>
      <c r="L23" s="2667"/>
      <c r="M23" s="2667"/>
    </row>
    <row r="24" spans="1:13" ht="13.5" customHeight="1">
      <c r="A24" s="2667" t="s">
        <v>1539</v>
      </c>
      <c r="B24" s="2667"/>
      <c r="C24" s="2667"/>
      <c r="D24" s="2667"/>
      <c r="E24" s="2667"/>
      <c r="F24" s="2667"/>
      <c r="G24" s="2667"/>
      <c r="H24" s="2667"/>
      <c r="I24" s="2667"/>
      <c r="J24" s="2667"/>
      <c r="K24" s="2667"/>
      <c r="L24" s="2667"/>
      <c r="M24" s="2667"/>
    </row>
    <row r="25" spans="1:13" ht="3" customHeight="1">
      <c r="A25" s="2667"/>
      <c r="B25" s="2667"/>
      <c r="C25" s="2667"/>
      <c r="D25" s="2667"/>
      <c r="E25" s="2667"/>
      <c r="F25" s="2667"/>
      <c r="G25" s="2667"/>
      <c r="H25" s="2667"/>
      <c r="I25" s="2667"/>
      <c r="J25" s="2667"/>
      <c r="K25" s="2667"/>
      <c r="L25" s="2667"/>
      <c r="M25" s="2667"/>
    </row>
    <row r="26" spans="1:13" ht="28.5" customHeight="1">
      <c r="A26" s="998" t="s">
        <v>1540</v>
      </c>
      <c r="B26" s="2670" t="s">
        <v>4246</v>
      </c>
      <c r="C26" s="2670"/>
      <c r="D26" s="2670"/>
      <c r="E26" s="2670"/>
      <c r="F26" s="2670"/>
      <c r="G26" s="2670"/>
      <c r="H26" s="2670"/>
      <c r="I26" s="2670"/>
      <c r="J26" s="2670"/>
      <c r="K26" s="2670"/>
      <c r="L26" s="2670"/>
      <c r="M26" s="2670"/>
    </row>
    <row r="27" spans="1:13" ht="32.450000000000003" customHeight="1">
      <c r="A27" s="998" t="s">
        <v>1540</v>
      </c>
      <c r="B27" s="2670" t="s">
        <v>4247</v>
      </c>
      <c r="C27" s="2670"/>
      <c r="D27" s="2670"/>
      <c r="E27" s="2670"/>
      <c r="F27" s="2670"/>
      <c r="G27" s="2670"/>
      <c r="H27" s="2670"/>
      <c r="I27" s="2670"/>
      <c r="J27" s="2670"/>
      <c r="K27" s="2670"/>
      <c r="L27" s="2670"/>
      <c r="M27" s="2670"/>
    </row>
    <row r="28" spans="1:13" ht="72.75" customHeight="1">
      <c r="A28" s="998" t="s">
        <v>1540</v>
      </c>
      <c r="B28" s="2670" t="s">
        <v>3013</v>
      </c>
      <c r="C28" s="2670"/>
      <c r="D28" s="2670"/>
      <c r="E28" s="2670"/>
      <c r="F28" s="2670"/>
      <c r="G28" s="2670"/>
      <c r="H28" s="2670"/>
      <c r="I28" s="2670"/>
      <c r="J28" s="2670"/>
      <c r="K28" s="2670"/>
      <c r="L28" s="2670"/>
      <c r="M28" s="2670"/>
    </row>
    <row r="29" spans="1:13" ht="6" customHeight="1">
      <c r="A29" s="2667"/>
      <c r="B29" s="2667"/>
      <c r="C29" s="2667"/>
      <c r="D29" s="2667"/>
      <c r="E29" s="2667"/>
      <c r="F29" s="2667"/>
      <c r="G29" s="2667"/>
      <c r="H29" s="2667"/>
      <c r="I29" s="2667"/>
      <c r="J29" s="2667"/>
      <c r="K29" s="2667"/>
      <c r="L29" s="2667"/>
      <c r="M29" s="2667"/>
    </row>
    <row r="30" spans="1:13" ht="29.25" customHeight="1">
      <c r="A30" s="2670" t="s">
        <v>990</v>
      </c>
      <c r="B30" s="2670"/>
      <c r="C30" s="2670"/>
      <c r="D30" s="2670"/>
      <c r="E30" s="2670"/>
      <c r="F30" s="2670"/>
      <c r="G30" s="2670"/>
      <c r="H30" s="2670"/>
      <c r="I30" s="2670"/>
      <c r="J30" s="2670"/>
      <c r="K30" s="2670"/>
      <c r="L30" s="2670"/>
      <c r="M30" s="2670"/>
    </row>
    <row r="31" spans="1:13" ht="3" customHeight="1">
      <c r="A31" s="2667"/>
      <c r="B31" s="2667"/>
      <c r="C31" s="2667"/>
      <c r="D31" s="2667"/>
      <c r="E31" s="2667"/>
      <c r="F31" s="2667"/>
      <c r="G31" s="2667"/>
      <c r="H31" s="2667"/>
      <c r="I31" s="2667"/>
      <c r="J31" s="2667"/>
      <c r="K31" s="2667"/>
      <c r="L31" s="2667"/>
      <c r="M31" s="2667"/>
    </row>
    <row r="32" spans="1:13" ht="29.25" customHeight="1">
      <c r="A32" s="2670" t="s">
        <v>3014</v>
      </c>
      <c r="B32" s="2670"/>
      <c r="C32" s="2670"/>
      <c r="D32" s="2670"/>
      <c r="E32" s="2670"/>
      <c r="F32" s="2670"/>
      <c r="G32" s="2670"/>
      <c r="H32" s="2670"/>
      <c r="I32" s="2670"/>
      <c r="J32" s="2670"/>
      <c r="K32" s="2670"/>
      <c r="L32" s="2670"/>
      <c r="M32" s="2670"/>
    </row>
    <row r="33" spans="1:13" ht="3" customHeight="1">
      <c r="A33" s="2667"/>
      <c r="B33" s="2667"/>
      <c r="C33" s="2667"/>
      <c r="D33" s="2667"/>
      <c r="E33" s="2667"/>
      <c r="F33" s="2667"/>
      <c r="G33" s="2667"/>
      <c r="H33" s="2667"/>
      <c r="I33" s="2667"/>
      <c r="J33" s="2667"/>
      <c r="K33" s="2667"/>
      <c r="L33" s="2667"/>
      <c r="M33" s="2667"/>
    </row>
    <row r="34" spans="1:13">
      <c r="A34" s="2667" t="s">
        <v>966</v>
      </c>
      <c r="B34" s="2667"/>
      <c r="C34" s="2667"/>
      <c r="D34" s="2667"/>
      <c r="E34" s="2667"/>
      <c r="F34" s="2667"/>
      <c r="G34" s="2667"/>
      <c r="H34" s="2667"/>
      <c r="I34" s="2667"/>
      <c r="J34" s="2667"/>
      <c r="K34" s="2667"/>
      <c r="L34" s="2667"/>
      <c r="M34" s="2667"/>
    </row>
    <row r="35" spans="1:13" ht="6" customHeight="1">
      <c r="A35" s="2672"/>
      <c r="B35" s="2672"/>
      <c r="C35" s="2672"/>
      <c r="D35" s="2672"/>
      <c r="E35" s="2672"/>
      <c r="F35" s="2672"/>
      <c r="G35" s="2672"/>
      <c r="H35" s="2672"/>
      <c r="I35" s="2672"/>
      <c r="J35" s="2672"/>
      <c r="K35" s="2672"/>
      <c r="L35" s="2672"/>
      <c r="M35" s="2672"/>
    </row>
    <row r="36" spans="1:13">
      <c r="A36" s="2673" t="s">
        <v>4389</v>
      </c>
      <c r="B36" s="2673"/>
      <c r="C36" s="2673"/>
      <c r="D36" s="2673"/>
      <c r="E36" s="2673"/>
      <c r="F36" s="2673"/>
      <c r="G36" s="2674"/>
      <c r="H36" s="2673" t="s">
        <v>4390</v>
      </c>
      <c r="I36" s="2673"/>
      <c r="J36" s="2673"/>
      <c r="K36" s="2673"/>
      <c r="L36" s="2673"/>
      <c r="M36" s="2673"/>
    </row>
    <row r="37" spans="1:13" ht="12" customHeight="1">
      <c r="A37" s="2675" t="s">
        <v>967</v>
      </c>
      <c r="B37" s="2675"/>
      <c r="C37" s="2675"/>
      <c r="D37" s="2675"/>
      <c r="E37" s="2675"/>
      <c r="F37" s="2675"/>
      <c r="G37" s="2674"/>
      <c r="H37" s="2675" t="s">
        <v>2078</v>
      </c>
      <c r="I37" s="2675"/>
      <c r="J37" s="2675"/>
      <c r="K37" s="2675"/>
      <c r="L37" s="2675"/>
      <c r="M37" s="2675"/>
    </row>
    <row r="38" spans="1:13" ht="6" customHeight="1">
      <c r="A38" s="2674"/>
      <c r="B38" s="2674"/>
      <c r="C38" s="2674"/>
      <c r="D38" s="2674"/>
      <c r="E38" s="2674"/>
      <c r="F38" s="2674"/>
      <c r="G38" s="2674"/>
      <c r="H38" s="2674"/>
      <c r="I38" s="2674"/>
      <c r="J38" s="2674"/>
      <c r="K38" s="2674"/>
      <c r="L38" s="2674"/>
      <c r="M38" s="2674"/>
    </row>
    <row r="39" spans="1:13">
      <c r="A39" s="2673"/>
      <c r="B39" s="2673"/>
      <c r="C39" s="2673"/>
      <c r="D39" s="2673"/>
      <c r="E39" s="2673"/>
      <c r="F39" s="2673"/>
      <c r="G39" s="2674"/>
      <c r="H39" s="2676">
        <v>42156</v>
      </c>
      <c r="I39" s="2676"/>
      <c r="J39" s="2676"/>
      <c r="K39" s="2676"/>
      <c r="L39" s="2676"/>
      <c r="M39" s="2676"/>
    </row>
    <row r="40" spans="1:13" ht="12" customHeight="1">
      <c r="A40" s="2675" t="s">
        <v>968</v>
      </c>
      <c r="B40" s="2675"/>
      <c r="C40" s="2675"/>
      <c r="D40" s="2675"/>
      <c r="E40" s="2675"/>
      <c r="F40" s="2675"/>
      <c r="G40" s="2674"/>
      <c r="H40" s="2675" t="s">
        <v>969</v>
      </c>
      <c r="I40" s="2675"/>
      <c r="J40" s="2675"/>
      <c r="K40" s="2675"/>
      <c r="L40" s="2675"/>
      <c r="M40" s="2675"/>
    </row>
    <row r="41" spans="1:13" ht="12" customHeight="1">
      <c r="A41" s="2677"/>
      <c r="B41" s="2677"/>
      <c r="C41" s="2677"/>
      <c r="D41" s="2677"/>
      <c r="E41" s="2677"/>
      <c r="F41" s="2677"/>
      <c r="G41" s="2674"/>
      <c r="H41" s="2677"/>
      <c r="I41" s="2677"/>
      <c r="J41" s="2677"/>
      <c r="K41" s="2677"/>
      <c r="L41" s="2677"/>
      <c r="M41" s="2677"/>
    </row>
    <row r="42" spans="1:13" ht="11.45" customHeight="1">
      <c r="A42" s="2664"/>
      <c r="B42" s="2664"/>
      <c r="C42" s="2664"/>
      <c r="D42" s="2664"/>
      <c r="E42" s="2664"/>
      <c r="F42" s="2664"/>
      <c r="G42" s="2664"/>
      <c r="H42" s="2678" t="s">
        <v>970</v>
      </c>
      <c r="I42" s="2678"/>
      <c r="J42" s="2678"/>
      <c r="K42" s="2678"/>
      <c r="L42" s="2678"/>
      <c r="M42" s="2678"/>
    </row>
    <row r="43" spans="1:13" ht="11.45" customHeight="1">
      <c r="A43" s="2664"/>
      <c r="B43" s="2664"/>
      <c r="C43" s="2664"/>
      <c r="D43" s="2664"/>
      <c r="E43" s="2664"/>
      <c r="F43" s="2664"/>
      <c r="G43" s="2664"/>
    </row>
    <row r="44" spans="1:13" ht="11.45" customHeight="1">
      <c r="A44" s="2664"/>
      <c r="B44" s="2664"/>
      <c r="C44" s="2664"/>
      <c r="D44" s="2664"/>
      <c r="E44" s="2664"/>
      <c r="F44" s="2664"/>
      <c r="G44" s="2664"/>
      <c r="H44" s="2664"/>
      <c r="I44" s="2664"/>
      <c r="J44" s="2664"/>
      <c r="K44" s="2664"/>
      <c r="L44" s="2664"/>
      <c r="M44" s="2664"/>
    </row>
    <row r="45" spans="1:13" ht="11.45" customHeight="1">
      <c r="A45" s="2664"/>
      <c r="B45" s="2664"/>
      <c r="C45" s="2664"/>
      <c r="D45" s="2664"/>
      <c r="E45" s="2664"/>
      <c r="F45" s="2664"/>
      <c r="G45" s="2664"/>
      <c r="H45" s="2664"/>
      <c r="I45" s="2664"/>
      <c r="J45" s="2664"/>
      <c r="K45" s="2664"/>
      <c r="L45" s="2664"/>
      <c r="M45" s="2664"/>
    </row>
    <row r="46" spans="1:13" ht="11.45" customHeight="1"/>
    <row r="47" spans="1:13" ht="11.45" customHeight="1"/>
    <row r="48" spans="1:13" ht="11.45" customHeight="1"/>
    <row r="49" ht="11.45" customHeight="1"/>
    <row r="50" ht="11.45" customHeight="1"/>
  </sheetData>
  <sheetProtection algorithmName="SHA-512" hashValue="NChv2utIrXCHo6siAvV9RU4NU8k4NP+O6rZJuCHNciZSxK8mEyEjdxJgoM2mkKAtdiI+WaWRCJ0aQHJykETlXg==" saltValue="K4G6rBgxv2aW9WSb6NFd5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55" t="s">
        <v>761</v>
      </c>
      <c r="B2" s="1856"/>
      <c r="C2" s="1856"/>
      <c r="D2" s="1856"/>
      <c r="E2" s="1856"/>
      <c r="F2" s="1856"/>
      <c r="G2" s="1856"/>
      <c r="H2" s="1856"/>
      <c r="I2" s="1856"/>
      <c r="J2" s="1856"/>
      <c r="K2" s="1856"/>
      <c r="L2" s="1856"/>
      <c r="M2" s="1856"/>
      <c r="N2" s="1856"/>
      <c r="O2" s="1856"/>
      <c r="P2" s="1856"/>
      <c r="Q2" s="1856"/>
      <c r="R2" s="1857"/>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4332</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2" t="s">
        <v>3816</v>
      </c>
      <c r="G12" s="1853"/>
      <c r="H12" s="1853"/>
      <c r="I12" s="1853"/>
      <c r="J12" s="1854"/>
      <c r="K12" s="315"/>
      <c r="L12" s="772" t="s">
        <v>3814</v>
      </c>
      <c r="M12" s="315"/>
      <c r="N12" s="1852" t="s">
        <v>3816</v>
      </c>
      <c r="O12" s="1853"/>
      <c r="P12" s="1853"/>
      <c r="Q12" s="1853"/>
      <c r="R12" s="1854"/>
      <c r="S12" s="328"/>
      <c r="T12" s="187"/>
      <c r="U12" s="187"/>
      <c r="V12" s="311"/>
      <c r="W12" s="311"/>
      <c r="X12" s="311"/>
    </row>
    <row r="13" spans="1:26" s="302" customFormat="1" ht="11.45" customHeight="1">
      <c r="A13" s="189"/>
      <c r="D13" s="773" t="s">
        <v>2741</v>
      </c>
      <c r="E13" s="773" t="s">
        <v>1361</v>
      </c>
      <c r="F13" s="774">
        <v>0</v>
      </c>
      <c r="G13" s="775">
        <v>1</v>
      </c>
      <c r="H13" s="776">
        <v>2</v>
      </c>
      <c r="I13" s="776">
        <v>3</v>
      </c>
      <c r="J13" s="777" t="s">
        <v>3813</v>
      </c>
      <c r="L13" s="773" t="s">
        <v>2741</v>
      </c>
      <c r="M13" s="773" t="s">
        <v>1361</v>
      </c>
      <c r="N13" s="774">
        <v>0</v>
      </c>
      <c r="O13" s="775">
        <v>1</v>
      </c>
      <c r="P13" s="776">
        <v>2</v>
      </c>
      <c r="Q13" s="776">
        <v>3</v>
      </c>
      <c r="R13" s="777" t="s">
        <v>3813</v>
      </c>
      <c r="S13" s="328"/>
      <c r="T13" s="187"/>
      <c r="U13" s="187"/>
      <c r="V13" s="311"/>
      <c r="W13" s="311"/>
      <c r="X13" s="311"/>
    </row>
    <row r="14" spans="1:26" s="302" customFormat="1" ht="11.45" customHeight="1">
      <c r="A14" s="189"/>
      <c r="D14" s="328" t="s">
        <v>1264</v>
      </c>
      <c r="E14" s="328" t="s">
        <v>3815</v>
      </c>
      <c r="F14" s="771">
        <v>131087</v>
      </c>
      <c r="G14" s="771">
        <v>172539</v>
      </c>
      <c r="H14" s="771">
        <v>206934</v>
      </c>
      <c r="I14" s="771">
        <v>249467</v>
      </c>
      <c r="J14" s="771">
        <v>293990</v>
      </c>
      <c r="L14" s="770" t="s">
        <v>1264</v>
      </c>
      <c r="M14" s="770" t="s">
        <v>3815</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3812</v>
      </c>
      <c r="F15" s="771">
        <v>110290</v>
      </c>
      <c r="G15" s="771">
        <v>154405</v>
      </c>
      <c r="H15" s="771">
        <v>198521</v>
      </c>
      <c r="I15" s="771">
        <v>264695</v>
      </c>
      <c r="J15" s="771">
        <v>330869</v>
      </c>
      <c r="L15" s="770" t="s">
        <v>1264</v>
      </c>
      <c r="M15" s="770" t="s">
        <v>3812</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3810</v>
      </c>
      <c r="F16" s="771">
        <v>123833</v>
      </c>
      <c r="G16" s="771">
        <v>163359</v>
      </c>
      <c r="H16" s="771">
        <v>196393</v>
      </c>
      <c r="I16" s="771">
        <v>237924</v>
      </c>
      <c r="J16" s="771">
        <v>282958</v>
      </c>
      <c r="L16" s="770" t="s">
        <v>1264</v>
      </c>
      <c r="M16" s="770" t="s">
        <v>3810</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3811</v>
      </c>
      <c r="F17" s="771">
        <v>103092</v>
      </c>
      <c r="G17" s="771">
        <v>142399</v>
      </c>
      <c r="H17" s="771">
        <v>180596</v>
      </c>
      <c r="I17" s="771">
        <v>235833</v>
      </c>
      <c r="J17" s="771">
        <v>293987</v>
      </c>
      <c r="L17" s="770" t="s">
        <v>1264</v>
      </c>
      <c r="M17" s="770" t="s">
        <v>3811</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3815</v>
      </c>
      <c r="F18" s="771">
        <v>119758</v>
      </c>
      <c r="G18" s="771">
        <v>157527</v>
      </c>
      <c r="H18" s="771">
        <v>188778</v>
      </c>
      <c r="I18" s="771">
        <v>227319</v>
      </c>
      <c r="J18" s="771">
        <v>267830</v>
      </c>
      <c r="L18" s="770" t="s">
        <v>1395</v>
      </c>
      <c r="M18" s="770" t="s">
        <v>3815</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3812</v>
      </c>
      <c r="F19" s="771">
        <v>100625</v>
      </c>
      <c r="G19" s="771">
        <v>140875</v>
      </c>
      <c r="H19" s="771">
        <v>181125</v>
      </c>
      <c r="I19" s="771">
        <v>241500</v>
      </c>
      <c r="J19" s="771">
        <v>301875</v>
      </c>
      <c r="L19" s="770" t="s">
        <v>1395</v>
      </c>
      <c r="M19" s="770" t="s">
        <v>3812</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3810</v>
      </c>
      <c r="F20" s="771">
        <v>113275</v>
      </c>
      <c r="G20" s="771">
        <v>149323</v>
      </c>
      <c r="H20" s="771">
        <v>179359</v>
      </c>
      <c r="I20" s="771">
        <v>217004</v>
      </c>
      <c r="J20" s="771">
        <v>257972</v>
      </c>
      <c r="L20" s="770" t="s">
        <v>1395</v>
      </c>
      <c r="M20" s="770" t="s">
        <v>3810</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3811</v>
      </c>
      <c r="F21" s="771">
        <v>94526</v>
      </c>
      <c r="G21" s="771">
        <v>130612</v>
      </c>
      <c r="H21" s="771">
        <v>165707</v>
      </c>
      <c r="I21" s="771">
        <v>216508</v>
      </c>
      <c r="J21" s="771">
        <v>269917</v>
      </c>
      <c r="L21" s="770" t="s">
        <v>1395</v>
      </c>
      <c r="M21" s="770" t="s">
        <v>3811</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3815</v>
      </c>
      <c r="F22" s="771">
        <v>120753</v>
      </c>
      <c r="G22" s="771">
        <v>159013</v>
      </c>
      <c r="H22" s="771">
        <v>190825</v>
      </c>
      <c r="I22" s="771">
        <v>230243</v>
      </c>
      <c r="J22" s="771">
        <v>271379</v>
      </c>
      <c r="L22" s="770" t="s">
        <v>12</v>
      </c>
      <c r="M22" s="770" t="s">
        <v>3815</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3812</v>
      </c>
      <c r="F23" s="771">
        <v>101695</v>
      </c>
      <c r="G23" s="771">
        <v>142373</v>
      </c>
      <c r="H23" s="771">
        <v>183051</v>
      </c>
      <c r="I23" s="771">
        <v>244068</v>
      </c>
      <c r="J23" s="771">
        <v>305085</v>
      </c>
      <c r="L23" s="770" t="s">
        <v>12</v>
      </c>
      <c r="M23" s="770" t="s">
        <v>3812</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3810</v>
      </c>
      <c r="F24" s="771">
        <v>113962</v>
      </c>
      <c r="G24" s="771">
        <v>150419</v>
      </c>
      <c r="H24" s="771">
        <v>180957</v>
      </c>
      <c r="I24" s="771">
        <v>219437</v>
      </c>
      <c r="J24" s="771">
        <v>261052</v>
      </c>
      <c r="L24" s="770" t="s">
        <v>12</v>
      </c>
      <c r="M24" s="770" t="s">
        <v>3810</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3811</v>
      </c>
      <c r="F25" s="771">
        <v>94706</v>
      </c>
      <c r="G25" s="771">
        <v>130782</v>
      </c>
      <c r="H25" s="771">
        <v>165819</v>
      </c>
      <c r="I25" s="771">
        <v>216447</v>
      </c>
      <c r="J25" s="771">
        <v>269807</v>
      </c>
      <c r="L25" s="770" t="s">
        <v>12</v>
      </c>
      <c r="M25" s="770" t="s">
        <v>3811</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3815</v>
      </c>
      <c r="F26" s="771">
        <v>120753</v>
      </c>
      <c r="G26" s="771">
        <v>159013</v>
      </c>
      <c r="H26" s="771">
        <v>190825</v>
      </c>
      <c r="I26" s="771">
        <v>230243</v>
      </c>
      <c r="J26" s="771">
        <v>271379</v>
      </c>
      <c r="L26" s="770" t="s">
        <v>1385</v>
      </c>
      <c r="M26" s="770" t="s">
        <v>3815</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3812</v>
      </c>
      <c r="F27" s="771">
        <v>101695</v>
      </c>
      <c r="G27" s="771">
        <v>142373</v>
      </c>
      <c r="H27" s="771">
        <v>183051</v>
      </c>
      <c r="I27" s="771">
        <v>244068</v>
      </c>
      <c r="J27" s="771">
        <v>305085</v>
      </c>
      <c r="L27" s="770" t="s">
        <v>1385</v>
      </c>
      <c r="M27" s="770" t="s">
        <v>3812</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3810</v>
      </c>
      <c r="F28" s="771">
        <v>113962</v>
      </c>
      <c r="G28" s="771">
        <v>150419</v>
      </c>
      <c r="H28" s="771">
        <v>180957</v>
      </c>
      <c r="I28" s="771">
        <v>219437</v>
      </c>
      <c r="J28" s="771">
        <v>261052</v>
      </c>
      <c r="L28" s="770" t="s">
        <v>1385</v>
      </c>
      <c r="M28" s="770" t="s">
        <v>3810</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3811</v>
      </c>
      <c r="F29" s="771">
        <v>94706</v>
      </c>
      <c r="G29" s="771">
        <v>130782</v>
      </c>
      <c r="H29" s="771">
        <v>165819</v>
      </c>
      <c r="I29" s="771">
        <v>216447</v>
      </c>
      <c r="J29" s="771">
        <v>269807</v>
      </c>
      <c r="L29" s="770" t="s">
        <v>1385</v>
      </c>
      <c r="M29" s="770" t="s">
        <v>3811</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2377</v>
      </c>
      <c r="E30" s="328" t="s">
        <v>3815</v>
      </c>
      <c r="F30" s="771">
        <v>128484</v>
      </c>
      <c r="G30" s="771">
        <v>168999</v>
      </c>
      <c r="H30" s="771">
        <v>202517</v>
      </c>
      <c r="I30" s="771">
        <v>243845</v>
      </c>
      <c r="J30" s="771">
        <v>287297</v>
      </c>
      <c r="L30" s="770" t="s">
        <v>2377</v>
      </c>
      <c r="M30" s="770" t="s">
        <v>3815</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2377</v>
      </c>
      <c r="E31" s="328" t="s">
        <v>3812</v>
      </c>
      <c r="F31" s="771">
        <v>107949</v>
      </c>
      <c r="G31" s="771">
        <v>151128</v>
      </c>
      <c r="H31" s="771">
        <v>194307</v>
      </c>
      <c r="I31" s="771">
        <v>259077</v>
      </c>
      <c r="J31" s="771">
        <v>323846</v>
      </c>
      <c r="L31" s="770" t="s">
        <v>2377</v>
      </c>
      <c r="M31" s="770" t="s">
        <v>3812</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2377</v>
      </c>
      <c r="E32" s="328" t="s">
        <v>3810</v>
      </c>
      <c r="F32" s="771">
        <v>121538</v>
      </c>
      <c r="G32" s="771">
        <v>160210</v>
      </c>
      <c r="H32" s="771">
        <v>192424</v>
      </c>
      <c r="I32" s="771">
        <v>232793</v>
      </c>
      <c r="J32" s="771">
        <v>276735</v>
      </c>
      <c r="L32" s="770" t="s">
        <v>2377</v>
      </c>
      <c r="M32" s="770" t="s">
        <v>3810</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2377</v>
      </c>
      <c r="E33" s="328" t="s">
        <v>3811</v>
      </c>
      <c r="F33" s="771">
        <v>101436</v>
      </c>
      <c r="G33" s="771">
        <v>140163</v>
      </c>
      <c r="H33" s="771">
        <v>177827</v>
      </c>
      <c r="I33" s="771">
        <v>232352</v>
      </c>
      <c r="J33" s="771">
        <v>289671</v>
      </c>
      <c r="L33" s="770" t="s">
        <v>2377</v>
      </c>
      <c r="M33" s="770" t="s">
        <v>3811</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3815</v>
      </c>
      <c r="F34" s="771">
        <v>121557</v>
      </c>
      <c r="G34" s="771">
        <v>160040</v>
      </c>
      <c r="H34" s="771">
        <v>192011</v>
      </c>
      <c r="I34" s="771">
        <v>231592</v>
      </c>
      <c r="J34" s="771">
        <v>272951</v>
      </c>
      <c r="L34" s="770" t="s">
        <v>1391</v>
      </c>
      <c r="M34" s="770" t="s">
        <v>3815</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3812</v>
      </c>
      <c r="F35" s="771">
        <v>102331</v>
      </c>
      <c r="G35" s="771">
        <v>143263</v>
      </c>
      <c r="H35" s="771">
        <v>184195</v>
      </c>
      <c r="I35" s="771">
        <v>245593</v>
      </c>
      <c r="J35" s="771">
        <v>306992</v>
      </c>
      <c r="L35" s="770" t="s">
        <v>1391</v>
      </c>
      <c r="M35" s="770" t="s">
        <v>3812</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3810</v>
      </c>
      <c r="F36" s="771">
        <v>114766</v>
      </c>
      <c r="G36" s="771">
        <v>151446</v>
      </c>
      <c r="H36" s="771">
        <v>182143</v>
      </c>
      <c r="I36" s="771">
        <v>220786</v>
      </c>
      <c r="J36" s="771">
        <v>262624</v>
      </c>
      <c r="L36" s="770" t="s">
        <v>1391</v>
      </c>
      <c r="M36" s="770" t="s">
        <v>3810</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3811</v>
      </c>
      <c r="F37" s="771">
        <v>95444</v>
      </c>
      <c r="G37" s="771">
        <v>131815</v>
      </c>
      <c r="H37" s="771">
        <v>167147</v>
      </c>
      <c r="I37" s="771">
        <v>218218</v>
      </c>
      <c r="J37" s="771">
        <v>272020</v>
      </c>
      <c r="L37" s="770" t="s">
        <v>1391</v>
      </c>
      <c r="M37" s="770" t="s">
        <v>3811</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3815</v>
      </c>
      <c r="F38" s="771">
        <v>113481</v>
      </c>
      <c r="G38" s="771">
        <v>149453</v>
      </c>
      <c r="H38" s="771">
        <v>179377</v>
      </c>
      <c r="I38" s="771">
        <v>216472</v>
      </c>
      <c r="J38" s="771">
        <v>255157</v>
      </c>
      <c r="L38" s="770" t="s">
        <v>1781</v>
      </c>
      <c r="M38" s="770" t="s">
        <v>3815</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3812</v>
      </c>
      <c r="F39" s="771">
        <v>95592</v>
      </c>
      <c r="G39" s="771">
        <v>133829</v>
      </c>
      <c r="H39" s="771">
        <v>172066</v>
      </c>
      <c r="I39" s="771">
        <v>229421</v>
      </c>
      <c r="J39" s="771">
        <v>286776</v>
      </c>
      <c r="L39" s="770" t="s">
        <v>1781</v>
      </c>
      <c r="M39" s="770" t="s">
        <v>3812</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3810</v>
      </c>
      <c r="F40" s="771">
        <v>107076</v>
      </c>
      <c r="G40" s="771">
        <v>141347</v>
      </c>
      <c r="H40" s="771">
        <v>170070</v>
      </c>
      <c r="I40" s="771">
        <v>206279</v>
      </c>
      <c r="J40" s="771">
        <v>245416</v>
      </c>
      <c r="L40" s="770" t="s">
        <v>1781</v>
      </c>
      <c r="M40" s="770" t="s">
        <v>3810</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3811</v>
      </c>
      <c r="F41" s="771">
        <v>88948</v>
      </c>
      <c r="G41" s="771">
        <v>122823</v>
      </c>
      <c r="H41" s="771">
        <v>155719</v>
      </c>
      <c r="I41" s="771">
        <v>203244</v>
      </c>
      <c r="J41" s="771">
        <v>253345</v>
      </c>
      <c r="L41" s="770" t="s">
        <v>1781</v>
      </c>
      <c r="M41" s="770" t="s">
        <v>3811</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4353</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4339</v>
      </c>
      <c r="G45" s="189"/>
      <c r="H45" s="187"/>
      <c r="I45" s="187"/>
      <c r="J45" s="960">
        <v>110481</v>
      </c>
      <c r="K45" s="960">
        <v>126647</v>
      </c>
      <c r="L45" s="960">
        <v>154003</v>
      </c>
      <c r="M45" s="960">
        <v>199229</v>
      </c>
      <c r="N45" s="960">
        <v>199229</v>
      </c>
      <c r="O45" s="189"/>
      <c r="Q45" s="961">
        <v>1000</v>
      </c>
      <c r="R45" s="961">
        <v>0</v>
      </c>
      <c r="S45" s="328" t="s">
        <v>4338</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8">
        <v>6500</v>
      </c>
      <c r="R59" s="185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8">
        <v>5500</v>
      </c>
      <c r="R60" s="1859"/>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858">
        <v>5000</v>
      </c>
      <c r="R61" s="1859"/>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858">
        <v>1000</v>
      </c>
      <c r="R62" s="1859"/>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858">
        <v>500</v>
      </c>
      <c r="R63" s="185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8">
        <v>7000</v>
      </c>
      <c r="R64" s="185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8">
        <v>6000</v>
      </c>
      <c r="R65" s="1859"/>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63">
        <v>0.08</v>
      </c>
      <c r="R74" s="1863"/>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63">
        <v>0.08</v>
      </c>
      <c r="R75" s="1863"/>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858">
        <v>2700</v>
      </c>
      <c r="R76" s="1859"/>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1858">
        <v>1500</v>
      </c>
      <c r="R77" s="185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3137</v>
      </c>
      <c r="M82" s="189"/>
      <c r="N82" s="189"/>
      <c r="O82" s="189"/>
      <c r="P82" s="187"/>
      <c r="Q82" s="1858">
        <v>75</v>
      </c>
      <c r="R82" s="1859"/>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858">
        <v>1800000</v>
      </c>
      <c r="R83" s="1859"/>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858">
        <v>2000000</v>
      </c>
      <c r="R84" s="185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863">
        <v>0.15</v>
      </c>
      <c r="R85" s="1863"/>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63">
        <v>0.15</v>
      </c>
      <c r="R86" s="1863"/>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63">
        <v>0.15</v>
      </c>
      <c r="R87" s="1863"/>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63">
        <v>0.15</v>
      </c>
      <c r="R88" s="1863"/>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63">
        <v>0.15</v>
      </c>
      <c r="R89" s="1863"/>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863">
        <v>0.15</v>
      </c>
      <c r="R90" s="1863"/>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863" t="s">
        <v>2487</v>
      </c>
      <c r="R91" s="1863"/>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858">
        <v>3000</v>
      </c>
      <c r="R97" s="185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63">
        <v>0.02</v>
      </c>
      <c r="R102" s="1863"/>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63">
        <v>7.0000000000000007E-2</v>
      </c>
      <c r="R103" s="1863"/>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63">
        <v>7.0000000000000007E-2</v>
      </c>
      <c r="R104" s="1863"/>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63">
        <v>0.03</v>
      </c>
      <c r="R105" s="1863"/>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63">
        <v>0.03</v>
      </c>
      <c r="R106" s="1863"/>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63">
        <v>0</v>
      </c>
      <c r="R107" s="1863"/>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863">
        <v>0.1</v>
      </c>
      <c r="R109" s="1863"/>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863">
        <v>0.15</v>
      </c>
      <c r="R110" s="1863"/>
      <c r="S110" s="310"/>
      <c r="T110" s="310"/>
      <c r="U110" s="187"/>
      <c r="V110" s="311"/>
      <c r="W110" s="311"/>
      <c r="X110" s="311"/>
    </row>
    <row r="111" spans="1:26" ht="4.5" customHeight="1"/>
    <row r="112" spans="1:26">
      <c r="A112" s="307" t="s">
        <v>3134</v>
      </c>
      <c r="F112" s="189" t="s">
        <v>2727</v>
      </c>
      <c r="G112" s="189"/>
      <c r="H112" s="187"/>
      <c r="I112" s="187"/>
      <c r="J112" s="189" t="s">
        <v>2821</v>
      </c>
      <c r="K112" s="189"/>
      <c r="L112" s="189"/>
      <c r="M112" s="189"/>
      <c r="N112" s="189"/>
      <c r="O112" s="189"/>
      <c r="P112" s="187"/>
      <c r="Q112" s="1863">
        <v>0.35</v>
      </c>
      <c r="R112" s="1863"/>
    </row>
    <row r="113" spans="1:25" s="302" customFormat="1" ht="12.75" customHeight="1">
      <c r="A113" s="307"/>
      <c r="B113" s="189"/>
      <c r="C113" s="189"/>
      <c r="D113" s="187"/>
      <c r="E113" s="187"/>
      <c r="F113" s="189" t="s">
        <v>3135</v>
      </c>
      <c r="G113" s="189"/>
      <c r="H113" s="187"/>
      <c r="I113" s="187"/>
      <c r="J113" s="189" t="s">
        <v>2821</v>
      </c>
      <c r="K113" s="189"/>
      <c r="L113" s="189"/>
      <c r="M113" s="189"/>
      <c r="N113" s="189"/>
      <c r="O113" s="189"/>
      <c r="P113" s="187"/>
      <c r="Q113" s="1863" t="s">
        <v>3136</v>
      </c>
      <c r="R113" s="1863"/>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3069</v>
      </c>
      <c r="N126" s="694" t="s">
        <v>2519</v>
      </c>
      <c r="O126" s="694"/>
      <c r="P126" s="189"/>
      <c r="Q126" s="432"/>
      <c r="R126" s="697" t="s">
        <v>649</v>
      </c>
      <c r="S126" s="698" t="s">
        <v>650</v>
      </c>
      <c r="U126" s="809" t="s">
        <v>3886</v>
      </c>
      <c r="X126" s="486"/>
      <c r="Y126" s="486"/>
    </row>
    <row r="127" spans="1:25" ht="10.5" customHeight="1">
      <c r="C127" s="418" t="s">
        <v>1870</v>
      </c>
      <c r="D127" s="502">
        <v>45900</v>
      </c>
      <c r="E127" s="317"/>
      <c r="F127" s="317" t="s">
        <v>880</v>
      </c>
      <c r="G127" s="432" t="s">
        <v>1269</v>
      </c>
      <c r="H127" s="432" t="s">
        <v>1270</v>
      </c>
      <c r="I127" s="699" t="s">
        <v>1271</v>
      </c>
      <c r="J127" s="699" t="s">
        <v>2740</v>
      </c>
      <c r="K127" s="707" t="s">
        <v>1213</v>
      </c>
      <c r="L127" s="708" t="s">
        <v>437</v>
      </c>
      <c r="M127" s="709" t="s">
        <v>2727</v>
      </c>
      <c r="N127" s="700" t="s">
        <v>1598</v>
      </c>
      <c r="O127" s="328"/>
      <c r="P127" s="189"/>
      <c r="Q127" s="432"/>
      <c r="R127" s="591" t="s">
        <v>2520</v>
      </c>
      <c r="S127" s="591" t="s">
        <v>2048</v>
      </c>
      <c r="U127" s="486" t="s">
        <v>2520</v>
      </c>
      <c r="V127" s="486" t="s">
        <v>3887</v>
      </c>
      <c r="X127" s="486"/>
      <c r="Y127" s="486"/>
    </row>
    <row r="128" spans="1:25" ht="10.5" customHeight="1">
      <c r="C128" s="418" t="s">
        <v>1271</v>
      </c>
      <c r="D128" s="502">
        <v>44400</v>
      </c>
      <c r="E128" s="317"/>
      <c r="F128" s="317" t="s">
        <v>881</v>
      </c>
      <c r="G128" s="432" t="s">
        <v>1865</v>
      </c>
      <c r="H128" s="432" t="s">
        <v>1270</v>
      </c>
      <c r="I128" s="699" t="s">
        <v>1866</v>
      </c>
      <c r="J128" s="699" t="s">
        <v>2740</v>
      </c>
      <c r="K128" s="707" t="s">
        <v>1214</v>
      </c>
      <c r="L128" s="708" t="s">
        <v>437</v>
      </c>
      <c r="M128" s="709" t="s">
        <v>2727</v>
      </c>
      <c r="N128" s="700" t="s">
        <v>1600</v>
      </c>
      <c r="O128" s="328"/>
      <c r="P128" s="189"/>
      <c r="Q128" s="432"/>
      <c r="R128" s="591" t="s">
        <v>1599</v>
      </c>
      <c r="S128" s="591" t="s">
        <v>2609</v>
      </c>
      <c r="U128" s="486" t="s">
        <v>1599</v>
      </c>
      <c r="V128" s="486" t="s">
        <v>3887</v>
      </c>
      <c r="X128" s="486"/>
      <c r="Y128" s="486"/>
    </row>
    <row r="129" spans="3:25" ht="10.5" customHeight="1">
      <c r="C129" s="418" t="s">
        <v>1086</v>
      </c>
      <c r="D129" s="502">
        <v>56600</v>
      </c>
      <c r="E129" s="317"/>
      <c r="F129" s="317" t="s">
        <v>882</v>
      </c>
      <c r="G129" s="432" t="s">
        <v>1867</v>
      </c>
      <c r="H129" s="432" t="s">
        <v>1270</v>
      </c>
      <c r="I129" s="699" t="s">
        <v>1868</v>
      </c>
      <c r="J129" s="699" t="s">
        <v>2740</v>
      </c>
      <c r="K129" s="707" t="s">
        <v>1215</v>
      </c>
      <c r="L129" s="708" t="s">
        <v>437</v>
      </c>
      <c r="M129" s="709" t="s">
        <v>2727</v>
      </c>
      <c r="N129" s="700" t="s">
        <v>481</v>
      </c>
      <c r="O129" s="328"/>
      <c r="P129" s="189"/>
      <c r="Q129" s="432"/>
      <c r="R129" s="591" t="s">
        <v>989</v>
      </c>
      <c r="S129" s="591" t="s">
        <v>1379</v>
      </c>
      <c r="U129" s="486" t="s">
        <v>989</v>
      </c>
      <c r="V129" s="486" t="s">
        <v>3887</v>
      </c>
      <c r="X129" s="486"/>
      <c r="Y129" s="486"/>
    </row>
    <row r="130" spans="3:25" ht="10.5" customHeight="1">
      <c r="C130" s="418" t="s">
        <v>1866</v>
      </c>
      <c r="D130" s="502">
        <v>36800</v>
      </c>
      <c r="E130" s="317"/>
      <c r="F130" s="317" t="s">
        <v>883</v>
      </c>
      <c r="G130" s="432" t="s">
        <v>1869</v>
      </c>
      <c r="H130" s="432" t="s">
        <v>1270</v>
      </c>
      <c r="I130" s="701" t="s">
        <v>1870</v>
      </c>
      <c r="J130" s="701" t="s">
        <v>2741</v>
      </c>
      <c r="K130" s="707" t="s">
        <v>1216</v>
      </c>
      <c r="L130" s="708" t="s">
        <v>438</v>
      </c>
      <c r="M130" s="709" t="s">
        <v>1252</v>
      </c>
      <c r="N130" s="700" t="s">
        <v>2181</v>
      </c>
      <c r="O130" s="328"/>
      <c r="P130" s="189"/>
      <c r="Q130" s="432"/>
      <c r="R130" s="591" t="s">
        <v>482</v>
      </c>
      <c r="S130" s="591" t="s">
        <v>2656</v>
      </c>
      <c r="U130" s="486" t="s">
        <v>2182</v>
      </c>
      <c r="V130" s="486" t="s">
        <v>3887</v>
      </c>
      <c r="X130" s="486"/>
      <c r="Y130" s="486"/>
    </row>
    <row r="131" spans="3:25" ht="10.5" customHeight="1">
      <c r="C131" s="418" t="s">
        <v>805</v>
      </c>
      <c r="D131" s="502">
        <v>68300</v>
      </c>
      <c r="E131" s="317"/>
      <c r="F131" s="317" t="s">
        <v>884</v>
      </c>
      <c r="G131" s="432" t="s">
        <v>1871</v>
      </c>
      <c r="H131" s="432" t="s">
        <v>1400</v>
      </c>
      <c r="I131" s="701" t="s">
        <v>161</v>
      </c>
      <c r="J131" s="701" t="s">
        <v>2740</v>
      </c>
      <c r="K131" s="707" t="s">
        <v>1217</v>
      </c>
      <c r="L131" s="708" t="s">
        <v>437</v>
      </c>
      <c r="M131" s="709" t="s">
        <v>2727</v>
      </c>
      <c r="N131" s="700" t="s">
        <v>2183</v>
      </c>
      <c r="O131" s="328"/>
      <c r="P131" s="189"/>
      <c r="Q131" s="432"/>
      <c r="R131" s="591" t="s">
        <v>2182</v>
      </c>
      <c r="S131" s="591" t="s">
        <v>345</v>
      </c>
      <c r="U131" s="486" t="s">
        <v>2186</v>
      </c>
      <c r="V131" s="486" t="s">
        <v>3887</v>
      </c>
      <c r="X131" s="486"/>
      <c r="Y131" s="486"/>
    </row>
    <row r="132" spans="3:25" ht="10.5" customHeight="1">
      <c r="C132" s="418" t="s">
        <v>806</v>
      </c>
      <c r="D132" s="502">
        <v>59100</v>
      </c>
      <c r="E132" s="317"/>
      <c r="F132" s="317" t="s">
        <v>885</v>
      </c>
      <c r="G132" s="432" t="s">
        <v>1375</v>
      </c>
      <c r="H132" s="432" t="s">
        <v>1376</v>
      </c>
      <c r="I132" s="699" t="s">
        <v>1377</v>
      </c>
      <c r="J132" s="699" t="s">
        <v>2740</v>
      </c>
      <c r="K132" s="707" t="s">
        <v>1915</v>
      </c>
      <c r="L132" s="708" t="s">
        <v>437</v>
      </c>
      <c r="M132" s="709" t="s">
        <v>2727</v>
      </c>
      <c r="N132" s="700" t="s">
        <v>2185</v>
      </c>
      <c r="O132" s="328"/>
      <c r="P132" s="189"/>
      <c r="Q132" s="432"/>
      <c r="R132" s="591" t="s">
        <v>2184</v>
      </c>
      <c r="S132" s="591" t="s">
        <v>189</v>
      </c>
      <c r="U132" s="486" t="s">
        <v>1870</v>
      </c>
      <c r="V132" s="486" t="s">
        <v>3887</v>
      </c>
      <c r="X132" s="486"/>
      <c r="Y132" s="486"/>
    </row>
    <row r="133" spans="3:25" ht="10.5" customHeight="1">
      <c r="C133" s="418" t="s">
        <v>1868</v>
      </c>
      <c r="D133" s="502">
        <v>46700</v>
      </c>
      <c r="E133" s="317"/>
      <c r="F133" s="317" t="s">
        <v>886</v>
      </c>
      <c r="G133" s="432" t="s">
        <v>1378</v>
      </c>
      <c r="H133" s="432" t="s">
        <v>1400</v>
      </c>
      <c r="I133" s="701" t="s">
        <v>805</v>
      </c>
      <c r="J133" s="701" t="s">
        <v>2741</v>
      </c>
      <c r="K133" s="707" t="s">
        <v>2704</v>
      </c>
      <c r="L133" s="708" t="s">
        <v>438</v>
      </c>
      <c r="M133" s="709" t="s">
        <v>1252</v>
      </c>
      <c r="N133" s="700" t="s">
        <v>2187</v>
      </c>
      <c r="O133" s="328"/>
      <c r="P133" s="189"/>
      <c r="Q133" s="432"/>
      <c r="R133" s="591" t="s">
        <v>2186</v>
      </c>
      <c r="S133" s="591" t="s">
        <v>114</v>
      </c>
      <c r="U133" s="486" t="s">
        <v>463</v>
      </c>
      <c r="V133" s="486" t="s">
        <v>3887</v>
      </c>
      <c r="X133" s="486"/>
      <c r="Y133" s="486"/>
    </row>
    <row r="134" spans="3:25" ht="10.5" customHeight="1">
      <c r="C134" s="418" t="s">
        <v>161</v>
      </c>
      <c r="D134" s="502">
        <v>51700</v>
      </c>
      <c r="E134" s="317"/>
      <c r="F134" s="317" t="s">
        <v>887</v>
      </c>
      <c r="G134" s="432" t="s">
        <v>1379</v>
      </c>
      <c r="H134" s="432" t="s">
        <v>1376</v>
      </c>
      <c r="I134" s="701" t="s">
        <v>805</v>
      </c>
      <c r="J134" s="701" t="s">
        <v>2741</v>
      </c>
      <c r="K134" s="707" t="s">
        <v>2704</v>
      </c>
      <c r="L134" s="708" t="s">
        <v>438</v>
      </c>
      <c r="M134" s="709" t="s">
        <v>1252</v>
      </c>
      <c r="N134" s="700" t="s">
        <v>2189</v>
      </c>
      <c r="O134" s="328"/>
      <c r="P134" s="189"/>
      <c r="Q134" s="432"/>
      <c r="R134" s="591" t="s">
        <v>2188</v>
      </c>
      <c r="S134" s="591" t="s">
        <v>1382</v>
      </c>
      <c r="U134" s="486" t="s">
        <v>465</v>
      </c>
      <c r="V134" s="486" t="s">
        <v>3887</v>
      </c>
      <c r="X134" s="486"/>
      <c r="Y134" s="486"/>
    </row>
    <row r="135" spans="3:25" ht="10.5" customHeight="1">
      <c r="C135" s="418" t="s">
        <v>1377</v>
      </c>
      <c r="D135" s="502">
        <v>53600</v>
      </c>
      <c r="E135" s="317"/>
      <c r="F135" s="317" t="s">
        <v>888</v>
      </c>
      <c r="G135" s="432" t="s">
        <v>1380</v>
      </c>
      <c r="H135" s="432" t="s">
        <v>1270</v>
      </c>
      <c r="I135" s="699" t="s">
        <v>1381</v>
      </c>
      <c r="J135" s="699" t="s">
        <v>2740</v>
      </c>
      <c r="K135" s="707" t="s">
        <v>2705</v>
      </c>
      <c r="L135" s="708" t="s">
        <v>437</v>
      </c>
      <c r="M135" s="709" t="s">
        <v>2727</v>
      </c>
      <c r="N135" s="700" t="s">
        <v>2060</v>
      </c>
      <c r="O135" s="624"/>
      <c r="P135" s="189"/>
      <c r="Q135" s="432"/>
      <c r="R135" s="591" t="s">
        <v>1870</v>
      </c>
      <c r="S135" s="591" t="s">
        <v>1000</v>
      </c>
      <c r="U135" s="486" t="s">
        <v>1941</v>
      </c>
      <c r="V135" s="486" t="s">
        <v>3887</v>
      </c>
      <c r="X135" s="486"/>
      <c r="Y135" s="486"/>
    </row>
    <row r="136" spans="3:25" ht="10.5" customHeight="1">
      <c r="C136" s="419" t="s">
        <v>1089</v>
      </c>
      <c r="D136" s="502">
        <v>38600</v>
      </c>
      <c r="E136" s="317"/>
      <c r="F136" s="317" t="s">
        <v>889</v>
      </c>
      <c r="G136" s="432" t="s">
        <v>1382</v>
      </c>
      <c r="H136" s="432" t="s">
        <v>1270</v>
      </c>
      <c r="I136" s="699" t="s">
        <v>1383</v>
      </c>
      <c r="J136" s="699" t="s">
        <v>2740</v>
      </c>
      <c r="K136" s="707" t="s">
        <v>2706</v>
      </c>
      <c r="L136" s="708" t="s">
        <v>437</v>
      </c>
      <c r="M136" s="709" t="s">
        <v>2727</v>
      </c>
      <c r="N136" s="700" t="s">
        <v>185</v>
      </c>
      <c r="O136" s="624"/>
      <c r="P136" s="317"/>
      <c r="Q136" s="432"/>
      <c r="R136" s="591" t="s">
        <v>2061</v>
      </c>
      <c r="S136" s="591" t="s">
        <v>445</v>
      </c>
      <c r="U136" s="486" t="s">
        <v>2676</v>
      </c>
      <c r="V136" s="486" t="s">
        <v>3887</v>
      </c>
      <c r="X136" s="486"/>
      <c r="Y136" s="486"/>
    </row>
    <row r="137" spans="3:25" ht="10.5" customHeight="1">
      <c r="C137" s="419" t="s">
        <v>1383</v>
      </c>
      <c r="D137" s="502">
        <v>42700</v>
      </c>
      <c r="E137" s="317"/>
      <c r="F137" s="317" t="s">
        <v>890</v>
      </c>
      <c r="G137" s="432" t="s">
        <v>1384</v>
      </c>
      <c r="H137" s="432" t="s">
        <v>1400</v>
      </c>
      <c r="I137" s="701" t="s">
        <v>1385</v>
      </c>
      <c r="J137" s="701" t="s">
        <v>2741</v>
      </c>
      <c r="K137" s="707" t="s">
        <v>2707</v>
      </c>
      <c r="L137" s="708" t="s">
        <v>438</v>
      </c>
      <c r="M137" s="709" t="s">
        <v>1252</v>
      </c>
      <c r="N137" s="700" t="s">
        <v>187</v>
      </c>
      <c r="O137" s="624"/>
      <c r="P137" s="189"/>
      <c r="Q137" s="432"/>
      <c r="R137" s="591" t="s">
        <v>186</v>
      </c>
      <c r="S137" s="591" t="s">
        <v>1530</v>
      </c>
      <c r="U137" s="486" t="s">
        <v>2682</v>
      </c>
      <c r="V137" s="486" t="s">
        <v>3887</v>
      </c>
      <c r="X137" s="486"/>
      <c r="Y137" s="486"/>
    </row>
    <row r="138" spans="3:25" ht="10.5" customHeight="1">
      <c r="C138" s="419" t="s">
        <v>1387</v>
      </c>
      <c r="D138" s="502">
        <v>58800</v>
      </c>
      <c r="E138" s="317"/>
      <c r="F138" s="317" t="s">
        <v>891</v>
      </c>
      <c r="G138" s="432" t="s">
        <v>1386</v>
      </c>
      <c r="H138" s="432" t="s">
        <v>1270</v>
      </c>
      <c r="I138" s="701" t="s">
        <v>1387</v>
      </c>
      <c r="J138" s="701" t="s">
        <v>2740</v>
      </c>
      <c r="K138" s="707" t="s">
        <v>2708</v>
      </c>
      <c r="L138" s="708" t="s">
        <v>437</v>
      </c>
      <c r="M138" s="709" t="s">
        <v>2727</v>
      </c>
      <c r="N138" s="700" t="s">
        <v>462</v>
      </c>
      <c r="O138" s="328"/>
      <c r="P138" s="189"/>
      <c r="Q138" s="432"/>
      <c r="R138" s="591" t="s">
        <v>188</v>
      </c>
      <c r="S138" s="591" t="s">
        <v>2516</v>
      </c>
      <c r="U138" s="486" t="s">
        <v>2687</v>
      </c>
      <c r="V138" s="486" t="s">
        <v>3887</v>
      </c>
      <c r="X138" s="486"/>
      <c r="Y138" s="486"/>
    </row>
    <row r="139" spans="3:25" ht="10.5" customHeight="1">
      <c r="C139" s="418" t="s">
        <v>12</v>
      </c>
      <c r="D139" s="502">
        <v>55300</v>
      </c>
      <c r="E139" s="317"/>
      <c r="F139" s="317" t="s">
        <v>892</v>
      </c>
      <c r="G139" s="432" t="s">
        <v>1388</v>
      </c>
      <c r="H139" s="432" t="s">
        <v>1270</v>
      </c>
      <c r="I139" s="699" t="s">
        <v>12</v>
      </c>
      <c r="J139" s="699" t="s">
        <v>2741</v>
      </c>
      <c r="K139" s="707" t="s">
        <v>2709</v>
      </c>
      <c r="L139" s="708" t="s">
        <v>438</v>
      </c>
      <c r="M139" s="709" t="s">
        <v>1252</v>
      </c>
      <c r="N139" s="700" t="s">
        <v>464</v>
      </c>
      <c r="O139" s="328"/>
      <c r="P139" s="189"/>
      <c r="Q139" s="432"/>
      <c r="R139" s="591" t="s">
        <v>463</v>
      </c>
      <c r="S139" s="591" t="s">
        <v>1867</v>
      </c>
      <c r="U139" s="486" t="s">
        <v>171</v>
      </c>
      <c r="V139" s="486" t="s">
        <v>3887</v>
      </c>
      <c r="X139" s="486"/>
      <c r="Y139" s="486"/>
    </row>
    <row r="140" spans="3:25" ht="10.5" customHeight="1">
      <c r="C140" s="419" t="s">
        <v>1393</v>
      </c>
      <c r="D140" s="502">
        <v>51700</v>
      </c>
      <c r="E140" s="317"/>
      <c r="F140" s="317" t="s">
        <v>893</v>
      </c>
      <c r="G140" s="432" t="s">
        <v>1389</v>
      </c>
      <c r="H140" s="432" t="s">
        <v>1270</v>
      </c>
      <c r="I140" s="699" t="s">
        <v>1781</v>
      </c>
      <c r="J140" s="699" t="s">
        <v>2741</v>
      </c>
      <c r="K140" s="707" t="s">
        <v>2710</v>
      </c>
      <c r="L140" s="708" t="s">
        <v>438</v>
      </c>
      <c r="M140" s="709" t="s">
        <v>1252</v>
      </c>
      <c r="N140" s="700" t="s">
        <v>466</v>
      </c>
      <c r="O140" s="328"/>
      <c r="P140" s="189"/>
      <c r="Q140" s="432"/>
      <c r="R140" s="591" t="s">
        <v>465</v>
      </c>
      <c r="S140" s="591" t="s">
        <v>1265</v>
      </c>
      <c r="U140" s="486" t="s">
        <v>1264</v>
      </c>
      <c r="V140" s="486" t="s">
        <v>3887</v>
      </c>
      <c r="X140" s="486"/>
      <c r="Y140" s="486"/>
    </row>
    <row r="141" spans="3:25" ht="10.5" customHeight="1">
      <c r="C141" s="418" t="s">
        <v>1087</v>
      </c>
      <c r="D141" s="502">
        <v>64700</v>
      </c>
      <c r="E141" s="317"/>
      <c r="F141" s="317" t="s">
        <v>894</v>
      </c>
      <c r="G141" s="432" t="s">
        <v>1390</v>
      </c>
      <c r="H141" s="432" t="s">
        <v>1270</v>
      </c>
      <c r="I141" s="701" t="s">
        <v>1391</v>
      </c>
      <c r="J141" s="701" t="s">
        <v>2741</v>
      </c>
      <c r="K141" s="707" t="s">
        <v>1537</v>
      </c>
      <c r="L141" s="708" t="s">
        <v>438</v>
      </c>
      <c r="M141" s="709" t="s">
        <v>1252</v>
      </c>
      <c r="N141" s="700" t="s">
        <v>468</v>
      </c>
      <c r="O141" s="328"/>
      <c r="P141" s="189"/>
      <c r="Q141" s="432"/>
      <c r="R141" s="591" t="s">
        <v>467</v>
      </c>
      <c r="S141" s="591" t="s">
        <v>189</v>
      </c>
      <c r="U141" s="486" t="s">
        <v>2172</v>
      </c>
      <c r="V141" s="486" t="s">
        <v>3887</v>
      </c>
      <c r="X141" s="486"/>
      <c r="Y141" s="486"/>
    </row>
    <row r="142" spans="3:25" ht="10.5" customHeight="1">
      <c r="C142" s="419" t="s">
        <v>1398</v>
      </c>
      <c r="D142" s="502">
        <v>46300</v>
      </c>
      <c r="E142" s="317"/>
      <c r="F142" s="317" t="s">
        <v>895</v>
      </c>
      <c r="G142" s="432" t="s">
        <v>1392</v>
      </c>
      <c r="H142" s="432" t="s">
        <v>1270</v>
      </c>
      <c r="I142" s="701" t="s">
        <v>1393</v>
      </c>
      <c r="J142" s="701" t="s">
        <v>2740</v>
      </c>
      <c r="K142" s="707" t="s">
        <v>2725</v>
      </c>
      <c r="L142" s="708" t="s">
        <v>437</v>
      </c>
      <c r="M142" s="709" t="s">
        <v>2727</v>
      </c>
      <c r="N142" s="700" t="s">
        <v>2371</v>
      </c>
      <c r="O142" s="328"/>
      <c r="P142" s="189"/>
      <c r="Q142" s="432"/>
      <c r="R142" s="591" t="s">
        <v>469</v>
      </c>
      <c r="S142" s="591" t="s">
        <v>124</v>
      </c>
      <c r="U142" s="486" t="s">
        <v>1395</v>
      </c>
      <c r="V142" s="486" t="s">
        <v>3887</v>
      </c>
      <c r="X142" s="486"/>
      <c r="Y142" s="486"/>
    </row>
    <row r="143" spans="3:25" ht="10.5" customHeight="1">
      <c r="C143" s="419" t="s">
        <v>770</v>
      </c>
      <c r="D143" s="502">
        <v>65400</v>
      </c>
      <c r="E143" s="317"/>
      <c r="F143" s="317" t="s">
        <v>896</v>
      </c>
      <c r="G143" s="432" t="s">
        <v>1394</v>
      </c>
      <c r="H143" s="432" t="s">
        <v>1400</v>
      </c>
      <c r="I143" s="701" t="s">
        <v>806</v>
      </c>
      <c r="J143" s="701" t="s">
        <v>2741</v>
      </c>
      <c r="K143" s="707" t="s">
        <v>2726</v>
      </c>
      <c r="L143" s="708" t="s">
        <v>438</v>
      </c>
      <c r="M143" s="709" t="s">
        <v>1252</v>
      </c>
      <c r="N143" s="700" t="s">
        <v>2373</v>
      </c>
      <c r="O143" s="328"/>
      <c r="P143" s="189"/>
      <c r="Q143" s="432"/>
      <c r="R143" s="591" t="s">
        <v>2372</v>
      </c>
      <c r="S143" s="591" t="s">
        <v>2610</v>
      </c>
      <c r="U143" s="486" t="s">
        <v>2175</v>
      </c>
      <c r="V143" s="486" t="s">
        <v>3887</v>
      </c>
      <c r="X143" s="486"/>
      <c r="Y143" s="486"/>
    </row>
    <row r="144" spans="3:25" ht="10.5" customHeight="1">
      <c r="C144" s="419" t="s">
        <v>772</v>
      </c>
      <c r="D144" s="502">
        <v>41900</v>
      </c>
      <c r="E144" s="317"/>
      <c r="F144" s="317" t="s">
        <v>897</v>
      </c>
      <c r="G144" s="432" t="s">
        <v>1396</v>
      </c>
      <c r="H144" s="432" t="s">
        <v>1400</v>
      </c>
      <c r="I144" s="701" t="s">
        <v>1087</v>
      </c>
      <c r="J144" s="701" t="s">
        <v>2741</v>
      </c>
      <c r="K144" s="707" t="s">
        <v>1317</v>
      </c>
      <c r="L144" s="708" t="s">
        <v>438</v>
      </c>
      <c r="M144" s="709" t="s">
        <v>1252</v>
      </c>
      <c r="N144" s="700" t="s">
        <v>382</v>
      </c>
      <c r="O144" s="328"/>
      <c r="P144" s="189"/>
      <c r="Q144" s="432"/>
      <c r="R144" s="591" t="s">
        <v>1941</v>
      </c>
      <c r="S144" s="591" t="s">
        <v>2280</v>
      </c>
      <c r="U144" s="486" t="s">
        <v>2208</v>
      </c>
      <c r="V144" s="486" t="s">
        <v>3887</v>
      </c>
      <c r="X144" s="486"/>
      <c r="Y144" s="486"/>
    </row>
    <row r="145" spans="3:25" ht="10.5" customHeight="1">
      <c r="C145" s="418" t="s">
        <v>163</v>
      </c>
      <c r="D145" s="502">
        <v>51000</v>
      </c>
      <c r="E145" s="317"/>
      <c r="F145" s="317" t="s">
        <v>898</v>
      </c>
      <c r="G145" s="432" t="s">
        <v>1397</v>
      </c>
      <c r="H145" s="432" t="s">
        <v>1270</v>
      </c>
      <c r="I145" s="699" t="s">
        <v>1398</v>
      </c>
      <c r="J145" s="699" t="s">
        <v>2740</v>
      </c>
      <c r="K145" s="707" t="s">
        <v>1318</v>
      </c>
      <c r="L145" s="708" t="s">
        <v>437</v>
      </c>
      <c r="M145" s="709" t="s">
        <v>2727</v>
      </c>
      <c r="N145" s="700" t="s">
        <v>384</v>
      </c>
      <c r="O145" s="328"/>
      <c r="P145" s="189"/>
      <c r="Q145" s="432"/>
      <c r="R145" s="591" t="s">
        <v>383</v>
      </c>
      <c r="S145" s="591" t="s">
        <v>2280</v>
      </c>
      <c r="U145" s="486" t="s">
        <v>2212</v>
      </c>
      <c r="V145" s="486" t="s">
        <v>3887</v>
      </c>
      <c r="X145" s="486"/>
      <c r="Y145" s="486"/>
    </row>
    <row r="146" spans="3:25" ht="10.5" customHeight="1">
      <c r="C146" s="418" t="s">
        <v>1597</v>
      </c>
      <c r="D146" s="502">
        <v>59000</v>
      </c>
      <c r="E146" s="317"/>
      <c r="F146" s="317" t="s">
        <v>899</v>
      </c>
      <c r="G146" s="432" t="s">
        <v>1399</v>
      </c>
      <c r="H146" s="432" t="s">
        <v>1270</v>
      </c>
      <c r="I146" s="701" t="s">
        <v>770</v>
      </c>
      <c r="J146" s="701" t="s">
        <v>2740</v>
      </c>
      <c r="K146" s="707" t="s">
        <v>1319</v>
      </c>
      <c r="L146" s="708" t="s">
        <v>437</v>
      </c>
      <c r="M146" s="709" t="s">
        <v>2727</v>
      </c>
      <c r="N146" s="700" t="s">
        <v>2673</v>
      </c>
      <c r="O146" s="328"/>
      <c r="P146" s="189"/>
      <c r="Q146" s="432"/>
      <c r="R146" s="591" t="s">
        <v>1269</v>
      </c>
      <c r="S146" s="591" t="s">
        <v>2655</v>
      </c>
      <c r="U146" s="486" t="s">
        <v>1871</v>
      </c>
      <c r="V146" s="486" t="s">
        <v>3887</v>
      </c>
      <c r="X146" s="486"/>
      <c r="Y146" s="486"/>
    </row>
    <row r="147" spans="3:25" ht="10.5" customHeight="1">
      <c r="C147" s="418" t="s">
        <v>168</v>
      </c>
      <c r="D147" s="502">
        <v>43000</v>
      </c>
      <c r="E147" s="317"/>
      <c r="F147" s="317" t="s">
        <v>900</v>
      </c>
      <c r="G147" s="432" t="s">
        <v>771</v>
      </c>
      <c r="H147" s="432" t="s">
        <v>1270</v>
      </c>
      <c r="I147" s="699" t="s">
        <v>772</v>
      </c>
      <c r="J147" s="699" t="s">
        <v>2740</v>
      </c>
      <c r="K147" s="707" t="s">
        <v>1796</v>
      </c>
      <c r="L147" s="708" t="s">
        <v>437</v>
      </c>
      <c r="M147" s="709" t="s">
        <v>2727</v>
      </c>
      <c r="N147" s="700" t="s">
        <v>2675</v>
      </c>
      <c r="O147" s="328"/>
      <c r="P147" s="189"/>
      <c r="Q147" s="432"/>
      <c r="R147" s="591" t="s">
        <v>2674</v>
      </c>
      <c r="S147" s="591" t="s">
        <v>2660</v>
      </c>
      <c r="U147" s="486" t="s">
        <v>1055</v>
      </c>
      <c r="V147" s="486" t="s">
        <v>3887</v>
      </c>
      <c r="X147" s="486"/>
      <c r="Y147" s="486"/>
    </row>
    <row r="148" spans="3:25" ht="10.5" customHeight="1">
      <c r="C148" s="418" t="s">
        <v>2605</v>
      </c>
      <c r="D148" s="502">
        <v>29400</v>
      </c>
      <c r="E148" s="317"/>
      <c r="F148" s="317" t="s">
        <v>901</v>
      </c>
      <c r="G148" s="432" t="s">
        <v>773</v>
      </c>
      <c r="H148" s="432" t="s">
        <v>1400</v>
      </c>
      <c r="I148" s="701" t="s">
        <v>805</v>
      </c>
      <c r="J148" s="701" t="s">
        <v>2741</v>
      </c>
      <c r="K148" s="707" t="s">
        <v>2704</v>
      </c>
      <c r="L148" s="708" t="s">
        <v>438</v>
      </c>
      <c r="M148" s="709" t="s">
        <v>1252</v>
      </c>
      <c r="N148" s="700" t="s">
        <v>2677</v>
      </c>
      <c r="O148" s="328"/>
      <c r="P148" s="189"/>
      <c r="Q148" s="432"/>
      <c r="R148" s="591" t="s">
        <v>2676</v>
      </c>
      <c r="S148" s="591" t="s">
        <v>1148</v>
      </c>
      <c r="U148" s="486" t="s">
        <v>2566</v>
      </c>
      <c r="V148" s="486" t="s">
        <v>3887</v>
      </c>
      <c r="X148" s="486"/>
      <c r="Y148" s="486"/>
    </row>
    <row r="149" spans="3:25" ht="10.5" customHeight="1">
      <c r="C149" s="419" t="s">
        <v>2608</v>
      </c>
      <c r="D149" s="502">
        <v>47100</v>
      </c>
      <c r="E149" s="317"/>
      <c r="F149" s="317" t="s">
        <v>902</v>
      </c>
      <c r="G149" s="432" t="s">
        <v>1596</v>
      </c>
      <c r="H149" s="432" t="s">
        <v>1376</v>
      </c>
      <c r="I149" s="701" t="s">
        <v>1597</v>
      </c>
      <c r="J149" s="701" t="s">
        <v>2741</v>
      </c>
      <c r="K149" s="707" t="s">
        <v>1765</v>
      </c>
      <c r="L149" s="708" t="s">
        <v>438</v>
      </c>
      <c r="M149" s="709" t="s">
        <v>1252</v>
      </c>
      <c r="N149" s="700" t="s">
        <v>2679</v>
      </c>
      <c r="O149" s="328"/>
      <c r="P149" s="189"/>
      <c r="Q149" s="432"/>
      <c r="R149" s="591" t="s">
        <v>2678</v>
      </c>
      <c r="S149" s="591" t="s">
        <v>336</v>
      </c>
      <c r="U149" s="486" t="s">
        <v>2568</v>
      </c>
      <c r="V149" s="486" t="s">
        <v>3887</v>
      </c>
      <c r="X149" s="486"/>
      <c r="Y149" s="486"/>
    </row>
    <row r="150" spans="3:25" ht="10.5" customHeight="1">
      <c r="C150" s="419" t="s">
        <v>2611</v>
      </c>
      <c r="D150" s="502">
        <v>42900</v>
      </c>
      <c r="E150" s="317"/>
      <c r="F150" s="317" t="s">
        <v>903</v>
      </c>
      <c r="G150" s="432" t="s">
        <v>162</v>
      </c>
      <c r="H150" s="432" t="s">
        <v>1270</v>
      </c>
      <c r="I150" s="699" t="s">
        <v>163</v>
      </c>
      <c r="J150" s="699" t="s">
        <v>2740</v>
      </c>
      <c r="K150" s="707" t="s">
        <v>1766</v>
      </c>
      <c r="L150" s="708" t="s">
        <v>437</v>
      </c>
      <c r="M150" s="709" t="s">
        <v>2727</v>
      </c>
      <c r="N150" s="700" t="s">
        <v>2681</v>
      </c>
      <c r="O150" s="328"/>
      <c r="P150" s="189"/>
      <c r="Q150" s="432"/>
      <c r="R150" s="591" t="s">
        <v>2680</v>
      </c>
      <c r="S150" s="591" t="s">
        <v>2607</v>
      </c>
      <c r="U150" s="486" t="s">
        <v>2570</v>
      </c>
      <c r="V150" s="486" t="s">
        <v>3887</v>
      </c>
      <c r="X150" s="486"/>
      <c r="Y150" s="486"/>
    </row>
    <row r="151" spans="3:25" ht="10.5" customHeight="1">
      <c r="C151" s="419" t="s">
        <v>2654</v>
      </c>
      <c r="D151" s="502">
        <v>43700</v>
      </c>
      <c r="E151" s="317"/>
      <c r="F151" s="317" t="s">
        <v>904</v>
      </c>
      <c r="G151" s="432" t="s">
        <v>164</v>
      </c>
      <c r="H151" s="432" t="s">
        <v>1270</v>
      </c>
      <c r="I151" s="701" t="s">
        <v>1391</v>
      </c>
      <c r="J151" s="701" t="s">
        <v>2741</v>
      </c>
      <c r="K151" s="707" t="s">
        <v>1537</v>
      </c>
      <c r="L151" s="708" t="s">
        <v>438</v>
      </c>
      <c r="M151" s="709" t="s">
        <v>1252</v>
      </c>
      <c r="N151" s="700" t="s">
        <v>2683</v>
      </c>
      <c r="O151" s="328"/>
      <c r="P151" s="189"/>
      <c r="Q151" s="432"/>
      <c r="R151" s="591" t="s">
        <v>2682</v>
      </c>
      <c r="S151" s="591" t="s">
        <v>1397</v>
      </c>
      <c r="U151" s="486" t="s">
        <v>2573</v>
      </c>
      <c r="V151" s="486" t="s">
        <v>3887</v>
      </c>
      <c r="X151" s="486"/>
      <c r="Y151" s="486"/>
    </row>
    <row r="152" spans="3:25" ht="10.5" customHeight="1">
      <c r="C152" s="418" t="s">
        <v>166</v>
      </c>
      <c r="D152" s="502">
        <v>58200</v>
      </c>
      <c r="E152" s="317"/>
      <c r="F152" s="317" t="s">
        <v>1407</v>
      </c>
      <c r="G152" s="432" t="s">
        <v>165</v>
      </c>
      <c r="H152" s="432" t="s">
        <v>1400</v>
      </c>
      <c r="I152" s="701" t="s">
        <v>166</v>
      </c>
      <c r="J152" s="701" t="s">
        <v>2741</v>
      </c>
      <c r="K152" s="707" t="s">
        <v>1767</v>
      </c>
      <c r="L152" s="708" t="s">
        <v>438</v>
      </c>
      <c r="M152" s="709" t="s">
        <v>1252</v>
      </c>
      <c r="N152" s="700" t="s">
        <v>2684</v>
      </c>
      <c r="O152" s="328"/>
      <c r="P152" s="189"/>
      <c r="Q152" s="432"/>
      <c r="R152" s="591" t="s">
        <v>2685</v>
      </c>
      <c r="S152" s="591" t="s">
        <v>2719</v>
      </c>
      <c r="U152" s="486" t="s">
        <v>2338</v>
      </c>
      <c r="V152" s="486" t="s">
        <v>3887</v>
      </c>
      <c r="X152" s="486"/>
      <c r="Y152" s="486"/>
    </row>
    <row r="153" spans="3:25" ht="10.5" customHeight="1">
      <c r="C153" s="419" t="s">
        <v>2657</v>
      </c>
      <c r="D153" s="502">
        <v>50300</v>
      </c>
      <c r="E153" s="317"/>
      <c r="F153" s="317" t="s">
        <v>1408</v>
      </c>
      <c r="G153" s="432" t="s">
        <v>167</v>
      </c>
      <c r="H153" s="432" t="s">
        <v>1376</v>
      </c>
      <c r="I153" s="699" t="s">
        <v>168</v>
      </c>
      <c r="J153" s="699" t="s">
        <v>2740</v>
      </c>
      <c r="K153" s="707" t="s">
        <v>1768</v>
      </c>
      <c r="L153" s="708" t="s">
        <v>437</v>
      </c>
      <c r="M153" s="709" t="s">
        <v>2727</v>
      </c>
      <c r="N153" s="700" t="s">
        <v>2686</v>
      </c>
      <c r="O153" s="328"/>
      <c r="P153" s="189"/>
      <c r="Q153" s="432"/>
      <c r="R153" s="591" t="s">
        <v>2687</v>
      </c>
      <c r="S153" s="591" t="s">
        <v>2014</v>
      </c>
      <c r="U153" s="486" t="s">
        <v>2441</v>
      </c>
      <c r="V153" s="486" t="s">
        <v>3887</v>
      </c>
      <c r="X153" s="486"/>
      <c r="Y153" s="486"/>
    </row>
    <row r="154" spans="3:25" ht="10.5" customHeight="1">
      <c r="C154" s="419" t="s">
        <v>199</v>
      </c>
      <c r="D154" s="502">
        <v>44600</v>
      </c>
      <c r="E154" s="317"/>
      <c r="F154" s="317" t="s">
        <v>1409</v>
      </c>
      <c r="G154" s="432" t="s">
        <v>169</v>
      </c>
      <c r="H154" s="432" t="s">
        <v>1376</v>
      </c>
      <c r="I154" s="701" t="s">
        <v>805</v>
      </c>
      <c r="J154" s="701" t="s">
        <v>2741</v>
      </c>
      <c r="K154" s="707" t="s">
        <v>2704</v>
      </c>
      <c r="L154" s="708" t="s">
        <v>438</v>
      </c>
      <c r="M154" s="709" t="s">
        <v>1252</v>
      </c>
      <c r="N154" s="700" t="s">
        <v>431</v>
      </c>
      <c r="O154" s="328"/>
      <c r="P154" s="189"/>
      <c r="Q154" s="432"/>
      <c r="R154" s="591" t="s">
        <v>171</v>
      </c>
      <c r="S154" s="591" t="s">
        <v>170</v>
      </c>
      <c r="U154" s="486" t="s">
        <v>318</v>
      </c>
      <c r="V154" s="486" t="s">
        <v>3887</v>
      </c>
      <c r="X154" s="486"/>
      <c r="Y154" s="486"/>
    </row>
    <row r="155" spans="3:25" ht="10.5" customHeight="1">
      <c r="C155" s="419" t="s">
        <v>348</v>
      </c>
      <c r="D155" s="502">
        <v>43600</v>
      </c>
      <c r="E155" s="317"/>
      <c r="F155" s="317" t="s">
        <v>1410</v>
      </c>
      <c r="G155" s="432" t="s">
        <v>170</v>
      </c>
      <c r="H155" s="432" t="s">
        <v>1400</v>
      </c>
      <c r="I155" s="699" t="s">
        <v>2144</v>
      </c>
      <c r="J155" s="699" t="s">
        <v>2741</v>
      </c>
      <c r="K155" s="707" t="s">
        <v>651</v>
      </c>
      <c r="L155" s="708" t="s">
        <v>438</v>
      </c>
      <c r="M155" s="710" t="s">
        <v>1252</v>
      </c>
      <c r="N155" s="700" t="s">
        <v>432</v>
      </c>
      <c r="O155" s="328"/>
      <c r="P155" s="317"/>
      <c r="Q155" s="432"/>
      <c r="R155" s="591" t="s">
        <v>1264</v>
      </c>
      <c r="S155" s="591" t="s">
        <v>1265</v>
      </c>
      <c r="U155" s="486" t="s">
        <v>12</v>
      </c>
      <c r="V155" s="486" t="s">
        <v>3887</v>
      </c>
      <c r="X155" s="486"/>
      <c r="Y155" s="486"/>
    </row>
    <row r="156" spans="3:25" ht="10.5" customHeight="1">
      <c r="C156" s="418" t="s">
        <v>203</v>
      </c>
      <c r="D156" s="502">
        <v>43300</v>
      </c>
      <c r="E156" s="317"/>
      <c r="F156" s="317" t="s">
        <v>1411</v>
      </c>
      <c r="G156" s="432" t="s">
        <v>2604</v>
      </c>
      <c r="H156" s="432" t="s">
        <v>1270</v>
      </c>
      <c r="I156" s="699" t="s">
        <v>2605</v>
      </c>
      <c r="J156" s="699" t="s">
        <v>2740</v>
      </c>
      <c r="K156" s="707" t="s">
        <v>652</v>
      </c>
      <c r="L156" s="708" t="s">
        <v>437</v>
      </c>
      <c r="M156" s="710" t="s">
        <v>2727</v>
      </c>
      <c r="N156" s="700" t="s">
        <v>819</v>
      </c>
      <c r="O156" s="624"/>
      <c r="P156" s="189"/>
      <c r="Q156" s="432"/>
      <c r="R156" s="591" t="s">
        <v>820</v>
      </c>
      <c r="S156" s="591" t="s">
        <v>202</v>
      </c>
      <c r="U156" s="486" t="s">
        <v>14</v>
      </c>
      <c r="V156" s="486" t="s">
        <v>3887</v>
      </c>
      <c r="X156" s="486"/>
      <c r="Y156" s="486"/>
    </row>
    <row r="157" spans="3:25" ht="10.5" customHeight="1">
      <c r="C157" s="418" t="s">
        <v>997</v>
      </c>
      <c r="D157" s="502">
        <v>47300</v>
      </c>
      <c r="E157" s="317"/>
      <c r="F157" s="317" t="s">
        <v>1412</v>
      </c>
      <c r="G157" s="432" t="s">
        <v>2606</v>
      </c>
      <c r="H157" s="432" t="s">
        <v>1400</v>
      </c>
      <c r="I157" s="701" t="s">
        <v>805</v>
      </c>
      <c r="J157" s="701" t="s">
        <v>2741</v>
      </c>
      <c r="K157" s="707" t="s">
        <v>2704</v>
      </c>
      <c r="L157" s="708" t="s">
        <v>438</v>
      </c>
      <c r="M157" s="709" t="s">
        <v>1252</v>
      </c>
      <c r="N157" s="700" t="s">
        <v>821</v>
      </c>
      <c r="O157" s="624"/>
      <c r="P157" s="189"/>
      <c r="Q157" s="432"/>
      <c r="R157" s="591" t="s">
        <v>2172</v>
      </c>
      <c r="S157" s="591" t="s">
        <v>1378</v>
      </c>
      <c r="U157" s="486" t="s">
        <v>61</v>
      </c>
      <c r="V157" s="486" t="s">
        <v>3887</v>
      </c>
      <c r="X157" s="486"/>
      <c r="Y157" s="486"/>
    </row>
    <row r="158" spans="3:25" ht="10.5" customHeight="1">
      <c r="C158" s="419" t="s">
        <v>999</v>
      </c>
      <c r="D158" s="502">
        <v>43600</v>
      </c>
      <c r="E158" s="317"/>
      <c r="F158" s="317" t="s">
        <v>1413</v>
      </c>
      <c r="G158" s="432" t="s">
        <v>2607</v>
      </c>
      <c r="H158" s="432" t="s">
        <v>1270</v>
      </c>
      <c r="I158" s="699" t="s">
        <v>2608</v>
      </c>
      <c r="J158" s="699" t="s">
        <v>2740</v>
      </c>
      <c r="K158" s="707" t="s">
        <v>653</v>
      </c>
      <c r="L158" s="708" t="s">
        <v>437</v>
      </c>
      <c r="M158" s="710" t="s">
        <v>2727</v>
      </c>
      <c r="N158" s="700" t="s">
        <v>2173</v>
      </c>
      <c r="O158" s="624"/>
      <c r="P158" s="189"/>
      <c r="Q158" s="432"/>
      <c r="R158" s="591" t="s">
        <v>1395</v>
      </c>
      <c r="S158" s="591" t="s">
        <v>1160</v>
      </c>
      <c r="U158" s="486" t="s">
        <v>63</v>
      </c>
      <c r="V158" s="486" t="s">
        <v>3887</v>
      </c>
      <c r="X158" s="486"/>
      <c r="Y158" s="486"/>
    </row>
    <row r="159" spans="3:25" ht="10.5" customHeight="1">
      <c r="C159" s="418" t="s">
        <v>918</v>
      </c>
      <c r="D159" s="502">
        <v>44100</v>
      </c>
      <c r="E159" s="317"/>
      <c r="F159" s="317" t="s">
        <v>1414</v>
      </c>
      <c r="G159" s="432" t="s">
        <v>2609</v>
      </c>
      <c r="H159" s="432" t="s">
        <v>1376</v>
      </c>
      <c r="I159" s="701" t="s">
        <v>805</v>
      </c>
      <c r="J159" s="701" t="s">
        <v>2741</v>
      </c>
      <c r="K159" s="707" t="s">
        <v>2704</v>
      </c>
      <c r="L159" s="708" t="s">
        <v>438</v>
      </c>
      <c r="M159" s="709" t="s">
        <v>1252</v>
      </c>
      <c r="N159" s="700" t="s">
        <v>2174</v>
      </c>
      <c r="O159" s="624"/>
      <c r="P159" s="189"/>
      <c r="Q159" s="432"/>
      <c r="R159" s="591" t="s">
        <v>2175</v>
      </c>
      <c r="S159" s="591" t="s">
        <v>2609</v>
      </c>
      <c r="U159" s="486" t="s">
        <v>365</v>
      </c>
      <c r="V159" s="486" t="s">
        <v>3887</v>
      </c>
      <c r="X159" s="486"/>
      <c r="Y159" s="486"/>
    </row>
    <row r="160" spans="3:25" ht="10.5" customHeight="1">
      <c r="C160" s="419" t="s">
        <v>922</v>
      </c>
      <c r="D160" s="502">
        <v>42700</v>
      </c>
      <c r="E160" s="317"/>
      <c r="F160" s="317" t="s">
        <v>1415</v>
      </c>
      <c r="G160" s="432" t="s">
        <v>2610</v>
      </c>
      <c r="H160" s="432" t="s">
        <v>1270</v>
      </c>
      <c r="I160" s="699" t="s">
        <v>2611</v>
      </c>
      <c r="J160" s="699" t="s">
        <v>2740</v>
      </c>
      <c r="K160" s="707" t="s">
        <v>654</v>
      </c>
      <c r="L160" s="708" t="s">
        <v>437</v>
      </c>
      <c r="M160" s="710" t="s">
        <v>2727</v>
      </c>
      <c r="N160" s="700" t="s">
        <v>2176</v>
      </c>
      <c r="O160" s="624"/>
      <c r="P160" s="189"/>
      <c r="Q160" s="432"/>
      <c r="R160" s="591" t="s">
        <v>2098</v>
      </c>
      <c r="S160" s="591" t="s">
        <v>2276</v>
      </c>
      <c r="U160" s="486" t="s">
        <v>369</v>
      </c>
      <c r="V160" s="486" t="s">
        <v>3887</v>
      </c>
      <c r="X160" s="486"/>
      <c r="Y160" s="486"/>
    </row>
    <row r="161" spans="3:25" ht="10.5" customHeight="1">
      <c r="C161" s="419" t="s">
        <v>2352</v>
      </c>
      <c r="D161" s="502">
        <v>39100</v>
      </c>
      <c r="E161" s="317"/>
      <c r="F161" s="317" t="s">
        <v>1416</v>
      </c>
      <c r="G161" s="432" t="s">
        <v>2612</v>
      </c>
      <c r="H161" s="432" t="s">
        <v>1270</v>
      </c>
      <c r="I161" s="699" t="s">
        <v>2654</v>
      </c>
      <c r="J161" s="699" t="s">
        <v>2740</v>
      </c>
      <c r="K161" s="707" t="s">
        <v>655</v>
      </c>
      <c r="L161" s="708" t="s">
        <v>437</v>
      </c>
      <c r="M161" s="710" t="s">
        <v>2727</v>
      </c>
      <c r="N161" s="700" t="s">
        <v>2207</v>
      </c>
      <c r="O161" s="624"/>
      <c r="P161" s="189"/>
      <c r="Q161" s="432"/>
      <c r="R161" s="591" t="s">
        <v>2177</v>
      </c>
      <c r="S161" s="591" t="s">
        <v>341</v>
      </c>
      <c r="U161" s="486" t="s">
        <v>2399</v>
      </c>
      <c r="V161" s="486" t="s">
        <v>3887</v>
      </c>
      <c r="X161" s="486"/>
      <c r="Y161" s="486"/>
    </row>
    <row r="162" spans="3:25" ht="10.5" customHeight="1">
      <c r="C162" s="419" t="s">
        <v>690</v>
      </c>
      <c r="D162" s="502">
        <v>48100</v>
      </c>
      <c r="E162" s="317"/>
      <c r="F162" s="317" t="s">
        <v>1417</v>
      </c>
      <c r="G162" s="432" t="s">
        <v>2655</v>
      </c>
      <c r="H162" s="432" t="s">
        <v>1400</v>
      </c>
      <c r="I162" s="701" t="s">
        <v>806</v>
      </c>
      <c r="J162" s="701" t="s">
        <v>2741</v>
      </c>
      <c r="K162" s="707" t="s">
        <v>2726</v>
      </c>
      <c r="L162" s="708" t="s">
        <v>438</v>
      </c>
      <c r="M162" s="709" t="s">
        <v>1252</v>
      </c>
      <c r="N162" s="700" t="s">
        <v>2209</v>
      </c>
      <c r="O162" s="624"/>
      <c r="P162" s="189"/>
      <c r="Q162" s="432"/>
      <c r="R162" s="591" t="s">
        <v>2208</v>
      </c>
      <c r="S162" s="591" t="s">
        <v>659</v>
      </c>
      <c r="U162" s="486" t="s">
        <v>1397</v>
      </c>
      <c r="V162" s="486" t="s">
        <v>3887</v>
      </c>
      <c r="X162" s="486"/>
      <c r="Y162" s="486"/>
    </row>
    <row r="163" spans="3:25" ht="10.5" customHeight="1">
      <c r="C163" s="419" t="s">
        <v>692</v>
      </c>
      <c r="D163" s="502">
        <v>44200</v>
      </c>
      <c r="E163" s="317"/>
      <c r="F163" s="317" t="s">
        <v>1418</v>
      </c>
      <c r="G163" s="432" t="s">
        <v>2656</v>
      </c>
      <c r="H163" s="432" t="s">
        <v>1270</v>
      </c>
      <c r="I163" s="699" t="s">
        <v>2657</v>
      </c>
      <c r="J163" s="699" t="s">
        <v>2740</v>
      </c>
      <c r="K163" s="707" t="s">
        <v>656</v>
      </c>
      <c r="L163" s="708" t="s">
        <v>437</v>
      </c>
      <c r="M163" s="710" t="s">
        <v>2727</v>
      </c>
      <c r="N163" s="700" t="s">
        <v>2211</v>
      </c>
      <c r="O163" s="624"/>
      <c r="P163" s="189"/>
      <c r="Q163" s="432"/>
      <c r="R163" s="591" t="s">
        <v>2210</v>
      </c>
      <c r="S163" s="591" t="s">
        <v>1712</v>
      </c>
      <c r="U163" s="486" t="s">
        <v>1637</v>
      </c>
      <c r="V163" s="486" t="s">
        <v>3887</v>
      </c>
      <c r="X163" s="486"/>
      <c r="Y163" s="486"/>
    </row>
    <row r="164" spans="3:25" ht="10.5" customHeight="1">
      <c r="C164" s="419" t="s">
        <v>697</v>
      </c>
      <c r="D164" s="502">
        <v>46500</v>
      </c>
      <c r="E164" s="317"/>
      <c r="F164" s="317" t="s">
        <v>1419</v>
      </c>
      <c r="G164" s="432" t="s">
        <v>2658</v>
      </c>
      <c r="H164" s="432" t="s">
        <v>1400</v>
      </c>
      <c r="I164" s="701" t="s">
        <v>805</v>
      </c>
      <c r="J164" s="701" t="s">
        <v>2741</v>
      </c>
      <c r="K164" s="707" t="s">
        <v>2704</v>
      </c>
      <c r="L164" s="708" t="s">
        <v>438</v>
      </c>
      <c r="M164" s="709" t="s">
        <v>1252</v>
      </c>
      <c r="N164" s="700" t="s">
        <v>2213</v>
      </c>
      <c r="O164" s="624"/>
      <c r="P164" s="189"/>
      <c r="Q164" s="432"/>
      <c r="R164" s="591" t="s">
        <v>2212</v>
      </c>
      <c r="S164" s="591" t="s">
        <v>202</v>
      </c>
      <c r="U164" s="486" t="s">
        <v>1641</v>
      </c>
      <c r="V164" s="486" t="s">
        <v>3887</v>
      </c>
      <c r="X164" s="486"/>
      <c r="Y164" s="486"/>
    </row>
    <row r="165" spans="3:25" ht="10.5" customHeight="1">
      <c r="C165" s="419" t="s">
        <v>1280</v>
      </c>
      <c r="D165" s="502">
        <v>60700</v>
      </c>
      <c r="E165" s="317"/>
      <c r="F165" s="317" t="s">
        <v>1420</v>
      </c>
      <c r="G165" s="432" t="s">
        <v>2659</v>
      </c>
      <c r="H165" s="432" t="s">
        <v>1400</v>
      </c>
      <c r="I165" s="701" t="s">
        <v>1385</v>
      </c>
      <c r="J165" s="701" t="s">
        <v>2741</v>
      </c>
      <c r="K165" s="707" t="s">
        <v>2707</v>
      </c>
      <c r="L165" s="708" t="s">
        <v>438</v>
      </c>
      <c r="M165" s="709" t="s">
        <v>1252</v>
      </c>
      <c r="N165" s="700" t="s">
        <v>2667</v>
      </c>
      <c r="O165" s="624"/>
      <c r="P165" s="189"/>
      <c r="Q165" s="432"/>
      <c r="R165" s="591" t="s">
        <v>1871</v>
      </c>
      <c r="S165" s="591" t="s">
        <v>124</v>
      </c>
      <c r="U165" s="486" t="s">
        <v>1833</v>
      </c>
      <c r="V165" s="486" t="s">
        <v>3887</v>
      </c>
      <c r="X165" s="486"/>
      <c r="Y165" s="486"/>
    </row>
    <row r="166" spans="3:25" ht="10.5" customHeight="1">
      <c r="C166" s="419" t="s">
        <v>699</v>
      </c>
      <c r="D166" s="502">
        <v>45600</v>
      </c>
      <c r="E166" s="317"/>
      <c r="F166" s="317" t="s">
        <v>1421</v>
      </c>
      <c r="G166" s="432" t="s">
        <v>2660</v>
      </c>
      <c r="H166" s="432" t="s">
        <v>1270</v>
      </c>
      <c r="I166" s="699" t="s">
        <v>199</v>
      </c>
      <c r="J166" s="699" t="s">
        <v>2740</v>
      </c>
      <c r="K166" s="707" t="s">
        <v>657</v>
      </c>
      <c r="L166" s="708" t="s">
        <v>437</v>
      </c>
      <c r="M166" s="710" t="s">
        <v>2727</v>
      </c>
      <c r="N166" s="700" t="s">
        <v>1054</v>
      </c>
      <c r="O166" s="624"/>
      <c r="P166" s="189"/>
      <c r="Q166" s="432"/>
      <c r="R166" s="591" t="s">
        <v>2668</v>
      </c>
      <c r="S166" s="591" t="s">
        <v>169</v>
      </c>
      <c r="U166" s="486" t="s">
        <v>1072</v>
      </c>
      <c r="V166" s="486" t="s">
        <v>3887</v>
      </c>
      <c r="X166" s="486"/>
      <c r="Y166" s="486"/>
    </row>
    <row r="167" spans="3:25" ht="10.5" customHeight="1">
      <c r="C167" s="419" t="s">
        <v>701</v>
      </c>
      <c r="D167" s="502">
        <v>51300</v>
      </c>
      <c r="E167" s="317"/>
      <c r="F167" s="317" t="s">
        <v>1422</v>
      </c>
      <c r="G167" s="432" t="s">
        <v>200</v>
      </c>
      <c r="H167" s="432" t="s">
        <v>1376</v>
      </c>
      <c r="I167" s="701" t="s">
        <v>1597</v>
      </c>
      <c r="J167" s="701" t="s">
        <v>2741</v>
      </c>
      <c r="K167" s="707" t="s">
        <v>1765</v>
      </c>
      <c r="L167" s="708" t="s">
        <v>438</v>
      </c>
      <c r="M167" s="709" t="s">
        <v>1252</v>
      </c>
      <c r="N167" s="700" t="s">
        <v>2101</v>
      </c>
      <c r="O167" s="624"/>
      <c r="P167" s="189"/>
      <c r="Q167" s="432"/>
      <c r="R167" s="591" t="s">
        <v>1055</v>
      </c>
      <c r="S167" s="591" t="s">
        <v>445</v>
      </c>
      <c r="U167" s="486" t="s">
        <v>1075</v>
      </c>
      <c r="V167" s="486" t="s">
        <v>3887</v>
      </c>
      <c r="X167" s="486"/>
      <c r="Y167" s="486"/>
    </row>
    <row r="168" spans="3:25" ht="10.5" customHeight="1">
      <c r="C168" s="419" t="s">
        <v>704</v>
      </c>
      <c r="D168" s="502">
        <v>51300</v>
      </c>
      <c r="E168" s="317"/>
      <c r="F168" s="317" t="s">
        <v>1423</v>
      </c>
      <c r="G168" s="432" t="s">
        <v>201</v>
      </c>
      <c r="H168" s="432" t="s">
        <v>1376</v>
      </c>
      <c r="I168" s="701" t="s">
        <v>805</v>
      </c>
      <c r="J168" s="701" t="s">
        <v>2741</v>
      </c>
      <c r="K168" s="707" t="s">
        <v>2704</v>
      </c>
      <c r="L168" s="708" t="s">
        <v>438</v>
      </c>
      <c r="M168" s="709" t="s">
        <v>1252</v>
      </c>
      <c r="N168" s="700" t="s">
        <v>16</v>
      </c>
      <c r="O168" s="624"/>
      <c r="P168" s="189"/>
      <c r="Q168" s="432"/>
      <c r="R168" s="591" t="s">
        <v>1379</v>
      </c>
      <c r="S168" s="591" t="s">
        <v>341</v>
      </c>
      <c r="U168" s="486" t="s">
        <v>1846</v>
      </c>
      <c r="V168" s="486" t="s">
        <v>3887</v>
      </c>
      <c r="X168" s="486"/>
      <c r="Y168" s="486"/>
    </row>
    <row r="169" spans="3:25" ht="10.5" customHeight="1">
      <c r="C169" s="419" t="s">
        <v>706</v>
      </c>
      <c r="D169" s="502">
        <v>41100</v>
      </c>
      <c r="E169" s="317"/>
      <c r="F169" s="317" t="s">
        <v>1424</v>
      </c>
      <c r="G169" s="432" t="s">
        <v>202</v>
      </c>
      <c r="H169" s="432" t="s">
        <v>1270</v>
      </c>
      <c r="I169" s="699" t="s">
        <v>203</v>
      </c>
      <c r="J169" s="699" t="s">
        <v>2740</v>
      </c>
      <c r="K169" s="707" t="s">
        <v>658</v>
      </c>
      <c r="L169" s="708" t="s">
        <v>437</v>
      </c>
      <c r="M169" s="710" t="s">
        <v>2727</v>
      </c>
      <c r="N169" s="700" t="s">
        <v>2344</v>
      </c>
      <c r="O169" s="624"/>
      <c r="P169" s="189"/>
      <c r="Q169" s="432"/>
      <c r="R169" s="591" t="s">
        <v>17</v>
      </c>
      <c r="S169" s="591" t="s">
        <v>1746</v>
      </c>
      <c r="U169" s="486" t="s">
        <v>2165</v>
      </c>
      <c r="V169" s="486" t="s">
        <v>3887</v>
      </c>
      <c r="X169" s="486"/>
      <c r="Y169" s="486"/>
    </row>
    <row r="170" spans="3:25" ht="10.5" customHeight="1">
      <c r="C170" s="419" t="s">
        <v>708</v>
      </c>
      <c r="D170" s="502">
        <v>49600</v>
      </c>
      <c r="E170" s="317"/>
      <c r="F170" s="317" t="s">
        <v>1425</v>
      </c>
      <c r="G170" s="432" t="s">
        <v>204</v>
      </c>
      <c r="H170" s="432" t="s">
        <v>1400</v>
      </c>
      <c r="I170" s="701" t="s">
        <v>805</v>
      </c>
      <c r="J170" s="701" t="s">
        <v>2741</v>
      </c>
      <c r="K170" s="707" t="s">
        <v>2704</v>
      </c>
      <c r="L170" s="708" t="s">
        <v>438</v>
      </c>
      <c r="M170" s="709" t="s">
        <v>1252</v>
      </c>
      <c r="N170" s="700" t="s">
        <v>2346</v>
      </c>
      <c r="O170" s="624"/>
      <c r="P170" s="189"/>
      <c r="Q170" s="432"/>
      <c r="R170" s="591" t="s">
        <v>2345</v>
      </c>
      <c r="S170" s="591" t="s">
        <v>1269</v>
      </c>
      <c r="U170" s="486" t="s">
        <v>2167</v>
      </c>
      <c r="V170" s="486" t="s">
        <v>3887</v>
      </c>
      <c r="X170" s="486"/>
      <c r="Y170" s="486"/>
    </row>
    <row r="171" spans="3:25" ht="10.5" customHeight="1">
      <c r="C171" s="419" t="s">
        <v>125</v>
      </c>
      <c r="D171" s="502">
        <v>52900</v>
      </c>
      <c r="E171" s="317"/>
      <c r="F171" s="317" t="s">
        <v>1426</v>
      </c>
      <c r="G171" s="432" t="s">
        <v>205</v>
      </c>
      <c r="H171" s="432" t="s">
        <v>1270</v>
      </c>
      <c r="I171" s="699" t="s">
        <v>997</v>
      </c>
      <c r="J171" s="699" t="s">
        <v>2740</v>
      </c>
      <c r="K171" s="707" t="s">
        <v>2056</v>
      </c>
      <c r="L171" s="708" t="s">
        <v>437</v>
      </c>
      <c r="M171" s="710" t="s">
        <v>2727</v>
      </c>
      <c r="N171" s="700" t="s">
        <v>2348</v>
      </c>
      <c r="O171" s="624"/>
      <c r="P171" s="189"/>
      <c r="Q171" s="432"/>
      <c r="R171" s="702" t="s">
        <v>2347</v>
      </c>
      <c r="S171" s="702" t="s">
        <v>2353</v>
      </c>
      <c r="U171" s="486" t="s">
        <v>712</v>
      </c>
      <c r="V171" s="486" t="s">
        <v>3887</v>
      </c>
      <c r="X171" s="486"/>
      <c r="Y171" s="486"/>
    </row>
    <row r="172" spans="3:25" ht="10.5" customHeight="1">
      <c r="C172" s="419" t="s">
        <v>326</v>
      </c>
      <c r="D172" s="502">
        <v>35400</v>
      </c>
      <c r="E172" s="317"/>
      <c r="F172" s="317" t="s">
        <v>1427</v>
      </c>
      <c r="G172" s="432" t="s">
        <v>998</v>
      </c>
      <c r="H172" s="432" t="s">
        <v>1270</v>
      </c>
      <c r="I172" s="699" t="s">
        <v>999</v>
      </c>
      <c r="J172" s="699" t="s">
        <v>2740</v>
      </c>
      <c r="K172" s="707" t="s">
        <v>2057</v>
      </c>
      <c r="L172" s="708" t="s">
        <v>437</v>
      </c>
      <c r="M172" s="710" t="s">
        <v>2727</v>
      </c>
      <c r="N172" s="700" t="s">
        <v>2378</v>
      </c>
      <c r="O172" s="624"/>
      <c r="P172" s="189"/>
      <c r="Q172" s="432"/>
      <c r="R172" s="591" t="s">
        <v>2689</v>
      </c>
      <c r="S172" s="591" t="s">
        <v>659</v>
      </c>
      <c r="U172" s="486" t="s">
        <v>1307</v>
      </c>
      <c r="V172" s="486" t="s">
        <v>3887</v>
      </c>
      <c r="X172" s="486"/>
      <c r="Y172" s="486"/>
    </row>
    <row r="173" spans="3:25" ht="10.5" customHeight="1">
      <c r="C173" s="419" t="s">
        <v>807</v>
      </c>
      <c r="D173" s="502">
        <v>47100</v>
      </c>
      <c r="E173" s="317"/>
      <c r="F173" s="317" t="s">
        <v>1428</v>
      </c>
      <c r="G173" s="432" t="s">
        <v>1000</v>
      </c>
      <c r="H173" s="432" t="s">
        <v>1270</v>
      </c>
      <c r="I173" s="701" t="s">
        <v>1870</v>
      </c>
      <c r="J173" s="701" t="s">
        <v>2741</v>
      </c>
      <c r="K173" s="707" t="s">
        <v>1216</v>
      </c>
      <c r="L173" s="708" t="s">
        <v>438</v>
      </c>
      <c r="M173" s="710" t="s">
        <v>1252</v>
      </c>
      <c r="N173" s="700" t="s">
        <v>1861</v>
      </c>
      <c r="O173" s="624"/>
      <c r="P173" s="189"/>
      <c r="Q173" s="432"/>
      <c r="R173" s="591" t="s">
        <v>2349</v>
      </c>
      <c r="S173" s="591" t="s">
        <v>123</v>
      </c>
      <c r="U173" s="486" t="s">
        <v>1309</v>
      </c>
      <c r="V173" s="486" t="s">
        <v>3887</v>
      </c>
      <c r="X173" s="486"/>
      <c r="Y173" s="486"/>
    </row>
    <row r="174" spans="3:25" ht="10.5" customHeight="1">
      <c r="C174" s="419" t="s">
        <v>330</v>
      </c>
      <c r="D174" s="502">
        <v>46600</v>
      </c>
      <c r="E174" s="317"/>
      <c r="F174" s="317" t="s">
        <v>1429</v>
      </c>
      <c r="G174" s="432" t="s">
        <v>916</v>
      </c>
      <c r="H174" s="432" t="s">
        <v>1400</v>
      </c>
      <c r="I174" s="701" t="s">
        <v>805</v>
      </c>
      <c r="J174" s="701" t="s">
        <v>2741</v>
      </c>
      <c r="K174" s="707" t="s">
        <v>2704</v>
      </c>
      <c r="L174" s="708" t="s">
        <v>438</v>
      </c>
      <c r="M174" s="709" t="s">
        <v>1252</v>
      </c>
      <c r="N174" s="700" t="s">
        <v>1863</v>
      </c>
      <c r="O174" s="624"/>
      <c r="P174" s="189"/>
      <c r="Q174" s="432"/>
      <c r="R174" s="591" t="s">
        <v>1837</v>
      </c>
      <c r="S174" s="591" t="s">
        <v>2612</v>
      </c>
      <c r="U174" s="486" t="s">
        <v>2606</v>
      </c>
      <c r="V174" s="486" t="s">
        <v>3887</v>
      </c>
      <c r="X174" s="486"/>
      <c r="Y174" s="486"/>
    </row>
    <row r="175" spans="3:25" ht="10.5" customHeight="1">
      <c r="C175" s="419" t="s">
        <v>1088</v>
      </c>
      <c r="D175" s="502">
        <v>48700</v>
      </c>
      <c r="E175" s="317"/>
      <c r="F175" s="317" t="s">
        <v>1430</v>
      </c>
      <c r="G175" s="432" t="s">
        <v>917</v>
      </c>
      <c r="H175" s="432" t="s">
        <v>1270</v>
      </c>
      <c r="I175" s="699" t="s">
        <v>918</v>
      </c>
      <c r="J175" s="699" t="s">
        <v>2740</v>
      </c>
      <c r="K175" s="707" t="s">
        <v>2058</v>
      </c>
      <c r="L175" s="708" t="s">
        <v>437</v>
      </c>
      <c r="M175" s="710" t="s">
        <v>2727</v>
      </c>
      <c r="N175" s="700" t="s">
        <v>2260</v>
      </c>
      <c r="O175" s="624"/>
      <c r="P175" s="189"/>
      <c r="Q175" s="432"/>
      <c r="R175" s="591" t="s">
        <v>1862</v>
      </c>
      <c r="S175" s="591" t="s">
        <v>1378</v>
      </c>
      <c r="U175" s="486" t="s">
        <v>2616</v>
      </c>
      <c r="V175" s="486" t="s">
        <v>3887</v>
      </c>
      <c r="X175" s="486"/>
      <c r="Y175" s="486"/>
    </row>
    <row r="176" spans="3:25" ht="10.5" customHeight="1">
      <c r="C176" s="419" t="s">
        <v>335</v>
      </c>
      <c r="D176" s="502">
        <v>50800</v>
      </c>
      <c r="E176" s="317"/>
      <c r="F176" s="317" t="s">
        <v>1431</v>
      </c>
      <c r="G176" s="432" t="s">
        <v>919</v>
      </c>
      <c r="H176" s="432" t="s">
        <v>1270</v>
      </c>
      <c r="I176" s="699" t="s">
        <v>1781</v>
      </c>
      <c r="J176" s="699" t="s">
        <v>2741</v>
      </c>
      <c r="K176" s="707" t="s">
        <v>2710</v>
      </c>
      <c r="L176" s="708" t="s">
        <v>438</v>
      </c>
      <c r="M176" s="709" t="s">
        <v>1252</v>
      </c>
      <c r="N176" s="700" t="s">
        <v>2261</v>
      </c>
      <c r="O176" s="624"/>
      <c r="P176" s="189"/>
      <c r="Q176" s="432"/>
      <c r="R176" s="591" t="s">
        <v>1864</v>
      </c>
      <c r="S176" s="591" t="s">
        <v>2107</v>
      </c>
      <c r="U176" s="486" t="s">
        <v>89</v>
      </c>
      <c r="V176" s="486" t="s">
        <v>3887</v>
      </c>
      <c r="X176" s="486"/>
      <c r="Y176" s="486"/>
    </row>
    <row r="177" spans="3:25" ht="10.5" customHeight="1">
      <c r="C177" s="418" t="s">
        <v>337</v>
      </c>
      <c r="D177" s="502">
        <v>62300</v>
      </c>
      <c r="E177" s="317"/>
      <c r="F177" s="317" t="s">
        <v>1432</v>
      </c>
      <c r="G177" s="432" t="s">
        <v>920</v>
      </c>
      <c r="H177" s="432" t="s">
        <v>1270</v>
      </c>
      <c r="I177" s="701" t="s">
        <v>1391</v>
      </c>
      <c r="J177" s="701" t="s">
        <v>2741</v>
      </c>
      <c r="K177" s="707" t="s">
        <v>1537</v>
      </c>
      <c r="L177" s="708" t="s">
        <v>438</v>
      </c>
      <c r="M177" s="709" t="s">
        <v>1252</v>
      </c>
      <c r="N177" s="700" t="s">
        <v>2565</v>
      </c>
      <c r="O177" s="328"/>
      <c r="P177" s="189"/>
      <c r="Q177" s="432"/>
      <c r="R177" s="591" t="s">
        <v>867</v>
      </c>
      <c r="S177" s="591" t="s">
        <v>2716</v>
      </c>
      <c r="U177" s="486" t="s">
        <v>1293</v>
      </c>
      <c r="V177" s="486" t="s">
        <v>3887</v>
      </c>
      <c r="X177" s="486"/>
      <c r="Y177" s="486"/>
    </row>
    <row r="178" spans="3:25" ht="10.5" customHeight="1">
      <c r="C178" s="419" t="s">
        <v>340</v>
      </c>
      <c r="D178" s="502">
        <v>44800</v>
      </c>
      <c r="E178" s="317"/>
      <c r="F178" s="703"/>
      <c r="G178" s="432" t="s">
        <v>921</v>
      </c>
      <c r="H178" s="432" t="s">
        <v>1400</v>
      </c>
      <c r="I178" s="699" t="s">
        <v>922</v>
      </c>
      <c r="J178" s="699" t="s">
        <v>2740</v>
      </c>
      <c r="K178" s="707" t="s">
        <v>1401</v>
      </c>
      <c r="L178" s="708" t="s">
        <v>437</v>
      </c>
      <c r="M178" s="710" t="s">
        <v>2727</v>
      </c>
      <c r="N178" s="700" t="s">
        <v>2567</v>
      </c>
      <c r="O178" s="328"/>
      <c r="P178" s="189"/>
      <c r="Q178" s="432"/>
      <c r="R178" s="591" t="s">
        <v>2262</v>
      </c>
      <c r="S178" s="591" t="s">
        <v>2718</v>
      </c>
      <c r="U178" s="486" t="s">
        <v>166</v>
      </c>
      <c r="V178" s="486" t="s">
        <v>3887</v>
      </c>
      <c r="X178" s="486"/>
      <c r="Y178" s="486"/>
    </row>
    <row r="179" spans="3:25" ht="10.5" customHeight="1">
      <c r="C179" s="418" t="s">
        <v>342</v>
      </c>
      <c r="D179" s="502">
        <v>36900</v>
      </c>
      <c r="E179" s="317"/>
      <c r="F179" s="703"/>
      <c r="G179" s="432" t="s">
        <v>2351</v>
      </c>
      <c r="H179" s="432" t="s">
        <v>1270</v>
      </c>
      <c r="I179" s="699" t="s">
        <v>2352</v>
      </c>
      <c r="J179" s="699" t="s">
        <v>2740</v>
      </c>
      <c r="K179" s="707" t="s">
        <v>1402</v>
      </c>
      <c r="L179" s="708" t="s">
        <v>437</v>
      </c>
      <c r="M179" s="710" t="s">
        <v>2727</v>
      </c>
      <c r="N179" s="700" t="s">
        <v>2569</v>
      </c>
      <c r="O179" s="328"/>
      <c r="P179" s="189"/>
      <c r="Q179" s="432"/>
      <c r="R179" s="702" t="s">
        <v>2566</v>
      </c>
      <c r="S179" s="702" t="s">
        <v>1145</v>
      </c>
      <c r="U179" s="486" t="s">
        <v>939</v>
      </c>
      <c r="V179" s="486" t="s">
        <v>3887</v>
      </c>
      <c r="X179" s="486"/>
      <c r="Y179" s="486"/>
    </row>
    <row r="180" spans="3:25" ht="10.5" customHeight="1">
      <c r="C180" s="419" t="s">
        <v>344</v>
      </c>
      <c r="D180" s="502">
        <v>34100</v>
      </c>
      <c r="E180" s="317"/>
      <c r="F180" s="703"/>
      <c r="G180" s="432" t="s">
        <v>2353</v>
      </c>
      <c r="H180" s="432" t="s">
        <v>1270</v>
      </c>
      <c r="I180" s="699" t="s">
        <v>690</v>
      </c>
      <c r="J180" s="699" t="s">
        <v>2740</v>
      </c>
      <c r="K180" s="707" t="s">
        <v>1403</v>
      </c>
      <c r="L180" s="708" t="s">
        <v>437</v>
      </c>
      <c r="M180" s="710" t="s">
        <v>2727</v>
      </c>
      <c r="N180" s="700" t="s">
        <v>2571</v>
      </c>
      <c r="O180" s="328"/>
      <c r="P180" s="189"/>
      <c r="Q180" s="432"/>
      <c r="R180" s="591" t="s">
        <v>2690</v>
      </c>
      <c r="S180" s="591" t="s">
        <v>332</v>
      </c>
      <c r="U180" s="486" t="s">
        <v>2241</v>
      </c>
      <c r="V180" s="486" t="s">
        <v>3887</v>
      </c>
      <c r="X180" s="486"/>
      <c r="Y180" s="486"/>
    </row>
    <row r="181" spans="3:25" ht="10.5" customHeight="1">
      <c r="C181" s="419" t="s">
        <v>346</v>
      </c>
      <c r="D181" s="502">
        <v>43400</v>
      </c>
      <c r="E181" s="317"/>
      <c r="F181" s="703"/>
      <c r="G181" s="432" t="s">
        <v>691</v>
      </c>
      <c r="H181" s="432" t="s">
        <v>1376</v>
      </c>
      <c r="I181" s="699" t="s">
        <v>692</v>
      </c>
      <c r="J181" s="699" t="s">
        <v>2740</v>
      </c>
      <c r="K181" s="707" t="s">
        <v>1404</v>
      </c>
      <c r="L181" s="708" t="s">
        <v>437</v>
      </c>
      <c r="M181" s="710" t="s">
        <v>2727</v>
      </c>
      <c r="N181" s="700" t="s">
        <v>2572</v>
      </c>
      <c r="O181" s="328"/>
      <c r="P181" s="189"/>
      <c r="Q181" s="432"/>
      <c r="R181" s="591" t="s">
        <v>2568</v>
      </c>
      <c r="S181" s="591" t="s">
        <v>2017</v>
      </c>
      <c r="U181" s="486" t="s">
        <v>2159</v>
      </c>
      <c r="V181" s="486" t="s">
        <v>3887</v>
      </c>
      <c r="X181" s="486"/>
      <c r="Y181" s="486"/>
    </row>
    <row r="182" spans="3:25" ht="10.5" customHeight="1">
      <c r="C182" s="419" t="s">
        <v>808</v>
      </c>
      <c r="D182" s="502">
        <v>48400</v>
      </c>
      <c r="E182" s="317"/>
      <c r="F182" s="703"/>
      <c r="G182" s="432" t="s">
        <v>693</v>
      </c>
      <c r="H182" s="432" t="s">
        <v>1400</v>
      </c>
      <c r="I182" s="701" t="s">
        <v>805</v>
      </c>
      <c r="J182" s="701" t="s">
        <v>2741</v>
      </c>
      <c r="K182" s="707" t="s">
        <v>2704</v>
      </c>
      <c r="L182" s="708" t="s">
        <v>438</v>
      </c>
      <c r="M182" s="709" t="s">
        <v>1252</v>
      </c>
      <c r="N182" s="700" t="s">
        <v>2337</v>
      </c>
      <c r="O182" s="328"/>
      <c r="P182" s="189"/>
      <c r="Q182" s="432"/>
      <c r="R182" s="591" t="s">
        <v>2570</v>
      </c>
      <c r="S182" s="591" t="s">
        <v>917</v>
      </c>
      <c r="U182" s="486" t="s">
        <v>630</v>
      </c>
      <c r="V182" s="486" t="s">
        <v>3887</v>
      </c>
      <c r="X182" s="486"/>
      <c r="Y182" s="486"/>
    </row>
    <row r="183" spans="3:25" ht="10.5" customHeight="1">
      <c r="C183" s="419" t="s">
        <v>1528</v>
      </c>
      <c r="D183" s="502">
        <v>47300</v>
      </c>
      <c r="E183" s="317"/>
      <c r="F183" s="703"/>
      <c r="G183" s="432" t="s">
        <v>694</v>
      </c>
      <c r="H183" s="432" t="s">
        <v>1376</v>
      </c>
      <c r="I183" s="701" t="s">
        <v>2377</v>
      </c>
      <c r="J183" s="701" t="s">
        <v>2741</v>
      </c>
      <c r="K183" s="707" t="s">
        <v>1405</v>
      </c>
      <c r="L183" s="708" t="s">
        <v>438</v>
      </c>
      <c r="M183" s="710" t="s">
        <v>1252</v>
      </c>
      <c r="N183" s="700" t="s">
        <v>746</v>
      </c>
      <c r="O183" s="328"/>
      <c r="P183" s="189"/>
      <c r="Q183" s="432"/>
      <c r="R183" s="591" t="s">
        <v>2573</v>
      </c>
      <c r="S183" s="591" t="s">
        <v>164</v>
      </c>
      <c r="U183" s="486" t="s">
        <v>632</v>
      </c>
      <c r="V183" s="486" t="s">
        <v>3887</v>
      </c>
      <c r="X183" s="486"/>
      <c r="Y183" s="486"/>
    </row>
    <row r="184" spans="3:25" ht="10.5" customHeight="1">
      <c r="C184" s="419" t="s">
        <v>1532</v>
      </c>
      <c r="D184" s="502">
        <v>45900</v>
      </c>
      <c r="E184" s="317"/>
      <c r="F184" s="703"/>
      <c r="G184" s="432" t="s">
        <v>695</v>
      </c>
      <c r="H184" s="432" t="s">
        <v>1376</v>
      </c>
      <c r="I184" s="701" t="s">
        <v>805</v>
      </c>
      <c r="J184" s="701" t="s">
        <v>2741</v>
      </c>
      <c r="K184" s="707" t="s">
        <v>2704</v>
      </c>
      <c r="L184" s="708" t="s">
        <v>438</v>
      </c>
      <c r="M184" s="709" t="s">
        <v>1252</v>
      </c>
      <c r="N184" s="700" t="s">
        <v>748</v>
      </c>
      <c r="O184" s="328"/>
      <c r="P184" s="189"/>
      <c r="Q184" s="432"/>
      <c r="R184" s="591" t="s">
        <v>2338</v>
      </c>
      <c r="S184" s="591" t="s">
        <v>691</v>
      </c>
      <c r="U184" s="486" t="s">
        <v>2659</v>
      </c>
      <c r="V184" s="486" t="s">
        <v>3887</v>
      </c>
      <c r="X184" s="486"/>
      <c r="Y184" s="486"/>
    </row>
    <row r="185" spans="3:25" ht="10.5" customHeight="1">
      <c r="C185" s="419" t="s">
        <v>1534</v>
      </c>
      <c r="D185" s="502">
        <v>51000</v>
      </c>
      <c r="E185" s="317"/>
      <c r="F185" s="703"/>
      <c r="G185" s="432" t="s">
        <v>696</v>
      </c>
      <c r="H185" s="432" t="s">
        <v>1376</v>
      </c>
      <c r="I185" s="701" t="s">
        <v>697</v>
      </c>
      <c r="J185" s="701" t="s">
        <v>2740</v>
      </c>
      <c r="K185" s="707" t="s">
        <v>1406</v>
      </c>
      <c r="L185" s="708" t="s">
        <v>437</v>
      </c>
      <c r="M185" s="710" t="s">
        <v>2727</v>
      </c>
      <c r="N185" s="700" t="s">
        <v>750</v>
      </c>
      <c r="O185" s="328"/>
      <c r="P185" s="189"/>
      <c r="Q185" s="432"/>
      <c r="R185" s="591" t="s">
        <v>747</v>
      </c>
      <c r="S185" s="591" t="s">
        <v>2604</v>
      </c>
      <c r="U185" s="486" t="s">
        <v>636</v>
      </c>
      <c r="V185" s="486" t="s">
        <v>3887</v>
      </c>
      <c r="X185" s="486"/>
      <c r="Y185" s="486"/>
    </row>
    <row r="186" spans="3:25" ht="10.5" customHeight="1">
      <c r="C186" s="419" t="s">
        <v>182</v>
      </c>
      <c r="D186" s="502">
        <v>57700</v>
      </c>
      <c r="E186" s="317"/>
      <c r="F186" s="703"/>
      <c r="G186" s="432" t="s">
        <v>1265</v>
      </c>
      <c r="H186" s="432" t="s">
        <v>1400</v>
      </c>
      <c r="I186" s="701" t="s">
        <v>805</v>
      </c>
      <c r="J186" s="701" t="s">
        <v>2741</v>
      </c>
      <c r="K186" s="707" t="s">
        <v>2704</v>
      </c>
      <c r="L186" s="708" t="s">
        <v>438</v>
      </c>
      <c r="M186" s="709" t="s">
        <v>1252</v>
      </c>
      <c r="N186" s="700" t="s">
        <v>752</v>
      </c>
      <c r="O186" s="328"/>
      <c r="P186" s="189"/>
      <c r="Q186" s="432"/>
      <c r="R186" s="591" t="s">
        <v>749</v>
      </c>
      <c r="S186" s="591" t="s">
        <v>1160</v>
      </c>
      <c r="U186" s="486" t="s">
        <v>570</v>
      </c>
      <c r="V186" s="486" t="s">
        <v>3887</v>
      </c>
      <c r="X186" s="486"/>
      <c r="Y186" s="486"/>
    </row>
    <row r="187" spans="3:25" ht="10.5" customHeight="1">
      <c r="C187" s="419" t="s">
        <v>1385</v>
      </c>
      <c r="D187" s="502">
        <v>38800</v>
      </c>
      <c r="E187" s="317"/>
      <c r="F187" s="703"/>
      <c r="G187" s="432" t="s">
        <v>698</v>
      </c>
      <c r="H187" s="432" t="s">
        <v>1376</v>
      </c>
      <c r="I187" s="699" t="s">
        <v>699</v>
      </c>
      <c r="J187" s="699" t="s">
        <v>2740</v>
      </c>
      <c r="K187" s="707" t="s">
        <v>250</v>
      </c>
      <c r="L187" s="708" t="s">
        <v>437</v>
      </c>
      <c r="M187" s="710" t="s">
        <v>2727</v>
      </c>
      <c r="N187" s="700" t="s">
        <v>2329</v>
      </c>
      <c r="O187" s="328"/>
      <c r="P187" s="189"/>
      <c r="Q187" s="432"/>
      <c r="R187" s="702" t="s">
        <v>751</v>
      </c>
      <c r="S187" s="702" t="s">
        <v>2718</v>
      </c>
      <c r="U187" s="486" t="s">
        <v>786</v>
      </c>
      <c r="V187" s="486" t="s">
        <v>3887</v>
      </c>
      <c r="X187" s="486"/>
      <c r="Y187" s="486"/>
    </row>
    <row r="188" spans="3:25" ht="10.5" customHeight="1">
      <c r="C188" s="419" t="s">
        <v>183</v>
      </c>
      <c r="D188" s="502">
        <v>52700</v>
      </c>
      <c r="E188" s="317"/>
      <c r="F188" s="703"/>
      <c r="G188" s="432" t="s">
        <v>700</v>
      </c>
      <c r="H188" s="432" t="s">
        <v>1400</v>
      </c>
      <c r="I188" s="701" t="s">
        <v>701</v>
      </c>
      <c r="J188" s="701" t="s">
        <v>2740</v>
      </c>
      <c r="K188" s="707" t="s">
        <v>251</v>
      </c>
      <c r="L188" s="708" t="s">
        <v>437</v>
      </c>
      <c r="M188" s="710" t="s">
        <v>2727</v>
      </c>
      <c r="N188" s="700" t="s">
        <v>2330</v>
      </c>
      <c r="O188" s="328"/>
      <c r="P188" s="189"/>
      <c r="Q188" s="432"/>
      <c r="R188" s="591" t="s">
        <v>2691</v>
      </c>
      <c r="S188" s="591" t="s">
        <v>2606</v>
      </c>
      <c r="U188" s="486" t="s">
        <v>39</v>
      </c>
      <c r="V188" s="486" t="s">
        <v>3887</v>
      </c>
      <c r="X188" s="486"/>
      <c r="Y188" s="486"/>
    </row>
    <row r="189" spans="3:25" ht="10.5" customHeight="1">
      <c r="C189" s="419" t="s">
        <v>810</v>
      </c>
      <c r="D189" s="502">
        <v>48000</v>
      </c>
      <c r="E189" s="317"/>
      <c r="F189" s="703"/>
      <c r="G189" s="432" t="s">
        <v>702</v>
      </c>
      <c r="H189" s="432" t="s">
        <v>1270</v>
      </c>
      <c r="I189" s="699" t="s">
        <v>12</v>
      </c>
      <c r="J189" s="699" t="s">
        <v>2741</v>
      </c>
      <c r="K189" s="707" t="s">
        <v>2709</v>
      </c>
      <c r="L189" s="708" t="s">
        <v>438</v>
      </c>
      <c r="M189" s="710" t="s">
        <v>1252</v>
      </c>
      <c r="N189" s="700" t="s">
        <v>2332</v>
      </c>
      <c r="O189" s="328"/>
      <c r="P189" s="189"/>
      <c r="Q189" s="432"/>
      <c r="R189" s="591" t="s">
        <v>2331</v>
      </c>
      <c r="S189" s="591" t="s">
        <v>1746</v>
      </c>
      <c r="U189" s="486" t="s">
        <v>2065</v>
      </c>
      <c r="V189" s="486" t="s">
        <v>3887</v>
      </c>
      <c r="X189" s="486"/>
      <c r="Y189" s="486"/>
    </row>
    <row r="190" spans="3:25" ht="10.5" customHeight="1">
      <c r="C190" s="419" t="s">
        <v>1711</v>
      </c>
      <c r="D190" s="502">
        <v>44100</v>
      </c>
      <c r="E190" s="317"/>
      <c r="F190" s="703"/>
      <c r="G190" s="432" t="s">
        <v>703</v>
      </c>
      <c r="H190" s="432" t="s">
        <v>1376</v>
      </c>
      <c r="I190" s="699" t="s">
        <v>704</v>
      </c>
      <c r="J190" s="699" t="s">
        <v>2740</v>
      </c>
      <c r="K190" s="707" t="s">
        <v>252</v>
      </c>
      <c r="L190" s="708" t="s">
        <v>437</v>
      </c>
      <c r="M190" s="710" t="s">
        <v>2727</v>
      </c>
      <c r="N190" s="700" t="s">
        <v>720</v>
      </c>
      <c r="O190" s="328"/>
      <c r="P190" s="189"/>
      <c r="Q190" s="432"/>
      <c r="R190" s="591" t="s">
        <v>2333</v>
      </c>
      <c r="S190" s="591" t="s">
        <v>2712</v>
      </c>
      <c r="U190" s="486" t="s">
        <v>348</v>
      </c>
      <c r="V190" s="486" t="s">
        <v>3887</v>
      </c>
      <c r="X190" s="486"/>
      <c r="Y190" s="486"/>
    </row>
    <row r="191" spans="3:25" ht="10.5" customHeight="1">
      <c r="C191" s="419" t="s">
        <v>1713</v>
      </c>
      <c r="D191" s="502">
        <v>45400</v>
      </c>
      <c r="E191" s="317"/>
      <c r="F191" s="703"/>
      <c r="G191" s="432" t="s">
        <v>705</v>
      </c>
      <c r="H191" s="432" t="s">
        <v>1270</v>
      </c>
      <c r="I191" s="699" t="s">
        <v>706</v>
      </c>
      <c r="J191" s="699" t="s">
        <v>2740</v>
      </c>
      <c r="K191" s="707" t="s">
        <v>417</v>
      </c>
      <c r="L191" s="708" t="s">
        <v>437</v>
      </c>
      <c r="M191" s="710" t="s">
        <v>2727</v>
      </c>
      <c r="N191" s="700" t="s">
        <v>831</v>
      </c>
      <c r="O191" s="328"/>
      <c r="P191" s="189"/>
      <c r="Q191" s="432"/>
      <c r="R191" s="591" t="s">
        <v>721</v>
      </c>
      <c r="S191" s="591" t="s">
        <v>773</v>
      </c>
      <c r="U191" s="486" t="s">
        <v>356</v>
      </c>
      <c r="V191" s="486" t="s">
        <v>3887</v>
      </c>
      <c r="X191" s="486"/>
      <c r="Y191" s="486"/>
    </row>
    <row r="192" spans="3:25" ht="10.5" customHeight="1">
      <c r="C192" s="419" t="s">
        <v>2143</v>
      </c>
      <c r="D192" s="502">
        <v>61400</v>
      </c>
      <c r="E192" s="317"/>
      <c r="F192" s="703"/>
      <c r="G192" s="432" t="s">
        <v>707</v>
      </c>
      <c r="H192" s="432" t="s">
        <v>1400</v>
      </c>
      <c r="I192" s="699" t="s">
        <v>708</v>
      </c>
      <c r="J192" s="699" t="s">
        <v>2740</v>
      </c>
      <c r="K192" s="707" t="s">
        <v>418</v>
      </c>
      <c r="L192" s="708" t="s">
        <v>437</v>
      </c>
      <c r="M192" s="710" t="s">
        <v>2727</v>
      </c>
      <c r="N192" s="700" t="s">
        <v>2380</v>
      </c>
      <c r="O192" s="328"/>
      <c r="P192" s="189"/>
      <c r="Q192" s="432"/>
      <c r="R192" s="591" t="s">
        <v>2379</v>
      </c>
      <c r="S192" s="591" t="s">
        <v>329</v>
      </c>
      <c r="U192" s="486" t="s">
        <v>201</v>
      </c>
      <c r="V192" s="486" t="s">
        <v>3887</v>
      </c>
      <c r="X192" s="486"/>
      <c r="Y192" s="486"/>
    </row>
    <row r="193" spans="3:25" ht="10.5" customHeight="1">
      <c r="C193" s="419" t="s">
        <v>190</v>
      </c>
      <c r="D193" s="502">
        <v>45500</v>
      </c>
      <c r="E193" s="317"/>
      <c r="F193" s="703"/>
      <c r="G193" s="432" t="s">
        <v>123</v>
      </c>
      <c r="H193" s="432" t="s">
        <v>1400</v>
      </c>
      <c r="I193" s="701" t="s">
        <v>805</v>
      </c>
      <c r="J193" s="701" t="s">
        <v>2741</v>
      </c>
      <c r="K193" s="707" t="s">
        <v>2704</v>
      </c>
      <c r="L193" s="708" t="s">
        <v>438</v>
      </c>
      <c r="M193" s="709" t="s">
        <v>1252</v>
      </c>
      <c r="N193" s="700" t="s">
        <v>2409</v>
      </c>
      <c r="O193" s="328"/>
      <c r="P193" s="189"/>
      <c r="Q193" s="432"/>
      <c r="R193" s="591" t="s">
        <v>2441</v>
      </c>
      <c r="S193" s="591" t="s">
        <v>921</v>
      </c>
      <c r="U193" s="486" t="s">
        <v>2256</v>
      </c>
      <c r="V193" s="486" t="s">
        <v>3887</v>
      </c>
      <c r="X193" s="486"/>
      <c r="Y193" s="486"/>
    </row>
    <row r="194" spans="3:25" ht="10.5" customHeight="1">
      <c r="C194" s="418" t="s">
        <v>2713</v>
      </c>
      <c r="D194" s="502">
        <v>56600</v>
      </c>
      <c r="E194" s="317"/>
      <c r="F194" s="703"/>
      <c r="G194" s="432" t="s">
        <v>124</v>
      </c>
      <c r="H194" s="432" t="s">
        <v>1376</v>
      </c>
      <c r="I194" s="699" t="s">
        <v>125</v>
      </c>
      <c r="J194" s="699" t="s">
        <v>2740</v>
      </c>
      <c r="K194" s="707" t="s">
        <v>419</v>
      </c>
      <c r="L194" s="708" t="s">
        <v>437</v>
      </c>
      <c r="M194" s="710" t="s">
        <v>2727</v>
      </c>
      <c r="N194" s="700" t="s">
        <v>47</v>
      </c>
      <c r="O194" s="328"/>
      <c r="P194" s="189"/>
      <c r="Q194" s="432"/>
      <c r="R194" s="591" t="s">
        <v>48</v>
      </c>
      <c r="S194" s="591" t="s">
        <v>336</v>
      </c>
      <c r="U194" s="486" t="s">
        <v>202</v>
      </c>
      <c r="V194" s="486" t="s">
        <v>3887</v>
      </c>
      <c r="X194" s="486"/>
      <c r="Y194" s="486"/>
    </row>
    <row r="195" spans="3:25" ht="10.5" customHeight="1">
      <c r="C195" s="419" t="s">
        <v>2715</v>
      </c>
      <c r="D195" s="502">
        <v>46400</v>
      </c>
      <c r="E195" s="317"/>
      <c r="F195" s="703"/>
      <c r="G195" s="432" t="s">
        <v>324</v>
      </c>
      <c r="H195" s="432" t="s">
        <v>1376</v>
      </c>
      <c r="I195" s="699" t="s">
        <v>1280</v>
      </c>
      <c r="J195" s="699" t="s">
        <v>2741</v>
      </c>
      <c r="K195" s="707" t="s">
        <v>420</v>
      </c>
      <c r="L195" s="708" t="s">
        <v>438</v>
      </c>
      <c r="M195" s="710" t="s">
        <v>1252</v>
      </c>
      <c r="N195" s="700" t="s">
        <v>664</v>
      </c>
      <c r="O195" s="328"/>
      <c r="P195" s="189"/>
      <c r="Q195" s="432"/>
      <c r="R195" s="591" t="s">
        <v>665</v>
      </c>
      <c r="S195" s="591" t="s">
        <v>2720</v>
      </c>
      <c r="U195" s="486" t="s">
        <v>396</v>
      </c>
      <c r="V195" s="486" t="s">
        <v>3887</v>
      </c>
      <c r="X195" s="486"/>
      <c r="Y195" s="486"/>
    </row>
    <row r="196" spans="3:25" ht="10.5" customHeight="1">
      <c r="C196" s="419" t="s">
        <v>1143</v>
      </c>
      <c r="D196" s="502">
        <v>54100</v>
      </c>
      <c r="E196" s="317"/>
      <c r="F196" s="703"/>
      <c r="G196" s="437" t="s">
        <v>325</v>
      </c>
      <c r="H196" s="432" t="s">
        <v>1400</v>
      </c>
      <c r="I196" s="699" t="s">
        <v>326</v>
      </c>
      <c r="J196" s="699" t="s">
        <v>2740</v>
      </c>
      <c r="K196" s="707" t="s">
        <v>421</v>
      </c>
      <c r="L196" s="708" t="s">
        <v>437</v>
      </c>
      <c r="M196" s="710" t="s">
        <v>2727</v>
      </c>
      <c r="N196" s="700" t="s">
        <v>317</v>
      </c>
      <c r="O196" s="328"/>
      <c r="P196" s="189"/>
      <c r="Q196" s="432"/>
      <c r="R196" s="591" t="s">
        <v>318</v>
      </c>
      <c r="S196" s="591" t="s">
        <v>327</v>
      </c>
      <c r="U196" s="486" t="s">
        <v>916</v>
      </c>
      <c r="V196" s="486" t="s">
        <v>3887</v>
      </c>
      <c r="X196" s="486"/>
      <c r="Y196" s="486"/>
    </row>
    <row r="197" spans="3:25" ht="10.5" customHeight="1">
      <c r="C197" s="419" t="s">
        <v>1146</v>
      </c>
      <c r="D197" s="502">
        <v>49900</v>
      </c>
      <c r="E197" s="317"/>
      <c r="F197" s="703"/>
      <c r="G197" s="432" t="s">
        <v>327</v>
      </c>
      <c r="H197" s="432" t="s">
        <v>1376</v>
      </c>
      <c r="I197" s="701" t="s">
        <v>807</v>
      </c>
      <c r="J197" s="701" t="s">
        <v>2741</v>
      </c>
      <c r="K197" s="707" t="s">
        <v>422</v>
      </c>
      <c r="L197" s="708" t="s">
        <v>438</v>
      </c>
      <c r="M197" s="709" t="s">
        <v>1252</v>
      </c>
      <c r="N197" s="700" t="s">
        <v>2481</v>
      </c>
      <c r="O197" s="328"/>
      <c r="P197" s="189"/>
      <c r="Q197" s="432"/>
      <c r="R197" s="591" t="s">
        <v>2482</v>
      </c>
      <c r="S197" s="591" t="s">
        <v>202</v>
      </c>
      <c r="U197" s="486" t="s">
        <v>2021</v>
      </c>
      <c r="V197" s="486" t="s">
        <v>3887</v>
      </c>
      <c r="X197" s="486"/>
      <c r="Y197" s="486"/>
    </row>
    <row r="198" spans="3:25" ht="10.5" customHeight="1">
      <c r="C198" s="419" t="s">
        <v>1149</v>
      </c>
      <c r="D198" s="502">
        <v>50600</v>
      </c>
      <c r="E198" s="317"/>
      <c r="F198" s="703"/>
      <c r="G198" s="432" t="s">
        <v>328</v>
      </c>
      <c r="H198" s="432" t="s">
        <v>1400</v>
      </c>
      <c r="I198" s="701" t="s">
        <v>166</v>
      </c>
      <c r="J198" s="701" t="s">
        <v>2741</v>
      </c>
      <c r="K198" s="707" t="s">
        <v>1767</v>
      </c>
      <c r="L198" s="708" t="s">
        <v>438</v>
      </c>
      <c r="M198" s="709" t="s">
        <v>1252</v>
      </c>
      <c r="N198" s="700" t="s">
        <v>2509</v>
      </c>
      <c r="O198" s="328"/>
      <c r="P198" s="189"/>
      <c r="Q198" s="432"/>
      <c r="R198" s="591" t="s">
        <v>2510</v>
      </c>
      <c r="S198" s="591" t="s">
        <v>1745</v>
      </c>
      <c r="U198" s="486" t="s">
        <v>2025</v>
      </c>
      <c r="V198" s="486" t="s">
        <v>3887</v>
      </c>
      <c r="X198" s="486"/>
      <c r="Y198" s="486"/>
    </row>
    <row r="199" spans="3:25" ht="10.5" customHeight="1">
      <c r="C199" s="418" t="s">
        <v>1151</v>
      </c>
      <c r="D199" s="502">
        <v>47900</v>
      </c>
      <c r="E199" s="317"/>
      <c r="F199" s="703"/>
      <c r="G199" s="432" t="s">
        <v>329</v>
      </c>
      <c r="H199" s="432" t="s">
        <v>1400</v>
      </c>
      <c r="I199" s="699" t="s">
        <v>330</v>
      </c>
      <c r="J199" s="699" t="s">
        <v>2740</v>
      </c>
      <c r="K199" s="707" t="s">
        <v>423</v>
      </c>
      <c r="L199" s="708" t="s">
        <v>437</v>
      </c>
      <c r="M199" s="710" t="s">
        <v>2727</v>
      </c>
      <c r="N199" s="700" t="s">
        <v>2511</v>
      </c>
      <c r="O199" s="328"/>
      <c r="P199" s="189"/>
      <c r="Q199" s="432"/>
      <c r="R199" s="591" t="s">
        <v>3234</v>
      </c>
      <c r="S199" s="591" t="s">
        <v>659</v>
      </c>
      <c r="U199" s="486" t="s">
        <v>755</v>
      </c>
      <c r="V199" s="486" t="s">
        <v>3887</v>
      </c>
      <c r="X199" s="486"/>
      <c r="Y199" s="486"/>
    </row>
    <row r="200" spans="3:25" ht="10.5" customHeight="1">
      <c r="C200" s="419" t="s">
        <v>1153</v>
      </c>
      <c r="D200" s="502">
        <v>47500</v>
      </c>
      <c r="E200" s="317"/>
      <c r="F200" s="703"/>
      <c r="G200" s="432" t="s">
        <v>331</v>
      </c>
      <c r="H200" s="432" t="s">
        <v>1400</v>
      </c>
      <c r="I200" s="701" t="s">
        <v>805</v>
      </c>
      <c r="J200" s="701" t="s">
        <v>2741</v>
      </c>
      <c r="K200" s="707" t="s">
        <v>2704</v>
      </c>
      <c r="L200" s="708" t="s">
        <v>438</v>
      </c>
      <c r="M200" s="709" t="s">
        <v>1252</v>
      </c>
      <c r="N200" s="700" t="s">
        <v>2512</v>
      </c>
      <c r="O200" s="328"/>
      <c r="P200" s="189"/>
      <c r="Q200" s="432"/>
      <c r="R200" s="591" t="s">
        <v>660</v>
      </c>
      <c r="S200" s="591" t="s">
        <v>1392</v>
      </c>
      <c r="U200" s="486" t="s">
        <v>1195</v>
      </c>
      <c r="V200" s="486" t="s">
        <v>3887</v>
      </c>
      <c r="X200" s="486"/>
      <c r="Y200" s="486"/>
    </row>
    <row r="201" spans="3:25" ht="10.5" customHeight="1">
      <c r="C201" s="419" t="s">
        <v>1155</v>
      </c>
      <c r="D201" s="502">
        <v>40800</v>
      </c>
      <c r="E201" s="317"/>
      <c r="F201" s="703"/>
      <c r="G201" s="432" t="s">
        <v>332</v>
      </c>
      <c r="H201" s="432" t="s">
        <v>1400</v>
      </c>
      <c r="I201" s="701" t="s">
        <v>805</v>
      </c>
      <c r="J201" s="701" t="s">
        <v>2741</v>
      </c>
      <c r="K201" s="707" t="s">
        <v>2704</v>
      </c>
      <c r="L201" s="708" t="s">
        <v>438</v>
      </c>
      <c r="M201" s="709" t="s">
        <v>1252</v>
      </c>
      <c r="N201" s="700" t="s">
        <v>2473</v>
      </c>
      <c r="O201" s="328"/>
      <c r="P201" s="189"/>
      <c r="Q201" s="432"/>
      <c r="R201" s="591" t="s">
        <v>1389</v>
      </c>
      <c r="S201" s="591" t="s">
        <v>693</v>
      </c>
      <c r="U201" s="486" t="s">
        <v>1197</v>
      </c>
      <c r="V201" s="486" t="s">
        <v>3887</v>
      </c>
      <c r="X201" s="486"/>
      <c r="Y201" s="486"/>
    </row>
    <row r="202" spans="3:25" ht="10.5" customHeight="1">
      <c r="C202" s="419" t="s">
        <v>1157</v>
      </c>
      <c r="D202" s="502">
        <v>52000</v>
      </c>
      <c r="E202" s="317"/>
      <c r="F202" s="703"/>
      <c r="G202" s="432" t="s">
        <v>333</v>
      </c>
      <c r="H202" s="432" t="s">
        <v>1400</v>
      </c>
      <c r="I202" s="701" t="s">
        <v>1794</v>
      </c>
      <c r="J202" s="701" t="s">
        <v>2741</v>
      </c>
      <c r="K202" s="707" t="s">
        <v>424</v>
      </c>
      <c r="L202" s="708" t="s">
        <v>438</v>
      </c>
      <c r="M202" s="710" t="s">
        <v>1252</v>
      </c>
      <c r="N202" s="700" t="s">
        <v>11</v>
      </c>
      <c r="O202" s="328"/>
      <c r="P202" s="189"/>
      <c r="Q202" s="432"/>
      <c r="R202" s="591" t="s">
        <v>2474</v>
      </c>
      <c r="S202" s="591" t="s">
        <v>2610</v>
      </c>
      <c r="U202" s="486" t="s">
        <v>1199</v>
      </c>
      <c r="V202" s="486" t="s">
        <v>3887</v>
      </c>
      <c r="X202" s="486"/>
      <c r="Y202" s="486"/>
    </row>
    <row r="203" spans="3:25" ht="10.5" customHeight="1">
      <c r="C203" s="418" t="s">
        <v>1159</v>
      </c>
      <c r="D203" s="502">
        <v>38800</v>
      </c>
      <c r="E203" s="317"/>
      <c r="F203" s="703"/>
      <c r="G203" s="432" t="s">
        <v>334</v>
      </c>
      <c r="H203" s="432" t="s">
        <v>1270</v>
      </c>
      <c r="I203" s="699" t="s">
        <v>335</v>
      </c>
      <c r="J203" s="699" t="s">
        <v>2740</v>
      </c>
      <c r="K203" s="707" t="s">
        <v>683</v>
      </c>
      <c r="L203" s="708" t="s">
        <v>437</v>
      </c>
      <c r="M203" s="710" t="s">
        <v>2727</v>
      </c>
      <c r="N203" s="700" t="s">
        <v>13</v>
      </c>
      <c r="O203" s="328"/>
      <c r="P203" s="189"/>
      <c r="Q203" s="432"/>
      <c r="R203" s="591" t="s">
        <v>12</v>
      </c>
      <c r="S203" s="591" t="s">
        <v>702</v>
      </c>
      <c r="U203" s="486" t="s">
        <v>2640</v>
      </c>
      <c r="V203" s="486" t="s">
        <v>3887</v>
      </c>
      <c r="X203" s="486"/>
      <c r="Y203" s="486"/>
    </row>
    <row r="204" spans="3:25" ht="10.5" customHeight="1">
      <c r="C204" s="418" t="s">
        <v>2377</v>
      </c>
      <c r="D204" s="502">
        <v>49800</v>
      </c>
      <c r="E204" s="317"/>
      <c r="F204" s="703"/>
      <c r="G204" s="432" t="s">
        <v>336</v>
      </c>
      <c r="H204" s="432" t="s">
        <v>1400</v>
      </c>
      <c r="I204" s="699" t="s">
        <v>337</v>
      </c>
      <c r="J204" s="699" t="s">
        <v>2740</v>
      </c>
      <c r="K204" s="707" t="s">
        <v>684</v>
      </c>
      <c r="L204" s="708" t="s">
        <v>437</v>
      </c>
      <c r="M204" s="710" t="s">
        <v>2727</v>
      </c>
      <c r="N204" s="700" t="s">
        <v>58</v>
      </c>
      <c r="O204" s="328"/>
      <c r="P204" s="189"/>
      <c r="Q204" s="432"/>
      <c r="R204" s="591" t="s">
        <v>14</v>
      </c>
      <c r="S204" s="591" t="s">
        <v>327</v>
      </c>
      <c r="U204" s="486" t="s">
        <v>474</v>
      </c>
      <c r="V204" s="486" t="s">
        <v>3887</v>
      </c>
      <c r="X204" s="486"/>
      <c r="Y204" s="486"/>
    </row>
    <row r="205" spans="3:25" ht="10.5" customHeight="1">
      <c r="C205" s="419" t="s">
        <v>1391</v>
      </c>
      <c r="D205" s="502">
        <v>61300</v>
      </c>
      <c r="E205" s="317"/>
      <c r="F205" s="703"/>
      <c r="G205" s="432" t="s">
        <v>338</v>
      </c>
      <c r="H205" s="432" t="s">
        <v>1400</v>
      </c>
      <c r="I205" s="701" t="s">
        <v>805</v>
      </c>
      <c r="J205" s="701" t="s">
        <v>2741</v>
      </c>
      <c r="K205" s="707" t="s">
        <v>2704</v>
      </c>
      <c r="L205" s="708" t="s">
        <v>438</v>
      </c>
      <c r="M205" s="709" t="s">
        <v>1252</v>
      </c>
      <c r="N205" s="700" t="s">
        <v>60</v>
      </c>
      <c r="O205" s="328"/>
      <c r="P205" s="189"/>
      <c r="Q205" s="432"/>
      <c r="R205" s="591" t="s">
        <v>59</v>
      </c>
      <c r="S205" s="591" t="s">
        <v>2712</v>
      </c>
      <c r="U205" s="486" t="s">
        <v>314</v>
      </c>
      <c r="V205" s="486" t="s">
        <v>3887</v>
      </c>
      <c r="X205" s="486"/>
      <c r="Y205" s="486"/>
    </row>
    <row r="206" spans="3:25" ht="10.5" customHeight="1">
      <c r="C206" s="419" t="s">
        <v>2270</v>
      </c>
      <c r="D206" s="502">
        <v>55900</v>
      </c>
      <c r="E206" s="317"/>
      <c r="F206" s="703"/>
      <c r="G206" s="432" t="s">
        <v>339</v>
      </c>
      <c r="H206" s="432" t="s">
        <v>1270</v>
      </c>
      <c r="I206" s="699" t="s">
        <v>340</v>
      </c>
      <c r="J206" s="699" t="s">
        <v>2740</v>
      </c>
      <c r="K206" s="707" t="s">
        <v>685</v>
      </c>
      <c r="L206" s="708" t="s">
        <v>437</v>
      </c>
      <c r="M206" s="710" t="s">
        <v>2727</v>
      </c>
      <c r="N206" s="700" t="s">
        <v>62</v>
      </c>
      <c r="O206" s="328"/>
      <c r="P206" s="189"/>
      <c r="Q206" s="432"/>
      <c r="R206" s="591" t="s">
        <v>61</v>
      </c>
      <c r="S206" s="591" t="s">
        <v>370</v>
      </c>
      <c r="U206" s="486" t="s">
        <v>1917</v>
      </c>
      <c r="V206" s="486" t="s">
        <v>3887</v>
      </c>
      <c r="X206" s="486"/>
      <c r="Y206" s="486"/>
    </row>
    <row r="207" spans="3:25" ht="10.5" customHeight="1">
      <c r="C207" s="419" t="s">
        <v>2272</v>
      </c>
      <c r="D207" s="502">
        <v>50900</v>
      </c>
      <c r="E207" s="317"/>
      <c r="F207" s="703"/>
      <c r="G207" s="432" t="s">
        <v>341</v>
      </c>
      <c r="H207" s="432" t="s">
        <v>1400</v>
      </c>
      <c r="I207" s="699" t="s">
        <v>342</v>
      </c>
      <c r="J207" s="699" t="s">
        <v>2740</v>
      </c>
      <c r="K207" s="707" t="s">
        <v>276</v>
      </c>
      <c r="L207" s="708" t="s">
        <v>437</v>
      </c>
      <c r="M207" s="710" t="s">
        <v>2727</v>
      </c>
      <c r="N207" s="700" t="s">
        <v>364</v>
      </c>
      <c r="O207" s="328"/>
      <c r="P207" s="189"/>
      <c r="Q207" s="432"/>
      <c r="R207" s="591" t="s">
        <v>63</v>
      </c>
      <c r="S207" s="591" t="s">
        <v>123</v>
      </c>
      <c r="U207" s="486" t="s">
        <v>1919</v>
      </c>
      <c r="V207" s="486" t="s">
        <v>3887</v>
      </c>
      <c r="X207" s="486"/>
      <c r="Y207" s="486"/>
    </row>
    <row r="208" spans="3:25" ht="10.5" customHeight="1">
      <c r="C208" s="419" t="s">
        <v>2274</v>
      </c>
      <c r="D208" s="502">
        <v>34400</v>
      </c>
      <c r="E208" s="317"/>
      <c r="F208" s="703"/>
      <c r="G208" s="432" t="s">
        <v>343</v>
      </c>
      <c r="H208" s="432" t="s">
        <v>1270</v>
      </c>
      <c r="I208" s="699" t="s">
        <v>344</v>
      </c>
      <c r="J208" s="699" t="s">
        <v>2740</v>
      </c>
      <c r="K208" s="707" t="s">
        <v>277</v>
      </c>
      <c r="L208" s="708" t="s">
        <v>437</v>
      </c>
      <c r="M208" s="710" t="s">
        <v>2727</v>
      </c>
      <c r="N208" s="700" t="s">
        <v>366</v>
      </c>
      <c r="O208" s="328"/>
      <c r="P208" s="189"/>
      <c r="Q208" s="432"/>
      <c r="R208" s="591" t="s">
        <v>365</v>
      </c>
      <c r="S208" s="591" t="s">
        <v>2288</v>
      </c>
      <c r="U208" s="486" t="s">
        <v>1992</v>
      </c>
      <c r="V208" s="486" t="s">
        <v>3887</v>
      </c>
      <c r="X208" s="486"/>
      <c r="Y208" s="486"/>
    </row>
    <row r="209" spans="3:25" ht="10.5" customHeight="1">
      <c r="C209" s="419" t="s">
        <v>2277</v>
      </c>
      <c r="D209" s="502">
        <v>47300</v>
      </c>
      <c r="E209" s="317"/>
      <c r="F209" s="703"/>
      <c r="G209" s="432" t="s">
        <v>345</v>
      </c>
      <c r="H209" s="432" t="s">
        <v>1270</v>
      </c>
      <c r="I209" s="699" t="s">
        <v>346</v>
      </c>
      <c r="J209" s="699" t="s">
        <v>2740</v>
      </c>
      <c r="K209" s="707" t="s">
        <v>278</v>
      </c>
      <c r="L209" s="708" t="s">
        <v>437</v>
      </c>
      <c r="M209" s="710" t="s">
        <v>2727</v>
      </c>
      <c r="N209" s="700" t="s">
        <v>368</v>
      </c>
      <c r="O209" s="328"/>
      <c r="P209" s="189"/>
      <c r="Q209" s="432"/>
      <c r="R209" s="591" t="s">
        <v>367</v>
      </c>
      <c r="S209" s="591" t="s">
        <v>998</v>
      </c>
      <c r="U209" s="486" t="s">
        <v>2353</v>
      </c>
      <c r="V209" s="486" t="s">
        <v>3887</v>
      </c>
      <c r="X209" s="486"/>
      <c r="Y209" s="486"/>
    </row>
    <row r="210" spans="3:25" ht="10.5" customHeight="1">
      <c r="C210" s="418" t="s">
        <v>2279</v>
      </c>
      <c r="D210" s="502">
        <v>36400</v>
      </c>
      <c r="E210" s="317"/>
      <c r="F210" s="703"/>
      <c r="G210" s="432" t="s">
        <v>444</v>
      </c>
      <c r="H210" s="432" t="s">
        <v>1400</v>
      </c>
      <c r="I210" s="701" t="s">
        <v>1385</v>
      </c>
      <c r="J210" s="701" t="s">
        <v>2741</v>
      </c>
      <c r="K210" s="707" t="s">
        <v>2707</v>
      </c>
      <c r="L210" s="708" t="s">
        <v>438</v>
      </c>
      <c r="M210" s="709" t="s">
        <v>1252</v>
      </c>
      <c r="N210" s="700" t="s">
        <v>2398</v>
      </c>
      <c r="O210" s="328"/>
      <c r="P210" s="189"/>
      <c r="Q210" s="432"/>
      <c r="R210" s="591" t="s">
        <v>369</v>
      </c>
      <c r="S210" s="591" t="s">
        <v>1142</v>
      </c>
      <c r="U210" s="486" t="s">
        <v>434</v>
      </c>
      <c r="V210" s="486" t="s">
        <v>3887</v>
      </c>
      <c r="X210" s="486"/>
      <c r="Y210" s="486"/>
    </row>
    <row r="211" spans="3:25" ht="10.5" customHeight="1">
      <c r="C211" s="418" t="s">
        <v>2281</v>
      </c>
      <c r="D211" s="502">
        <v>45100</v>
      </c>
      <c r="E211" s="317"/>
      <c r="F211" s="703"/>
      <c r="G211" s="432" t="s">
        <v>445</v>
      </c>
      <c r="H211" s="432" t="s">
        <v>1400</v>
      </c>
      <c r="I211" s="701" t="s">
        <v>808</v>
      </c>
      <c r="J211" s="701" t="s">
        <v>2741</v>
      </c>
      <c r="K211" s="707" t="s">
        <v>279</v>
      </c>
      <c r="L211" s="708" t="s">
        <v>438</v>
      </c>
      <c r="M211" s="709" t="s">
        <v>1252</v>
      </c>
      <c r="N211" s="700" t="s">
        <v>2400</v>
      </c>
      <c r="O211" s="328"/>
      <c r="P211" s="189"/>
      <c r="Q211" s="432"/>
      <c r="R211" s="591" t="s">
        <v>661</v>
      </c>
      <c r="S211" s="591" t="s">
        <v>1527</v>
      </c>
      <c r="U211" s="486" t="s">
        <v>2390</v>
      </c>
      <c r="V211" s="486" t="s">
        <v>3887</v>
      </c>
      <c r="X211" s="486"/>
      <c r="Y211" s="486"/>
    </row>
    <row r="212" spans="3:25" ht="10.5" customHeight="1">
      <c r="C212" s="419" t="s">
        <v>2283</v>
      </c>
      <c r="D212" s="502">
        <v>40900</v>
      </c>
      <c r="E212" s="317"/>
      <c r="F212" s="703"/>
      <c r="G212" s="432" t="s">
        <v>1526</v>
      </c>
      <c r="H212" s="432" t="s">
        <v>1270</v>
      </c>
      <c r="I212" s="699" t="s">
        <v>1781</v>
      </c>
      <c r="J212" s="699" t="s">
        <v>2741</v>
      </c>
      <c r="K212" s="707" t="s">
        <v>2710</v>
      </c>
      <c r="L212" s="708" t="s">
        <v>438</v>
      </c>
      <c r="M212" s="709" t="s">
        <v>1252</v>
      </c>
      <c r="N212" s="700" t="s">
        <v>2401</v>
      </c>
      <c r="O212" s="328"/>
      <c r="P212" s="189"/>
      <c r="Q212" s="432"/>
      <c r="R212" s="591" t="s">
        <v>2399</v>
      </c>
      <c r="S212" s="591" t="s">
        <v>705</v>
      </c>
      <c r="U212" s="486" t="s">
        <v>3877</v>
      </c>
      <c r="V212" s="486" t="s">
        <v>3887</v>
      </c>
      <c r="X212" s="486"/>
      <c r="Y212" s="486"/>
    </row>
    <row r="213" spans="3:25" ht="10.5" customHeight="1">
      <c r="C213" s="419" t="s">
        <v>2285</v>
      </c>
      <c r="D213" s="502">
        <v>38800</v>
      </c>
      <c r="E213" s="317"/>
      <c r="F213" s="703"/>
      <c r="G213" s="432" t="s">
        <v>1527</v>
      </c>
      <c r="H213" s="432" t="s">
        <v>1270</v>
      </c>
      <c r="I213" s="699" t="s">
        <v>1528</v>
      </c>
      <c r="J213" s="699" t="s">
        <v>2740</v>
      </c>
      <c r="K213" s="707" t="s">
        <v>280</v>
      </c>
      <c r="L213" s="708" t="s">
        <v>437</v>
      </c>
      <c r="M213" s="710" t="s">
        <v>2727</v>
      </c>
      <c r="N213" s="700" t="s">
        <v>2402</v>
      </c>
      <c r="O213" s="328"/>
      <c r="P213" s="189"/>
      <c r="Q213" s="432"/>
      <c r="R213" s="591" t="s">
        <v>1397</v>
      </c>
      <c r="S213" s="591" t="s">
        <v>703</v>
      </c>
      <c r="U213" s="486" t="s">
        <v>710</v>
      </c>
      <c r="V213" s="486" t="s">
        <v>3887</v>
      </c>
      <c r="X213" s="486"/>
      <c r="Y213" s="486"/>
    </row>
    <row r="214" spans="3:25" ht="10.5" customHeight="1">
      <c r="C214" s="419" t="s">
        <v>2287</v>
      </c>
      <c r="D214" s="502">
        <v>50400</v>
      </c>
      <c r="E214" s="317"/>
      <c r="F214" s="703"/>
      <c r="G214" s="432" t="s">
        <v>1529</v>
      </c>
      <c r="H214" s="432" t="s">
        <v>1270</v>
      </c>
      <c r="I214" s="701" t="s">
        <v>1870</v>
      </c>
      <c r="J214" s="701" t="s">
        <v>2741</v>
      </c>
      <c r="K214" s="707" t="s">
        <v>1216</v>
      </c>
      <c r="L214" s="708" t="s">
        <v>438</v>
      </c>
      <c r="M214" s="709" t="s">
        <v>1252</v>
      </c>
      <c r="N214" s="700" t="s">
        <v>1636</v>
      </c>
      <c r="O214" s="328"/>
      <c r="P214" s="189"/>
      <c r="Q214" s="432"/>
      <c r="R214" s="591" t="s">
        <v>3235</v>
      </c>
      <c r="S214" s="591" t="s">
        <v>705</v>
      </c>
      <c r="U214" s="486" t="s">
        <v>2505</v>
      </c>
      <c r="V214" s="486" t="s">
        <v>3887</v>
      </c>
      <c r="X214" s="486"/>
      <c r="Y214" s="486"/>
    </row>
    <row r="215" spans="3:25" ht="10.5" customHeight="1">
      <c r="C215" s="419" t="s">
        <v>913</v>
      </c>
      <c r="D215" s="502">
        <v>37900</v>
      </c>
      <c r="E215" s="317"/>
      <c r="F215" s="703"/>
      <c r="G215" s="432" t="s">
        <v>1530</v>
      </c>
      <c r="H215" s="432" t="s">
        <v>1270</v>
      </c>
      <c r="I215" s="699" t="s">
        <v>809</v>
      </c>
      <c r="J215" s="699" t="s">
        <v>2741</v>
      </c>
      <c r="K215" s="707" t="s">
        <v>281</v>
      </c>
      <c r="L215" s="708" t="s">
        <v>438</v>
      </c>
      <c r="M215" s="710" t="s">
        <v>1252</v>
      </c>
      <c r="N215" s="700" t="s">
        <v>1638</v>
      </c>
      <c r="O215" s="328"/>
      <c r="P215" s="189"/>
      <c r="Q215" s="432"/>
      <c r="R215" s="591" t="s">
        <v>2403</v>
      </c>
      <c r="S215" s="591" t="s">
        <v>106</v>
      </c>
      <c r="U215" s="486" t="s">
        <v>229</v>
      </c>
      <c r="V215" s="486" t="s">
        <v>3887</v>
      </c>
      <c r="X215" s="486"/>
      <c r="Y215" s="486"/>
    </row>
    <row r="216" spans="3:25" ht="10.5" customHeight="1">
      <c r="C216" s="419" t="s">
        <v>915</v>
      </c>
      <c r="D216" s="502">
        <v>33900</v>
      </c>
      <c r="E216" s="317"/>
      <c r="F216" s="703"/>
      <c r="G216" s="432" t="s">
        <v>1531</v>
      </c>
      <c r="H216" s="432" t="s">
        <v>1400</v>
      </c>
      <c r="I216" s="699" t="s">
        <v>1532</v>
      </c>
      <c r="J216" s="699" t="s">
        <v>2740</v>
      </c>
      <c r="K216" s="707" t="s">
        <v>2649</v>
      </c>
      <c r="L216" s="708" t="s">
        <v>437</v>
      </c>
      <c r="M216" s="710" t="s">
        <v>2727</v>
      </c>
      <c r="N216" s="700" t="s">
        <v>1640</v>
      </c>
      <c r="O216" s="328"/>
      <c r="P216" s="189"/>
      <c r="Q216" s="432"/>
      <c r="R216" s="591" t="s">
        <v>1637</v>
      </c>
      <c r="S216" s="591" t="s">
        <v>1712</v>
      </c>
      <c r="U216" s="486" t="s">
        <v>695</v>
      </c>
      <c r="V216" s="486" t="s">
        <v>3887</v>
      </c>
      <c r="X216" s="486"/>
      <c r="Y216" s="486"/>
    </row>
    <row r="217" spans="3:25" ht="10.5" customHeight="1">
      <c r="C217" s="419" t="s">
        <v>1747</v>
      </c>
      <c r="D217" s="502">
        <v>43600</v>
      </c>
      <c r="E217" s="317"/>
      <c r="F217" s="703"/>
      <c r="G217" s="432" t="s">
        <v>1533</v>
      </c>
      <c r="H217" s="432" t="s">
        <v>1270</v>
      </c>
      <c r="I217" s="699" t="s">
        <v>1534</v>
      </c>
      <c r="J217" s="699" t="s">
        <v>2741</v>
      </c>
      <c r="K217" s="707" t="s">
        <v>730</v>
      </c>
      <c r="L217" s="708" t="s">
        <v>438</v>
      </c>
      <c r="M217" s="709" t="s">
        <v>1252</v>
      </c>
      <c r="N217" s="700" t="s">
        <v>1642</v>
      </c>
      <c r="O217" s="328"/>
      <c r="P217" s="189"/>
      <c r="Q217" s="432"/>
      <c r="R217" s="591" t="s">
        <v>2692</v>
      </c>
      <c r="S217" s="591" t="s">
        <v>659</v>
      </c>
      <c r="U217" s="486" t="s">
        <v>243</v>
      </c>
      <c r="V217" s="486" t="s">
        <v>3887</v>
      </c>
      <c r="X217" s="486"/>
      <c r="Y217" s="486"/>
    </row>
    <row r="218" spans="3:25" ht="10.5" customHeight="1">
      <c r="C218" s="419" t="s">
        <v>2005</v>
      </c>
      <c r="D218" s="502">
        <v>49700</v>
      </c>
      <c r="E218" s="317"/>
      <c r="F218" s="703"/>
      <c r="G218" s="432" t="s">
        <v>180</v>
      </c>
      <c r="H218" s="432" t="s">
        <v>1270</v>
      </c>
      <c r="I218" s="699" t="s">
        <v>1781</v>
      </c>
      <c r="J218" s="699" t="s">
        <v>2741</v>
      </c>
      <c r="K218" s="707" t="s">
        <v>2710</v>
      </c>
      <c r="L218" s="708" t="s">
        <v>438</v>
      </c>
      <c r="M218" s="710" t="s">
        <v>1252</v>
      </c>
      <c r="N218" s="700" t="s">
        <v>1644</v>
      </c>
      <c r="O218" s="328"/>
      <c r="P218" s="189"/>
      <c r="Q218" s="432"/>
      <c r="R218" s="591" t="s">
        <v>1639</v>
      </c>
      <c r="S218" s="591" t="s">
        <v>696</v>
      </c>
      <c r="U218" s="486" t="s">
        <v>696</v>
      </c>
      <c r="V218" s="486" t="s">
        <v>3887</v>
      </c>
      <c r="X218" s="486"/>
      <c r="Y218" s="486"/>
    </row>
    <row r="219" spans="3:25" ht="10.5" customHeight="1">
      <c r="C219" s="418" t="s">
        <v>2007</v>
      </c>
      <c r="D219" s="502">
        <v>50700</v>
      </c>
      <c r="E219" s="317"/>
      <c r="F219" s="703"/>
      <c r="G219" s="432" t="s">
        <v>181</v>
      </c>
      <c r="H219" s="432" t="s">
        <v>1376</v>
      </c>
      <c r="I219" s="701" t="s">
        <v>182</v>
      </c>
      <c r="J219" s="701" t="s">
        <v>2740</v>
      </c>
      <c r="K219" s="707" t="s">
        <v>731</v>
      </c>
      <c r="L219" s="708" t="s">
        <v>437</v>
      </c>
      <c r="M219" s="710" t="s">
        <v>2727</v>
      </c>
      <c r="N219" s="700" t="s">
        <v>1830</v>
      </c>
      <c r="O219" s="328"/>
      <c r="P219" s="189"/>
      <c r="Q219" s="432"/>
      <c r="R219" s="591" t="s">
        <v>3236</v>
      </c>
      <c r="S219" s="591" t="s">
        <v>2351</v>
      </c>
      <c r="U219" s="486" t="s">
        <v>829</v>
      </c>
      <c r="V219" s="486" t="s">
        <v>3887</v>
      </c>
      <c r="X219" s="486"/>
      <c r="Y219" s="486"/>
    </row>
    <row r="220" spans="3:25" ht="10.5" customHeight="1">
      <c r="C220" s="418" t="s">
        <v>2009</v>
      </c>
      <c r="D220" s="502">
        <v>47900</v>
      </c>
      <c r="E220" s="317"/>
      <c r="F220" s="703"/>
      <c r="G220" s="432" t="s">
        <v>1385</v>
      </c>
      <c r="H220" s="432" t="s">
        <v>1400</v>
      </c>
      <c r="I220" s="699" t="s">
        <v>183</v>
      </c>
      <c r="J220" s="699" t="s">
        <v>2740</v>
      </c>
      <c r="K220" s="707" t="s">
        <v>732</v>
      </c>
      <c r="L220" s="708" t="s">
        <v>437</v>
      </c>
      <c r="M220" s="710" t="s">
        <v>2727</v>
      </c>
      <c r="N220" s="700" t="s">
        <v>1832</v>
      </c>
      <c r="O220" s="328"/>
      <c r="P220" s="189"/>
      <c r="Q220" s="432"/>
      <c r="R220" s="591" t="s">
        <v>1641</v>
      </c>
      <c r="S220" s="591" t="s">
        <v>169</v>
      </c>
      <c r="U220" s="486" t="s">
        <v>3878</v>
      </c>
      <c r="V220" s="486" t="s">
        <v>3887</v>
      </c>
      <c r="X220" s="486"/>
      <c r="Y220" s="486"/>
    </row>
    <row r="221" spans="3:25" ht="10.5" customHeight="1">
      <c r="C221" s="418" t="s">
        <v>2011</v>
      </c>
      <c r="D221" s="502">
        <v>52000</v>
      </c>
      <c r="E221" s="317"/>
      <c r="F221" s="703"/>
      <c r="G221" s="432" t="s">
        <v>184</v>
      </c>
      <c r="H221" s="432" t="s">
        <v>1400</v>
      </c>
      <c r="I221" s="699" t="s">
        <v>2144</v>
      </c>
      <c r="J221" s="699" t="s">
        <v>2741</v>
      </c>
      <c r="K221" s="707" t="s">
        <v>651</v>
      </c>
      <c r="L221" s="708" t="s">
        <v>438</v>
      </c>
      <c r="M221" s="709" t="s">
        <v>1252</v>
      </c>
      <c r="N221" s="700" t="s">
        <v>1834</v>
      </c>
      <c r="O221" s="328"/>
      <c r="P221" s="189"/>
      <c r="Q221" s="432"/>
      <c r="R221" s="591" t="s">
        <v>1643</v>
      </c>
      <c r="S221" s="591" t="s">
        <v>1378</v>
      </c>
      <c r="U221" s="486" t="s">
        <v>3879</v>
      </c>
      <c r="V221" s="486" t="s">
        <v>3887</v>
      </c>
      <c r="X221" s="486"/>
      <c r="Y221" s="486"/>
    </row>
    <row r="222" spans="3:25" ht="10.5" customHeight="1">
      <c r="C222" s="418" t="s">
        <v>2013</v>
      </c>
      <c r="D222" s="502">
        <v>52700</v>
      </c>
      <c r="E222" s="317"/>
      <c r="F222" s="703"/>
      <c r="G222" s="432" t="s">
        <v>370</v>
      </c>
      <c r="H222" s="432" t="s">
        <v>1400</v>
      </c>
      <c r="I222" s="701" t="s">
        <v>166</v>
      </c>
      <c r="J222" s="701" t="s">
        <v>2741</v>
      </c>
      <c r="K222" s="707" t="s">
        <v>1767</v>
      </c>
      <c r="L222" s="708" t="s">
        <v>438</v>
      </c>
      <c r="M222" s="709" t="s">
        <v>1252</v>
      </c>
      <c r="N222" s="700" t="s">
        <v>1073</v>
      </c>
      <c r="O222" s="328"/>
      <c r="P222" s="189"/>
      <c r="Q222" s="432"/>
      <c r="R222" s="591" t="s">
        <v>1645</v>
      </c>
      <c r="S222" s="591" t="s">
        <v>184</v>
      </c>
      <c r="U222" s="486" t="s">
        <v>1280</v>
      </c>
      <c r="V222" s="486" t="s">
        <v>3887</v>
      </c>
      <c r="X222" s="486"/>
      <c r="Y222" s="486"/>
    </row>
    <row r="223" spans="3:25" ht="10.5" customHeight="1">
      <c r="C223" s="418" t="s">
        <v>2015</v>
      </c>
      <c r="D223" s="502">
        <v>37500</v>
      </c>
      <c r="E223" s="317"/>
      <c r="F223" s="703"/>
      <c r="G223" s="432" t="s">
        <v>1973</v>
      </c>
      <c r="H223" s="432" t="s">
        <v>1400</v>
      </c>
      <c r="I223" s="701" t="s">
        <v>806</v>
      </c>
      <c r="J223" s="701" t="s">
        <v>2741</v>
      </c>
      <c r="K223" s="707" t="s">
        <v>2726</v>
      </c>
      <c r="L223" s="708" t="s">
        <v>438</v>
      </c>
      <c r="M223" s="709" t="s">
        <v>1252</v>
      </c>
      <c r="N223" s="700" t="s">
        <v>1074</v>
      </c>
      <c r="O223" s="328"/>
      <c r="P223" s="189"/>
      <c r="Q223" s="432"/>
      <c r="R223" s="591" t="s">
        <v>1831</v>
      </c>
      <c r="S223" s="591" t="s">
        <v>696</v>
      </c>
      <c r="U223" s="486" t="s">
        <v>716</v>
      </c>
      <c r="V223" s="486" t="s">
        <v>3887</v>
      </c>
      <c r="X223" s="486"/>
      <c r="Y223" s="486"/>
    </row>
    <row r="224" spans="3:25" ht="10.5" customHeight="1">
      <c r="C224" s="419" t="s">
        <v>2018</v>
      </c>
      <c r="D224" s="502">
        <v>51300</v>
      </c>
      <c r="E224" s="317"/>
      <c r="F224" s="703"/>
      <c r="G224" s="432" t="s">
        <v>1974</v>
      </c>
      <c r="H224" s="432" t="s">
        <v>1270</v>
      </c>
      <c r="I224" s="699" t="s">
        <v>12</v>
      </c>
      <c r="J224" s="699" t="s">
        <v>2741</v>
      </c>
      <c r="K224" s="707" t="s">
        <v>2709</v>
      </c>
      <c r="L224" s="708" t="s">
        <v>438</v>
      </c>
      <c r="M224" s="709" t="s">
        <v>1252</v>
      </c>
      <c r="N224" s="700" t="s">
        <v>247</v>
      </c>
      <c r="O224" s="328"/>
      <c r="P224" s="189"/>
      <c r="Q224" s="432"/>
      <c r="R224" s="591" t="s">
        <v>1833</v>
      </c>
      <c r="S224" s="591" t="s">
        <v>773</v>
      </c>
      <c r="U224" s="486" t="s">
        <v>703</v>
      </c>
      <c r="V224" s="486" t="s">
        <v>3887</v>
      </c>
      <c r="X224" s="486"/>
      <c r="Y224" s="486"/>
    </row>
    <row r="225" spans="3:25" ht="10.5" customHeight="1">
      <c r="C225" s="418" t="s">
        <v>2105</v>
      </c>
      <c r="D225" s="502">
        <v>45000</v>
      </c>
      <c r="E225" s="317"/>
      <c r="F225" s="703"/>
      <c r="G225" s="432" t="s">
        <v>1975</v>
      </c>
      <c r="H225" s="432" t="s">
        <v>1400</v>
      </c>
      <c r="I225" s="701" t="s">
        <v>810</v>
      </c>
      <c r="J225" s="701" t="s">
        <v>2741</v>
      </c>
      <c r="K225" s="707" t="s">
        <v>733</v>
      </c>
      <c r="L225" s="708" t="s">
        <v>438</v>
      </c>
      <c r="M225" s="709" t="s">
        <v>1252</v>
      </c>
      <c r="N225" s="700" t="s">
        <v>249</v>
      </c>
      <c r="O225" s="328"/>
      <c r="P225" s="189"/>
      <c r="Q225" s="432"/>
      <c r="R225" s="591" t="s">
        <v>1072</v>
      </c>
      <c r="S225" s="591" t="s">
        <v>1379</v>
      </c>
      <c r="U225" s="486" t="s">
        <v>1029</v>
      </c>
      <c r="V225" s="486" t="s">
        <v>3887</v>
      </c>
      <c r="X225" s="486"/>
      <c r="Y225" s="486"/>
    </row>
    <row r="226" spans="3:25" ht="10.5" customHeight="1">
      <c r="C226" s="418" t="s">
        <v>1781</v>
      </c>
      <c r="D226" s="502">
        <v>50400</v>
      </c>
      <c r="E226" s="317"/>
      <c r="F226" s="703"/>
      <c r="G226" s="432" t="s">
        <v>1710</v>
      </c>
      <c r="H226" s="432" t="s">
        <v>1270</v>
      </c>
      <c r="I226" s="699" t="s">
        <v>1711</v>
      </c>
      <c r="J226" s="699" t="s">
        <v>2740</v>
      </c>
      <c r="K226" s="707" t="s">
        <v>734</v>
      </c>
      <c r="L226" s="708" t="s">
        <v>437</v>
      </c>
      <c r="M226" s="710" t="s">
        <v>2727</v>
      </c>
      <c r="N226" s="700" t="s">
        <v>1323</v>
      </c>
      <c r="O226" s="328"/>
      <c r="P226" s="189"/>
      <c r="Q226" s="432"/>
      <c r="R226" s="591" t="s">
        <v>1075</v>
      </c>
      <c r="S226" s="591" t="s">
        <v>694</v>
      </c>
      <c r="U226" s="486" t="s">
        <v>1033</v>
      </c>
      <c r="V226" s="486" t="s">
        <v>3887</v>
      </c>
      <c r="X226" s="486"/>
      <c r="Y226" s="486"/>
    </row>
    <row r="227" spans="3:25" ht="10.5" customHeight="1">
      <c r="C227" s="419" t="s">
        <v>105</v>
      </c>
      <c r="D227" s="502">
        <v>49200</v>
      </c>
      <c r="E227" s="317"/>
      <c r="F227" s="703"/>
      <c r="G227" s="432" t="s">
        <v>1712</v>
      </c>
      <c r="H227" s="432" t="s">
        <v>1270</v>
      </c>
      <c r="I227" s="699" t="s">
        <v>1713</v>
      </c>
      <c r="J227" s="699" t="s">
        <v>2740</v>
      </c>
      <c r="K227" s="707" t="s">
        <v>735</v>
      </c>
      <c r="L227" s="708" t="s">
        <v>437</v>
      </c>
      <c r="M227" s="710" t="s">
        <v>2727</v>
      </c>
      <c r="N227" s="700" t="s">
        <v>2160</v>
      </c>
      <c r="O227" s="328"/>
      <c r="P227" s="189"/>
      <c r="Q227" s="432"/>
      <c r="R227" s="591" t="s">
        <v>248</v>
      </c>
      <c r="S227" s="591" t="s">
        <v>2656</v>
      </c>
      <c r="U227" s="486" t="s">
        <v>1035</v>
      </c>
      <c r="V227" s="486" t="s">
        <v>3887</v>
      </c>
      <c r="X227" s="486"/>
      <c r="Y227" s="486"/>
    </row>
    <row r="228" spans="3:25" ht="10.5" customHeight="1">
      <c r="C228" s="418" t="s">
        <v>1794</v>
      </c>
      <c r="D228" s="502">
        <v>71800</v>
      </c>
      <c r="E228" s="317"/>
      <c r="F228" s="703"/>
      <c r="G228" s="432" t="s">
        <v>1714</v>
      </c>
      <c r="H228" s="432" t="s">
        <v>1400</v>
      </c>
      <c r="I228" s="701" t="s">
        <v>2143</v>
      </c>
      <c r="J228" s="701" t="s">
        <v>2741</v>
      </c>
      <c r="K228" s="707" t="s">
        <v>736</v>
      </c>
      <c r="L228" s="708" t="s">
        <v>438</v>
      </c>
      <c r="M228" s="709" t="s">
        <v>1252</v>
      </c>
      <c r="N228" s="700" t="s">
        <v>2162</v>
      </c>
      <c r="O228" s="328"/>
      <c r="P228" s="189"/>
      <c r="Q228" s="432"/>
      <c r="R228" s="591" t="s">
        <v>3237</v>
      </c>
      <c r="S228" s="591" t="s">
        <v>917</v>
      </c>
      <c r="U228" s="486" t="s">
        <v>601</v>
      </c>
      <c r="V228" s="486" t="s">
        <v>3887</v>
      </c>
      <c r="X228" s="486"/>
      <c r="Y228" s="486"/>
    </row>
    <row r="229" spans="3:25" ht="10.5" customHeight="1">
      <c r="C229" s="418" t="s">
        <v>107</v>
      </c>
      <c r="D229" s="502">
        <v>40400</v>
      </c>
      <c r="F229" s="703"/>
      <c r="G229" s="432" t="s">
        <v>189</v>
      </c>
      <c r="H229" s="432" t="s">
        <v>1270</v>
      </c>
      <c r="I229" s="699" t="s">
        <v>190</v>
      </c>
      <c r="J229" s="699" t="s">
        <v>2740</v>
      </c>
      <c r="K229" s="707" t="s">
        <v>737</v>
      </c>
      <c r="L229" s="708" t="s">
        <v>437</v>
      </c>
      <c r="M229" s="710" t="s">
        <v>2727</v>
      </c>
      <c r="N229" s="700" t="s">
        <v>2164</v>
      </c>
      <c r="O229" s="328"/>
      <c r="P229" s="189"/>
      <c r="Q229" s="432"/>
      <c r="R229" s="702" t="s">
        <v>1846</v>
      </c>
      <c r="S229" s="702" t="s">
        <v>1148</v>
      </c>
      <c r="U229" s="486" t="s">
        <v>386</v>
      </c>
      <c r="V229" s="486" t="s">
        <v>3887</v>
      </c>
      <c r="X229" s="486"/>
      <c r="Y229" s="486"/>
    </row>
    <row r="230" spans="3:25" ht="10.5" customHeight="1">
      <c r="C230" s="418" t="s">
        <v>109</v>
      </c>
      <c r="D230" s="502">
        <v>49300</v>
      </c>
      <c r="F230" s="703"/>
      <c r="G230" s="432" t="s">
        <v>2712</v>
      </c>
      <c r="H230" s="432" t="s">
        <v>1400</v>
      </c>
      <c r="I230" s="701" t="s">
        <v>2713</v>
      </c>
      <c r="J230" s="701" t="s">
        <v>2740</v>
      </c>
      <c r="K230" s="707" t="s">
        <v>738</v>
      </c>
      <c r="L230" s="708" t="s">
        <v>437</v>
      </c>
      <c r="M230" s="710" t="s">
        <v>2727</v>
      </c>
      <c r="N230" s="700" t="s">
        <v>2166</v>
      </c>
      <c r="O230" s="328"/>
      <c r="P230" s="189"/>
      <c r="Q230" s="432"/>
      <c r="R230" s="591" t="s">
        <v>2161</v>
      </c>
      <c r="S230" s="591" t="s">
        <v>333</v>
      </c>
      <c r="U230" s="486" t="s">
        <v>1672</v>
      </c>
      <c r="V230" s="486" t="s">
        <v>3887</v>
      </c>
      <c r="X230" s="486"/>
      <c r="Y230" s="486"/>
    </row>
    <row r="231" spans="3:25" ht="10.5" customHeight="1">
      <c r="C231" s="418" t="s">
        <v>111</v>
      </c>
      <c r="D231" s="502">
        <v>46700</v>
      </c>
      <c r="F231" s="703"/>
      <c r="G231" s="432" t="s">
        <v>2714</v>
      </c>
      <c r="H231" s="432" t="s">
        <v>1376</v>
      </c>
      <c r="I231" s="699" t="s">
        <v>2715</v>
      </c>
      <c r="J231" s="699" t="s">
        <v>2741</v>
      </c>
      <c r="K231" s="707" t="s">
        <v>2049</v>
      </c>
      <c r="L231" s="708" t="s">
        <v>438</v>
      </c>
      <c r="M231" s="709" t="s">
        <v>1252</v>
      </c>
      <c r="N231" s="700" t="s">
        <v>2168</v>
      </c>
      <c r="O231" s="328"/>
      <c r="P231" s="189"/>
      <c r="Q231" s="432"/>
      <c r="R231" s="591" t="s">
        <v>2163</v>
      </c>
      <c r="S231" s="591" t="s">
        <v>331</v>
      </c>
      <c r="U231" s="486" t="s">
        <v>1057</v>
      </c>
      <c r="V231" s="486" t="s">
        <v>3887</v>
      </c>
      <c r="X231" s="486"/>
      <c r="Y231" s="486"/>
    </row>
    <row r="232" spans="3:25" ht="10.5" customHeight="1">
      <c r="C232" s="418" t="s">
        <v>113</v>
      </c>
      <c r="D232" s="502">
        <v>52200</v>
      </c>
      <c r="F232" s="703"/>
      <c r="G232" s="432" t="s">
        <v>2716</v>
      </c>
      <c r="H232" s="432" t="s">
        <v>1400</v>
      </c>
      <c r="I232" s="701" t="s">
        <v>166</v>
      </c>
      <c r="J232" s="701" t="s">
        <v>2741</v>
      </c>
      <c r="K232" s="707" t="s">
        <v>1767</v>
      </c>
      <c r="L232" s="708" t="s">
        <v>438</v>
      </c>
      <c r="M232" s="710" t="s">
        <v>1252</v>
      </c>
      <c r="N232" s="700" t="s">
        <v>2170</v>
      </c>
      <c r="O232" s="328"/>
      <c r="P232" s="189"/>
      <c r="Q232" s="432"/>
      <c r="R232" s="591" t="s">
        <v>2165</v>
      </c>
      <c r="S232" s="591" t="s">
        <v>659</v>
      </c>
      <c r="U232" s="486" t="s">
        <v>1059</v>
      </c>
      <c r="V232" s="486" t="s">
        <v>3887</v>
      </c>
      <c r="X232" s="486"/>
      <c r="Y232" s="486"/>
    </row>
    <row r="233" spans="3:25" ht="10.5" customHeight="1">
      <c r="C233" s="418" t="s">
        <v>115</v>
      </c>
      <c r="D233" s="502">
        <v>37400</v>
      </c>
      <c r="F233" s="703"/>
      <c r="G233" s="432" t="s">
        <v>2717</v>
      </c>
      <c r="H233" s="432" t="s">
        <v>1400</v>
      </c>
      <c r="I233" s="701" t="s">
        <v>805</v>
      </c>
      <c r="J233" s="701" t="s">
        <v>2741</v>
      </c>
      <c r="K233" s="707" t="s">
        <v>2704</v>
      </c>
      <c r="L233" s="708" t="s">
        <v>438</v>
      </c>
      <c r="M233" s="709" t="s">
        <v>1252</v>
      </c>
      <c r="N233" s="700" t="s">
        <v>711</v>
      </c>
      <c r="O233" s="328"/>
      <c r="P233" s="189"/>
      <c r="Q233" s="432"/>
      <c r="R233" s="591" t="s">
        <v>2167</v>
      </c>
      <c r="S233" s="591" t="s">
        <v>2714</v>
      </c>
      <c r="U233" s="486" t="s">
        <v>1764</v>
      </c>
      <c r="V233" s="486" t="s">
        <v>3887</v>
      </c>
      <c r="X233" s="486"/>
      <c r="Y233" s="486"/>
    </row>
    <row r="234" spans="3:25" ht="10.5" customHeight="1">
      <c r="C234" s="418" t="s">
        <v>117</v>
      </c>
      <c r="D234" s="502">
        <v>54200</v>
      </c>
      <c r="F234" s="703"/>
      <c r="G234" s="432" t="s">
        <v>2718</v>
      </c>
      <c r="H234" s="432" t="s">
        <v>1400</v>
      </c>
      <c r="I234" s="699" t="s">
        <v>2144</v>
      </c>
      <c r="J234" s="699" t="s">
        <v>2741</v>
      </c>
      <c r="K234" s="707" t="s">
        <v>651</v>
      </c>
      <c r="L234" s="708" t="s">
        <v>438</v>
      </c>
      <c r="M234" s="709" t="s">
        <v>1252</v>
      </c>
      <c r="N234" s="700" t="s">
        <v>2438</v>
      </c>
      <c r="O234" s="328"/>
      <c r="P234" s="189"/>
      <c r="Q234" s="432"/>
      <c r="R234" s="591" t="s">
        <v>725</v>
      </c>
      <c r="S234" s="591" t="s">
        <v>1265</v>
      </c>
      <c r="U234" s="486" t="s">
        <v>908</v>
      </c>
      <c r="V234" s="486" t="s">
        <v>3887</v>
      </c>
      <c r="X234" s="486"/>
      <c r="Y234" s="486"/>
    </row>
    <row r="235" spans="3:25" ht="10.5" customHeight="1">
      <c r="C235" s="418" t="s">
        <v>2513</v>
      </c>
      <c r="D235" s="502">
        <v>41900</v>
      </c>
      <c r="F235" s="703"/>
      <c r="G235" s="432" t="s">
        <v>2719</v>
      </c>
      <c r="H235" s="432" t="s">
        <v>1400</v>
      </c>
      <c r="I235" s="699" t="s">
        <v>2144</v>
      </c>
      <c r="J235" s="699" t="s">
        <v>2741</v>
      </c>
      <c r="K235" s="707" t="s">
        <v>651</v>
      </c>
      <c r="L235" s="708" t="s">
        <v>438</v>
      </c>
      <c r="M235" s="709" t="s">
        <v>1252</v>
      </c>
      <c r="N235" s="700" t="s">
        <v>2439</v>
      </c>
      <c r="O235" s="328"/>
      <c r="P235" s="189"/>
      <c r="Q235" s="432"/>
      <c r="R235" s="591" t="s">
        <v>2693</v>
      </c>
      <c r="S235" s="591" t="s">
        <v>2106</v>
      </c>
      <c r="U235" s="486" t="s">
        <v>1828</v>
      </c>
      <c r="V235" s="486" t="s">
        <v>3887</v>
      </c>
      <c r="X235" s="486"/>
      <c r="Y235" s="486"/>
    </row>
    <row r="236" spans="3:25" ht="10.5" customHeight="1">
      <c r="C236" s="418" t="s">
        <v>2515</v>
      </c>
      <c r="D236" s="502">
        <v>39100</v>
      </c>
      <c r="F236" s="703"/>
      <c r="G236" s="432" t="s">
        <v>2720</v>
      </c>
      <c r="H236" s="432" t="s">
        <v>1376</v>
      </c>
      <c r="I236" s="701" t="s">
        <v>805</v>
      </c>
      <c r="J236" s="701" t="s">
        <v>2741</v>
      </c>
      <c r="K236" s="707" t="s">
        <v>2704</v>
      </c>
      <c r="L236" s="708" t="s">
        <v>438</v>
      </c>
      <c r="M236" s="709" t="s">
        <v>1252</v>
      </c>
      <c r="N236" s="700" t="s">
        <v>1306</v>
      </c>
      <c r="O236" s="328"/>
      <c r="P236" s="189"/>
      <c r="Q236" s="432"/>
      <c r="R236" s="591" t="s">
        <v>2169</v>
      </c>
      <c r="S236" s="591" t="s">
        <v>205</v>
      </c>
      <c r="U236" s="486" t="s">
        <v>662</v>
      </c>
      <c r="V236" s="486" t="s">
        <v>3887</v>
      </c>
      <c r="X236" s="486"/>
      <c r="Y236" s="486"/>
    </row>
    <row r="237" spans="3:25" ht="10.5" customHeight="1">
      <c r="C237" s="418" t="s">
        <v>2517</v>
      </c>
      <c r="D237" s="502">
        <v>51700</v>
      </c>
      <c r="F237" s="703"/>
      <c r="G237" s="432" t="s">
        <v>1142</v>
      </c>
      <c r="H237" s="432" t="s">
        <v>1400</v>
      </c>
      <c r="I237" s="701" t="s">
        <v>1143</v>
      </c>
      <c r="J237" s="701" t="s">
        <v>2740</v>
      </c>
      <c r="K237" s="707" t="s">
        <v>2050</v>
      </c>
      <c r="L237" s="708" t="s">
        <v>437</v>
      </c>
      <c r="M237" s="710" t="s">
        <v>2727</v>
      </c>
      <c r="N237" s="700" t="s">
        <v>1308</v>
      </c>
      <c r="O237" s="328"/>
      <c r="P237" s="189"/>
      <c r="Q237" s="432"/>
      <c r="R237" s="591" t="s">
        <v>3238</v>
      </c>
      <c r="S237" s="591" t="s">
        <v>698</v>
      </c>
      <c r="U237" s="486" t="s">
        <v>2397</v>
      </c>
      <c r="V237" s="486" t="s">
        <v>3887</v>
      </c>
      <c r="X237" s="486"/>
      <c r="Y237" s="486"/>
    </row>
    <row r="238" spans="3:25" ht="10.5" customHeight="1">
      <c r="F238" s="703"/>
      <c r="G238" s="432" t="s">
        <v>1144</v>
      </c>
      <c r="H238" s="432" t="s">
        <v>1376</v>
      </c>
      <c r="I238" s="701" t="s">
        <v>805</v>
      </c>
      <c r="J238" s="701" t="s">
        <v>2741</v>
      </c>
      <c r="K238" s="707" t="s">
        <v>2704</v>
      </c>
      <c r="L238" s="708" t="s">
        <v>438</v>
      </c>
      <c r="M238" s="709" t="s">
        <v>1252</v>
      </c>
      <c r="N238" s="700" t="s">
        <v>1310</v>
      </c>
      <c r="O238" s="328"/>
      <c r="P238" s="189"/>
      <c r="Q238" s="432"/>
      <c r="R238" s="591" t="s">
        <v>2171</v>
      </c>
      <c r="S238" s="591" t="s">
        <v>205</v>
      </c>
      <c r="U238" s="486" t="s">
        <v>1083</v>
      </c>
      <c r="V238" s="486" t="s">
        <v>3887</v>
      </c>
    </row>
    <row r="239" spans="3:25" ht="10.5" customHeight="1">
      <c r="F239" s="703"/>
      <c r="G239" s="432" t="s">
        <v>1145</v>
      </c>
      <c r="H239" s="432" t="s">
        <v>1270</v>
      </c>
      <c r="I239" s="699" t="s">
        <v>1146</v>
      </c>
      <c r="J239" s="699" t="s">
        <v>2740</v>
      </c>
      <c r="K239" s="707" t="s">
        <v>2051</v>
      </c>
      <c r="L239" s="708" t="s">
        <v>437</v>
      </c>
      <c r="M239" s="710" t="s">
        <v>2727</v>
      </c>
      <c r="N239" s="700" t="s">
        <v>1311</v>
      </c>
      <c r="O239" s="328"/>
      <c r="P239" s="189"/>
      <c r="Q239" s="432"/>
      <c r="R239" s="591" t="s">
        <v>712</v>
      </c>
      <c r="S239" s="591" t="s">
        <v>2106</v>
      </c>
      <c r="U239" s="486" t="s">
        <v>2041</v>
      </c>
      <c r="V239" s="486" t="s">
        <v>3887</v>
      </c>
    </row>
    <row r="240" spans="3:25" ht="10.5" customHeight="1">
      <c r="F240" s="703"/>
      <c r="G240" s="432" t="s">
        <v>1147</v>
      </c>
      <c r="H240" s="432" t="s">
        <v>1400</v>
      </c>
      <c r="I240" s="701" t="s">
        <v>805</v>
      </c>
      <c r="J240" s="701" t="s">
        <v>2741</v>
      </c>
      <c r="K240" s="707" t="s">
        <v>2704</v>
      </c>
      <c r="L240" s="708" t="s">
        <v>438</v>
      </c>
      <c r="M240" s="709" t="s">
        <v>1252</v>
      </c>
      <c r="N240" s="700" t="s">
        <v>1313</v>
      </c>
      <c r="O240" s="328"/>
      <c r="P240" s="189"/>
      <c r="Q240" s="432"/>
      <c r="R240" s="591" t="s">
        <v>2440</v>
      </c>
      <c r="S240" s="591" t="s">
        <v>124</v>
      </c>
      <c r="U240" s="486" t="s">
        <v>515</v>
      </c>
      <c r="V240" s="486" t="s">
        <v>3887</v>
      </c>
    </row>
    <row r="241" spans="6:22" ht="10.5" customHeight="1">
      <c r="F241" s="703"/>
      <c r="G241" s="432" t="s">
        <v>1148</v>
      </c>
      <c r="H241" s="432" t="s">
        <v>1376</v>
      </c>
      <c r="I241" s="699" t="s">
        <v>1149</v>
      </c>
      <c r="J241" s="699" t="s">
        <v>2740</v>
      </c>
      <c r="K241" s="707" t="s">
        <v>2052</v>
      </c>
      <c r="L241" s="708" t="s">
        <v>437</v>
      </c>
      <c r="M241" s="710" t="s">
        <v>2727</v>
      </c>
      <c r="N241" s="700" t="s">
        <v>2617</v>
      </c>
      <c r="O241" s="328"/>
      <c r="P241" s="189"/>
      <c r="Q241" s="432"/>
      <c r="R241" s="591" t="s">
        <v>1307</v>
      </c>
      <c r="S241" s="591" t="s">
        <v>659</v>
      </c>
      <c r="U241" s="486" t="s">
        <v>1726</v>
      </c>
      <c r="V241" s="486" t="s">
        <v>3887</v>
      </c>
    </row>
    <row r="242" spans="6:22" ht="10.5" customHeight="1">
      <c r="F242" s="703"/>
      <c r="G242" s="432" t="s">
        <v>1150</v>
      </c>
      <c r="H242" s="432" t="s">
        <v>1270</v>
      </c>
      <c r="I242" s="701" t="s">
        <v>1151</v>
      </c>
      <c r="J242" s="701" t="s">
        <v>2740</v>
      </c>
      <c r="K242" s="707" t="s">
        <v>2053</v>
      </c>
      <c r="L242" s="708" t="s">
        <v>437</v>
      </c>
      <c r="M242" s="710" t="s">
        <v>2727</v>
      </c>
      <c r="N242" s="700" t="s">
        <v>84</v>
      </c>
      <c r="O242" s="328"/>
      <c r="P242" s="189"/>
      <c r="Q242" s="432"/>
      <c r="R242" s="591" t="s">
        <v>1309</v>
      </c>
      <c r="S242" s="591" t="s">
        <v>2353</v>
      </c>
      <c r="U242" s="486" t="s">
        <v>987</v>
      </c>
      <c r="V242" s="486" t="s">
        <v>3887</v>
      </c>
    </row>
    <row r="243" spans="6:22" ht="10.5" customHeight="1">
      <c r="F243" s="703"/>
      <c r="G243" s="432" t="s">
        <v>1152</v>
      </c>
      <c r="H243" s="432" t="s">
        <v>1400</v>
      </c>
      <c r="I243" s="701" t="s">
        <v>1153</v>
      </c>
      <c r="J243" s="701" t="s">
        <v>2740</v>
      </c>
      <c r="K243" s="707" t="s">
        <v>2054</v>
      </c>
      <c r="L243" s="708" t="s">
        <v>437</v>
      </c>
      <c r="M243" s="710" t="s">
        <v>2727</v>
      </c>
      <c r="N243" s="700" t="s">
        <v>85</v>
      </c>
      <c r="O243" s="328"/>
      <c r="P243" s="189"/>
      <c r="Q243" s="432"/>
      <c r="R243" s="591" t="s">
        <v>2606</v>
      </c>
      <c r="S243" s="591" t="s">
        <v>1156</v>
      </c>
      <c r="U243" s="486" t="s">
        <v>2416</v>
      </c>
      <c r="V243" s="486" t="s">
        <v>3887</v>
      </c>
    </row>
    <row r="244" spans="6:22" ht="10.5" customHeight="1">
      <c r="F244" s="703"/>
      <c r="G244" s="432" t="s">
        <v>1154</v>
      </c>
      <c r="H244" s="432" t="s">
        <v>1270</v>
      </c>
      <c r="I244" s="699" t="s">
        <v>1155</v>
      </c>
      <c r="J244" s="699" t="s">
        <v>2740</v>
      </c>
      <c r="K244" s="707" t="s">
        <v>1872</v>
      </c>
      <c r="L244" s="708" t="s">
        <v>437</v>
      </c>
      <c r="M244" s="710" t="s">
        <v>2727</v>
      </c>
      <c r="N244" s="700" t="s">
        <v>86</v>
      </c>
      <c r="O244" s="328"/>
      <c r="P244" s="189"/>
      <c r="Q244" s="432"/>
      <c r="R244" s="591" t="s">
        <v>1312</v>
      </c>
      <c r="S244" s="591" t="s">
        <v>324</v>
      </c>
      <c r="U244" s="486" t="s">
        <v>336</v>
      </c>
      <c r="V244" s="486" t="s">
        <v>3887</v>
      </c>
    </row>
    <row r="245" spans="6:22" ht="10.5" customHeight="1">
      <c r="F245" s="703"/>
      <c r="G245" s="432" t="s">
        <v>1156</v>
      </c>
      <c r="H245" s="432" t="s">
        <v>1376</v>
      </c>
      <c r="I245" s="699" t="s">
        <v>1157</v>
      </c>
      <c r="J245" s="699" t="s">
        <v>2740</v>
      </c>
      <c r="K245" s="707" t="s">
        <v>1873</v>
      </c>
      <c r="L245" s="708" t="s">
        <v>437</v>
      </c>
      <c r="M245" s="710" t="s">
        <v>2727</v>
      </c>
      <c r="N245" s="700" t="s">
        <v>88</v>
      </c>
      <c r="O245" s="328"/>
      <c r="P245" s="189"/>
      <c r="Q245" s="432"/>
      <c r="R245" s="591" t="s">
        <v>2616</v>
      </c>
      <c r="S245" s="591" t="s">
        <v>116</v>
      </c>
      <c r="U245" s="486" t="s">
        <v>338</v>
      </c>
      <c r="V245" s="486" t="s">
        <v>3887</v>
      </c>
    </row>
    <row r="246" spans="6:22" ht="10.5" customHeight="1">
      <c r="F246" s="703"/>
      <c r="G246" s="432" t="s">
        <v>1158</v>
      </c>
      <c r="H246" s="432" t="s">
        <v>1270</v>
      </c>
      <c r="I246" s="699" t="s">
        <v>1159</v>
      </c>
      <c r="J246" s="699" t="s">
        <v>2740</v>
      </c>
      <c r="K246" s="707" t="s">
        <v>1874</v>
      </c>
      <c r="L246" s="708" t="s">
        <v>437</v>
      </c>
      <c r="M246" s="710" t="s">
        <v>2727</v>
      </c>
      <c r="N246" s="700" t="s">
        <v>1286</v>
      </c>
      <c r="O246" s="328"/>
      <c r="P246" s="189"/>
      <c r="Q246" s="432"/>
      <c r="R246" s="591" t="s">
        <v>83</v>
      </c>
      <c r="S246" s="591" t="s">
        <v>202</v>
      </c>
      <c r="U246" s="486" t="s">
        <v>341</v>
      </c>
      <c r="V246" s="486" t="s">
        <v>3887</v>
      </c>
    </row>
    <row r="247" spans="6:22" ht="10.5" customHeight="1">
      <c r="F247" s="703"/>
      <c r="G247" s="432" t="s">
        <v>1160</v>
      </c>
      <c r="H247" s="432" t="s">
        <v>1400</v>
      </c>
      <c r="I247" s="701" t="s">
        <v>806</v>
      </c>
      <c r="J247" s="701" t="s">
        <v>2741</v>
      </c>
      <c r="K247" s="707" t="s">
        <v>2726</v>
      </c>
      <c r="L247" s="708" t="s">
        <v>438</v>
      </c>
      <c r="M247" s="710" t="s">
        <v>1252</v>
      </c>
      <c r="N247" s="700" t="s">
        <v>1288</v>
      </c>
      <c r="O247" s="328"/>
      <c r="P247" s="189"/>
      <c r="Q247" s="432"/>
      <c r="R247" s="591" t="s">
        <v>87</v>
      </c>
      <c r="S247" s="591" t="s">
        <v>2286</v>
      </c>
      <c r="U247" s="486" t="s">
        <v>1844</v>
      </c>
      <c r="V247" s="486" t="s">
        <v>3887</v>
      </c>
    </row>
    <row r="248" spans="6:22" ht="10.5" customHeight="1">
      <c r="F248" s="703"/>
      <c r="G248" s="432" t="s">
        <v>1161</v>
      </c>
      <c r="H248" s="432" t="s">
        <v>1400</v>
      </c>
      <c r="I248" s="701" t="s">
        <v>805</v>
      </c>
      <c r="J248" s="701" t="s">
        <v>2741</v>
      </c>
      <c r="K248" s="707" t="s">
        <v>2704</v>
      </c>
      <c r="L248" s="708" t="s">
        <v>438</v>
      </c>
      <c r="M248" s="709" t="s">
        <v>1252</v>
      </c>
      <c r="N248" s="700" t="s">
        <v>1290</v>
      </c>
      <c r="O248" s="328"/>
      <c r="P248" s="189"/>
      <c r="Q248" s="432"/>
      <c r="R248" s="591" t="s">
        <v>89</v>
      </c>
      <c r="S248" s="591" t="s">
        <v>1386</v>
      </c>
      <c r="U248" s="486" t="s">
        <v>728</v>
      </c>
      <c r="V248" s="486" t="s">
        <v>3887</v>
      </c>
    </row>
    <row r="249" spans="6:22" ht="10.5" customHeight="1">
      <c r="F249" s="703"/>
      <c r="G249" s="432" t="s">
        <v>1162</v>
      </c>
      <c r="H249" s="432" t="s">
        <v>1400</v>
      </c>
      <c r="I249" s="699" t="s">
        <v>2270</v>
      </c>
      <c r="J249" s="699" t="s">
        <v>2740</v>
      </c>
      <c r="K249" s="707" t="s">
        <v>1875</v>
      </c>
      <c r="L249" s="708" t="s">
        <v>437</v>
      </c>
      <c r="M249" s="710" t="s">
        <v>2727</v>
      </c>
      <c r="N249" s="700" t="s">
        <v>1292</v>
      </c>
      <c r="O249" s="328"/>
      <c r="P249" s="189"/>
      <c r="Q249" s="432"/>
      <c r="R249" s="591" t="s">
        <v>1287</v>
      </c>
      <c r="S249" s="591" t="s">
        <v>2047</v>
      </c>
      <c r="U249" s="486" t="s">
        <v>2464</v>
      </c>
      <c r="V249" s="486" t="s">
        <v>3887</v>
      </c>
    </row>
    <row r="250" spans="6:22" ht="10.5" customHeight="1">
      <c r="F250" s="703"/>
      <c r="G250" s="432" t="s">
        <v>2271</v>
      </c>
      <c r="H250" s="432" t="s">
        <v>1270</v>
      </c>
      <c r="I250" s="699" t="s">
        <v>2272</v>
      </c>
      <c r="J250" s="699" t="s">
        <v>2740</v>
      </c>
      <c r="K250" s="707" t="s">
        <v>1876</v>
      </c>
      <c r="L250" s="708" t="s">
        <v>437</v>
      </c>
      <c r="M250" s="710" t="s">
        <v>2727</v>
      </c>
      <c r="N250" s="700" t="s">
        <v>1294</v>
      </c>
      <c r="O250" s="328"/>
      <c r="P250" s="189"/>
      <c r="Q250" s="432"/>
      <c r="R250" s="591" t="s">
        <v>1289</v>
      </c>
      <c r="S250" s="591" t="s">
        <v>184</v>
      </c>
      <c r="U250" s="486" t="s">
        <v>496</v>
      </c>
      <c r="V250" s="486" t="s">
        <v>3887</v>
      </c>
    </row>
    <row r="251" spans="6:22" ht="10.5" customHeight="1">
      <c r="F251" s="703"/>
      <c r="G251" s="432" t="s">
        <v>1686</v>
      </c>
      <c r="H251" s="432" t="s">
        <v>1686</v>
      </c>
      <c r="I251" s="432" t="s">
        <v>1686</v>
      </c>
      <c r="J251" s="699"/>
      <c r="K251" s="707"/>
      <c r="L251" s="708"/>
      <c r="M251" s="710" t="s">
        <v>3070</v>
      </c>
      <c r="N251" s="700" t="s">
        <v>1296</v>
      </c>
      <c r="O251" s="328"/>
      <c r="P251" s="189"/>
      <c r="Q251" s="432"/>
      <c r="R251" s="591" t="s">
        <v>1291</v>
      </c>
      <c r="S251" s="591" t="s">
        <v>1158</v>
      </c>
      <c r="U251" s="486" t="s">
        <v>3880</v>
      </c>
      <c r="V251" s="486" t="s">
        <v>3887</v>
      </c>
    </row>
    <row r="252" spans="6:22" ht="10.5" customHeight="1">
      <c r="F252" s="703"/>
      <c r="G252" s="432" t="s">
        <v>2273</v>
      </c>
      <c r="H252" s="432" t="s">
        <v>1270</v>
      </c>
      <c r="I252" s="701" t="s">
        <v>2274</v>
      </c>
      <c r="J252" s="699" t="s">
        <v>2740</v>
      </c>
      <c r="K252" s="707" t="s">
        <v>475</v>
      </c>
      <c r="L252" s="708" t="s">
        <v>437</v>
      </c>
      <c r="M252" s="710" t="s">
        <v>2727</v>
      </c>
      <c r="N252" s="700" t="s">
        <v>935</v>
      </c>
      <c r="O252" s="328"/>
      <c r="P252" s="189"/>
      <c r="Q252" s="432"/>
      <c r="R252" s="702" t="s">
        <v>1293</v>
      </c>
      <c r="S252" s="702" t="s">
        <v>1265</v>
      </c>
      <c r="U252" s="486" t="s">
        <v>3881</v>
      </c>
      <c r="V252" s="486" t="s">
        <v>3887</v>
      </c>
    </row>
    <row r="253" spans="6:22" ht="10.5" customHeight="1">
      <c r="F253" s="703"/>
      <c r="G253" s="432" t="s">
        <v>2275</v>
      </c>
      <c r="H253" s="432" t="s">
        <v>1400</v>
      </c>
      <c r="I253" s="701" t="s">
        <v>805</v>
      </c>
      <c r="J253" s="701" t="s">
        <v>2741</v>
      </c>
      <c r="K253" s="707" t="s">
        <v>2704</v>
      </c>
      <c r="L253" s="708" t="s">
        <v>438</v>
      </c>
      <c r="M253" s="709" t="s">
        <v>1252</v>
      </c>
      <c r="N253" s="700" t="s">
        <v>936</v>
      </c>
      <c r="O253" s="328"/>
      <c r="P253" s="189"/>
      <c r="Q253" s="432"/>
      <c r="R253" s="591" t="s">
        <v>1295</v>
      </c>
      <c r="S253" s="591" t="s">
        <v>2286</v>
      </c>
      <c r="U253" s="486" t="s">
        <v>80</v>
      </c>
      <c r="V253" s="486" t="s">
        <v>3887</v>
      </c>
    </row>
    <row r="254" spans="6:22" ht="10.5" customHeight="1">
      <c r="F254" s="703"/>
      <c r="G254" s="432" t="s">
        <v>2276</v>
      </c>
      <c r="H254" s="432" t="s">
        <v>1376</v>
      </c>
      <c r="I254" s="701" t="s">
        <v>2277</v>
      </c>
      <c r="J254" s="701" t="s">
        <v>2740</v>
      </c>
      <c r="K254" s="707" t="s">
        <v>230</v>
      </c>
      <c r="L254" s="708" t="s">
        <v>437</v>
      </c>
      <c r="M254" s="710" t="s">
        <v>2727</v>
      </c>
      <c r="N254" s="700" t="s">
        <v>938</v>
      </c>
      <c r="O254" s="328"/>
      <c r="P254" s="189"/>
      <c r="Q254" s="432"/>
      <c r="R254" s="591" t="s">
        <v>2612</v>
      </c>
      <c r="S254" s="591" t="s">
        <v>1710</v>
      </c>
      <c r="U254" s="486" t="s">
        <v>2533</v>
      </c>
      <c r="V254" s="486" t="s">
        <v>3887</v>
      </c>
    </row>
    <row r="255" spans="6:22" ht="10.5" customHeight="1">
      <c r="F255" s="703"/>
      <c r="G255" s="432" t="s">
        <v>2278</v>
      </c>
      <c r="H255" s="432" t="s">
        <v>1270</v>
      </c>
      <c r="I255" s="699" t="s">
        <v>2279</v>
      </c>
      <c r="J255" s="701" t="s">
        <v>2740</v>
      </c>
      <c r="K255" s="707" t="s">
        <v>1492</v>
      </c>
      <c r="L255" s="708" t="s">
        <v>437</v>
      </c>
      <c r="M255" s="710" t="s">
        <v>2727</v>
      </c>
      <c r="N255" s="700" t="s">
        <v>940</v>
      </c>
      <c r="O255" s="328"/>
      <c r="P255" s="189"/>
      <c r="Q255" s="432"/>
      <c r="R255" s="591" t="s">
        <v>166</v>
      </c>
      <c r="S255" s="591" t="s">
        <v>2716</v>
      </c>
      <c r="U255" s="486" t="s">
        <v>644</v>
      </c>
      <c r="V255" s="486" t="s">
        <v>3887</v>
      </c>
    </row>
    <row r="256" spans="6:22" ht="10.5" customHeight="1">
      <c r="F256" s="703"/>
      <c r="G256" s="432" t="s">
        <v>2280</v>
      </c>
      <c r="H256" s="432" t="s">
        <v>1270</v>
      </c>
      <c r="I256" s="699" t="s">
        <v>2281</v>
      </c>
      <c r="J256" s="699" t="s">
        <v>2740</v>
      </c>
      <c r="K256" s="707" t="s">
        <v>1493</v>
      </c>
      <c r="L256" s="708" t="s">
        <v>437</v>
      </c>
      <c r="M256" s="710" t="s">
        <v>2727</v>
      </c>
      <c r="N256" s="700" t="s">
        <v>2239</v>
      </c>
      <c r="O256" s="328"/>
      <c r="P256" s="189"/>
      <c r="Q256" s="432"/>
      <c r="R256" s="591" t="s">
        <v>937</v>
      </c>
      <c r="S256" s="591" t="s">
        <v>184</v>
      </c>
      <c r="U256" s="486" t="s">
        <v>1013</v>
      </c>
      <c r="V256" s="486" t="s">
        <v>3887</v>
      </c>
    </row>
    <row r="257" spans="6:22" ht="10.5" customHeight="1">
      <c r="F257" s="703"/>
      <c r="G257" s="432" t="s">
        <v>2282</v>
      </c>
      <c r="H257" s="432" t="s">
        <v>1400</v>
      </c>
      <c r="I257" s="699" t="s">
        <v>2283</v>
      </c>
      <c r="J257" s="699" t="s">
        <v>2740</v>
      </c>
      <c r="K257" s="707" t="s">
        <v>1494</v>
      </c>
      <c r="L257" s="708" t="s">
        <v>437</v>
      </c>
      <c r="M257" s="710" t="s">
        <v>2727</v>
      </c>
      <c r="N257" s="700" t="s">
        <v>2240</v>
      </c>
      <c r="O257" s="328"/>
      <c r="P257" s="189"/>
      <c r="Q257" s="432"/>
      <c r="R257" s="591" t="s">
        <v>939</v>
      </c>
      <c r="S257" s="591" t="s">
        <v>336</v>
      </c>
      <c r="U257" s="486" t="s">
        <v>1568</v>
      </c>
      <c r="V257" s="486" t="s">
        <v>3887</v>
      </c>
    </row>
    <row r="258" spans="6:22" ht="10.5" customHeight="1">
      <c r="F258" s="703"/>
      <c r="G258" s="432" t="s">
        <v>2284</v>
      </c>
      <c r="H258" s="432" t="s">
        <v>1400</v>
      </c>
      <c r="I258" s="699" t="s">
        <v>2285</v>
      </c>
      <c r="J258" s="699" t="s">
        <v>2740</v>
      </c>
      <c r="K258" s="707" t="s">
        <v>2111</v>
      </c>
      <c r="L258" s="708" t="s">
        <v>437</v>
      </c>
      <c r="M258" s="710" t="s">
        <v>2727</v>
      </c>
      <c r="N258" s="700" t="s">
        <v>2156</v>
      </c>
      <c r="O258" s="328"/>
      <c r="P258" s="189"/>
      <c r="Q258" s="432"/>
      <c r="R258" s="702" t="s">
        <v>941</v>
      </c>
      <c r="S258" s="702" t="s">
        <v>1147</v>
      </c>
      <c r="U258" s="486" t="s">
        <v>2447</v>
      </c>
      <c r="V258" s="486" t="s">
        <v>3887</v>
      </c>
    </row>
    <row r="259" spans="6:22" ht="10.5" customHeight="1">
      <c r="F259" s="703"/>
      <c r="G259" s="432" t="s">
        <v>2286</v>
      </c>
      <c r="H259" s="432" t="s">
        <v>1270</v>
      </c>
      <c r="I259" s="699" t="s">
        <v>2287</v>
      </c>
      <c r="J259" s="699" t="s">
        <v>2740</v>
      </c>
      <c r="K259" s="707" t="s">
        <v>2112</v>
      </c>
      <c r="L259" s="708" t="s">
        <v>437</v>
      </c>
      <c r="M259" s="710" t="s">
        <v>2727</v>
      </c>
      <c r="N259" s="700" t="s">
        <v>2158</v>
      </c>
      <c r="O259" s="328"/>
      <c r="P259" s="189"/>
      <c r="Q259" s="432"/>
      <c r="R259" s="591" t="s">
        <v>2694</v>
      </c>
      <c r="S259" s="591" t="s">
        <v>2606</v>
      </c>
      <c r="U259" s="486" t="s">
        <v>863</v>
      </c>
      <c r="V259" s="486" t="s">
        <v>3887</v>
      </c>
    </row>
    <row r="260" spans="6:22" ht="10.5" customHeight="1">
      <c r="F260" s="703"/>
      <c r="G260" s="432" t="s">
        <v>2288</v>
      </c>
      <c r="H260" s="432" t="s">
        <v>1400</v>
      </c>
      <c r="I260" s="699" t="s">
        <v>913</v>
      </c>
      <c r="J260" s="699" t="s">
        <v>2740</v>
      </c>
      <c r="K260" s="707" t="s">
        <v>2113</v>
      </c>
      <c r="L260" s="708" t="s">
        <v>437</v>
      </c>
      <c r="M260" s="710" t="s">
        <v>2727</v>
      </c>
      <c r="N260" s="700" t="s">
        <v>628</v>
      </c>
      <c r="O260" s="328"/>
      <c r="P260" s="189"/>
      <c r="Q260" s="432"/>
      <c r="R260" s="591" t="s">
        <v>2241</v>
      </c>
      <c r="S260" s="591" t="s">
        <v>1161</v>
      </c>
      <c r="U260" s="486" t="s">
        <v>866</v>
      </c>
      <c r="V260" s="486" t="s">
        <v>3887</v>
      </c>
    </row>
    <row r="261" spans="6:22" ht="10.5" customHeight="1">
      <c r="F261" s="703"/>
      <c r="G261" s="432" t="s">
        <v>914</v>
      </c>
      <c r="H261" s="432" t="s">
        <v>1270</v>
      </c>
      <c r="I261" s="699" t="s">
        <v>915</v>
      </c>
      <c r="J261" s="699" t="s">
        <v>2740</v>
      </c>
      <c r="K261" s="707" t="s">
        <v>2114</v>
      </c>
      <c r="L261" s="708" t="s">
        <v>437</v>
      </c>
      <c r="M261" s="710" t="s">
        <v>2727</v>
      </c>
      <c r="N261" s="700" t="s">
        <v>629</v>
      </c>
      <c r="O261" s="328"/>
      <c r="P261" s="189"/>
      <c r="Q261" s="432"/>
      <c r="R261" s="591" t="s">
        <v>2157</v>
      </c>
      <c r="S261" s="591" t="s">
        <v>1746</v>
      </c>
      <c r="U261" s="486" t="s">
        <v>1585</v>
      </c>
      <c r="V261" s="486" t="s">
        <v>3887</v>
      </c>
    </row>
    <row r="262" spans="6:22" ht="10.5" customHeight="1">
      <c r="F262" s="703"/>
      <c r="G262" s="432" t="s">
        <v>1745</v>
      </c>
      <c r="H262" s="432" t="s">
        <v>1270</v>
      </c>
      <c r="I262" s="701" t="s">
        <v>1870</v>
      </c>
      <c r="J262" s="699" t="s">
        <v>2741</v>
      </c>
      <c r="K262" s="707" t="s">
        <v>1216</v>
      </c>
      <c r="L262" s="708" t="s">
        <v>438</v>
      </c>
      <c r="M262" s="709" t="s">
        <v>1252</v>
      </c>
      <c r="N262" s="700" t="s">
        <v>631</v>
      </c>
      <c r="O262" s="328"/>
      <c r="P262" s="189"/>
      <c r="Q262" s="432"/>
      <c r="R262" s="591" t="s">
        <v>2159</v>
      </c>
      <c r="S262" s="591" t="s">
        <v>2660</v>
      </c>
      <c r="U262" s="486" t="s">
        <v>504</v>
      </c>
      <c r="V262" s="486" t="s">
        <v>3887</v>
      </c>
    </row>
    <row r="263" spans="6:22" ht="10.5" customHeight="1">
      <c r="F263" s="703"/>
      <c r="G263" s="432" t="s">
        <v>1746</v>
      </c>
      <c r="H263" s="432" t="s">
        <v>1270</v>
      </c>
      <c r="I263" s="701" t="s">
        <v>1747</v>
      </c>
      <c r="J263" s="701" t="s">
        <v>2740</v>
      </c>
      <c r="K263" s="707" t="s">
        <v>2115</v>
      </c>
      <c r="L263" s="708" t="s">
        <v>437</v>
      </c>
      <c r="M263" s="710" t="s">
        <v>2727</v>
      </c>
      <c r="N263" s="700" t="s">
        <v>633</v>
      </c>
      <c r="O263" s="328"/>
      <c r="P263" s="189"/>
      <c r="Q263" s="432"/>
      <c r="R263" s="591" t="s">
        <v>868</v>
      </c>
      <c r="S263" s="591" t="s">
        <v>331</v>
      </c>
      <c r="U263" s="486" t="s">
        <v>1462</v>
      </c>
      <c r="V263" s="486" t="s">
        <v>3887</v>
      </c>
    </row>
    <row r="264" spans="6:22" ht="10.5" customHeight="1">
      <c r="F264" s="703"/>
      <c r="G264" s="432" t="s">
        <v>1748</v>
      </c>
      <c r="H264" s="432" t="s">
        <v>1270</v>
      </c>
      <c r="I264" s="701" t="s">
        <v>2005</v>
      </c>
      <c r="J264" s="701" t="s">
        <v>2740</v>
      </c>
      <c r="K264" s="707" t="s">
        <v>1221</v>
      </c>
      <c r="L264" s="708" t="s">
        <v>437</v>
      </c>
      <c r="M264" s="710" t="s">
        <v>2727</v>
      </c>
      <c r="N264" s="700" t="s">
        <v>634</v>
      </c>
      <c r="O264" s="328"/>
      <c r="P264" s="189"/>
      <c r="Q264" s="432"/>
      <c r="R264" s="591" t="s">
        <v>630</v>
      </c>
      <c r="S264" s="591" t="s">
        <v>124</v>
      </c>
      <c r="U264" s="486" t="s">
        <v>1464</v>
      </c>
      <c r="V264" s="486" t="s">
        <v>3887</v>
      </c>
    </row>
    <row r="265" spans="6:22" ht="10.5" customHeight="1">
      <c r="F265" s="703"/>
      <c r="G265" s="432" t="s">
        <v>2006</v>
      </c>
      <c r="H265" s="432" t="s">
        <v>1270</v>
      </c>
      <c r="I265" s="701" t="s">
        <v>2007</v>
      </c>
      <c r="J265" s="701" t="s">
        <v>2740</v>
      </c>
      <c r="K265" s="707" t="s">
        <v>1222</v>
      </c>
      <c r="L265" s="708" t="s">
        <v>437</v>
      </c>
      <c r="M265" s="710" t="s">
        <v>2727</v>
      </c>
      <c r="N265" s="700" t="s">
        <v>635</v>
      </c>
      <c r="O265" s="328"/>
      <c r="P265" s="189"/>
      <c r="Q265" s="432"/>
      <c r="R265" s="591" t="s">
        <v>2695</v>
      </c>
      <c r="S265" s="591" t="s">
        <v>1392</v>
      </c>
      <c r="U265" s="486" t="s">
        <v>2615</v>
      </c>
      <c r="V265" s="486" t="s">
        <v>3887</v>
      </c>
    </row>
    <row r="266" spans="6:22" ht="10.5" customHeight="1">
      <c r="F266" s="703"/>
      <c r="G266" s="432" t="s">
        <v>2008</v>
      </c>
      <c r="H266" s="432" t="s">
        <v>1376</v>
      </c>
      <c r="I266" s="701" t="s">
        <v>2009</v>
      </c>
      <c r="J266" s="701" t="s">
        <v>2740</v>
      </c>
      <c r="K266" s="707" t="s">
        <v>1223</v>
      </c>
      <c r="L266" s="708" t="s">
        <v>437</v>
      </c>
      <c r="M266" s="710" t="s">
        <v>2727</v>
      </c>
      <c r="N266" s="700" t="s">
        <v>637</v>
      </c>
      <c r="O266" s="328"/>
      <c r="P266" s="189"/>
      <c r="Q266" s="432"/>
      <c r="R266" s="591" t="s">
        <v>632</v>
      </c>
      <c r="S266" s="591" t="s">
        <v>2717</v>
      </c>
      <c r="U266" s="486" t="s">
        <v>1108</v>
      </c>
      <c r="V266" s="486" t="s">
        <v>3887</v>
      </c>
    </row>
    <row r="267" spans="6:22" ht="10.5" customHeight="1">
      <c r="F267" s="703"/>
      <c r="G267" s="432" t="s">
        <v>2010</v>
      </c>
      <c r="H267" s="432" t="s">
        <v>1270</v>
      </c>
      <c r="I267" s="701" t="s">
        <v>2011</v>
      </c>
      <c r="J267" s="701" t="s">
        <v>2740</v>
      </c>
      <c r="K267" s="707" t="s">
        <v>1224</v>
      </c>
      <c r="L267" s="708" t="s">
        <v>437</v>
      </c>
      <c r="M267" s="710" t="s">
        <v>2727</v>
      </c>
      <c r="N267" s="700" t="s">
        <v>639</v>
      </c>
      <c r="O267" s="328"/>
      <c r="P267" s="189"/>
      <c r="Q267" s="432"/>
      <c r="R267" s="591" t="s">
        <v>2659</v>
      </c>
      <c r="S267" s="591" t="s">
        <v>2719</v>
      </c>
      <c r="U267" s="486" t="s">
        <v>1385</v>
      </c>
      <c r="V267" s="486" t="s">
        <v>3887</v>
      </c>
    </row>
    <row r="268" spans="6:22" ht="10.5" customHeight="1">
      <c r="F268" s="703"/>
      <c r="G268" s="432" t="s">
        <v>2012</v>
      </c>
      <c r="H268" s="432" t="s">
        <v>1400</v>
      </c>
      <c r="I268" s="699" t="s">
        <v>2013</v>
      </c>
      <c r="J268" s="701" t="s">
        <v>2740</v>
      </c>
      <c r="K268" s="707" t="s">
        <v>1225</v>
      </c>
      <c r="L268" s="708" t="s">
        <v>437</v>
      </c>
      <c r="M268" s="710" t="s">
        <v>2727</v>
      </c>
      <c r="N268" s="700" t="s">
        <v>571</v>
      </c>
      <c r="O268" s="328"/>
      <c r="P268" s="189"/>
      <c r="Q268" s="432"/>
      <c r="R268" s="591" t="s">
        <v>636</v>
      </c>
      <c r="S268" s="591" t="s">
        <v>2284</v>
      </c>
      <c r="U268" s="486" t="s">
        <v>184</v>
      </c>
      <c r="V268" s="486" t="s">
        <v>3887</v>
      </c>
    </row>
    <row r="269" spans="6:22" ht="10.5" customHeight="1">
      <c r="F269" s="703"/>
      <c r="G269" s="432" t="s">
        <v>2014</v>
      </c>
      <c r="H269" s="432" t="s">
        <v>1270</v>
      </c>
      <c r="I269" s="701" t="s">
        <v>2015</v>
      </c>
      <c r="J269" s="699" t="s">
        <v>2740</v>
      </c>
      <c r="K269" s="707" t="s">
        <v>1226</v>
      </c>
      <c r="L269" s="708" t="s">
        <v>437</v>
      </c>
      <c r="M269" s="710" t="s">
        <v>2727</v>
      </c>
      <c r="N269" s="700" t="s">
        <v>1211</v>
      </c>
      <c r="O269" s="328"/>
      <c r="P269" s="189"/>
      <c r="Q269" s="432"/>
      <c r="R269" s="591" t="s">
        <v>3239</v>
      </c>
      <c r="S269" s="591" t="s">
        <v>1152</v>
      </c>
      <c r="U269" s="486" t="s">
        <v>1652</v>
      </c>
      <c r="V269" s="486" t="s">
        <v>3887</v>
      </c>
    </row>
    <row r="270" spans="6:22" ht="10.5" customHeight="1">
      <c r="F270" s="703"/>
      <c r="G270" s="432" t="s">
        <v>2016</v>
      </c>
      <c r="H270" s="432" t="s">
        <v>1400</v>
      </c>
      <c r="I270" s="701" t="s">
        <v>1385</v>
      </c>
      <c r="J270" s="701" t="s">
        <v>2741</v>
      </c>
      <c r="K270" s="707" t="s">
        <v>2707</v>
      </c>
      <c r="L270" s="708" t="s">
        <v>438</v>
      </c>
      <c r="M270" s="709" t="s">
        <v>1252</v>
      </c>
      <c r="N270" s="700" t="s">
        <v>787</v>
      </c>
      <c r="O270" s="328"/>
      <c r="P270" s="189"/>
      <c r="Q270" s="432"/>
      <c r="R270" s="591" t="s">
        <v>638</v>
      </c>
      <c r="S270" s="591" t="s">
        <v>1714</v>
      </c>
      <c r="U270" s="486" t="s">
        <v>391</v>
      </c>
      <c r="V270" s="486" t="s">
        <v>3887</v>
      </c>
    </row>
    <row r="271" spans="6:22" ht="10.5" customHeight="1">
      <c r="F271" s="703"/>
      <c r="G271" s="432" t="s">
        <v>2017</v>
      </c>
      <c r="H271" s="432" t="s">
        <v>1376</v>
      </c>
      <c r="I271" s="701" t="s">
        <v>2018</v>
      </c>
      <c r="J271" s="701" t="s">
        <v>2740</v>
      </c>
      <c r="K271" s="707" t="s">
        <v>1227</v>
      </c>
      <c r="L271" s="708" t="s">
        <v>437</v>
      </c>
      <c r="M271" s="710" t="s">
        <v>2727</v>
      </c>
      <c r="N271" s="700" t="s">
        <v>38</v>
      </c>
      <c r="O271" s="328"/>
      <c r="P271" s="189"/>
      <c r="Q271" s="432"/>
      <c r="R271" s="591" t="s">
        <v>570</v>
      </c>
      <c r="S271" s="591" t="s">
        <v>695</v>
      </c>
      <c r="U271" s="486" t="s">
        <v>393</v>
      </c>
      <c r="V271" s="486" t="s">
        <v>3887</v>
      </c>
    </row>
    <row r="272" spans="6:22" ht="10.5" customHeight="1">
      <c r="F272" s="703"/>
      <c r="G272" s="432" t="s">
        <v>2104</v>
      </c>
      <c r="H272" s="432" t="s">
        <v>1400</v>
      </c>
      <c r="I272" s="699" t="s">
        <v>2105</v>
      </c>
      <c r="J272" s="701" t="s">
        <v>2740</v>
      </c>
      <c r="K272" s="707" t="s">
        <v>1228</v>
      </c>
      <c r="L272" s="708" t="s">
        <v>437</v>
      </c>
      <c r="M272" s="710" t="s">
        <v>2727</v>
      </c>
      <c r="N272" s="700" t="s">
        <v>2062</v>
      </c>
      <c r="O272" s="328"/>
      <c r="P272" s="189"/>
      <c r="Q272" s="432"/>
      <c r="R272" s="591" t="s">
        <v>572</v>
      </c>
      <c r="S272" s="591" t="s">
        <v>165</v>
      </c>
      <c r="U272" s="486" t="s">
        <v>1685</v>
      </c>
      <c r="V272" s="486" t="s">
        <v>3887</v>
      </c>
    </row>
    <row r="273" spans="6:22" ht="10.5" customHeight="1">
      <c r="F273" s="703"/>
      <c r="G273" s="432" t="s">
        <v>2106</v>
      </c>
      <c r="H273" s="432" t="s">
        <v>1376</v>
      </c>
      <c r="I273" s="701" t="s">
        <v>1597</v>
      </c>
      <c r="J273" s="699" t="s">
        <v>2741</v>
      </c>
      <c r="K273" s="707" t="s">
        <v>1765</v>
      </c>
      <c r="L273" s="708" t="s">
        <v>438</v>
      </c>
      <c r="M273" s="709" t="s">
        <v>1252</v>
      </c>
      <c r="N273" s="700" t="s">
        <v>2064</v>
      </c>
      <c r="O273" s="328"/>
      <c r="P273" s="189"/>
      <c r="Q273" s="432"/>
      <c r="R273" s="591" t="s">
        <v>786</v>
      </c>
      <c r="S273" s="591" t="s">
        <v>1158</v>
      </c>
      <c r="U273" s="486" t="s">
        <v>1139</v>
      </c>
      <c r="V273" s="486" t="s">
        <v>3887</v>
      </c>
    </row>
    <row r="274" spans="6:22" ht="10.5" customHeight="1">
      <c r="F274" s="703"/>
      <c r="G274" s="432" t="s">
        <v>2107</v>
      </c>
      <c r="H274" s="432" t="s">
        <v>1400</v>
      </c>
      <c r="I274" s="701" t="s">
        <v>805</v>
      </c>
      <c r="J274" s="701" t="s">
        <v>2741</v>
      </c>
      <c r="K274" s="707" t="s">
        <v>2704</v>
      </c>
      <c r="L274" s="708" t="s">
        <v>438</v>
      </c>
      <c r="M274" s="709" t="s">
        <v>1252</v>
      </c>
      <c r="N274" s="700" t="s">
        <v>347</v>
      </c>
      <c r="O274" s="328"/>
      <c r="P274" s="189"/>
      <c r="Q274" s="432"/>
      <c r="R274" s="591" t="s">
        <v>788</v>
      </c>
      <c r="S274" s="591" t="s">
        <v>123</v>
      </c>
      <c r="U274" s="486" t="s">
        <v>3882</v>
      </c>
      <c r="V274" s="486" t="s">
        <v>3887</v>
      </c>
    </row>
    <row r="275" spans="6:22" ht="10.5" customHeight="1">
      <c r="F275" s="703"/>
      <c r="G275" s="432" t="s">
        <v>2108</v>
      </c>
      <c r="H275" s="432" t="s">
        <v>1270</v>
      </c>
      <c r="I275" s="701" t="s">
        <v>105</v>
      </c>
      <c r="J275" s="701" t="s">
        <v>2740</v>
      </c>
      <c r="K275" s="707" t="s">
        <v>1229</v>
      </c>
      <c r="L275" s="708" t="s">
        <v>437</v>
      </c>
      <c r="M275" s="710" t="s">
        <v>2727</v>
      </c>
      <c r="N275" s="700" t="s">
        <v>349</v>
      </c>
      <c r="O275" s="328"/>
      <c r="P275" s="189"/>
      <c r="Q275" s="432"/>
      <c r="R275" s="591" t="s">
        <v>39</v>
      </c>
      <c r="S275" s="591" t="s">
        <v>181</v>
      </c>
      <c r="U275" s="486" t="s">
        <v>3883</v>
      </c>
      <c r="V275" s="486" t="s">
        <v>3887</v>
      </c>
    </row>
    <row r="276" spans="6:22" ht="10.5" customHeight="1">
      <c r="F276" s="703"/>
      <c r="G276" s="432" t="s">
        <v>106</v>
      </c>
      <c r="H276" s="432" t="s">
        <v>1400</v>
      </c>
      <c r="I276" s="701" t="s">
        <v>107</v>
      </c>
      <c r="J276" s="701" t="s">
        <v>2740</v>
      </c>
      <c r="K276" s="707" t="s">
        <v>1230</v>
      </c>
      <c r="L276" s="708" t="s">
        <v>437</v>
      </c>
      <c r="M276" s="710" t="s">
        <v>2727</v>
      </c>
      <c r="N276" s="700" t="s">
        <v>351</v>
      </c>
      <c r="O276" s="328"/>
      <c r="P276" s="189"/>
      <c r="Q276" s="432"/>
      <c r="R276" s="591" t="s">
        <v>2063</v>
      </c>
      <c r="S276" s="591" t="s">
        <v>2353</v>
      </c>
      <c r="U276" s="486" t="s">
        <v>545</v>
      </c>
      <c r="V276" s="486" t="s">
        <v>3887</v>
      </c>
    </row>
    <row r="277" spans="6:22" ht="10.5" customHeight="1">
      <c r="F277" s="703"/>
      <c r="G277" s="432" t="s">
        <v>108</v>
      </c>
      <c r="H277" s="432" t="s">
        <v>1270</v>
      </c>
      <c r="I277" s="701" t="s">
        <v>109</v>
      </c>
      <c r="J277" s="701" t="s">
        <v>2740</v>
      </c>
      <c r="K277" s="707" t="s">
        <v>1231</v>
      </c>
      <c r="L277" s="708" t="s">
        <v>437</v>
      </c>
      <c r="M277" s="710" t="s">
        <v>2727</v>
      </c>
      <c r="N277" s="700" t="s">
        <v>353</v>
      </c>
      <c r="O277" s="328"/>
      <c r="P277" s="189"/>
      <c r="Q277" s="432"/>
      <c r="R277" s="591" t="s">
        <v>2065</v>
      </c>
      <c r="S277" s="591" t="s">
        <v>2720</v>
      </c>
      <c r="U277" s="486" t="s">
        <v>547</v>
      </c>
      <c r="V277" s="486" t="s">
        <v>3887</v>
      </c>
    </row>
    <row r="278" spans="6:22" ht="10.5" customHeight="1">
      <c r="F278" s="703"/>
      <c r="G278" s="432" t="s">
        <v>110</v>
      </c>
      <c r="H278" s="432" t="s">
        <v>1270</v>
      </c>
      <c r="I278" s="701" t="s">
        <v>111</v>
      </c>
      <c r="J278" s="701" t="s">
        <v>2740</v>
      </c>
      <c r="K278" s="707" t="s">
        <v>1232</v>
      </c>
      <c r="L278" s="708" t="s">
        <v>437</v>
      </c>
      <c r="M278" s="710" t="s">
        <v>2727</v>
      </c>
      <c r="N278" s="700" t="s">
        <v>355</v>
      </c>
      <c r="O278" s="328"/>
      <c r="P278" s="189"/>
      <c r="Q278" s="432"/>
      <c r="R278" s="591" t="s">
        <v>348</v>
      </c>
      <c r="S278" s="591" t="s">
        <v>2047</v>
      </c>
      <c r="U278" s="486" t="s">
        <v>553</v>
      </c>
      <c r="V278" s="486" t="s">
        <v>3887</v>
      </c>
    </row>
    <row r="279" spans="6:22" ht="10.5" customHeight="1">
      <c r="F279" s="703"/>
      <c r="G279" s="432" t="s">
        <v>112</v>
      </c>
      <c r="H279" s="432" t="s">
        <v>1270</v>
      </c>
      <c r="I279" s="701" t="s">
        <v>113</v>
      </c>
      <c r="J279" s="701" t="s">
        <v>2740</v>
      </c>
      <c r="K279" s="707" t="s">
        <v>1233</v>
      </c>
      <c r="L279" s="708" t="s">
        <v>437</v>
      </c>
      <c r="M279" s="710" t="s">
        <v>2727</v>
      </c>
      <c r="N279" s="700" t="s">
        <v>357</v>
      </c>
      <c r="O279" s="328"/>
      <c r="P279" s="189"/>
      <c r="Q279" s="432"/>
      <c r="R279" s="591" t="s">
        <v>350</v>
      </c>
      <c r="S279" s="591" t="s">
        <v>917</v>
      </c>
      <c r="U279" s="486" t="s">
        <v>566</v>
      </c>
      <c r="V279" s="486" t="s">
        <v>3887</v>
      </c>
    </row>
    <row r="280" spans="6:22" ht="10.5" customHeight="1">
      <c r="F280" s="703"/>
      <c r="G280" s="432" t="s">
        <v>114</v>
      </c>
      <c r="H280" s="432" t="s">
        <v>1270</v>
      </c>
      <c r="I280" s="701" t="s">
        <v>115</v>
      </c>
      <c r="J280" s="701" t="s">
        <v>2740</v>
      </c>
      <c r="K280" s="707" t="s">
        <v>2469</v>
      </c>
      <c r="L280" s="708" t="s">
        <v>437</v>
      </c>
      <c r="M280" s="710" t="s">
        <v>2727</v>
      </c>
      <c r="N280" s="700" t="s">
        <v>2037</v>
      </c>
      <c r="O280" s="328"/>
      <c r="P280" s="189"/>
      <c r="Q280" s="432"/>
      <c r="R280" s="591" t="s">
        <v>352</v>
      </c>
      <c r="S280" s="591" t="s">
        <v>184</v>
      </c>
      <c r="U280" s="486" t="s">
        <v>1714</v>
      </c>
      <c r="V280" s="486" t="s">
        <v>3887</v>
      </c>
    </row>
    <row r="281" spans="6:22" ht="10.5" customHeight="1">
      <c r="F281" s="703"/>
      <c r="G281" s="432" t="s">
        <v>116</v>
      </c>
      <c r="H281" s="432" t="s">
        <v>1376</v>
      </c>
      <c r="I281" s="701" t="s">
        <v>117</v>
      </c>
      <c r="J281" s="701" t="s">
        <v>2740</v>
      </c>
      <c r="K281" s="707" t="s">
        <v>2470</v>
      </c>
      <c r="L281" s="708" t="s">
        <v>437</v>
      </c>
      <c r="M281" s="710" t="s">
        <v>2727</v>
      </c>
      <c r="N281" s="700" t="s">
        <v>2039</v>
      </c>
      <c r="O281" s="328"/>
      <c r="P281" s="189"/>
      <c r="Q281" s="432"/>
      <c r="R281" s="591" t="s">
        <v>354</v>
      </c>
      <c r="S281" s="591" t="s">
        <v>2516</v>
      </c>
      <c r="U281" s="486" t="s">
        <v>2196</v>
      </c>
      <c r="V281" s="486" t="s">
        <v>3887</v>
      </c>
    </row>
    <row r="282" spans="6:22" ht="10.5" customHeight="1">
      <c r="F282" s="703"/>
      <c r="G282" s="432" t="s">
        <v>2047</v>
      </c>
      <c r="H282" s="432" t="s">
        <v>1376</v>
      </c>
      <c r="I282" s="699" t="s">
        <v>348</v>
      </c>
      <c r="J282" s="701" t="s">
        <v>2741</v>
      </c>
      <c r="K282" s="707" t="s">
        <v>2471</v>
      </c>
      <c r="L282" s="708" t="s">
        <v>438</v>
      </c>
      <c r="M282" s="710" t="s">
        <v>1252</v>
      </c>
      <c r="N282" s="700" t="s">
        <v>2255</v>
      </c>
      <c r="O282" s="328"/>
      <c r="P282" s="189"/>
      <c r="Q282" s="432"/>
      <c r="R282" s="702" t="s">
        <v>356</v>
      </c>
      <c r="S282" s="702" t="s">
        <v>1974</v>
      </c>
      <c r="U282" s="486" t="s">
        <v>3884</v>
      </c>
      <c r="V282" s="486" t="s">
        <v>3887</v>
      </c>
    </row>
    <row r="283" spans="6:22" ht="10.5" customHeight="1">
      <c r="F283" s="703"/>
      <c r="G283" s="432" t="s">
        <v>2048</v>
      </c>
      <c r="H283" s="432" t="s">
        <v>1270</v>
      </c>
      <c r="I283" s="701" t="s">
        <v>2513</v>
      </c>
      <c r="J283" s="699" t="s">
        <v>2740</v>
      </c>
      <c r="K283" s="707" t="s">
        <v>2472</v>
      </c>
      <c r="L283" s="708" t="s">
        <v>437</v>
      </c>
      <c r="M283" s="710" t="s">
        <v>2727</v>
      </c>
      <c r="N283" s="700" t="s">
        <v>158</v>
      </c>
      <c r="O283" s="328"/>
      <c r="P283" s="189"/>
      <c r="Q283" s="432"/>
      <c r="R283" s="591" t="s">
        <v>358</v>
      </c>
      <c r="S283" s="591" t="s">
        <v>180</v>
      </c>
      <c r="U283" s="486" t="s">
        <v>2357</v>
      </c>
      <c r="V283" s="486" t="s">
        <v>3887</v>
      </c>
    </row>
    <row r="284" spans="6:22" ht="10.5" customHeight="1">
      <c r="F284" s="703"/>
      <c r="G284" s="432" t="s">
        <v>2514</v>
      </c>
      <c r="H284" s="432" t="s">
        <v>1400</v>
      </c>
      <c r="I284" s="701" t="s">
        <v>2515</v>
      </c>
      <c r="J284" s="701" t="s">
        <v>2740</v>
      </c>
      <c r="K284" s="707" t="s">
        <v>435</v>
      </c>
      <c r="L284" s="708" t="s">
        <v>437</v>
      </c>
      <c r="M284" s="710" t="s">
        <v>2727</v>
      </c>
      <c r="N284" s="700" t="s">
        <v>159</v>
      </c>
      <c r="O284" s="328"/>
      <c r="P284" s="189"/>
      <c r="Q284" s="432"/>
      <c r="R284" s="591" t="s">
        <v>2038</v>
      </c>
      <c r="S284" s="591" t="s">
        <v>108</v>
      </c>
      <c r="U284" s="486" t="s">
        <v>412</v>
      </c>
      <c r="V284" s="486" t="s">
        <v>3887</v>
      </c>
    </row>
    <row r="285" spans="6:22" ht="10.5" customHeight="1">
      <c r="F285" s="703"/>
      <c r="G285" s="432" t="s">
        <v>2516</v>
      </c>
      <c r="H285" s="432" t="s">
        <v>1400</v>
      </c>
      <c r="I285" s="701" t="s">
        <v>2517</v>
      </c>
      <c r="J285" s="701" t="s">
        <v>2740</v>
      </c>
      <c r="K285" s="707" t="s">
        <v>436</v>
      </c>
      <c r="L285" s="708" t="s">
        <v>437</v>
      </c>
      <c r="M285" s="710" t="s">
        <v>2727</v>
      </c>
      <c r="N285" s="700" t="s">
        <v>1657</v>
      </c>
      <c r="O285" s="328"/>
      <c r="P285" s="189"/>
      <c r="Q285" s="432"/>
      <c r="R285" s="591" t="s">
        <v>201</v>
      </c>
      <c r="S285" s="591" t="s">
        <v>1745</v>
      </c>
      <c r="U285" s="486" t="s">
        <v>1932</v>
      </c>
      <c r="V285" s="486" t="s">
        <v>3887</v>
      </c>
    </row>
    <row r="286" spans="6:22" ht="10.5" customHeight="1">
      <c r="F286" s="371"/>
      <c r="G286" s="432" t="s">
        <v>2518</v>
      </c>
      <c r="H286" s="432" t="s">
        <v>1270</v>
      </c>
      <c r="I286" s="701" t="s">
        <v>1870</v>
      </c>
      <c r="J286" s="701" t="s">
        <v>2741</v>
      </c>
      <c r="K286" s="707" t="s">
        <v>1216</v>
      </c>
      <c r="L286" s="708" t="s">
        <v>438</v>
      </c>
      <c r="M286" s="709" t="s">
        <v>1252</v>
      </c>
      <c r="N286" s="700" t="s">
        <v>832</v>
      </c>
      <c r="O286" s="328"/>
      <c r="P286" s="189"/>
      <c r="Q286" s="432"/>
      <c r="R286" s="591" t="s">
        <v>2256</v>
      </c>
      <c r="S286" s="591" t="s">
        <v>201</v>
      </c>
      <c r="U286" s="486" t="s">
        <v>2381</v>
      </c>
      <c r="V286" s="486" t="s">
        <v>3887</v>
      </c>
    </row>
    <row r="287" spans="6:22" ht="10.5" customHeight="1">
      <c r="F287" s="371"/>
      <c r="G287" s="348"/>
      <c r="H287" s="348"/>
      <c r="I287" s="348"/>
      <c r="J287" s="418"/>
      <c r="K287" s="348"/>
      <c r="L287" s="348"/>
      <c r="M287" s="403"/>
      <c r="N287" s="700" t="s">
        <v>834</v>
      </c>
      <c r="O287" s="328"/>
      <c r="P287" s="189"/>
      <c r="Q287" s="432"/>
      <c r="R287" s="591" t="s">
        <v>726</v>
      </c>
      <c r="S287" s="591" t="s">
        <v>2280</v>
      </c>
      <c r="U287" s="486" t="s">
        <v>586</v>
      </c>
      <c r="V287" s="486" t="s">
        <v>3887</v>
      </c>
    </row>
    <row r="288" spans="6:22" ht="10.5" customHeight="1">
      <c r="F288" s="371"/>
      <c r="G288" s="348"/>
      <c r="H288" s="348"/>
      <c r="I288" s="348"/>
      <c r="J288" s="348"/>
      <c r="K288" s="348"/>
      <c r="L288" s="348"/>
      <c r="M288" s="348"/>
      <c r="N288" s="700" t="s">
        <v>836</v>
      </c>
      <c r="O288" s="328"/>
      <c r="P288" s="189"/>
      <c r="Q288" s="432"/>
      <c r="R288" s="702" t="s">
        <v>160</v>
      </c>
      <c r="S288" s="702" t="s">
        <v>1973</v>
      </c>
      <c r="U288" s="486" t="s">
        <v>1525</v>
      </c>
      <c r="V288" s="486" t="s">
        <v>3887</v>
      </c>
    </row>
    <row r="289" spans="6:22" ht="10.5" customHeight="1">
      <c r="F289" s="371"/>
      <c r="G289" s="348"/>
      <c r="H289" s="348"/>
      <c r="I289" s="348"/>
      <c r="J289" s="348"/>
      <c r="K289" s="348"/>
      <c r="L289" s="348"/>
      <c r="M289" s="348"/>
      <c r="N289" s="700" t="s">
        <v>2543</v>
      </c>
      <c r="O289" s="328"/>
      <c r="P289" s="189"/>
      <c r="Q289" s="432"/>
      <c r="R289" s="591" t="s">
        <v>202</v>
      </c>
      <c r="S289" s="591" t="s">
        <v>659</v>
      </c>
      <c r="U289" s="486" t="s">
        <v>1659</v>
      </c>
      <c r="V289" s="486" t="s">
        <v>3887</v>
      </c>
    </row>
    <row r="290" spans="6:22" ht="10.5" customHeight="1">
      <c r="F290" s="371"/>
      <c r="G290" s="348"/>
      <c r="H290" s="348"/>
      <c r="I290" s="348"/>
      <c r="J290" s="348"/>
      <c r="K290" s="348"/>
      <c r="L290" s="348"/>
      <c r="M290" s="348"/>
      <c r="N290" s="700" t="s">
        <v>2544</v>
      </c>
      <c r="O290" s="328"/>
      <c r="P290" s="189"/>
      <c r="Q290" s="432"/>
      <c r="R290" s="591" t="s">
        <v>2696</v>
      </c>
      <c r="S290" s="591" t="s">
        <v>2108</v>
      </c>
      <c r="U290" s="486" t="s">
        <v>2221</v>
      </c>
      <c r="V290" s="486" t="s">
        <v>3887</v>
      </c>
    </row>
    <row r="291" spans="6:22" ht="10.5" customHeight="1">
      <c r="F291" s="371"/>
      <c r="G291" s="348"/>
      <c r="H291" s="348"/>
      <c r="I291" s="348"/>
      <c r="J291" s="348"/>
      <c r="K291" s="348"/>
      <c r="L291" s="348"/>
      <c r="M291" s="348"/>
      <c r="N291" s="700" t="s">
        <v>2546</v>
      </c>
      <c r="O291" s="328"/>
      <c r="P291" s="189"/>
      <c r="Q291" s="432"/>
      <c r="R291" s="591" t="s">
        <v>833</v>
      </c>
      <c r="S291" s="591" t="s">
        <v>108</v>
      </c>
      <c r="U291" s="486" t="s">
        <v>2223</v>
      </c>
      <c r="V291" s="486" t="s">
        <v>3887</v>
      </c>
    </row>
    <row r="292" spans="6:22" ht="10.5" customHeight="1">
      <c r="F292" s="371"/>
      <c r="G292" s="348"/>
      <c r="H292" s="348"/>
      <c r="I292" s="348"/>
      <c r="J292" s="348"/>
      <c r="K292" s="348"/>
      <c r="L292" s="348"/>
      <c r="M292" s="348"/>
      <c r="N292" s="700" t="s">
        <v>2548</v>
      </c>
      <c r="O292" s="328"/>
      <c r="P292" s="189"/>
      <c r="Q292" s="432"/>
      <c r="R292" s="591" t="s">
        <v>835</v>
      </c>
      <c r="S292" s="591" t="s">
        <v>124</v>
      </c>
      <c r="U292" s="486" t="s">
        <v>1514</v>
      </c>
      <c r="V292" s="486" t="s">
        <v>3887</v>
      </c>
    </row>
    <row r="293" spans="6:22" ht="10.5" customHeight="1">
      <c r="F293" s="371"/>
      <c r="G293" s="348"/>
      <c r="H293" s="348"/>
      <c r="I293" s="348"/>
      <c r="J293" s="348"/>
      <c r="K293" s="348"/>
      <c r="L293" s="348"/>
      <c r="M293" s="348"/>
      <c r="N293" s="700" t="s">
        <v>2549</v>
      </c>
      <c r="O293" s="328"/>
      <c r="P293" s="189"/>
      <c r="Q293" s="432"/>
      <c r="R293" s="591" t="s">
        <v>837</v>
      </c>
      <c r="S293" s="591" t="s">
        <v>339</v>
      </c>
      <c r="U293" s="486" t="s">
        <v>1633</v>
      </c>
      <c r="V293" s="486" t="s">
        <v>3887</v>
      </c>
    </row>
    <row r="294" spans="6:22" ht="10.5" customHeight="1">
      <c r="F294" s="371"/>
      <c r="G294" s="348"/>
      <c r="H294" s="348"/>
      <c r="I294" s="348"/>
      <c r="J294" s="348"/>
      <c r="K294" s="348"/>
      <c r="L294" s="348"/>
      <c r="M294" s="348"/>
      <c r="N294" s="700" t="s">
        <v>395</v>
      </c>
      <c r="O294" s="328"/>
      <c r="P294" s="189"/>
      <c r="Q294" s="432"/>
      <c r="R294" s="591" t="s">
        <v>3240</v>
      </c>
      <c r="S294" s="591" t="s">
        <v>921</v>
      </c>
      <c r="U294" s="486" t="s">
        <v>1239</v>
      </c>
      <c r="V294" s="486" t="s">
        <v>3887</v>
      </c>
    </row>
    <row r="295" spans="6:22" ht="10.5" customHeight="1">
      <c r="F295" s="371"/>
      <c r="G295" s="348"/>
      <c r="H295" s="348"/>
      <c r="I295" s="348"/>
      <c r="J295" s="348"/>
      <c r="K295" s="348"/>
      <c r="L295" s="348"/>
      <c r="M295" s="348"/>
      <c r="N295" s="700" t="s">
        <v>49</v>
      </c>
      <c r="O295" s="328"/>
      <c r="P295" s="189"/>
      <c r="Q295" s="432"/>
      <c r="R295" s="702" t="s">
        <v>2545</v>
      </c>
      <c r="S295" s="702" t="s">
        <v>1527</v>
      </c>
      <c r="U295" s="486" t="s">
        <v>1838</v>
      </c>
      <c r="V295" s="486" t="s">
        <v>3887</v>
      </c>
    </row>
    <row r="296" spans="6:22" ht="10.5" customHeight="1">
      <c r="F296" s="371"/>
      <c r="G296" s="348"/>
      <c r="H296" s="348"/>
      <c r="I296" s="348"/>
      <c r="J296" s="348"/>
      <c r="K296" s="348"/>
      <c r="L296" s="348"/>
      <c r="M296" s="348"/>
      <c r="N296" s="700" t="s">
        <v>51</v>
      </c>
      <c r="O296" s="328"/>
      <c r="P296" s="189"/>
      <c r="Q296" s="432"/>
      <c r="R296" s="591" t="s">
        <v>2547</v>
      </c>
      <c r="S296" s="591" t="s">
        <v>1156</v>
      </c>
      <c r="U296" s="486" t="s">
        <v>1906</v>
      </c>
      <c r="V296" s="486" t="s">
        <v>3887</v>
      </c>
    </row>
    <row r="297" spans="6:22" ht="10.5" customHeight="1">
      <c r="F297" s="371"/>
      <c r="G297" s="348"/>
      <c r="H297" s="348"/>
      <c r="I297" s="348"/>
      <c r="J297" s="348"/>
      <c r="K297" s="348"/>
      <c r="L297" s="348"/>
      <c r="M297" s="348"/>
      <c r="N297" s="700" t="s">
        <v>2019</v>
      </c>
      <c r="O297" s="328"/>
      <c r="P297" s="189"/>
      <c r="Q297" s="432"/>
      <c r="R297" s="591" t="s">
        <v>2697</v>
      </c>
      <c r="S297" s="591" t="s">
        <v>702</v>
      </c>
      <c r="U297" s="486" t="s">
        <v>1154</v>
      </c>
      <c r="V297" s="486" t="s">
        <v>3887</v>
      </c>
    </row>
    <row r="298" spans="6:22" ht="10.5" customHeight="1">
      <c r="F298" s="371"/>
      <c r="G298" s="348"/>
      <c r="H298" s="348"/>
      <c r="I298" s="348"/>
      <c r="J298" s="348"/>
      <c r="K298" s="348"/>
      <c r="L298" s="348"/>
      <c r="M298" s="348"/>
      <c r="N298" s="700" t="s">
        <v>2020</v>
      </c>
      <c r="O298" s="328"/>
      <c r="P298" s="189"/>
      <c r="Q298" s="432"/>
      <c r="R298" s="591" t="s">
        <v>394</v>
      </c>
      <c r="S298" s="591" t="s">
        <v>2612</v>
      </c>
      <c r="U298" s="486" t="s">
        <v>3885</v>
      </c>
      <c r="V298" s="486" t="s">
        <v>3887</v>
      </c>
    </row>
    <row r="299" spans="6:22" ht="10.5" customHeight="1">
      <c r="F299" s="371"/>
      <c r="G299" s="348"/>
      <c r="H299" s="348"/>
      <c r="I299" s="348"/>
      <c r="J299" s="348"/>
      <c r="K299" s="348"/>
      <c r="L299" s="348"/>
      <c r="M299" s="348"/>
      <c r="N299" s="700" t="s">
        <v>2022</v>
      </c>
      <c r="O299" s="328"/>
      <c r="P299" s="189"/>
      <c r="Q299" s="432"/>
      <c r="R299" s="704" t="s">
        <v>396</v>
      </c>
      <c r="S299" s="591" t="s">
        <v>2273</v>
      </c>
      <c r="U299" s="486" t="s">
        <v>2245</v>
      </c>
      <c r="V299" s="486" t="s">
        <v>3887</v>
      </c>
    </row>
    <row r="300" spans="6:22" ht="10.5" customHeight="1">
      <c r="F300" s="371"/>
      <c r="G300" s="348"/>
      <c r="H300" s="348"/>
      <c r="I300" s="348"/>
      <c r="J300" s="348"/>
      <c r="K300" s="348"/>
      <c r="L300" s="348"/>
      <c r="M300" s="348"/>
      <c r="N300" s="700" t="s">
        <v>2023</v>
      </c>
      <c r="O300" s="328"/>
      <c r="P300" s="189"/>
      <c r="Q300" s="432"/>
      <c r="R300" s="591" t="s">
        <v>50</v>
      </c>
      <c r="S300" s="591" t="s">
        <v>998</v>
      </c>
      <c r="U300" s="486" t="s">
        <v>1595</v>
      </c>
      <c r="V300" s="486" t="s">
        <v>3887</v>
      </c>
    </row>
    <row r="301" spans="6:22" ht="10.5" customHeight="1">
      <c r="F301" s="371"/>
      <c r="G301" s="348"/>
      <c r="H301" s="348"/>
      <c r="I301" s="348"/>
      <c r="J301" s="348"/>
      <c r="K301" s="348"/>
      <c r="L301" s="348"/>
      <c r="M301" s="348"/>
      <c r="N301" s="700" t="s">
        <v>2024</v>
      </c>
      <c r="O301" s="328"/>
      <c r="P301" s="189"/>
      <c r="Q301" s="432"/>
      <c r="R301" s="591" t="s">
        <v>52</v>
      </c>
      <c r="S301" s="591" t="s">
        <v>659</v>
      </c>
      <c r="U301" s="486" t="s">
        <v>65</v>
      </c>
      <c r="V301" s="486" t="s">
        <v>3887</v>
      </c>
    </row>
    <row r="302" spans="6:22" ht="10.5" customHeight="1">
      <c r="F302" s="371"/>
      <c r="G302" s="348"/>
      <c r="H302" s="348"/>
      <c r="I302" s="348"/>
      <c r="J302" s="348"/>
      <c r="K302" s="348"/>
      <c r="L302" s="348"/>
      <c r="M302" s="348"/>
      <c r="N302" s="700" t="s">
        <v>2026</v>
      </c>
      <c r="O302" s="328"/>
      <c r="P302" s="189"/>
      <c r="Q302" s="432"/>
      <c r="R302" s="591" t="s">
        <v>916</v>
      </c>
      <c r="S302" s="591" t="s">
        <v>2610</v>
      </c>
      <c r="U302" s="486" t="s">
        <v>69</v>
      </c>
      <c r="V302" s="486" t="s">
        <v>3887</v>
      </c>
    </row>
    <row r="303" spans="6:22" ht="10.5" customHeight="1">
      <c r="F303" s="371"/>
      <c r="G303" s="348"/>
      <c r="H303" s="348"/>
      <c r="I303" s="348"/>
      <c r="J303" s="348"/>
      <c r="K303" s="348"/>
      <c r="L303" s="348"/>
      <c r="M303" s="348"/>
      <c r="N303" s="700" t="s">
        <v>754</v>
      </c>
      <c r="O303" s="328"/>
      <c r="P303" s="189"/>
      <c r="Q303" s="432"/>
      <c r="R303" s="702" t="s">
        <v>2021</v>
      </c>
      <c r="S303" s="702" t="s">
        <v>916</v>
      </c>
      <c r="U303" s="486" t="s">
        <v>71</v>
      </c>
      <c r="V303" s="486" t="s">
        <v>3887</v>
      </c>
    </row>
    <row r="304" spans="6:22" ht="10.5" customHeight="1">
      <c r="F304" s="371"/>
      <c r="G304" s="348"/>
      <c r="H304" s="348"/>
      <c r="I304" s="348"/>
      <c r="J304" s="348"/>
      <c r="K304" s="348"/>
      <c r="L304" s="348"/>
      <c r="M304" s="348"/>
      <c r="N304" s="700" t="s">
        <v>1194</v>
      </c>
      <c r="O304" s="328"/>
      <c r="P304" s="189"/>
      <c r="Q304" s="432"/>
      <c r="R304" s="702" t="s">
        <v>2698</v>
      </c>
      <c r="S304" s="702" t="s">
        <v>659</v>
      </c>
      <c r="U304" s="486" t="s">
        <v>818</v>
      </c>
      <c r="V304" s="486" t="s">
        <v>3887</v>
      </c>
    </row>
    <row r="305" spans="6:22" ht="10.5" customHeight="1">
      <c r="F305" s="371"/>
      <c r="G305" s="348"/>
      <c r="H305" s="348"/>
      <c r="I305" s="348"/>
      <c r="J305" s="348"/>
      <c r="K305" s="348"/>
      <c r="L305" s="348"/>
      <c r="M305" s="348"/>
      <c r="N305" s="700" t="s">
        <v>1196</v>
      </c>
      <c r="O305" s="328"/>
      <c r="P305" s="189"/>
      <c r="Q305" s="432"/>
      <c r="R305" s="591" t="s">
        <v>3241</v>
      </c>
      <c r="S305" s="591" t="s">
        <v>2607</v>
      </c>
      <c r="U305" s="486" t="s">
        <v>985</v>
      </c>
      <c r="V305" s="486" t="s">
        <v>3887</v>
      </c>
    </row>
    <row r="306" spans="6:22" ht="10.5" customHeight="1">
      <c r="F306" s="371"/>
      <c r="G306" s="348"/>
      <c r="H306" s="348"/>
      <c r="I306" s="348"/>
      <c r="J306" s="348"/>
      <c r="K306" s="348"/>
      <c r="L306" s="348"/>
      <c r="M306" s="348"/>
      <c r="N306" s="700" t="s">
        <v>1198</v>
      </c>
      <c r="O306" s="328"/>
      <c r="P306" s="189"/>
      <c r="Q306" s="432"/>
      <c r="R306" s="591" t="s">
        <v>2025</v>
      </c>
      <c r="S306" s="591" t="s">
        <v>1527</v>
      </c>
      <c r="U306" s="486" t="s">
        <v>1093</v>
      </c>
      <c r="V306" s="486" t="s">
        <v>3887</v>
      </c>
    </row>
    <row r="307" spans="6:22" ht="10.5" customHeight="1">
      <c r="F307" s="371"/>
      <c r="G307" s="348"/>
      <c r="H307" s="348"/>
      <c r="I307" s="348"/>
      <c r="J307" s="348"/>
      <c r="K307" s="348"/>
      <c r="L307" s="348"/>
      <c r="M307" s="348"/>
      <c r="N307" s="700" t="s">
        <v>2639</v>
      </c>
      <c r="O307" s="328"/>
      <c r="P307" s="189"/>
      <c r="Q307" s="432"/>
      <c r="R307" s="591" t="s">
        <v>2027</v>
      </c>
      <c r="S307" s="591" t="s">
        <v>1527</v>
      </c>
      <c r="U307" s="486" t="s">
        <v>2377</v>
      </c>
      <c r="V307" s="486" t="s">
        <v>3887</v>
      </c>
    </row>
    <row r="308" spans="6:22" ht="10.5" customHeight="1">
      <c r="F308" s="371"/>
      <c r="G308" s="348"/>
      <c r="H308" s="348"/>
      <c r="I308" s="348"/>
      <c r="J308" s="348"/>
      <c r="K308" s="348"/>
      <c r="L308" s="348"/>
      <c r="M308" s="348"/>
      <c r="N308" s="700" t="s">
        <v>2641</v>
      </c>
      <c r="O308" s="328"/>
      <c r="P308" s="189"/>
      <c r="Q308" s="432"/>
      <c r="R308" s="591" t="s">
        <v>755</v>
      </c>
      <c r="S308" s="591" t="s">
        <v>123</v>
      </c>
      <c r="U308" s="486" t="s">
        <v>2647</v>
      </c>
      <c r="V308" s="486" t="s">
        <v>3887</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2266</v>
      </c>
      <c r="V309" s="486" t="s">
        <v>3887</v>
      </c>
    </row>
    <row r="310" spans="6:22" ht="10.5" customHeight="1">
      <c r="F310" s="371"/>
      <c r="G310" s="348"/>
      <c r="H310" s="348"/>
      <c r="I310" s="348"/>
      <c r="J310" s="348"/>
      <c r="K310" s="348"/>
      <c r="L310" s="348"/>
      <c r="M310" s="348"/>
      <c r="N310" s="700" t="s">
        <v>195</v>
      </c>
      <c r="O310" s="328"/>
      <c r="P310" s="189"/>
      <c r="Q310" s="432"/>
      <c r="R310" s="591" t="s">
        <v>3242</v>
      </c>
      <c r="S310" s="591" t="s">
        <v>164</v>
      </c>
      <c r="U310" s="486" t="s">
        <v>1692</v>
      </c>
      <c r="V310" s="486" t="s">
        <v>3887</v>
      </c>
    </row>
    <row r="311" spans="6:22" ht="10.5" customHeight="1">
      <c r="F311" s="371"/>
      <c r="G311" s="348"/>
      <c r="H311" s="348"/>
      <c r="I311" s="348"/>
      <c r="J311" s="348"/>
      <c r="K311" s="348"/>
      <c r="L311" s="348"/>
      <c r="M311" s="348"/>
      <c r="N311" s="700" t="s">
        <v>1916</v>
      </c>
      <c r="O311" s="328"/>
      <c r="P311" s="189"/>
      <c r="Q311" s="432"/>
      <c r="R311" s="591" t="s">
        <v>3243</v>
      </c>
      <c r="S311" s="591" t="s">
        <v>329</v>
      </c>
      <c r="U311" s="486" t="s">
        <v>2536</v>
      </c>
      <c r="V311" s="486" t="s">
        <v>3887</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3887</v>
      </c>
    </row>
    <row r="313" spans="6:22" ht="10.5" customHeight="1">
      <c r="F313" s="371"/>
      <c r="G313" s="348"/>
      <c r="H313" s="348"/>
      <c r="I313" s="348"/>
      <c r="J313" s="348"/>
      <c r="K313" s="348"/>
      <c r="L313" s="348"/>
      <c r="M313" s="348"/>
      <c r="N313" s="700" t="s">
        <v>1988</v>
      </c>
      <c r="O313" s="328"/>
      <c r="P313" s="189"/>
      <c r="Q313" s="432"/>
      <c r="R313" s="591" t="s">
        <v>1197</v>
      </c>
      <c r="S313" s="591" t="s">
        <v>698</v>
      </c>
      <c r="U313" s="486" t="s">
        <v>173</v>
      </c>
      <c r="V313" s="486" t="s">
        <v>3887</v>
      </c>
    </row>
    <row r="314" spans="6:22" ht="10.5" customHeight="1">
      <c r="F314" s="371"/>
      <c r="G314" s="348"/>
      <c r="H314" s="348"/>
      <c r="I314" s="348"/>
      <c r="J314" s="348"/>
      <c r="K314" s="348"/>
      <c r="L314" s="348"/>
      <c r="M314" s="348"/>
      <c r="N314" s="700" t="s">
        <v>1990</v>
      </c>
      <c r="O314" s="328"/>
      <c r="P314" s="189"/>
      <c r="Q314" s="432"/>
      <c r="R314" s="591" t="s">
        <v>2699</v>
      </c>
      <c r="S314" s="591" t="s">
        <v>2275</v>
      </c>
      <c r="U314" s="486" t="s">
        <v>1391</v>
      </c>
      <c r="V314" s="486" t="s">
        <v>3887</v>
      </c>
    </row>
    <row r="315" spans="6:22" ht="10.5" customHeight="1">
      <c r="F315" s="371"/>
      <c r="G315" s="348"/>
      <c r="H315" s="348"/>
      <c r="I315" s="348"/>
      <c r="J315" s="348"/>
      <c r="K315" s="348"/>
      <c r="L315" s="348"/>
      <c r="M315" s="348"/>
      <c r="N315" s="700" t="s">
        <v>1991</v>
      </c>
      <c r="O315" s="328"/>
      <c r="P315" s="189"/>
      <c r="Q315" s="432"/>
      <c r="R315" s="591" t="s">
        <v>2700</v>
      </c>
      <c r="S315" s="591" t="s">
        <v>2658</v>
      </c>
      <c r="U315" s="486" t="s">
        <v>1123</v>
      </c>
      <c r="V315" s="486" t="s">
        <v>3887</v>
      </c>
    </row>
    <row r="316" spans="6:22" ht="10.5" customHeight="1">
      <c r="F316" s="371"/>
      <c r="G316" s="348"/>
      <c r="H316" s="348"/>
      <c r="I316" s="348"/>
      <c r="J316" s="348"/>
      <c r="K316" s="348"/>
      <c r="L316" s="348"/>
      <c r="M316" s="348"/>
      <c r="N316" s="700" t="s">
        <v>1993</v>
      </c>
      <c r="O316" s="328"/>
      <c r="P316" s="189"/>
      <c r="Q316" s="432"/>
      <c r="R316" s="591" t="s">
        <v>1199</v>
      </c>
      <c r="S316" s="591" t="s">
        <v>1265</v>
      </c>
      <c r="U316" s="486" t="s">
        <v>2091</v>
      </c>
      <c r="V316" s="486" t="s">
        <v>3887</v>
      </c>
    </row>
    <row r="317" spans="6:22" ht="10.5" customHeight="1">
      <c r="F317" s="371"/>
      <c r="G317" s="348"/>
      <c r="H317" s="348"/>
      <c r="I317" s="348"/>
      <c r="J317" s="348"/>
      <c r="K317" s="348"/>
      <c r="L317" s="348"/>
      <c r="M317" s="348"/>
      <c r="N317" s="700" t="s">
        <v>1995</v>
      </c>
      <c r="O317" s="328"/>
      <c r="P317" s="189"/>
      <c r="Q317" s="432"/>
      <c r="R317" s="591" t="s">
        <v>2640</v>
      </c>
      <c r="S317" s="591" t="s">
        <v>205</v>
      </c>
      <c r="U317" s="486" t="s">
        <v>1985</v>
      </c>
      <c r="V317" s="486" t="s">
        <v>3887</v>
      </c>
    </row>
    <row r="318" spans="6:22" ht="10.5" customHeight="1">
      <c r="F318" s="371"/>
      <c r="G318" s="348"/>
      <c r="H318" s="348"/>
      <c r="I318" s="348"/>
      <c r="J318" s="348"/>
      <c r="K318" s="348"/>
      <c r="L318" s="348"/>
      <c r="M318" s="348"/>
      <c r="N318" s="700" t="s">
        <v>2029</v>
      </c>
      <c r="O318" s="328"/>
      <c r="P318" s="189"/>
      <c r="Q318" s="432"/>
      <c r="R318" s="591" t="s">
        <v>474</v>
      </c>
      <c r="S318" s="591" t="s">
        <v>1152</v>
      </c>
      <c r="U318" s="486" t="s">
        <v>2663</v>
      </c>
      <c r="V318" s="486" t="s">
        <v>3887</v>
      </c>
    </row>
    <row r="319" spans="6:22" ht="10.5" customHeight="1">
      <c r="F319" s="371"/>
      <c r="G319" s="348"/>
      <c r="H319" s="348"/>
      <c r="I319" s="348"/>
      <c r="J319" s="348"/>
      <c r="K319" s="348"/>
      <c r="L319" s="348"/>
      <c r="M319" s="348"/>
      <c r="N319" s="700" t="s">
        <v>2031</v>
      </c>
      <c r="O319" s="328"/>
      <c r="P319" s="189"/>
      <c r="Q319" s="432"/>
      <c r="R319" s="702" t="s">
        <v>194</v>
      </c>
      <c r="S319" s="702" t="s">
        <v>700</v>
      </c>
      <c r="U319" s="486" t="s">
        <v>1210</v>
      </c>
      <c r="V319" s="486" t="s">
        <v>3887</v>
      </c>
    </row>
    <row r="320" spans="6:22" ht="10.5" customHeight="1">
      <c r="F320" s="371"/>
      <c r="G320" s="348"/>
      <c r="H320" s="348"/>
      <c r="I320" s="348"/>
      <c r="J320" s="348"/>
      <c r="K320" s="348"/>
      <c r="L320" s="348"/>
      <c r="M320" s="348"/>
      <c r="N320" s="700" t="s">
        <v>2032</v>
      </c>
      <c r="O320" s="328"/>
      <c r="P320" s="189"/>
      <c r="Q320" s="432"/>
      <c r="R320" s="702" t="s">
        <v>314</v>
      </c>
      <c r="S320" s="702" t="s">
        <v>1397</v>
      </c>
      <c r="U320" s="486" t="s">
        <v>2643</v>
      </c>
      <c r="V320" s="486" t="s">
        <v>3887</v>
      </c>
    </row>
    <row r="321" spans="6:22" ht="10.5" customHeight="1">
      <c r="F321" s="371"/>
      <c r="G321" s="348"/>
      <c r="H321" s="348"/>
      <c r="I321" s="348"/>
      <c r="J321" s="348"/>
      <c r="K321" s="348"/>
      <c r="L321" s="348"/>
      <c r="M321" s="348"/>
      <c r="N321" s="700" t="s">
        <v>2034</v>
      </c>
      <c r="O321" s="328"/>
      <c r="P321" s="189"/>
      <c r="Q321" s="432"/>
      <c r="R321" s="702" t="s">
        <v>1917</v>
      </c>
      <c r="S321" s="702" t="s">
        <v>921</v>
      </c>
      <c r="U321" s="486" t="s">
        <v>858</v>
      </c>
      <c r="V321" s="486" t="s">
        <v>3887</v>
      </c>
    </row>
    <row r="322" spans="6:22" ht="10.5" customHeight="1">
      <c r="F322" s="371"/>
      <c r="G322" s="348"/>
      <c r="H322" s="348"/>
      <c r="I322" s="348"/>
      <c r="J322" s="348"/>
      <c r="K322" s="348"/>
      <c r="L322" s="348"/>
      <c r="M322" s="348"/>
      <c r="N322" s="700" t="s">
        <v>2036</v>
      </c>
      <c r="O322" s="328"/>
      <c r="P322" s="189"/>
      <c r="Q322" s="432"/>
      <c r="R322" s="591" t="s">
        <v>1919</v>
      </c>
      <c r="S322" s="591" t="s">
        <v>1162</v>
      </c>
      <c r="U322" s="486" t="s">
        <v>2203</v>
      </c>
      <c r="V322" s="486" t="s">
        <v>3887</v>
      </c>
    </row>
    <row r="323" spans="6:22" ht="10.5" customHeight="1">
      <c r="F323" s="371"/>
      <c r="G323" s="348"/>
      <c r="H323" s="348"/>
      <c r="I323" s="348"/>
      <c r="J323" s="348"/>
      <c r="K323" s="348"/>
      <c r="L323" s="348"/>
      <c r="M323" s="348"/>
      <c r="N323" s="700" t="s">
        <v>433</v>
      </c>
      <c r="O323" s="328"/>
      <c r="P323" s="189"/>
      <c r="Q323" s="432"/>
      <c r="R323" s="591" t="s">
        <v>1989</v>
      </c>
      <c r="S323" s="591" t="s">
        <v>2612</v>
      </c>
      <c r="U323" s="486" t="s">
        <v>983</v>
      </c>
      <c r="V323" s="486" t="s">
        <v>3887</v>
      </c>
    </row>
    <row r="324" spans="6:22" ht="10.5" customHeight="1">
      <c r="F324" s="371"/>
      <c r="G324" s="348"/>
      <c r="H324" s="348"/>
      <c r="I324" s="348"/>
      <c r="J324" s="348"/>
      <c r="K324" s="348"/>
      <c r="L324" s="348"/>
      <c r="M324" s="348"/>
      <c r="N324" s="700" t="s">
        <v>135</v>
      </c>
      <c r="O324" s="328"/>
      <c r="P324" s="189"/>
      <c r="Q324" s="432"/>
      <c r="R324" s="702" t="s">
        <v>1992</v>
      </c>
      <c r="S324" s="702" t="s">
        <v>698</v>
      </c>
      <c r="U324" s="486" t="s">
        <v>2625</v>
      </c>
      <c r="V324" s="486" t="s">
        <v>3887</v>
      </c>
    </row>
    <row r="325" spans="6:22" ht="10.5" customHeight="1">
      <c r="F325" s="371"/>
      <c r="G325" s="348"/>
      <c r="H325" s="348"/>
      <c r="I325" s="348"/>
      <c r="J325" s="348"/>
      <c r="K325" s="348"/>
      <c r="L325" s="348"/>
      <c r="M325" s="348"/>
      <c r="N325" s="700" t="s">
        <v>1759</v>
      </c>
      <c r="O325" s="328"/>
      <c r="P325" s="189"/>
      <c r="Q325" s="432"/>
      <c r="R325" s="591" t="s">
        <v>1994</v>
      </c>
      <c r="S325" s="591" t="s">
        <v>1379</v>
      </c>
      <c r="U325" s="486" t="s">
        <v>2002</v>
      </c>
      <c r="V325" s="486" t="s">
        <v>3887</v>
      </c>
    </row>
    <row r="326" spans="6:22" ht="10.5" customHeight="1">
      <c r="F326" s="371"/>
      <c r="G326" s="348"/>
      <c r="H326" s="348"/>
      <c r="I326" s="348"/>
      <c r="J326" s="348"/>
      <c r="K326" s="348"/>
      <c r="L326" s="348"/>
      <c r="M326" s="348"/>
      <c r="N326" s="700" t="s">
        <v>1836</v>
      </c>
      <c r="O326" s="328"/>
      <c r="P326" s="189"/>
      <c r="Q326" s="432"/>
      <c r="R326" s="591" t="s">
        <v>3244</v>
      </c>
      <c r="S326" s="591" t="s">
        <v>205</v>
      </c>
      <c r="U326" s="486" t="s">
        <v>1484</v>
      </c>
      <c r="V326" s="486" t="s">
        <v>3887</v>
      </c>
    </row>
    <row r="327" spans="6:22" ht="10.5" customHeight="1">
      <c r="F327" s="371"/>
      <c r="G327" s="348"/>
      <c r="H327" s="348"/>
      <c r="I327" s="348"/>
      <c r="J327" s="348"/>
      <c r="K327" s="348"/>
      <c r="L327" s="348"/>
      <c r="M327" s="348"/>
      <c r="N327" s="700" t="s">
        <v>2387</v>
      </c>
      <c r="O327" s="328"/>
      <c r="P327" s="189"/>
      <c r="Q327" s="432"/>
      <c r="R327" s="591" t="s">
        <v>1996</v>
      </c>
      <c r="S327" s="591" t="s">
        <v>1382</v>
      </c>
      <c r="U327" s="486" t="s">
        <v>2367</v>
      </c>
      <c r="V327" s="486" t="s">
        <v>3887</v>
      </c>
    </row>
    <row r="328" spans="6:22" ht="10.5" customHeight="1">
      <c r="F328" s="371"/>
      <c r="G328" s="348"/>
      <c r="H328" s="348"/>
      <c r="I328" s="348"/>
      <c r="J328" s="348"/>
      <c r="K328" s="348"/>
      <c r="L328" s="348"/>
      <c r="M328" s="348"/>
      <c r="N328" s="700" t="s">
        <v>2389</v>
      </c>
      <c r="O328" s="328"/>
      <c r="P328" s="189"/>
      <c r="Q328" s="432"/>
      <c r="R328" s="591" t="s">
        <v>2030</v>
      </c>
      <c r="S328" s="591" t="s">
        <v>331</v>
      </c>
      <c r="U328" s="486" t="s">
        <v>2369</v>
      </c>
      <c r="V328" s="486" t="s">
        <v>3887</v>
      </c>
    </row>
    <row r="329" spans="6:22" ht="10.5" customHeight="1">
      <c r="F329" s="371"/>
      <c r="G329" s="348"/>
      <c r="H329" s="348"/>
      <c r="I329" s="348"/>
      <c r="J329" s="348"/>
      <c r="K329" s="348"/>
      <c r="L329" s="348"/>
      <c r="M329" s="348"/>
      <c r="N329" s="700" t="s">
        <v>1040</v>
      </c>
      <c r="O329" s="328"/>
      <c r="P329" s="189"/>
      <c r="Q329" s="432"/>
      <c r="R329" s="591" t="s">
        <v>3245</v>
      </c>
      <c r="S329" s="591" t="s">
        <v>691</v>
      </c>
      <c r="U329" s="486" t="s">
        <v>1167</v>
      </c>
      <c r="V329" s="486" t="s">
        <v>3887</v>
      </c>
    </row>
    <row r="330" spans="6:22" ht="10.5" customHeight="1">
      <c r="F330" s="371"/>
      <c r="G330" s="348"/>
      <c r="H330" s="348"/>
      <c r="I330" s="348"/>
      <c r="J330" s="348"/>
      <c r="K330" s="348"/>
      <c r="L330" s="348"/>
      <c r="M330" s="348"/>
      <c r="N330" s="700" t="s">
        <v>713</v>
      </c>
      <c r="O330" s="328"/>
      <c r="P330" s="189"/>
      <c r="Q330" s="432"/>
      <c r="R330" s="591" t="s">
        <v>2033</v>
      </c>
      <c r="S330" s="591" t="s">
        <v>2714</v>
      </c>
      <c r="U330" s="486" t="s">
        <v>2226</v>
      </c>
      <c r="V330" s="486" t="s">
        <v>3887</v>
      </c>
    </row>
    <row r="331" spans="6:22" ht="10.5" customHeight="1">
      <c r="F331" s="371"/>
      <c r="G331" s="348"/>
      <c r="H331" s="348"/>
      <c r="I331" s="348"/>
      <c r="J331" s="348"/>
      <c r="K331" s="348"/>
      <c r="L331" s="348"/>
      <c r="M331" s="348"/>
      <c r="N331" s="700" t="s">
        <v>596</v>
      </c>
      <c r="O331" s="328"/>
      <c r="P331" s="189"/>
      <c r="Q331" s="432"/>
      <c r="R331" s="591" t="s">
        <v>2035</v>
      </c>
      <c r="S331" s="591" t="s">
        <v>1379</v>
      </c>
      <c r="U331" s="486" t="s">
        <v>2227</v>
      </c>
      <c r="V331" s="486" t="s">
        <v>3887</v>
      </c>
    </row>
    <row r="332" spans="6:22" ht="10.5" customHeight="1">
      <c r="F332" s="371"/>
      <c r="G332" s="348"/>
      <c r="H332" s="348"/>
      <c r="I332" s="348"/>
      <c r="J332" s="348"/>
      <c r="K332" s="348"/>
      <c r="L332" s="348"/>
      <c r="M332" s="348"/>
      <c r="N332" s="700" t="s">
        <v>709</v>
      </c>
      <c r="O332" s="328"/>
      <c r="P332" s="189"/>
      <c r="Q332" s="432"/>
      <c r="R332" s="591" t="s">
        <v>2353</v>
      </c>
      <c r="S332" s="591" t="s">
        <v>2655</v>
      </c>
      <c r="U332" s="486" t="s">
        <v>2228</v>
      </c>
      <c r="V332" s="486" t="s">
        <v>3887</v>
      </c>
    </row>
    <row r="333" spans="6:22" ht="10.5" customHeight="1">
      <c r="F333" s="371"/>
      <c r="G333" s="348"/>
      <c r="H333" s="348"/>
      <c r="I333" s="348"/>
      <c r="J333" s="348"/>
      <c r="K333" s="348"/>
      <c r="L333" s="348"/>
      <c r="M333" s="348"/>
      <c r="N333" s="700" t="s">
        <v>2504</v>
      </c>
      <c r="O333" s="328"/>
      <c r="P333" s="189"/>
      <c r="Q333" s="432"/>
      <c r="R333" s="591" t="s">
        <v>2701</v>
      </c>
      <c r="S333" s="591" t="s">
        <v>2275</v>
      </c>
      <c r="U333" s="486" t="s">
        <v>2442</v>
      </c>
      <c r="V333" s="486" t="s">
        <v>3887</v>
      </c>
    </row>
    <row r="334" spans="6:22" ht="10.5" customHeight="1">
      <c r="F334" s="371"/>
      <c r="G334" s="348"/>
      <c r="H334" s="348"/>
      <c r="I334" s="348"/>
      <c r="J334" s="348"/>
      <c r="K334" s="348"/>
      <c r="L334" s="348"/>
      <c r="M334" s="348"/>
      <c r="N334" s="700" t="s">
        <v>228</v>
      </c>
      <c r="O334" s="328"/>
      <c r="P334" s="189"/>
      <c r="Q334" s="432"/>
      <c r="R334" s="591" t="s">
        <v>2702</v>
      </c>
      <c r="S334" s="591" t="s">
        <v>2609</v>
      </c>
      <c r="U334" s="486" t="s">
        <v>2444</v>
      </c>
      <c r="V334" s="486" t="s">
        <v>3887</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2370</v>
      </c>
      <c r="V335" s="486" t="s">
        <v>3887</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3887</v>
      </c>
    </row>
    <row r="337" spans="6:22" ht="10.5" customHeight="1">
      <c r="F337" s="371"/>
      <c r="G337" s="348"/>
      <c r="H337" s="348"/>
      <c r="I337" s="348"/>
      <c r="J337" s="348"/>
      <c r="K337" s="348"/>
      <c r="L337" s="348"/>
      <c r="M337" s="348"/>
      <c r="N337" s="700" t="s">
        <v>240</v>
      </c>
      <c r="O337" s="328"/>
      <c r="P337" s="189"/>
      <c r="Q337" s="432"/>
      <c r="R337" s="591" t="s">
        <v>2703</v>
      </c>
      <c r="S337" s="591" t="s">
        <v>2106</v>
      </c>
      <c r="U337" s="486" t="s">
        <v>1771</v>
      </c>
      <c r="V337" s="486" t="s">
        <v>3887</v>
      </c>
    </row>
    <row r="338" spans="6:22" ht="10.5" customHeight="1">
      <c r="F338" s="371"/>
      <c r="G338" s="348"/>
      <c r="H338" s="348"/>
      <c r="I338" s="348"/>
      <c r="J338" s="348"/>
      <c r="K338" s="348"/>
      <c r="L338" s="348"/>
      <c r="M338" s="348"/>
      <c r="N338" s="700" t="s">
        <v>242</v>
      </c>
      <c r="O338" s="328"/>
      <c r="P338" s="189"/>
      <c r="Q338" s="432"/>
      <c r="R338" s="591" t="s">
        <v>1760</v>
      </c>
      <c r="S338" s="591" t="s">
        <v>2607</v>
      </c>
      <c r="U338" s="486" t="s">
        <v>1128</v>
      </c>
      <c r="V338" s="486" t="s">
        <v>3887</v>
      </c>
    </row>
    <row r="339" spans="6:22" ht="10.5" customHeight="1">
      <c r="F339" s="371"/>
      <c r="G339" s="348"/>
      <c r="H339" s="348"/>
      <c r="I339" s="348"/>
      <c r="J339" s="348"/>
      <c r="K339" s="348"/>
      <c r="L339" s="348"/>
      <c r="M339" s="348"/>
      <c r="N339" s="700" t="s">
        <v>244</v>
      </c>
      <c r="O339" s="328"/>
      <c r="P339" s="189"/>
      <c r="Q339" s="432"/>
      <c r="R339" s="591" t="s">
        <v>2388</v>
      </c>
      <c r="S339" s="591" t="s">
        <v>693</v>
      </c>
      <c r="U339" s="486" t="s">
        <v>1778</v>
      </c>
      <c r="V339" s="486" t="s">
        <v>3887</v>
      </c>
    </row>
    <row r="340" spans="6:22" ht="10.5" customHeight="1">
      <c r="F340" s="371"/>
      <c r="G340" s="348"/>
      <c r="H340" s="348"/>
      <c r="I340" s="348"/>
      <c r="J340" s="348"/>
      <c r="K340" s="348"/>
      <c r="L340" s="348"/>
      <c r="M340" s="348"/>
      <c r="N340" s="700" t="s">
        <v>827</v>
      </c>
      <c r="O340" s="328"/>
      <c r="P340" s="189"/>
      <c r="Q340" s="432"/>
      <c r="R340" s="591" t="s">
        <v>2390</v>
      </c>
      <c r="S340" s="591" t="s">
        <v>1380</v>
      </c>
      <c r="U340" s="486" t="s">
        <v>1779</v>
      </c>
      <c r="V340" s="486" t="s">
        <v>3887</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3887</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3887</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3887</v>
      </c>
    </row>
    <row r="344" spans="6:22" ht="10.5" customHeight="1">
      <c r="F344" s="371"/>
      <c r="G344" s="348"/>
      <c r="H344" s="348"/>
      <c r="I344" s="348"/>
      <c r="J344" s="348"/>
      <c r="K344" s="348"/>
      <c r="L344" s="348"/>
      <c r="M344" s="348"/>
      <c r="N344" s="700" t="s">
        <v>1279</v>
      </c>
      <c r="O344" s="328"/>
      <c r="P344" s="189"/>
      <c r="Q344" s="432"/>
      <c r="R344" s="591" t="s">
        <v>2505</v>
      </c>
      <c r="S344" s="591" t="s">
        <v>162</v>
      </c>
      <c r="U344" s="486" t="s">
        <v>1787</v>
      </c>
      <c r="V344" s="486" t="s">
        <v>3887</v>
      </c>
    </row>
    <row r="345" spans="6:22" ht="10.5" customHeight="1">
      <c r="F345" s="371"/>
      <c r="G345" s="348"/>
      <c r="H345" s="348"/>
      <c r="I345" s="348"/>
      <c r="J345" s="348"/>
      <c r="K345" s="348"/>
      <c r="L345" s="348"/>
      <c r="M345" s="348"/>
      <c r="N345" s="700" t="s">
        <v>1281</v>
      </c>
      <c r="O345" s="328"/>
      <c r="P345" s="189"/>
      <c r="Q345" s="432"/>
      <c r="R345" s="591" t="s">
        <v>229</v>
      </c>
      <c r="S345" s="591" t="s">
        <v>2606</v>
      </c>
      <c r="U345" s="486" t="s">
        <v>1789</v>
      </c>
      <c r="V345" s="486" t="s">
        <v>3887</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3887</v>
      </c>
    </row>
    <row r="347" spans="6:22" ht="10.5" customHeight="1">
      <c r="F347" s="371"/>
      <c r="G347" s="348"/>
      <c r="H347" s="348"/>
      <c r="I347" s="348"/>
      <c r="J347" s="348"/>
      <c r="K347" s="348"/>
      <c r="L347" s="348"/>
      <c r="M347" s="348"/>
      <c r="N347" s="700" t="s">
        <v>2584</v>
      </c>
      <c r="O347" s="328"/>
      <c r="P347" s="189"/>
      <c r="Q347" s="432"/>
      <c r="R347" s="591" t="s">
        <v>2475</v>
      </c>
      <c r="S347" s="591" t="s">
        <v>2604</v>
      </c>
      <c r="U347" s="486" t="s">
        <v>1794</v>
      </c>
      <c r="V347" s="486" t="s">
        <v>3887</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3887</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3887</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3887</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3887</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3887</v>
      </c>
    </row>
    <row r="353" spans="6:22" ht="10.5" customHeight="1">
      <c r="F353" s="371"/>
      <c r="G353" s="348"/>
      <c r="H353" s="348"/>
      <c r="I353" s="348"/>
      <c r="J353" s="348"/>
      <c r="K353" s="348"/>
      <c r="L353" s="348"/>
      <c r="M353" s="348"/>
      <c r="N353" s="700" t="s">
        <v>715</v>
      </c>
      <c r="O353" s="328"/>
      <c r="P353" s="189"/>
      <c r="Q353" s="432"/>
      <c r="R353" s="591" t="s">
        <v>1278</v>
      </c>
      <c r="S353" s="591" t="s">
        <v>2612</v>
      </c>
      <c r="U353" s="486" t="s">
        <v>1618</v>
      </c>
      <c r="V353" s="486" t="s">
        <v>3887</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3887</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3887</v>
      </c>
    </row>
    <row r="356" spans="6:22" ht="10.5" customHeight="1">
      <c r="F356" s="371"/>
      <c r="G356" s="348"/>
      <c r="H356" s="348"/>
      <c r="I356" s="348"/>
      <c r="J356" s="348"/>
      <c r="K356" s="348"/>
      <c r="L356" s="348"/>
      <c r="M356" s="348"/>
      <c r="N356" s="700" t="s">
        <v>1829</v>
      </c>
      <c r="O356" s="328"/>
      <c r="P356" s="189"/>
      <c r="Q356" s="432"/>
      <c r="R356" s="591" t="s">
        <v>943</v>
      </c>
      <c r="S356" s="591" t="s">
        <v>2351</v>
      </c>
      <c r="U356" s="486" t="s">
        <v>1625</v>
      </c>
      <c r="V356" s="486" t="s">
        <v>3887</v>
      </c>
    </row>
    <row r="357" spans="6:22" ht="10.5" customHeight="1">
      <c r="F357" s="371"/>
      <c r="G357" s="348"/>
      <c r="H357" s="348"/>
      <c r="I357" s="348"/>
      <c r="J357" s="348"/>
      <c r="K357" s="348"/>
      <c r="L357" s="348"/>
      <c r="M357" s="348"/>
      <c r="N357" s="700" t="s">
        <v>1046</v>
      </c>
      <c r="O357" s="328"/>
      <c r="P357" s="189"/>
      <c r="Q357" s="432"/>
      <c r="R357" s="591" t="s">
        <v>2585</v>
      </c>
      <c r="S357" s="591" t="s">
        <v>1975</v>
      </c>
      <c r="U357" s="486" t="s">
        <v>2497</v>
      </c>
      <c r="V357" s="486" t="s">
        <v>3887</v>
      </c>
    </row>
    <row r="358" spans="6:22" ht="10.5" customHeight="1">
      <c r="F358" s="371"/>
      <c r="G358" s="348"/>
      <c r="H358" s="348"/>
      <c r="I358" s="348"/>
      <c r="J358" s="348"/>
      <c r="K358" s="348"/>
      <c r="L358" s="348"/>
      <c r="M358" s="348"/>
      <c r="N358" s="700" t="s">
        <v>1047</v>
      </c>
      <c r="O358" s="328"/>
      <c r="P358" s="189"/>
      <c r="Q358" s="432"/>
      <c r="R358" s="591" t="s">
        <v>946</v>
      </c>
      <c r="S358" s="591" t="s">
        <v>2282</v>
      </c>
      <c r="U358" s="486" t="s">
        <v>876</v>
      </c>
      <c r="V358" s="486" t="s">
        <v>3887</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3887</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2286</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2107</v>
      </c>
    </row>
    <row r="366" spans="6:22" ht="10.5" customHeight="1">
      <c r="F366" s="371"/>
      <c r="G366" s="348"/>
      <c r="H366" s="348"/>
      <c r="I366" s="348"/>
      <c r="J366" s="348"/>
      <c r="K366" s="348"/>
      <c r="L366" s="348"/>
      <c r="M366" s="348"/>
      <c r="N366" s="700" t="s">
        <v>387</v>
      </c>
      <c r="O366" s="328"/>
      <c r="P366" s="189"/>
      <c r="Q366" s="432"/>
      <c r="R366" s="591" t="s">
        <v>703</v>
      </c>
      <c r="S366" s="591" t="s">
        <v>2516</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2658</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1975</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2275</v>
      </c>
    </row>
    <row r="375" spans="6:19" ht="10.5" customHeight="1">
      <c r="F375" s="371"/>
      <c r="G375" s="348"/>
      <c r="H375" s="348"/>
      <c r="I375" s="348"/>
      <c r="J375" s="348"/>
      <c r="K375" s="348"/>
      <c r="L375" s="348"/>
      <c r="M375" s="348"/>
      <c r="N375" s="700" t="s">
        <v>1762</v>
      </c>
      <c r="O375" s="328"/>
      <c r="P375" s="189"/>
      <c r="Q375" s="432"/>
      <c r="R375" s="591" t="s">
        <v>386</v>
      </c>
      <c r="S375" s="591" t="s">
        <v>2655</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2008</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2353</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2396</v>
      </c>
      <c r="O382" s="328"/>
      <c r="P382" s="189"/>
      <c r="Q382" s="432"/>
      <c r="R382" s="702" t="s">
        <v>1059</v>
      </c>
      <c r="S382" s="702" t="s">
        <v>332</v>
      </c>
    </row>
    <row r="383" spans="6:19" ht="10.5" customHeight="1">
      <c r="F383" s="371"/>
      <c r="G383" s="348"/>
      <c r="H383" s="348"/>
      <c r="I383" s="348"/>
      <c r="J383" s="348"/>
      <c r="K383" s="348"/>
      <c r="L383" s="348"/>
      <c r="M383" s="348"/>
      <c r="N383" s="700" t="s">
        <v>2102</v>
      </c>
      <c r="O383" s="328"/>
      <c r="P383" s="189"/>
      <c r="Q383" s="432"/>
      <c r="R383" s="591" t="s">
        <v>1099</v>
      </c>
      <c r="S383" s="591" t="s">
        <v>2104</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2658</v>
      </c>
    </row>
    <row r="386" spans="6:19" ht="10.5" customHeight="1">
      <c r="F386" s="371"/>
      <c r="G386" s="348"/>
      <c r="H386" s="348"/>
      <c r="I386" s="348"/>
      <c r="J386" s="348"/>
      <c r="K386" s="348"/>
      <c r="L386" s="348"/>
      <c r="M386" s="348"/>
      <c r="N386" s="700" t="s">
        <v>427</v>
      </c>
      <c r="O386" s="328"/>
      <c r="P386" s="189"/>
      <c r="Q386" s="432"/>
      <c r="R386" s="591" t="s">
        <v>3246</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2655</v>
      </c>
    </row>
    <row r="388" spans="6:19" ht="10.5" customHeight="1">
      <c r="F388" s="371"/>
      <c r="G388" s="348"/>
      <c r="H388" s="348"/>
      <c r="I388" s="348"/>
      <c r="J388" s="348"/>
      <c r="K388" s="348"/>
      <c r="L388" s="348"/>
      <c r="M388" s="348"/>
      <c r="N388" s="700" t="s">
        <v>2040</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2263</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2397</v>
      </c>
      <c r="S393" s="591" t="s">
        <v>914</v>
      </c>
    </row>
    <row r="394" spans="6:19" ht="10.5" customHeight="1">
      <c r="F394" s="371"/>
      <c r="G394" s="348"/>
      <c r="H394" s="348"/>
      <c r="I394" s="348"/>
      <c r="J394" s="348"/>
      <c r="K394" s="348"/>
      <c r="L394" s="348"/>
      <c r="M394" s="348"/>
      <c r="N394" s="700" t="s">
        <v>321</v>
      </c>
      <c r="O394" s="328"/>
      <c r="P394" s="189"/>
      <c r="Q394" s="432"/>
      <c r="R394" s="591" t="s">
        <v>3247</v>
      </c>
      <c r="S394" s="591" t="s">
        <v>164</v>
      </c>
    </row>
    <row r="395" spans="6:19" ht="10.5" customHeight="1">
      <c r="F395" s="371"/>
      <c r="G395" s="348"/>
      <c r="H395" s="348"/>
      <c r="I395" s="348"/>
      <c r="J395" s="348"/>
      <c r="K395" s="348"/>
      <c r="L395" s="348"/>
      <c r="M395" s="348"/>
      <c r="N395" s="700" t="s">
        <v>986</v>
      </c>
      <c r="O395" s="328"/>
      <c r="P395" s="189"/>
      <c r="Q395" s="432"/>
      <c r="R395" s="591" t="s">
        <v>2103</v>
      </c>
      <c r="S395" s="591" t="s">
        <v>1160</v>
      </c>
    </row>
    <row r="396" spans="6:19" ht="10.5" customHeight="1">
      <c r="F396" s="371"/>
      <c r="G396" s="348"/>
      <c r="H396" s="348"/>
      <c r="I396" s="348"/>
      <c r="J396" s="348"/>
      <c r="K396" s="348"/>
      <c r="L396" s="348"/>
      <c r="M396" s="348"/>
      <c r="N396" s="700" t="s">
        <v>2430</v>
      </c>
      <c r="O396" s="328"/>
      <c r="P396" s="189"/>
      <c r="Q396" s="432"/>
      <c r="R396" s="702" t="s">
        <v>3248</v>
      </c>
      <c r="S396" s="702" t="s">
        <v>332</v>
      </c>
    </row>
    <row r="397" spans="6:19" ht="10.5" customHeight="1">
      <c r="F397" s="371"/>
      <c r="G397" s="348"/>
      <c r="H397" s="348"/>
      <c r="I397" s="348"/>
      <c r="J397" s="348"/>
      <c r="K397" s="348"/>
      <c r="L397" s="348"/>
      <c r="M397" s="348"/>
      <c r="N397" s="700" t="s">
        <v>2431</v>
      </c>
      <c r="O397" s="328"/>
      <c r="P397" s="189"/>
      <c r="Q397" s="432"/>
      <c r="R397" s="591" t="s">
        <v>1083</v>
      </c>
      <c r="S397" s="591" t="s">
        <v>2008</v>
      </c>
    </row>
    <row r="398" spans="6:19" ht="10.5" customHeight="1">
      <c r="F398" s="371"/>
      <c r="G398" s="348"/>
      <c r="H398" s="348"/>
      <c r="I398" s="348"/>
      <c r="J398" s="348"/>
      <c r="K398" s="348"/>
      <c r="L398" s="348"/>
      <c r="M398" s="348"/>
      <c r="N398" s="700" t="s">
        <v>2412</v>
      </c>
      <c r="O398" s="328"/>
      <c r="P398" s="189"/>
      <c r="Q398" s="432"/>
      <c r="R398" s="702" t="s">
        <v>426</v>
      </c>
      <c r="S398" s="702" t="s">
        <v>189</v>
      </c>
    </row>
    <row r="399" spans="6:19" ht="10.5" customHeight="1">
      <c r="F399" s="371"/>
      <c r="G399" s="348"/>
      <c r="H399" s="348"/>
      <c r="I399" s="348"/>
      <c r="J399" s="348"/>
      <c r="K399" s="348"/>
      <c r="L399" s="348"/>
      <c r="M399" s="348"/>
      <c r="N399" s="700" t="s">
        <v>2413</v>
      </c>
      <c r="O399" s="328"/>
      <c r="P399" s="189"/>
      <c r="Q399" s="432"/>
      <c r="R399" s="591" t="s">
        <v>1100</v>
      </c>
      <c r="S399" s="591" t="s">
        <v>1147</v>
      </c>
    </row>
    <row r="400" spans="6:19" ht="10.5" customHeight="1">
      <c r="F400" s="371"/>
      <c r="G400" s="348"/>
      <c r="H400" s="348"/>
      <c r="I400" s="348"/>
      <c r="J400" s="348"/>
      <c r="K400" s="348"/>
      <c r="L400" s="348"/>
      <c r="M400" s="348"/>
      <c r="N400" s="700" t="s">
        <v>2415</v>
      </c>
      <c r="O400" s="328"/>
      <c r="P400" s="189"/>
      <c r="Q400" s="432"/>
      <c r="R400" s="702" t="s">
        <v>429</v>
      </c>
      <c r="S400" s="702" t="s">
        <v>2271</v>
      </c>
    </row>
    <row r="401" spans="6:19" ht="10.5" customHeight="1">
      <c r="F401" s="371"/>
      <c r="G401" s="348"/>
      <c r="H401" s="348"/>
      <c r="I401" s="348"/>
      <c r="J401" s="348"/>
      <c r="K401" s="348"/>
      <c r="L401" s="348"/>
      <c r="M401" s="348"/>
      <c r="N401" s="700" t="s">
        <v>533</v>
      </c>
      <c r="O401" s="328"/>
      <c r="P401" s="189"/>
      <c r="Q401" s="432"/>
      <c r="R401" s="591" t="s">
        <v>2041</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2720</v>
      </c>
    </row>
    <row r="403" spans="6:19" ht="10.5" customHeight="1">
      <c r="F403" s="371"/>
      <c r="G403" s="348"/>
      <c r="H403" s="348"/>
      <c r="I403" s="348"/>
      <c r="J403" s="348"/>
      <c r="K403" s="348"/>
      <c r="L403" s="348"/>
      <c r="M403" s="348"/>
      <c r="N403" s="700" t="s">
        <v>2215</v>
      </c>
      <c r="O403" s="328"/>
      <c r="P403" s="189"/>
      <c r="Q403" s="432"/>
      <c r="R403" s="591" t="s">
        <v>2264</v>
      </c>
      <c r="S403" s="591" t="s">
        <v>1388</v>
      </c>
    </row>
    <row r="404" spans="6:19" ht="10.5" customHeight="1">
      <c r="F404" s="371"/>
      <c r="G404" s="348"/>
      <c r="H404" s="348"/>
      <c r="I404" s="348"/>
      <c r="J404" s="348"/>
      <c r="K404" s="348"/>
      <c r="L404" s="348"/>
      <c r="M404" s="348"/>
      <c r="N404" s="700" t="s">
        <v>2073</v>
      </c>
      <c r="O404" s="328"/>
      <c r="P404" s="189"/>
      <c r="Q404" s="432"/>
      <c r="R404" s="591" t="s">
        <v>1726</v>
      </c>
      <c r="S404" s="591" t="s">
        <v>2012</v>
      </c>
    </row>
    <row r="405" spans="6:19" ht="10.5" customHeight="1">
      <c r="F405" s="371"/>
      <c r="G405" s="348"/>
      <c r="H405" s="348"/>
      <c r="I405" s="348"/>
      <c r="J405" s="348"/>
      <c r="K405" s="348"/>
      <c r="L405" s="348"/>
      <c r="M405" s="348"/>
      <c r="N405" s="700" t="s">
        <v>2075</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2607</v>
      </c>
    </row>
    <row r="409" spans="6:19" ht="10.5" customHeight="1">
      <c r="F409" s="371"/>
      <c r="G409" s="348"/>
      <c r="H409" s="348"/>
      <c r="I409" s="348"/>
      <c r="J409" s="348"/>
      <c r="K409" s="348"/>
      <c r="L409" s="348"/>
      <c r="M409" s="348"/>
      <c r="N409" s="700" t="s">
        <v>1165</v>
      </c>
      <c r="O409" s="328"/>
      <c r="P409" s="189"/>
      <c r="Q409" s="432"/>
      <c r="R409" s="591" t="s">
        <v>2432</v>
      </c>
      <c r="S409" s="591" t="s">
        <v>336</v>
      </c>
    </row>
    <row r="410" spans="6:19" ht="10.5" customHeight="1">
      <c r="F410" s="371"/>
      <c r="G410" s="348"/>
      <c r="H410" s="348"/>
      <c r="I410" s="348"/>
      <c r="J410" s="348"/>
      <c r="K410" s="348"/>
      <c r="L410" s="348"/>
      <c r="M410" s="348"/>
      <c r="N410" s="700" t="s">
        <v>74</v>
      </c>
      <c r="O410" s="328"/>
      <c r="P410" s="189"/>
      <c r="Q410" s="432"/>
      <c r="R410" s="591" t="s">
        <v>3249</v>
      </c>
      <c r="S410" s="591" t="s">
        <v>2288</v>
      </c>
    </row>
    <row r="411" spans="6:19" ht="10.5" customHeight="1">
      <c r="F411" s="371"/>
      <c r="G411" s="348"/>
      <c r="H411" s="348"/>
      <c r="I411" s="348"/>
      <c r="J411" s="348"/>
      <c r="K411" s="348"/>
      <c r="L411" s="348"/>
      <c r="M411" s="348"/>
      <c r="N411" s="700" t="s">
        <v>381</v>
      </c>
      <c r="O411" s="328"/>
      <c r="P411" s="189"/>
      <c r="Q411" s="432"/>
      <c r="R411" s="704" t="s">
        <v>2414</v>
      </c>
      <c r="S411" s="591" t="s">
        <v>184</v>
      </c>
    </row>
    <row r="412" spans="6:19" ht="10.5" customHeight="1">
      <c r="F412" s="371"/>
      <c r="G412" s="348"/>
      <c r="H412" s="348"/>
      <c r="I412" s="348"/>
      <c r="J412" s="348"/>
      <c r="K412" s="348"/>
      <c r="L412" s="348"/>
      <c r="M412" s="348"/>
      <c r="N412" s="700" t="s">
        <v>2358</v>
      </c>
      <c r="O412" s="328"/>
      <c r="P412" s="189"/>
      <c r="Q412" s="432"/>
      <c r="R412" s="591" t="s">
        <v>2416</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2273</v>
      </c>
    </row>
    <row r="416" spans="6:19" ht="10.5" customHeight="1">
      <c r="F416" s="371"/>
      <c r="G416" s="348"/>
      <c r="H416" s="348"/>
      <c r="I416" s="348"/>
      <c r="J416" s="348"/>
      <c r="K416" s="348"/>
      <c r="L416" s="348"/>
      <c r="M416" s="348"/>
      <c r="N416" s="700" t="s">
        <v>2465</v>
      </c>
      <c r="O416" s="328"/>
      <c r="P416" s="189"/>
      <c r="Q416" s="432"/>
      <c r="R416" s="702" t="s">
        <v>1102</v>
      </c>
      <c r="S416" s="702" t="s">
        <v>2606</v>
      </c>
    </row>
    <row r="417" spans="6:19" ht="10.5" customHeight="1">
      <c r="F417" s="371"/>
      <c r="G417" s="348"/>
      <c r="H417" s="348"/>
      <c r="I417" s="348"/>
      <c r="J417" s="348"/>
      <c r="K417" s="348"/>
      <c r="L417" s="348"/>
      <c r="M417" s="348"/>
      <c r="N417" s="700" t="s">
        <v>490</v>
      </c>
      <c r="O417" s="328"/>
      <c r="P417" s="189"/>
      <c r="Q417" s="432"/>
      <c r="R417" s="591" t="s">
        <v>2072</v>
      </c>
      <c r="S417" s="591" t="s">
        <v>2516</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2074</v>
      </c>
      <c r="S419" s="591" t="s">
        <v>2516</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2092</v>
      </c>
      <c r="O423" s="328"/>
      <c r="P423" s="189"/>
      <c r="Q423" s="432"/>
      <c r="R423" s="591" t="s">
        <v>338</v>
      </c>
      <c r="S423" s="591" t="s">
        <v>1144</v>
      </c>
    </row>
    <row r="424" spans="6:19" ht="10.5" customHeight="1">
      <c r="F424" s="371"/>
      <c r="G424" s="348"/>
      <c r="H424" s="348"/>
      <c r="I424" s="348"/>
      <c r="J424" s="348"/>
      <c r="K424" s="348"/>
      <c r="L424" s="348"/>
      <c r="M424" s="348"/>
      <c r="N424" s="700" t="s">
        <v>2093</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2016</v>
      </c>
    </row>
    <row r="426" spans="6:19" ht="10.5" customHeight="1">
      <c r="F426" s="371"/>
      <c r="G426" s="348"/>
      <c r="H426" s="348"/>
      <c r="I426" s="348"/>
      <c r="J426" s="348"/>
      <c r="K426" s="348"/>
      <c r="L426" s="348"/>
      <c r="M426" s="348"/>
      <c r="N426" s="700" t="s">
        <v>79</v>
      </c>
      <c r="O426" s="328"/>
      <c r="P426" s="189"/>
      <c r="Q426" s="432"/>
      <c r="R426" s="702" t="s">
        <v>2359</v>
      </c>
      <c r="S426" s="702" t="s">
        <v>1396</v>
      </c>
    </row>
    <row r="427" spans="6:19" ht="10.5" customHeight="1">
      <c r="F427" s="371"/>
      <c r="G427" s="348"/>
      <c r="H427" s="348"/>
      <c r="I427" s="348"/>
      <c r="J427" s="348"/>
      <c r="K427" s="348"/>
      <c r="L427" s="348"/>
      <c r="M427" s="348"/>
      <c r="N427" s="700" t="s">
        <v>2532</v>
      </c>
      <c r="O427" s="328"/>
      <c r="P427" s="189"/>
      <c r="Q427" s="432"/>
      <c r="R427" s="591" t="s">
        <v>1842</v>
      </c>
      <c r="S427" s="591" t="s">
        <v>2107</v>
      </c>
    </row>
    <row r="428" spans="6:19" ht="10.5" customHeight="1">
      <c r="F428" s="371"/>
      <c r="G428" s="348"/>
      <c r="H428" s="348"/>
      <c r="I428" s="348"/>
      <c r="J428" s="348"/>
      <c r="K428" s="348"/>
      <c r="L428" s="348"/>
      <c r="M428" s="348"/>
      <c r="N428" s="700" t="s">
        <v>2302</v>
      </c>
      <c r="O428" s="328"/>
      <c r="P428" s="189"/>
      <c r="Q428" s="432"/>
      <c r="R428" s="591" t="s">
        <v>1844</v>
      </c>
      <c r="S428" s="591" t="s">
        <v>110</v>
      </c>
    </row>
    <row r="429" spans="6:19" ht="10.5" customHeight="1">
      <c r="F429" s="371"/>
      <c r="G429" s="348"/>
      <c r="H429" s="348"/>
      <c r="I429" s="348"/>
      <c r="J429" s="348"/>
      <c r="K429" s="348"/>
      <c r="L429" s="348"/>
      <c r="M429" s="348"/>
      <c r="N429" s="700" t="s">
        <v>2303</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2464</v>
      </c>
      <c r="S430" s="591" t="s">
        <v>2606</v>
      </c>
    </row>
    <row r="431" spans="6:19" ht="10.5" customHeight="1">
      <c r="F431" s="371"/>
      <c r="G431" s="348"/>
      <c r="H431" s="348"/>
      <c r="I431" s="348"/>
      <c r="J431" s="348"/>
      <c r="K431" s="348"/>
      <c r="L431" s="348"/>
      <c r="M431" s="348"/>
      <c r="N431" s="700" t="s">
        <v>1014</v>
      </c>
      <c r="O431" s="328"/>
      <c r="P431" s="189"/>
      <c r="Q431" s="432"/>
      <c r="R431" s="591" t="s">
        <v>2466</v>
      </c>
      <c r="S431" s="591" t="s">
        <v>2282</v>
      </c>
    </row>
    <row r="432" spans="6:19" ht="10.5" customHeight="1">
      <c r="F432" s="371"/>
      <c r="G432" s="348"/>
      <c r="H432" s="348"/>
      <c r="I432" s="348"/>
      <c r="J432" s="348"/>
      <c r="K432" s="348"/>
      <c r="L432" s="348"/>
      <c r="M432" s="348"/>
      <c r="N432" s="700" t="s">
        <v>1566</v>
      </c>
      <c r="O432" s="328"/>
      <c r="P432" s="189"/>
      <c r="Q432" s="432"/>
      <c r="R432" s="591" t="s">
        <v>492</v>
      </c>
      <c r="S432" s="591" t="s">
        <v>2609</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2448</v>
      </c>
      <c r="O437" s="328"/>
      <c r="P437" s="189"/>
      <c r="Q437" s="432"/>
      <c r="R437" s="591" t="s">
        <v>1303</v>
      </c>
      <c r="S437" s="591" t="s">
        <v>345</v>
      </c>
    </row>
    <row r="438" spans="6:19" ht="10.5" customHeight="1">
      <c r="F438" s="371"/>
      <c r="G438" s="348"/>
      <c r="H438" s="348"/>
      <c r="I438" s="348"/>
      <c r="J438" s="348"/>
      <c r="K438" s="348"/>
      <c r="L438" s="348"/>
      <c r="M438" s="348"/>
      <c r="N438" s="700" t="s">
        <v>2724</v>
      </c>
      <c r="O438" s="328"/>
      <c r="P438" s="189"/>
      <c r="Q438" s="432"/>
      <c r="R438" s="591" t="s">
        <v>3250</v>
      </c>
      <c r="S438" s="591" t="s">
        <v>2659</v>
      </c>
    </row>
    <row r="439" spans="6:19" ht="10.5" customHeight="1">
      <c r="F439" s="371"/>
      <c r="G439" s="348"/>
      <c r="H439" s="348"/>
      <c r="I439" s="348"/>
      <c r="J439" s="348"/>
      <c r="K439" s="348"/>
      <c r="L439" s="348"/>
      <c r="M439" s="348"/>
      <c r="N439" s="700" t="s">
        <v>1342</v>
      </c>
      <c r="O439" s="328"/>
      <c r="P439" s="189"/>
      <c r="Q439" s="432"/>
      <c r="R439" s="591" t="s">
        <v>2094</v>
      </c>
      <c r="S439" s="591" t="s">
        <v>2106</v>
      </c>
    </row>
    <row r="440" spans="6:19" ht="10.5" customHeight="1">
      <c r="F440" s="371"/>
      <c r="G440" s="348"/>
      <c r="H440" s="348"/>
      <c r="I440" s="348"/>
      <c r="J440" s="348"/>
      <c r="K440" s="348"/>
      <c r="L440" s="348"/>
      <c r="M440" s="348"/>
      <c r="N440" s="700" t="s">
        <v>1584</v>
      </c>
      <c r="O440" s="328"/>
      <c r="P440" s="189"/>
      <c r="Q440" s="432"/>
      <c r="R440" s="591" t="s">
        <v>78</v>
      </c>
      <c r="S440" s="591" t="s">
        <v>2012</v>
      </c>
    </row>
    <row r="441" spans="6:19" ht="10.5" customHeight="1">
      <c r="F441" s="371"/>
      <c r="G441" s="348"/>
      <c r="H441" s="348"/>
      <c r="I441" s="348"/>
      <c r="J441" s="348"/>
      <c r="K441" s="348"/>
      <c r="L441" s="348"/>
      <c r="M441" s="348"/>
      <c r="N441" s="700" t="s">
        <v>861</v>
      </c>
      <c r="O441" s="328"/>
      <c r="P441" s="189"/>
      <c r="Q441" s="432"/>
      <c r="R441" s="591" t="s">
        <v>663</v>
      </c>
      <c r="S441" s="591" t="s">
        <v>2606</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2533</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2656</v>
      </c>
    </row>
    <row r="451" spans="6:19" ht="10.5" customHeight="1">
      <c r="F451" s="371"/>
      <c r="G451" s="348"/>
      <c r="H451" s="348"/>
      <c r="I451" s="348"/>
      <c r="J451" s="348"/>
      <c r="K451" s="348"/>
      <c r="L451" s="348"/>
      <c r="M451" s="348"/>
      <c r="N451" s="700" t="s">
        <v>1461</v>
      </c>
      <c r="O451" s="328"/>
      <c r="P451" s="189"/>
      <c r="Q451" s="432"/>
      <c r="R451" s="591" t="s">
        <v>1572</v>
      </c>
      <c r="S451" s="591" t="s">
        <v>2280</v>
      </c>
    </row>
    <row r="452" spans="6:19" ht="10.5" customHeight="1">
      <c r="F452" s="371"/>
      <c r="G452" s="348"/>
      <c r="H452" s="348"/>
      <c r="I452" s="348"/>
      <c r="J452" s="348"/>
      <c r="K452" s="348"/>
      <c r="L452" s="348"/>
      <c r="M452" s="348"/>
      <c r="N452" s="700" t="s">
        <v>1463</v>
      </c>
      <c r="O452" s="328"/>
      <c r="P452" s="189"/>
      <c r="Q452" s="432"/>
      <c r="R452" s="591" t="s">
        <v>2447</v>
      </c>
      <c r="S452" s="591" t="s">
        <v>2719</v>
      </c>
    </row>
    <row r="453" spans="6:19" ht="10.5" customHeight="1">
      <c r="F453" s="371"/>
      <c r="G453" s="348"/>
      <c r="H453" s="348"/>
      <c r="I453" s="348"/>
      <c r="J453" s="348"/>
      <c r="K453" s="348"/>
      <c r="L453" s="348"/>
      <c r="M453" s="348"/>
      <c r="N453" s="700" t="s">
        <v>1465</v>
      </c>
      <c r="O453" s="328"/>
      <c r="P453" s="189"/>
      <c r="Q453" s="432"/>
      <c r="R453" s="591" t="s">
        <v>2449</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2104</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2106</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2107</v>
      </c>
    </row>
    <row r="462" spans="6:19" ht="10.5" customHeight="1">
      <c r="F462" s="371"/>
      <c r="G462" s="348"/>
      <c r="H462" s="348"/>
      <c r="I462" s="348"/>
      <c r="J462" s="348"/>
      <c r="K462" s="348"/>
      <c r="L462" s="348"/>
      <c r="M462" s="348"/>
      <c r="N462" s="700" t="s">
        <v>1653</v>
      </c>
      <c r="O462" s="328"/>
      <c r="P462" s="189"/>
      <c r="Q462" s="432"/>
      <c r="R462" s="591" t="s">
        <v>261</v>
      </c>
      <c r="S462" s="591" t="s">
        <v>1975</v>
      </c>
    </row>
    <row r="463" spans="6:19" ht="10.5" customHeight="1">
      <c r="F463" s="371"/>
      <c r="G463" s="348"/>
      <c r="H463" s="348"/>
      <c r="I463" s="348"/>
      <c r="J463" s="348"/>
      <c r="K463" s="348"/>
      <c r="L463" s="348"/>
      <c r="M463" s="348"/>
      <c r="N463" s="700" t="s">
        <v>1654</v>
      </c>
      <c r="O463" s="328"/>
      <c r="P463" s="189"/>
      <c r="Q463" s="432"/>
      <c r="R463" s="702" t="s">
        <v>1582</v>
      </c>
      <c r="S463" s="702" t="s">
        <v>2106</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2606</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2278</v>
      </c>
    </row>
    <row r="470" spans="6:19" ht="10.5" customHeight="1">
      <c r="F470" s="371"/>
      <c r="G470" s="348"/>
      <c r="H470" s="348"/>
      <c r="I470" s="348"/>
      <c r="J470" s="348"/>
      <c r="K470" s="348"/>
      <c r="L470" s="348"/>
      <c r="M470" s="348"/>
      <c r="N470" s="700" t="s">
        <v>1138</v>
      </c>
      <c r="O470" s="328"/>
      <c r="P470" s="189"/>
      <c r="Q470" s="432"/>
      <c r="R470" s="591" t="s">
        <v>1467</v>
      </c>
      <c r="S470" s="591" t="s">
        <v>1975</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2615</v>
      </c>
      <c r="S472" s="591" t="s">
        <v>2006</v>
      </c>
    </row>
    <row r="473" spans="6:19" ht="10.5" customHeight="1">
      <c r="F473" s="371"/>
      <c r="G473" s="348"/>
      <c r="H473" s="348"/>
      <c r="I473" s="348"/>
      <c r="J473" s="348"/>
      <c r="K473" s="348"/>
      <c r="L473" s="348"/>
      <c r="M473" s="348"/>
      <c r="N473" s="700" t="s">
        <v>271</v>
      </c>
      <c r="O473" s="328"/>
      <c r="P473" s="189"/>
      <c r="Q473" s="432"/>
      <c r="R473" s="591" t="s">
        <v>1108</v>
      </c>
      <c r="S473" s="591" t="s">
        <v>2609</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2433</v>
      </c>
      <c r="O475" s="328"/>
      <c r="P475" s="189"/>
      <c r="Q475" s="432"/>
      <c r="R475" s="591" t="s">
        <v>184</v>
      </c>
      <c r="S475" s="591" t="s">
        <v>2712</v>
      </c>
    </row>
    <row r="476" spans="6:19" ht="10.5" customHeight="1">
      <c r="F476" s="371"/>
      <c r="G476" s="348"/>
      <c r="H476" s="348"/>
      <c r="I476" s="348"/>
      <c r="J476" s="348"/>
      <c r="K476" s="348"/>
      <c r="L476" s="348"/>
      <c r="M476" s="348"/>
      <c r="N476" s="700" t="s">
        <v>502</v>
      </c>
      <c r="O476" s="328"/>
      <c r="P476" s="189"/>
      <c r="Q476" s="432"/>
      <c r="R476" s="591" t="s">
        <v>1650</v>
      </c>
      <c r="S476" s="591" t="s">
        <v>2286</v>
      </c>
    </row>
    <row r="477" spans="6:19" ht="10.5" customHeight="1">
      <c r="F477" s="371"/>
      <c r="G477" s="348"/>
      <c r="H477" s="348"/>
      <c r="I477" s="348"/>
      <c r="J477" s="348"/>
      <c r="K477" s="348"/>
      <c r="L477" s="348"/>
      <c r="M477" s="348"/>
      <c r="N477" s="700" t="s">
        <v>1366</v>
      </c>
      <c r="O477" s="328"/>
      <c r="P477" s="189"/>
      <c r="Q477" s="432"/>
      <c r="R477" s="591" t="s">
        <v>1652</v>
      </c>
      <c r="S477" s="591" t="s">
        <v>1975</v>
      </c>
    </row>
    <row r="478" spans="6:19" ht="10.5" customHeight="1">
      <c r="F478" s="371"/>
      <c r="G478" s="348"/>
      <c r="H478" s="348"/>
      <c r="I478" s="348"/>
      <c r="J478" s="348"/>
      <c r="K478" s="348"/>
      <c r="L478" s="348"/>
      <c r="M478" s="348"/>
      <c r="N478" s="700" t="s">
        <v>682</v>
      </c>
      <c r="O478" s="328"/>
      <c r="P478" s="189"/>
      <c r="Q478" s="432"/>
      <c r="R478" s="591" t="s">
        <v>1655</v>
      </c>
      <c r="S478" s="591" t="s">
        <v>2717</v>
      </c>
    </row>
    <row r="479" spans="6:19" ht="10.5" customHeight="1">
      <c r="F479" s="371"/>
      <c r="G479" s="348"/>
      <c r="H479" s="348"/>
      <c r="I479" s="348"/>
      <c r="J479" s="348"/>
      <c r="K479" s="348"/>
      <c r="L479" s="348"/>
      <c r="M479" s="348"/>
      <c r="N479" s="700" t="s">
        <v>723</v>
      </c>
      <c r="O479" s="328"/>
      <c r="P479" s="189"/>
      <c r="Q479" s="432"/>
      <c r="R479" s="591" t="s">
        <v>391</v>
      </c>
      <c r="S479" s="591" t="s">
        <v>2609</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2276</v>
      </c>
    </row>
    <row r="482" spans="6:19" ht="10.5" customHeight="1">
      <c r="F482" s="371"/>
      <c r="G482" s="348"/>
      <c r="H482" s="348"/>
      <c r="I482" s="348"/>
      <c r="J482" s="348"/>
      <c r="K482" s="348"/>
      <c r="L482" s="348"/>
      <c r="M482" s="348"/>
      <c r="N482" s="700" t="s">
        <v>548</v>
      </c>
      <c r="O482" s="328"/>
      <c r="P482" s="189"/>
      <c r="Q482" s="432"/>
      <c r="R482" s="591" t="s">
        <v>1685</v>
      </c>
      <c r="S482" s="591" t="s">
        <v>2655</v>
      </c>
    </row>
    <row r="483" spans="6:19" ht="10.5" customHeight="1">
      <c r="F483" s="371"/>
      <c r="G483" s="348"/>
      <c r="H483" s="348"/>
      <c r="I483" s="348"/>
      <c r="J483" s="348"/>
      <c r="K483" s="348"/>
      <c r="L483" s="348"/>
      <c r="M483" s="348"/>
      <c r="N483" s="700" t="s">
        <v>550</v>
      </c>
      <c r="O483" s="328"/>
      <c r="P483" s="189"/>
      <c r="Q483" s="432"/>
      <c r="R483" s="591" t="s">
        <v>3251</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2719</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2516</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2178</v>
      </c>
      <c r="O490" s="328"/>
      <c r="P490" s="189"/>
      <c r="Q490" s="432"/>
      <c r="R490" s="591" t="s">
        <v>2434</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3252</v>
      </c>
      <c r="S492" s="591" t="s">
        <v>2286</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2722</v>
      </c>
      <c r="O500" s="328"/>
      <c r="P500" s="189"/>
      <c r="Q500" s="432"/>
      <c r="R500" s="591" t="s">
        <v>568</v>
      </c>
      <c r="S500" s="591" t="s">
        <v>445</v>
      </c>
    </row>
    <row r="501" spans="6:19" ht="10.5" customHeight="1">
      <c r="F501" s="371"/>
      <c r="G501" s="348"/>
      <c r="H501" s="348"/>
      <c r="I501" s="348"/>
      <c r="J501" s="348"/>
      <c r="K501" s="348"/>
      <c r="L501" s="348"/>
      <c r="M501" s="348"/>
      <c r="N501" s="700" t="s">
        <v>2195</v>
      </c>
      <c r="O501" s="328"/>
      <c r="P501" s="189"/>
      <c r="Q501" s="432"/>
      <c r="R501" s="702" t="s">
        <v>729</v>
      </c>
      <c r="S501" s="702" t="s">
        <v>1265</v>
      </c>
    </row>
    <row r="502" spans="6:19" ht="10.5" customHeight="1">
      <c r="F502" s="371"/>
      <c r="G502" s="348"/>
      <c r="H502" s="348"/>
      <c r="I502" s="348"/>
      <c r="J502" s="348"/>
      <c r="K502" s="348"/>
      <c r="L502" s="348"/>
      <c r="M502" s="348"/>
      <c r="N502" s="700" t="s">
        <v>2197</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2452</v>
      </c>
      <c r="O504" s="328"/>
      <c r="P504" s="189"/>
      <c r="Q504" s="432"/>
      <c r="R504" s="591" t="s">
        <v>2179</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2107</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2393</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2356</v>
      </c>
      <c r="O510" s="328"/>
      <c r="P510" s="189"/>
      <c r="Q510" s="432"/>
      <c r="R510" s="591" t="s">
        <v>1110</v>
      </c>
      <c r="S510" s="591" t="s">
        <v>180</v>
      </c>
    </row>
    <row r="511" spans="6:19" ht="10.5" customHeight="1">
      <c r="F511" s="371"/>
      <c r="G511" s="348"/>
      <c r="H511" s="348"/>
      <c r="I511" s="348"/>
      <c r="J511" s="348"/>
      <c r="K511" s="348"/>
      <c r="L511" s="348"/>
      <c r="M511" s="348"/>
      <c r="N511" s="700" t="s">
        <v>2384</v>
      </c>
      <c r="O511" s="328"/>
      <c r="P511" s="189"/>
      <c r="Q511" s="432"/>
      <c r="R511" s="591" t="s">
        <v>140</v>
      </c>
      <c r="S511" s="591" t="s">
        <v>2658</v>
      </c>
    </row>
    <row r="512" spans="6:19" ht="10.5" customHeight="1">
      <c r="F512" s="371"/>
      <c r="G512" s="348"/>
      <c r="H512" s="348"/>
      <c r="I512" s="348"/>
      <c r="J512" s="348"/>
      <c r="K512" s="348"/>
      <c r="L512" s="348"/>
      <c r="M512" s="348"/>
      <c r="N512" s="700" t="s">
        <v>407</v>
      </c>
      <c r="O512" s="328"/>
      <c r="P512" s="189"/>
      <c r="Q512" s="432"/>
      <c r="R512" s="591" t="s">
        <v>2712</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2606</v>
      </c>
    </row>
    <row r="515" spans="6:19" ht="10.5" customHeight="1">
      <c r="F515" s="371"/>
      <c r="G515" s="348"/>
      <c r="H515" s="348"/>
      <c r="I515" s="348"/>
      <c r="J515" s="348"/>
      <c r="K515" s="348"/>
      <c r="L515" s="348"/>
      <c r="M515" s="348"/>
      <c r="N515" s="700" t="s">
        <v>413</v>
      </c>
      <c r="O515" s="328"/>
      <c r="P515" s="189"/>
      <c r="Q515" s="432"/>
      <c r="R515" s="702" t="s">
        <v>2723</v>
      </c>
      <c r="S515" s="702" t="s">
        <v>1389</v>
      </c>
    </row>
    <row r="516" spans="6:19" ht="10.5" customHeight="1">
      <c r="F516" s="371"/>
      <c r="G516" s="348"/>
      <c r="H516" s="348"/>
      <c r="I516" s="348"/>
      <c r="J516" s="348"/>
      <c r="K516" s="348"/>
      <c r="L516" s="348"/>
      <c r="M516" s="348"/>
      <c r="N516" s="700" t="s">
        <v>1660</v>
      </c>
      <c r="O516" s="328"/>
      <c r="P516" s="189"/>
      <c r="Q516" s="432"/>
      <c r="R516" s="702" t="s">
        <v>2196</v>
      </c>
      <c r="S516" s="702" t="s">
        <v>2612</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2721</v>
      </c>
      <c r="O519" s="328"/>
      <c r="P519" s="189"/>
      <c r="Q519" s="432"/>
      <c r="R519" s="591" t="s">
        <v>742</v>
      </c>
      <c r="S519" s="591" t="s">
        <v>773</v>
      </c>
    </row>
    <row r="520" spans="6:19" ht="10.5" customHeight="1">
      <c r="F520" s="371"/>
      <c r="G520" s="348"/>
      <c r="H520" s="348"/>
      <c r="I520" s="348"/>
      <c r="J520" s="348"/>
      <c r="K520" s="348"/>
      <c r="L520" s="348"/>
      <c r="M520" s="348"/>
      <c r="N520" s="700" t="s">
        <v>2575</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2394</v>
      </c>
      <c r="S521" s="591" t="s">
        <v>1265</v>
      </c>
    </row>
    <row r="522" spans="6:19" ht="10.5" customHeight="1">
      <c r="F522" s="371"/>
      <c r="G522" s="348"/>
      <c r="H522" s="348"/>
      <c r="I522" s="348"/>
      <c r="J522" s="348"/>
      <c r="K522" s="348"/>
      <c r="L522" s="348"/>
      <c r="M522" s="348"/>
      <c r="N522" s="700" t="s">
        <v>1922</v>
      </c>
      <c r="O522" s="328"/>
      <c r="P522" s="189"/>
      <c r="Q522" s="432"/>
      <c r="R522" s="591" t="s">
        <v>2394</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2357</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2717</v>
      </c>
    </row>
    <row r="528" spans="6:19" ht="10.5" customHeight="1">
      <c r="F528" s="371"/>
      <c r="G528" s="348"/>
      <c r="H528" s="348"/>
      <c r="I528" s="348"/>
      <c r="J528" s="348"/>
      <c r="K528" s="348"/>
      <c r="L528" s="348"/>
      <c r="M528" s="348"/>
      <c r="N528" s="700" t="s">
        <v>1933</v>
      </c>
      <c r="O528" s="328"/>
      <c r="P528" s="189"/>
      <c r="Q528" s="432"/>
      <c r="R528" s="591" t="s">
        <v>410</v>
      </c>
      <c r="S528" s="591" t="s">
        <v>2271</v>
      </c>
    </row>
    <row r="529" spans="6:19" ht="10.5" customHeight="1">
      <c r="F529" s="371"/>
      <c r="G529" s="348"/>
      <c r="H529" s="348"/>
      <c r="I529" s="348"/>
      <c r="J529" s="348"/>
      <c r="K529" s="348"/>
      <c r="L529" s="348"/>
      <c r="M529" s="348"/>
      <c r="N529" s="700" t="s">
        <v>1934</v>
      </c>
      <c r="O529" s="328"/>
      <c r="P529" s="189"/>
      <c r="Q529" s="432"/>
      <c r="R529" s="591" t="s">
        <v>412</v>
      </c>
      <c r="S529" s="591" t="s">
        <v>2658</v>
      </c>
    </row>
    <row r="530" spans="6:19" ht="10.5" customHeight="1">
      <c r="F530" s="371"/>
      <c r="G530" s="348"/>
      <c r="H530" s="348"/>
      <c r="I530" s="348"/>
      <c r="J530" s="348"/>
      <c r="K530" s="348"/>
      <c r="L530" s="348"/>
      <c r="M530" s="348"/>
      <c r="N530" s="700" t="s">
        <v>1900</v>
      </c>
      <c r="O530" s="328"/>
      <c r="P530" s="189"/>
      <c r="Q530" s="432"/>
      <c r="R530" s="591" t="s">
        <v>2717</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2610</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2382</v>
      </c>
      <c r="O534" s="328"/>
      <c r="P534" s="189"/>
      <c r="Q534" s="432"/>
      <c r="R534" s="702" t="s">
        <v>2574</v>
      </c>
      <c r="S534" s="702" t="s">
        <v>2612</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2154</v>
      </c>
      <c r="O538" s="328"/>
      <c r="P538" s="189"/>
      <c r="Q538" s="432"/>
      <c r="R538" s="591" t="s">
        <v>1910</v>
      </c>
      <c r="S538" s="591" t="s">
        <v>2718</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2351</v>
      </c>
    </row>
    <row r="541" spans="6:19" ht="10.5" customHeight="1">
      <c r="F541" s="371"/>
      <c r="G541" s="348"/>
      <c r="H541" s="348"/>
      <c r="I541" s="348"/>
      <c r="J541" s="348"/>
      <c r="K541" s="348"/>
      <c r="L541" s="348"/>
      <c r="M541" s="348"/>
      <c r="N541" s="700" t="s">
        <v>1524</v>
      </c>
      <c r="O541" s="328"/>
      <c r="P541" s="189"/>
      <c r="Q541" s="432"/>
      <c r="R541" s="591" t="s">
        <v>1926</v>
      </c>
      <c r="S541" s="591" t="s">
        <v>2351</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2220</v>
      </c>
      <c r="O543" s="328"/>
      <c r="P543" s="189"/>
      <c r="Q543" s="432"/>
      <c r="R543" s="591" t="s">
        <v>1930</v>
      </c>
      <c r="S543" s="591" t="s">
        <v>1746</v>
      </c>
    </row>
    <row r="544" spans="6:19" ht="10.5" customHeight="1">
      <c r="F544" s="371"/>
      <c r="G544" s="348"/>
      <c r="H544" s="348"/>
      <c r="I544" s="348"/>
      <c r="J544" s="348"/>
      <c r="K544" s="348"/>
      <c r="L544" s="348"/>
      <c r="M544" s="348"/>
      <c r="N544" s="700" t="s">
        <v>2222</v>
      </c>
      <c r="O544" s="328"/>
      <c r="P544" s="189"/>
      <c r="Q544" s="432"/>
      <c r="R544" s="591" t="s">
        <v>1932</v>
      </c>
      <c r="S544" s="591" t="s">
        <v>334</v>
      </c>
    </row>
    <row r="545" spans="6:19" ht="10.5" customHeight="1">
      <c r="F545" s="371"/>
      <c r="G545" s="348"/>
      <c r="H545" s="348"/>
      <c r="I545" s="348"/>
      <c r="J545" s="348"/>
      <c r="K545" s="348"/>
      <c r="L545" s="348"/>
      <c r="M545" s="348"/>
      <c r="N545" s="700" t="s">
        <v>2224</v>
      </c>
      <c r="O545" s="328"/>
      <c r="P545" s="189"/>
      <c r="Q545" s="432"/>
      <c r="R545" s="702" t="s">
        <v>2718</v>
      </c>
      <c r="S545" s="702" t="s">
        <v>108</v>
      </c>
    </row>
    <row r="546" spans="6:19" ht="10.5" customHeight="1">
      <c r="F546" s="371"/>
      <c r="G546" s="348"/>
      <c r="H546" s="348"/>
      <c r="I546" s="348"/>
      <c r="J546" s="348"/>
      <c r="K546" s="348"/>
      <c r="L546" s="348"/>
      <c r="M546" s="348"/>
      <c r="N546" s="700" t="s">
        <v>1513</v>
      </c>
      <c r="O546" s="328"/>
      <c r="P546" s="189"/>
      <c r="Q546" s="432"/>
      <c r="R546" s="591" t="s">
        <v>2043</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2719</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2271</v>
      </c>
    </row>
    <row r="550" spans="6:19" ht="10.5" customHeight="1">
      <c r="F550" s="371"/>
      <c r="G550" s="348"/>
      <c r="H550" s="348"/>
      <c r="I550" s="348"/>
      <c r="J550" s="348"/>
      <c r="K550" s="348"/>
      <c r="L550" s="348"/>
      <c r="M550" s="348"/>
      <c r="N550" s="700" t="s">
        <v>2152</v>
      </c>
      <c r="O550" s="328"/>
      <c r="P550" s="189"/>
      <c r="Q550" s="432"/>
      <c r="R550" s="591" t="s">
        <v>873</v>
      </c>
      <c r="S550" s="591" t="s">
        <v>2278</v>
      </c>
    </row>
    <row r="551" spans="6:19" ht="10.5" customHeight="1">
      <c r="F551" s="371"/>
      <c r="G551" s="348"/>
      <c r="H551" s="348"/>
      <c r="I551" s="348"/>
      <c r="J551" s="348"/>
      <c r="K551" s="348"/>
      <c r="L551" s="348"/>
      <c r="M551" s="348"/>
      <c r="N551" s="700" t="s">
        <v>1966</v>
      </c>
      <c r="O551" s="328"/>
      <c r="P551" s="189"/>
      <c r="Q551" s="432"/>
      <c r="R551" s="591" t="s">
        <v>2381</v>
      </c>
      <c r="S551" s="591" t="s">
        <v>1748</v>
      </c>
    </row>
    <row r="552" spans="6:19" ht="10.5" customHeight="1">
      <c r="F552" s="371"/>
      <c r="G552" s="348"/>
      <c r="H552" s="348"/>
      <c r="I552" s="348"/>
      <c r="J552" s="348"/>
      <c r="K552" s="348"/>
      <c r="L552" s="348"/>
      <c r="M552" s="348"/>
      <c r="N552" s="700" t="s">
        <v>289</v>
      </c>
      <c r="O552" s="328"/>
      <c r="P552" s="189"/>
      <c r="Q552" s="432"/>
      <c r="R552" s="591" t="s">
        <v>2383</v>
      </c>
      <c r="S552" s="591" t="s">
        <v>2275</v>
      </c>
    </row>
    <row r="553" spans="6:19" ht="10.5" customHeight="1">
      <c r="F553" s="371"/>
      <c r="G553" s="348"/>
      <c r="H553" s="348"/>
      <c r="I553" s="348"/>
      <c r="J553" s="348"/>
      <c r="K553" s="348"/>
      <c r="L553" s="348"/>
      <c r="M553" s="348"/>
      <c r="N553" s="700" t="s">
        <v>1769</v>
      </c>
      <c r="O553" s="328"/>
      <c r="P553" s="189"/>
      <c r="Q553" s="432"/>
      <c r="R553" s="591" t="s">
        <v>584</v>
      </c>
      <c r="S553" s="591" t="s">
        <v>2717</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3253</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3254</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2221</v>
      </c>
      <c r="S563" s="591" t="s">
        <v>1712</v>
      </c>
    </row>
    <row r="564" spans="6:19" ht="10.5" customHeight="1">
      <c r="F564" s="371"/>
      <c r="G564" s="348"/>
      <c r="H564" s="348"/>
      <c r="I564" s="348"/>
      <c r="J564" s="348"/>
      <c r="K564" s="348"/>
      <c r="L564" s="348"/>
      <c r="M564" s="348"/>
      <c r="N564" s="700" t="s">
        <v>1189</v>
      </c>
      <c r="O564" s="328"/>
      <c r="P564" s="189"/>
      <c r="Q564" s="432"/>
      <c r="R564" s="702" t="s">
        <v>2223</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3255</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2244</v>
      </c>
      <c r="O570" s="328"/>
      <c r="P570" s="189"/>
      <c r="Q570" s="432"/>
      <c r="R570" s="591" t="s">
        <v>1633</v>
      </c>
      <c r="S570" s="591" t="s">
        <v>328</v>
      </c>
    </row>
    <row r="571" spans="6:19" ht="10.5" customHeight="1">
      <c r="F571" s="371"/>
      <c r="G571" s="348"/>
      <c r="H571" s="348"/>
      <c r="I571" s="348"/>
      <c r="J571" s="348"/>
      <c r="K571" s="348"/>
      <c r="L571" s="348"/>
      <c r="M571" s="348"/>
      <c r="N571" s="700" t="s">
        <v>2246</v>
      </c>
      <c r="O571" s="328"/>
      <c r="P571" s="189"/>
      <c r="Q571" s="432"/>
      <c r="R571" s="591" t="s">
        <v>2153</v>
      </c>
      <c r="S571" s="591" t="s">
        <v>998</v>
      </c>
    </row>
    <row r="572" spans="6:19" ht="10.5" customHeight="1">
      <c r="F572" s="371"/>
      <c r="G572" s="348"/>
      <c r="H572" s="348"/>
      <c r="I572" s="348"/>
      <c r="J572" s="348"/>
      <c r="K572" s="348"/>
      <c r="L572" s="348"/>
      <c r="M572" s="348"/>
      <c r="N572" s="700" t="s">
        <v>2248</v>
      </c>
      <c r="O572" s="328"/>
      <c r="P572" s="189"/>
      <c r="Q572" s="432"/>
      <c r="R572" s="591" t="s">
        <v>1967</v>
      </c>
      <c r="S572" s="591" t="s">
        <v>2048</v>
      </c>
    </row>
    <row r="573" spans="6:19" ht="10.5" customHeight="1">
      <c r="F573" s="371"/>
      <c r="G573" s="348"/>
      <c r="H573" s="348"/>
      <c r="I573" s="348"/>
      <c r="J573" s="348"/>
      <c r="K573" s="348"/>
      <c r="L573" s="348"/>
      <c r="M573" s="348"/>
      <c r="N573" s="700" t="s">
        <v>2250</v>
      </c>
      <c r="O573" s="328"/>
      <c r="P573" s="189"/>
      <c r="Q573" s="432"/>
      <c r="R573" s="591" t="s">
        <v>290</v>
      </c>
      <c r="S573" s="591" t="s">
        <v>2048</v>
      </c>
    </row>
    <row r="574" spans="6:19" ht="10.5" customHeight="1">
      <c r="F574" s="371"/>
      <c r="G574" s="348"/>
      <c r="H574" s="348"/>
      <c r="I574" s="348"/>
      <c r="J574" s="348"/>
      <c r="K574" s="348"/>
      <c r="L574" s="348"/>
      <c r="M574" s="348"/>
      <c r="N574" s="700" t="s">
        <v>2252</v>
      </c>
      <c r="O574" s="328"/>
      <c r="P574" s="189"/>
      <c r="Q574" s="432"/>
      <c r="R574" s="591" t="s">
        <v>1770</v>
      </c>
      <c r="S574" s="591" t="s">
        <v>2280</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2116</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2717</v>
      </c>
    </row>
    <row r="580" spans="6:19" ht="10.5" customHeight="1">
      <c r="F580" s="371"/>
      <c r="G580" s="348"/>
      <c r="H580" s="348"/>
      <c r="I580" s="348"/>
      <c r="J580" s="348"/>
      <c r="K580" s="348"/>
      <c r="L580" s="348"/>
      <c r="M580" s="348"/>
      <c r="N580" s="700" t="s">
        <v>64</v>
      </c>
      <c r="O580" s="328"/>
      <c r="P580" s="189"/>
      <c r="Q580" s="432"/>
      <c r="R580" s="591" t="s">
        <v>1078</v>
      </c>
      <c r="S580" s="591" t="s">
        <v>2518</v>
      </c>
    </row>
    <row r="581" spans="6:19" ht="10.5" customHeight="1">
      <c r="F581" s="371"/>
      <c r="G581" s="348"/>
      <c r="H581" s="348"/>
      <c r="I581" s="348"/>
      <c r="J581" s="348"/>
      <c r="K581" s="348"/>
      <c r="L581" s="348"/>
      <c r="M581" s="348"/>
      <c r="N581" s="700" t="s">
        <v>66</v>
      </c>
      <c r="O581" s="328"/>
      <c r="P581" s="189"/>
      <c r="Q581" s="432"/>
      <c r="R581" s="591" t="s">
        <v>1838</v>
      </c>
      <c r="S581" s="591" t="s">
        <v>2609</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2514</v>
      </c>
    </row>
    <row r="590" spans="6:19" ht="10.5" customHeight="1">
      <c r="F590" s="371"/>
      <c r="G590" s="348"/>
      <c r="H590" s="348"/>
      <c r="I590" s="348"/>
      <c r="J590" s="348"/>
      <c r="K590" s="348"/>
      <c r="L590" s="348"/>
      <c r="M590" s="348"/>
      <c r="N590" s="700" t="s">
        <v>1092</v>
      </c>
      <c r="O590" s="328"/>
      <c r="P590" s="189"/>
      <c r="Q590" s="432"/>
      <c r="R590" s="591" t="s">
        <v>9</v>
      </c>
      <c r="S590" s="591" t="s">
        <v>2014</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2374</v>
      </c>
      <c r="O592" s="328"/>
      <c r="P592" s="189"/>
      <c r="Q592" s="432"/>
      <c r="R592" s="591" t="s">
        <v>1119</v>
      </c>
      <c r="S592" s="591" t="s">
        <v>329</v>
      </c>
    </row>
    <row r="593" spans="6:19" ht="10.5" customHeight="1">
      <c r="F593" s="371"/>
      <c r="G593" s="348"/>
      <c r="H593" s="348"/>
      <c r="I593" s="348"/>
      <c r="J593" s="348"/>
      <c r="K593" s="348"/>
      <c r="L593" s="348"/>
      <c r="M593" s="348"/>
      <c r="N593" s="700" t="s">
        <v>2376</v>
      </c>
      <c r="O593" s="328"/>
      <c r="P593" s="189"/>
      <c r="Q593" s="432"/>
      <c r="R593" s="591" t="s">
        <v>2243</v>
      </c>
      <c r="S593" s="591" t="s">
        <v>1392</v>
      </c>
    </row>
    <row r="594" spans="6:19" ht="10.5" customHeight="1">
      <c r="F594" s="371"/>
      <c r="G594" s="348"/>
      <c r="H594" s="348"/>
      <c r="I594" s="348"/>
      <c r="J594" s="348"/>
      <c r="K594" s="348"/>
      <c r="L594" s="348"/>
      <c r="M594" s="348"/>
      <c r="N594" s="700" t="s">
        <v>1857</v>
      </c>
      <c r="O594" s="328"/>
      <c r="P594" s="189"/>
      <c r="Q594" s="432"/>
      <c r="R594" s="591" t="s">
        <v>2245</v>
      </c>
      <c r="S594" s="591" t="s">
        <v>2286</v>
      </c>
    </row>
    <row r="595" spans="6:19" ht="10.5" customHeight="1">
      <c r="F595" s="371"/>
      <c r="G595" s="348"/>
      <c r="H595" s="348"/>
      <c r="I595" s="348"/>
      <c r="J595" s="348"/>
      <c r="K595" s="348"/>
      <c r="L595" s="348"/>
      <c r="M595" s="348"/>
      <c r="N595" s="700" t="s">
        <v>2646</v>
      </c>
      <c r="O595" s="328"/>
      <c r="P595" s="189"/>
      <c r="Q595" s="432"/>
      <c r="R595" s="591" t="s">
        <v>2247</v>
      </c>
      <c r="S595" s="591" t="s">
        <v>180</v>
      </c>
    </row>
    <row r="596" spans="6:19" ht="10.5" customHeight="1">
      <c r="F596" s="371"/>
      <c r="G596" s="348"/>
      <c r="H596" s="348"/>
      <c r="I596" s="348"/>
      <c r="J596" s="348"/>
      <c r="K596" s="348"/>
      <c r="L596" s="348"/>
      <c r="M596" s="348"/>
      <c r="N596" s="700" t="s">
        <v>2265</v>
      </c>
      <c r="O596" s="328"/>
      <c r="P596" s="189"/>
      <c r="Q596" s="432"/>
      <c r="R596" s="591" t="s">
        <v>2249</v>
      </c>
      <c r="S596" s="591" t="s">
        <v>1527</v>
      </c>
    </row>
    <row r="597" spans="6:19" ht="10.5" customHeight="1">
      <c r="F597" s="371"/>
      <c r="G597" s="348"/>
      <c r="H597" s="348"/>
      <c r="I597" s="348"/>
      <c r="J597" s="348"/>
      <c r="K597" s="348"/>
      <c r="L597" s="348"/>
      <c r="M597" s="348"/>
      <c r="N597" s="700" t="s">
        <v>1690</v>
      </c>
      <c r="O597" s="328"/>
      <c r="P597" s="189"/>
      <c r="Q597" s="432"/>
      <c r="R597" s="702" t="s">
        <v>2251</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2288</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2278</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2537</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2606</v>
      </c>
    </row>
    <row r="608" spans="6:19" ht="10.5" customHeight="1">
      <c r="F608" s="371"/>
      <c r="G608" s="348"/>
      <c r="H608" s="348"/>
      <c r="I608" s="348"/>
      <c r="J608" s="348"/>
      <c r="K608" s="348"/>
      <c r="L608" s="348"/>
      <c r="M608" s="348"/>
      <c r="N608" s="700" t="s">
        <v>1039</v>
      </c>
      <c r="O608" s="328"/>
      <c r="P608" s="189"/>
      <c r="Q608" s="432"/>
      <c r="R608" s="702" t="s">
        <v>768</v>
      </c>
      <c r="S608" s="702" t="s">
        <v>2612</v>
      </c>
    </row>
    <row r="609" spans="6:19" ht="10.5" customHeight="1">
      <c r="F609" s="371"/>
      <c r="G609" s="348"/>
      <c r="H609" s="348"/>
      <c r="I609" s="348"/>
      <c r="J609" s="348"/>
      <c r="K609" s="348"/>
      <c r="L609" s="348"/>
      <c r="M609" s="348"/>
      <c r="N609" s="700" t="s">
        <v>2494</v>
      </c>
      <c r="O609" s="328"/>
      <c r="P609" s="189"/>
      <c r="Q609" s="432"/>
      <c r="R609" s="591" t="s">
        <v>985</v>
      </c>
      <c r="S609" s="591" t="s">
        <v>2659</v>
      </c>
    </row>
    <row r="610" spans="6:19" ht="10.5" customHeight="1">
      <c r="F610" s="371"/>
      <c r="G610" s="348"/>
      <c r="H610" s="348"/>
      <c r="I610" s="348"/>
      <c r="J610" s="348"/>
      <c r="K610" s="348"/>
      <c r="L610" s="348"/>
      <c r="M610" s="348"/>
      <c r="N610" s="700" t="s">
        <v>2652</v>
      </c>
      <c r="O610" s="328"/>
      <c r="P610" s="189"/>
      <c r="Q610" s="432"/>
      <c r="R610" s="591" t="s">
        <v>1120</v>
      </c>
      <c r="S610" s="591" t="s">
        <v>333</v>
      </c>
    </row>
    <row r="611" spans="6:19" ht="10.5" customHeight="1">
      <c r="F611" s="371"/>
      <c r="G611" s="348"/>
      <c r="H611" s="348"/>
      <c r="I611" s="348"/>
      <c r="J611" s="348"/>
      <c r="K611" s="348"/>
      <c r="L611" s="348"/>
      <c r="M611" s="348"/>
      <c r="N611" s="700" t="s">
        <v>2100</v>
      </c>
      <c r="O611" s="328"/>
      <c r="P611" s="189"/>
      <c r="Q611" s="432"/>
      <c r="R611" s="591" t="s">
        <v>1236</v>
      </c>
      <c r="S611" s="591" t="s">
        <v>2048</v>
      </c>
    </row>
    <row r="612" spans="6:19" ht="10.5" customHeight="1">
      <c r="F612" s="371"/>
      <c r="G612" s="348"/>
      <c r="H612" s="348"/>
      <c r="I612" s="348"/>
      <c r="J612" s="348"/>
      <c r="K612" s="348"/>
      <c r="L612" s="348"/>
      <c r="M612" s="348"/>
      <c r="N612" s="700" t="s">
        <v>988</v>
      </c>
      <c r="O612" s="328"/>
      <c r="P612" s="189"/>
      <c r="Q612" s="432"/>
      <c r="R612" s="591" t="s">
        <v>3256</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2375</v>
      </c>
      <c r="S614" s="591" t="s">
        <v>2271</v>
      </c>
    </row>
    <row r="615" spans="6:19" ht="10.5" customHeight="1">
      <c r="F615" s="371"/>
      <c r="G615" s="348"/>
      <c r="H615" s="348"/>
      <c r="I615" s="348"/>
      <c r="J615" s="348"/>
      <c r="K615" s="348"/>
      <c r="L615" s="348"/>
      <c r="M615" s="348"/>
      <c r="N615" s="700" t="s">
        <v>1545</v>
      </c>
      <c r="O615" s="328"/>
      <c r="P615" s="189"/>
      <c r="Q615" s="432"/>
      <c r="R615" s="591" t="s">
        <v>2377</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2647</v>
      </c>
      <c r="S617" s="591" t="s">
        <v>2106</v>
      </c>
    </row>
    <row r="618" spans="6:19" ht="10.5" customHeight="1">
      <c r="F618" s="371"/>
      <c r="G618" s="348"/>
      <c r="H618" s="348"/>
      <c r="I618" s="348"/>
      <c r="J618" s="348"/>
      <c r="K618" s="348"/>
      <c r="L618" s="348"/>
      <c r="M618" s="348"/>
      <c r="N618" s="700" t="s">
        <v>1372</v>
      </c>
      <c r="O618" s="328"/>
      <c r="P618" s="189"/>
      <c r="Q618" s="432"/>
      <c r="R618" s="591" t="s">
        <v>2266</v>
      </c>
      <c r="S618" s="591" t="s">
        <v>1265</v>
      </c>
    </row>
    <row r="619" spans="6:19" ht="10.5" customHeight="1">
      <c r="F619" s="371"/>
      <c r="G619" s="348"/>
      <c r="H619" s="348"/>
      <c r="I619" s="348"/>
      <c r="J619" s="348"/>
      <c r="K619" s="348"/>
      <c r="L619" s="348"/>
      <c r="M619" s="348"/>
      <c r="N619" s="700" t="s">
        <v>2090</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2712</v>
      </c>
    </row>
    <row r="622" spans="6:19" ht="10.5" customHeight="1">
      <c r="F622" s="371"/>
      <c r="G622" s="348"/>
      <c r="H622" s="348"/>
      <c r="I622" s="348"/>
      <c r="J622" s="348"/>
      <c r="K622" s="348"/>
      <c r="L622" s="348"/>
      <c r="M622" s="348"/>
      <c r="N622" s="700" t="s">
        <v>1979</v>
      </c>
      <c r="O622" s="328"/>
      <c r="P622" s="189"/>
      <c r="Q622" s="432"/>
      <c r="R622" s="591" t="s">
        <v>1698</v>
      </c>
      <c r="S622" s="591" t="s">
        <v>1712</v>
      </c>
    </row>
    <row r="623" spans="6:19" ht="10.5" customHeight="1">
      <c r="F623" s="371"/>
      <c r="G623" s="348"/>
      <c r="H623" s="348"/>
      <c r="I623" s="348"/>
      <c r="J623" s="348"/>
      <c r="K623" s="348"/>
      <c r="L623" s="348"/>
      <c r="M623" s="348"/>
      <c r="N623" s="700" t="s">
        <v>1980</v>
      </c>
      <c r="O623" s="328"/>
      <c r="P623" s="189"/>
      <c r="Q623" s="432"/>
      <c r="R623" s="591" t="s">
        <v>1122</v>
      </c>
      <c r="S623" s="591" t="s">
        <v>1596</v>
      </c>
    </row>
    <row r="624" spans="6:19" ht="10.5" customHeight="1">
      <c r="F624" s="371"/>
      <c r="G624" s="348"/>
      <c r="H624" s="348"/>
      <c r="I624" s="348"/>
      <c r="J624" s="348"/>
      <c r="K624" s="348"/>
      <c r="L624" s="348"/>
      <c r="M624" s="348"/>
      <c r="N624" s="700" t="s">
        <v>1982</v>
      </c>
      <c r="O624" s="328"/>
      <c r="P624" s="189"/>
      <c r="Q624" s="432"/>
      <c r="R624" s="591" t="s">
        <v>2536</v>
      </c>
      <c r="S624" s="591" t="s">
        <v>108</v>
      </c>
    </row>
    <row r="625" spans="6:19" ht="10.5" customHeight="1">
      <c r="F625" s="371"/>
      <c r="G625" s="348"/>
      <c r="H625" s="348"/>
      <c r="I625" s="348"/>
      <c r="J625" s="348"/>
      <c r="K625" s="348"/>
      <c r="L625" s="348"/>
      <c r="M625" s="348"/>
      <c r="N625" s="700" t="s">
        <v>1984</v>
      </c>
      <c r="O625" s="328"/>
      <c r="P625" s="189"/>
      <c r="Q625" s="432"/>
      <c r="R625" s="591" t="s">
        <v>857</v>
      </c>
      <c r="S625" s="591" t="s">
        <v>1265</v>
      </c>
    </row>
    <row r="626" spans="6:19" ht="10.5" customHeight="1">
      <c r="F626" s="371"/>
      <c r="G626" s="348"/>
      <c r="H626" s="348"/>
      <c r="I626" s="348"/>
      <c r="J626" s="348"/>
      <c r="K626" s="348"/>
      <c r="L626" s="348"/>
      <c r="M626" s="348"/>
      <c r="N626" s="700" t="s">
        <v>1986</v>
      </c>
      <c r="O626" s="328"/>
      <c r="P626" s="189"/>
      <c r="Q626" s="432"/>
      <c r="R626" s="591" t="s">
        <v>1368</v>
      </c>
      <c r="S626" s="591" t="s">
        <v>2006</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2662</v>
      </c>
      <c r="O628" s="328"/>
      <c r="P628" s="189"/>
      <c r="Q628" s="432"/>
      <c r="R628" s="591" t="s">
        <v>1038</v>
      </c>
      <c r="S628" s="591" t="s">
        <v>1745</v>
      </c>
    </row>
    <row r="629" spans="6:19" ht="10.5" customHeight="1">
      <c r="F629" s="371"/>
      <c r="G629" s="348"/>
      <c r="H629" s="348"/>
      <c r="I629" s="348"/>
      <c r="J629" s="348"/>
      <c r="K629" s="348"/>
      <c r="L629" s="348"/>
      <c r="M629" s="348"/>
      <c r="N629" s="700" t="s">
        <v>2664</v>
      </c>
      <c r="O629" s="328"/>
      <c r="P629" s="189"/>
      <c r="Q629" s="432"/>
      <c r="R629" s="591" t="s">
        <v>3257</v>
      </c>
      <c r="S629" s="591" t="s">
        <v>339</v>
      </c>
    </row>
    <row r="630" spans="6:19" ht="10.5" customHeight="1">
      <c r="F630" s="371"/>
      <c r="G630" s="348"/>
      <c r="H630" s="348"/>
      <c r="I630" s="348"/>
      <c r="J630" s="348"/>
      <c r="K630" s="348"/>
      <c r="L630" s="348"/>
      <c r="M630" s="348"/>
      <c r="N630" s="700" t="s">
        <v>1209</v>
      </c>
      <c r="O630" s="328"/>
      <c r="P630" s="189"/>
      <c r="Q630" s="432"/>
      <c r="R630" s="702" t="s">
        <v>3258</v>
      </c>
      <c r="S630" s="702" t="s">
        <v>116</v>
      </c>
    </row>
    <row r="631" spans="6:19" ht="10.5" customHeight="1">
      <c r="F631" s="371"/>
      <c r="G631" s="348"/>
      <c r="H631" s="348"/>
      <c r="I631" s="348"/>
      <c r="J631" s="348"/>
      <c r="K631" s="348"/>
      <c r="L631" s="348"/>
      <c r="M631" s="348"/>
      <c r="N631" s="700" t="s">
        <v>2642</v>
      </c>
      <c r="O631" s="328"/>
      <c r="P631" s="189"/>
      <c r="Q631" s="432"/>
      <c r="R631" s="591" t="s">
        <v>1391</v>
      </c>
      <c r="S631" s="591" t="s">
        <v>164</v>
      </c>
    </row>
    <row r="632" spans="6:19" ht="10.5" customHeight="1">
      <c r="F632" s="371"/>
      <c r="G632" s="348"/>
      <c r="H632" s="348"/>
      <c r="I632" s="348"/>
      <c r="J632" s="348"/>
      <c r="K632" s="348"/>
      <c r="L632" s="348"/>
      <c r="M632" s="348"/>
      <c r="N632" s="700" t="s">
        <v>2644</v>
      </c>
      <c r="O632" s="328"/>
      <c r="P632" s="189"/>
      <c r="Q632" s="432"/>
      <c r="R632" s="591" t="s">
        <v>2653</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2271</v>
      </c>
      <c r="S634" s="591" t="s">
        <v>110</v>
      </c>
    </row>
    <row r="635" spans="6:19" ht="10.5" customHeight="1">
      <c r="F635" s="371"/>
      <c r="G635" s="348"/>
      <c r="H635" s="348"/>
      <c r="I635" s="348"/>
      <c r="J635" s="348"/>
      <c r="K635" s="348"/>
      <c r="L635" s="348"/>
      <c r="M635" s="348"/>
      <c r="N635" s="700" t="s">
        <v>2201</v>
      </c>
      <c r="O635" s="328"/>
      <c r="P635" s="189"/>
      <c r="Q635" s="432"/>
      <c r="R635" s="591" t="s">
        <v>3068</v>
      </c>
      <c r="S635" s="591" t="s">
        <v>1686</v>
      </c>
    </row>
    <row r="636" spans="6:19" ht="10.5" customHeight="1">
      <c r="F636" s="371"/>
      <c r="G636" s="348"/>
      <c r="H636" s="348"/>
      <c r="I636" s="348"/>
      <c r="J636" s="348"/>
      <c r="K636" s="348"/>
      <c r="L636" s="348"/>
      <c r="M636" s="348"/>
      <c r="N636" s="700" t="s">
        <v>2202</v>
      </c>
      <c r="O636" s="328"/>
      <c r="P636" s="189"/>
      <c r="Q636" s="432"/>
      <c r="R636" s="591" t="s">
        <v>1544</v>
      </c>
      <c r="S636" s="591" t="s">
        <v>2658</v>
      </c>
    </row>
    <row r="637" spans="6:19" ht="10.5" customHeight="1">
      <c r="F637" s="371"/>
      <c r="G637" s="348"/>
      <c r="H637" s="348"/>
      <c r="I637" s="348"/>
      <c r="J637" s="348"/>
      <c r="K637" s="348"/>
      <c r="L637" s="348"/>
      <c r="M637" s="348"/>
      <c r="N637" s="700" t="s">
        <v>1700</v>
      </c>
      <c r="O637" s="328"/>
      <c r="P637" s="189"/>
      <c r="Q637" s="432"/>
      <c r="R637" s="591" t="s">
        <v>3259</v>
      </c>
      <c r="S637" s="591" t="s">
        <v>2048</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2284</v>
      </c>
    </row>
    <row r="641" spans="6:19" ht="10.5" customHeight="1">
      <c r="F641" s="371"/>
      <c r="G641" s="348"/>
      <c r="H641" s="348"/>
      <c r="I641" s="348"/>
      <c r="J641" s="348"/>
      <c r="K641" s="348"/>
      <c r="L641" s="348"/>
      <c r="M641" s="348"/>
      <c r="N641" s="700" t="s">
        <v>984</v>
      </c>
      <c r="O641" s="328"/>
      <c r="P641" s="189"/>
      <c r="Q641" s="432"/>
      <c r="R641" s="591" t="s">
        <v>1373</v>
      </c>
      <c r="S641" s="591" t="s">
        <v>2658</v>
      </c>
    </row>
    <row r="642" spans="6:19" ht="10.5" customHeight="1">
      <c r="F642" s="371"/>
      <c r="G642" s="348"/>
      <c r="H642" s="348"/>
      <c r="I642" s="348"/>
      <c r="J642" s="348"/>
      <c r="K642" s="348"/>
      <c r="L642" s="348"/>
      <c r="M642" s="348"/>
      <c r="N642" s="700" t="s">
        <v>2624</v>
      </c>
      <c r="O642" s="328"/>
      <c r="P642" s="189"/>
      <c r="Q642" s="432"/>
      <c r="R642" s="702" t="s">
        <v>2091</v>
      </c>
      <c r="S642" s="702" t="s">
        <v>1158</v>
      </c>
    </row>
    <row r="643" spans="6:19" ht="10.5" customHeight="1">
      <c r="F643" s="371"/>
      <c r="G643" s="348"/>
      <c r="H643" s="348"/>
      <c r="I643" s="348"/>
      <c r="J643" s="348"/>
      <c r="K643" s="348"/>
      <c r="L643" s="348"/>
      <c r="M643" s="348"/>
      <c r="N643" s="700" t="s">
        <v>2626</v>
      </c>
      <c r="O643" s="328"/>
      <c r="P643" s="189"/>
      <c r="Q643" s="432"/>
      <c r="R643" s="702" t="s">
        <v>775</v>
      </c>
      <c r="S643" s="702" t="s">
        <v>328</v>
      </c>
    </row>
    <row r="644" spans="6:19" ht="10.5" customHeight="1">
      <c r="F644" s="371"/>
      <c r="G644" s="348"/>
      <c r="H644" s="348"/>
      <c r="I644" s="348"/>
      <c r="J644" s="348"/>
      <c r="K644" s="348"/>
      <c r="L644" s="348"/>
      <c r="M644" s="348"/>
      <c r="N644" s="700" t="s">
        <v>2627</v>
      </c>
      <c r="O644" s="328"/>
      <c r="P644" s="189"/>
      <c r="Q644" s="432"/>
      <c r="R644" s="591" t="s">
        <v>1327</v>
      </c>
      <c r="S644" s="591" t="s">
        <v>707</v>
      </c>
    </row>
    <row r="645" spans="6:19" ht="10.5" customHeight="1">
      <c r="F645" s="371"/>
      <c r="G645" s="348"/>
      <c r="H645" s="348"/>
      <c r="I645" s="348"/>
      <c r="J645" s="348"/>
      <c r="K645" s="348"/>
      <c r="L645" s="348"/>
      <c r="M645" s="348"/>
      <c r="N645" s="700" t="s">
        <v>1998</v>
      </c>
      <c r="O645" s="328"/>
      <c r="P645" s="189"/>
      <c r="Q645" s="432"/>
      <c r="R645" s="591" t="s">
        <v>1125</v>
      </c>
      <c r="S645" s="591" t="s">
        <v>164</v>
      </c>
    </row>
    <row r="646" spans="6:19" ht="10.5" customHeight="1">
      <c r="F646" s="371"/>
      <c r="G646" s="348"/>
      <c r="H646" s="348"/>
      <c r="I646" s="348"/>
      <c r="J646" s="348"/>
      <c r="K646" s="348"/>
      <c r="L646" s="348"/>
      <c r="M646" s="348"/>
      <c r="N646" s="700" t="s">
        <v>1999</v>
      </c>
      <c r="O646" s="328"/>
      <c r="P646" s="189"/>
      <c r="Q646" s="432"/>
      <c r="R646" s="591" t="s">
        <v>1981</v>
      </c>
      <c r="S646" s="591" t="s">
        <v>1156</v>
      </c>
    </row>
    <row r="647" spans="6:19" ht="10.5" customHeight="1">
      <c r="F647" s="371"/>
      <c r="G647" s="348"/>
      <c r="H647" s="348"/>
      <c r="I647" s="348"/>
      <c r="J647" s="348"/>
      <c r="K647" s="348"/>
      <c r="L647" s="348"/>
      <c r="M647" s="348"/>
      <c r="N647" s="700" t="s">
        <v>2001</v>
      </c>
      <c r="O647" s="328"/>
      <c r="P647" s="189"/>
      <c r="Q647" s="432"/>
      <c r="R647" s="591" t="s">
        <v>1983</v>
      </c>
      <c r="S647" s="591" t="s">
        <v>1529</v>
      </c>
    </row>
    <row r="648" spans="6:19" ht="10.5" customHeight="1">
      <c r="F648" s="371"/>
      <c r="G648" s="348"/>
      <c r="H648" s="348"/>
      <c r="I648" s="348"/>
      <c r="J648" s="348"/>
      <c r="K648" s="348"/>
      <c r="L648" s="348"/>
      <c r="M648" s="348"/>
      <c r="N648" s="700" t="s">
        <v>677</v>
      </c>
      <c r="O648" s="328"/>
      <c r="P648" s="189"/>
      <c r="Q648" s="432"/>
      <c r="R648" s="591" t="s">
        <v>1985</v>
      </c>
      <c r="S648" s="591" t="s">
        <v>2609</v>
      </c>
    </row>
    <row r="649" spans="6:19" ht="10.5" customHeight="1">
      <c r="F649" s="371"/>
      <c r="G649" s="348"/>
      <c r="H649" s="348"/>
      <c r="I649" s="348"/>
      <c r="J649" s="348"/>
      <c r="K649" s="348"/>
      <c r="L649" s="348"/>
      <c r="M649" s="348"/>
      <c r="N649" s="700" t="s">
        <v>679</v>
      </c>
      <c r="O649" s="328"/>
      <c r="P649" s="189"/>
      <c r="Q649" s="432"/>
      <c r="R649" s="591" t="s">
        <v>1987</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2107</v>
      </c>
    </row>
    <row r="651" spans="6:19" ht="10.5" customHeight="1">
      <c r="F651" s="371"/>
      <c r="G651" s="348"/>
      <c r="H651" s="348"/>
      <c r="I651" s="348"/>
      <c r="J651" s="348"/>
      <c r="K651" s="348"/>
      <c r="L651" s="348"/>
      <c r="M651" s="348"/>
      <c r="N651" s="700" t="s">
        <v>2417</v>
      </c>
      <c r="O651" s="328"/>
      <c r="P651" s="189"/>
      <c r="Q651" s="432"/>
      <c r="R651" s="591" t="s">
        <v>2663</v>
      </c>
      <c r="S651" s="591" t="s">
        <v>2010</v>
      </c>
    </row>
    <row r="652" spans="6:19" ht="10.5" customHeight="1">
      <c r="F652" s="371"/>
      <c r="G652" s="348"/>
      <c r="H652" s="348"/>
      <c r="I652" s="348"/>
      <c r="J652" s="348"/>
      <c r="K652" s="348"/>
      <c r="L652" s="348"/>
      <c r="M652" s="348"/>
      <c r="N652" s="700" t="s">
        <v>73</v>
      </c>
      <c r="O652" s="328"/>
      <c r="P652" s="189"/>
      <c r="Q652" s="432"/>
      <c r="R652" s="591" t="s">
        <v>2665</v>
      </c>
      <c r="S652" s="591" t="s">
        <v>2656</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2366</v>
      </c>
      <c r="O654" s="328"/>
      <c r="P654" s="189"/>
      <c r="Q654" s="432"/>
      <c r="R654" s="591" t="s">
        <v>2643</v>
      </c>
      <c r="S654" s="591" t="s">
        <v>920</v>
      </c>
    </row>
    <row r="655" spans="6:19" ht="10.5" customHeight="1">
      <c r="F655" s="371"/>
      <c r="G655" s="348"/>
      <c r="H655" s="348"/>
      <c r="I655" s="348"/>
      <c r="J655" s="348"/>
      <c r="K655" s="348"/>
      <c r="L655" s="348"/>
      <c r="M655" s="348"/>
      <c r="N655" s="700" t="s">
        <v>2368</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2148</v>
      </c>
      <c r="O658" s="328"/>
      <c r="P658" s="189"/>
      <c r="Q658" s="432"/>
      <c r="R658" s="591" t="s">
        <v>3260</v>
      </c>
      <c r="S658" s="591" t="s">
        <v>919</v>
      </c>
    </row>
    <row r="659" spans="6:19" ht="10.5" customHeight="1">
      <c r="F659" s="371"/>
      <c r="G659" s="348"/>
      <c r="H659" s="348"/>
      <c r="I659" s="348"/>
      <c r="J659" s="348"/>
      <c r="K659" s="348"/>
      <c r="L659" s="348"/>
      <c r="M659" s="348"/>
      <c r="N659" s="700" t="s">
        <v>2066</v>
      </c>
      <c r="O659" s="328"/>
      <c r="P659" s="189"/>
      <c r="Q659" s="432"/>
      <c r="R659" s="591" t="s">
        <v>2203</v>
      </c>
      <c r="S659" s="591" t="s">
        <v>1392</v>
      </c>
    </row>
    <row r="660" spans="6:19" ht="10.5" customHeight="1">
      <c r="F660" s="371"/>
      <c r="G660" s="348"/>
      <c r="H660" s="348"/>
      <c r="I660" s="348"/>
      <c r="J660" s="348"/>
      <c r="K660" s="348"/>
      <c r="L660" s="348"/>
      <c r="M660" s="348"/>
      <c r="N660" s="700" t="s">
        <v>2068</v>
      </c>
      <c r="O660" s="328"/>
      <c r="P660" s="189"/>
      <c r="Q660" s="432"/>
      <c r="R660" s="591" t="s">
        <v>1701</v>
      </c>
      <c r="S660" s="591" t="s">
        <v>1378</v>
      </c>
    </row>
    <row r="661" spans="6:19" ht="10.5" customHeight="1">
      <c r="F661" s="371"/>
      <c r="G661" s="348"/>
      <c r="H661" s="348"/>
      <c r="I661" s="348"/>
      <c r="J661" s="348"/>
      <c r="K661" s="348"/>
      <c r="L661" s="348"/>
      <c r="M661" s="348"/>
      <c r="N661" s="700" t="s">
        <v>2070</v>
      </c>
      <c r="O661" s="328"/>
      <c r="P661" s="189"/>
      <c r="Q661" s="432"/>
      <c r="R661" s="591" t="s">
        <v>981</v>
      </c>
      <c r="S661" s="591" t="s">
        <v>2351</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2625</v>
      </c>
      <c r="S663" s="591" t="s">
        <v>659</v>
      </c>
    </row>
    <row r="664" spans="6:19" ht="10.5" customHeight="1">
      <c r="F664" s="371"/>
      <c r="G664" s="348"/>
      <c r="H664" s="348"/>
      <c r="I664" s="348"/>
      <c r="J664" s="348"/>
      <c r="K664" s="348"/>
      <c r="L664" s="348"/>
      <c r="M664" s="348"/>
      <c r="N664" s="700" t="s">
        <v>2198</v>
      </c>
      <c r="O664" s="328"/>
      <c r="P664" s="189"/>
      <c r="Q664" s="432"/>
      <c r="R664" s="591" t="s">
        <v>1997</v>
      </c>
      <c r="S664" s="591" t="s">
        <v>123</v>
      </c>
    </row>
    <row r="665" spans="6:19" ht="10.5" customHeight="1">
      <c r="F665" s="371"/>
      <c r="G665" s="348"/>
      <c r="H665" s="348"/>
      <c r="I665" s="348"/>
      <c r="J665" s="348"/>
      <c r="K665" s="348"/>
      <c r="L665" s="348"/>
      <c r="M665" s="348"/>
      <c r="N665" s="700" t="s">
        <v>2225</v>
      </c>
      <c r="O665" s="328"/>
      <c r="P665" s="189"/>
      <c r="Q665" s="432"/>
      <c r="R665" s="591" t="s">
        <v>2000</v>
      </c>
      <c r="S665" s="591" t="s">
        <v>2351</v>
      </c>
    </row>
    <row r="666" spans="6:19" ht="10.5" customHeight="1">
      <c r="F666" s="371"/>
      <c r="G666" s="348"/>
      <c r="H666" s="348"/>
      <c r="I666" s="348"/>
      <c r="J666" s="348"/>
      <c r="K666" s="348"/>
      <c r="L666" s="348"/>
      <c r="M666" s="348"/>
      <c r="N666" s="1860"/>
      <c r="O666" s="1861"/>
      <c r="P666" s="1861"/>
      <c r="Q666" s="1862"/>
      <c r="R666" s="591" t="s">
        <v>2002</v>
      </c>
      <c r="S666" s="591" t="s">
        <v>167</v>
      </c>
    </row>
    <row r="667" spans="6:19" ht="10.5" customHeight="1">
      <c r="F667" s="371"/>
      <c r="G667" s="348"/>
      <c r="H667" s="348"/>
      <c r="I667" s="348"/>
      <c r="J667" s="348"/>
      <c r="K667" s="348"/>
      <c r="L667" s="348"/>
      <c r="M667" s="348"/>
      <c r="N667" s="705"/>
      <c r="O667" s="706"/>
      <c r="P667" s="187"/>
      <c r="Q667" s="348"/>
      <c r="R667" s="591" t="s">
        <v>678</v>
      </c>
      <c r="S667" s="591" t="s">
        <v>2518</v>
      </c>
    </row>
    <row r="668" spans="6:19" ht="10.5" customHeight="1">
      <c r="F668" s="371"/>
      <c r="G668" s="348"/>
      <c r="H668" s="348"/>
      <c r="I668" s="348"/>
      <c r="J668" s="348"/>
      <c r="K668" s="348"/>
      <c r="L668" s="348"/>
      <c r="M668" s="348"/>
      <c r="N668" s="348"/>
      <c r="O668" s="348"/>
      <c r="P668" s="348"/>
      <c r="Q668" s="348"/>
      <c r="R668" s="591" t="s">
        <v>859</v>
      </c>
      <c r="S668" s="591" t="s">
        <v>2275</v>
      </c>
    </row>
    <row r="669" spans="6:19" ht="10.5" customHeight="1">
      <c r="F669" s="371"/>
      <c r="G669" s="348"/>
      <c r="H669" s="348"/>
      <c r="I669" s="348"/>
      <c r="J669" s="348"/>
      <c r="K669" s="706"/>
      <c r="L669" s="187"/>
      <c r="M669" s="348"/>
      <c r="N669" s="348"/>
      <c r="O669" s="348"/>
      <c r="P669" s="348"/>
      <c r="Q669" s="348"/>
      <c r="R669" s="591" t="s">
        <v>1126</v>
      </c>
      <c r="S669" s="591" t="s">
        <v>2008</v>
      </c>
    </row>
    <row r="670" spans="6:19" ht="10.5" customHeight="1">
      <c r="F670" s="371"/>
      <c r="G670" s="348"/>
      <c r="H670" s="348"/>
      <c r="I670" s="348"/>
      <c r="J670" s="705"/>
      <c r="K670" s="706"/>
      <c r="L670" s="187"/>
      <c r="M670" s="348"/>
      <c r="N670" s="348"/>
      <c r="O670" s="348"/>
      <c r="P670" s="348"/>
      <c r="Q670" s="348"/>
      <c r="R670" s="591" t="s">
        <v>1127</v>
      </c>
      <c r="S670" s="591" t="s">
        <v>2104</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2418</v>
      </c>
      <c r="S672" s="591" t="s">
        <v>123</v>
      </c>
    </row>
    <row r="673" spans="6:19" ht="10.5" customHeight="1">
      <c r="F673" s="371"/>
      <c r="G673" s="348"/>
      <c r="H673" s="348"/>
      <c r="I673" s="348"/>
      <c r="J673" s="705"/>
      <c r="K673" s="706"/>
      <c r="L673" s="187"/>
      <c r="M673" s="348"/>
      <c r="N673" s="348"/>
      <c r="O673" s="348"/>
      <c r="P673" s="348"/>
      <c r="Q673" s="348"/>
      <c r="R673" s="591" t="s">
        <v>1484</v>
      </c>
      <c r="S673" s="591" t="s">
        <v>2351</v>
      </c>
    </row>
    <row r="674" spans="6:19" ht="10.5" customHeight="1">
      <c r="F674" s="371"/>
      <c r="G674" s="348"/>
      <c r="H674" s="348"/>
      <c r="I674" s="348"/>
      <c r="J674" s="705"/>
      <c r="K674" s="706"/>
      <c r="L674" s="187"/>
      <c r="M674" s="348"/>
      <c r="N674" s="348"/>
      <c r="O674" s="348"/>
      <c r="P674" s="348"/>
      <c r="Q674" s="348"/>
      <c r="R674" s="591" t="s">
        <v>2365</v>
      </c>
      <c r="S674" s="591" t="s">
        <v>2014</v>
      </c>
    </row>
    <row r="675" spans="6:19" ht="10.5" customHeight="1">
      <c r="F675" s="371"/>
      <c r="G675" s="348"/>
      <c r="H675" s="348"/>
      <c r="I675" s="348"/>
      <c r="J675" s="705"/>
      <c r="K675" s="706"/>
      <c r="L675" s="187"/>
      <c r="M675" s="348"/>
      <c r="N675" s="348"/>
      <c r="O675" s="348"/>
      <c r="P675" s="348"/>
      <c r="Q675" s="348"/>
      <c r="R675" s="591" t="s">
        <v>2367</v>
      </c>
      <c r="S675" s="591" t="s">
        <v>2271</v>
      </c>
    </row>
    <row r="676" spans="6:19" ht="10.5" customHeight="1">
      <c r="F676" s="371"/>
      <c r="G676" s="348"/>
      <c r="H676" s="348"/>
      <c r="I676" s="348"/>
      <c r="J676" s="705"/>
      <c r="K676" s="706"/>
      <c r="L676" s="187"/>
      <c r="M676" s="348"/>
      <c r="N676" s="348"/>
      <c r="O676" s="348"/>
      <c r="P676" s="348"/>
      <c r="Q676" s="348"/>
      <c r="R676" s="591" t="s">
        <v>2369</v>
      </c>
      <c r="S676" s="591" t="s">
        <v>2518</v>
      </c>
    </row>
    <row r="677" spans="6:19" ht="10.5" customHeight="1">
      <c r="F677" s="371"/>
      <c r="G677" s="348"/>
      <c r="H677" s="348"/>
      <c r="I677" s="348"/>
      <c r="J677" s="705"/>
      <c r="K677" s="706"/>
      <c r="L677" s="187"/>
      <c r="M677" s="348"/>
      <c r="N677" s="348"/>
      <c r="O677" s="348"/>
      <c r="P677" s="348"/>
      <c r="Q677" s="348"/>
      <c r="R677" s="591" t="s">
        <v>3261</v>
      </c>
      <c r="S677" s="591" t="s">
        <v>164</v>
      </c>
    </row>
    <row r="678" spans="6:19" ht="10.5" customHeight="1">
      <c r="F678" s="371"/>
      <c r="G678" s="348"/>
      <c r="H678" s="348"/>
      <c r="I678" s="348"/>
      <c r="J678" s="705"/>
      <c r="K678" s="706"/>
      <c r="L678" s="187"/>
      <c r="M678" s="348"/>
      <c r="N678" s="348"/>
      <c r="O678" s="348"/>
      <c r="P678" s="348"/>
      <c r="Q678" s="348"/>
      <c r="R678" s="591" t="s">
        <v>1167</v>
      </c>
      <c r="S678" s="591" t="s">
        <v>2282</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2149</v>
      </c>
      <c r="S680" s="591" t="s">
        <v>327</v>
      </c>
    </row>
    <row r="681" spans="6:19" ht="10.5" customHeight="1">
      <c r="F681" s="371"/>
      <c r="G681" s="348"/>
      <c r="H681" s="348"/>
      <c r="I681" s="348"/>
      <c r="J681" s="705"/>
      <c r="K681" s="706"/>
      <c r="L681" s="187"/>
      <c r="M681" s="348"/>
      <c r="N681" s="348"/>
      <c r="O681" s="348"/>
      <c r="P681" s="348"/>
      <c r="Q681" s="348"/>
      <c r="R681" s="702" t="s">
        <v>2067</v>
      </c>
      <c r="S681" s="702" t="s">
        <v>124</v>
      </c>
    </row>
    <row r="682" spans="6:19" ht="10.5" customHeight="1">
      <c r="F682" s="371"/>
      <c r="G682" s="348"/>
      <c r="H682" s="348"/>
      <c r="I682" s="348"/>
      <c r="J682" s="705"/>
      <c r="K682" s="706"/>
      <c r="L682" s="187"/>
      <c r="M682" s="348"/>
      <c r="N682" s="348"/>
      <c r="O682" s="348"/>
      <c r="P682" s="348"/>
      <c r="Q682" s="348"/>
      <c r="R682" s="591" t="s">
        <v>2069</v>
      </c>
      <c r="S682" s="591" t="s">
        <v>336</v>
      </c>
    </row>
    <row r="683" spans="6:19" ht="10.5" customHeight="1">
      <c r="F683" s="371"/>
      <c r="G683" s="348"/>
      <c r="H683" s="348"/>
      <c r="I683" s="348"/>
      <c r="J683" s="705"/>
      <c r="K683" s="706"/>
      <c r="L683" s="187"/>
      <c r="M683" s="348"/>
      <c r="N683" s="348"/>
      <c r="O683" s="348"/>
      <c r="P683" s="348"/>
      <c r="Q683" s="348"/>
      <c r="R683" s="591" t="s">
        <v>2071</v>
      </c>
      <c r="S683" s="591" t="s">
        <v>189</v>
      </c>
    </row>
    <row r="684" spans="6:19" ht="10.5" customHeight="1">
      <c r="F684" s="371"/>
      <c r="G684" s="348"/>
      <c r="H684" s="348"/>
      <c r="I684" s="348"/>
      <c r="J684" s="705"/>
      <c r="K684" s="706"/>
      <c r="L684" s="187"/>
      <c r="M684" s="348"/>
      <c r="N684" s="348"/>
      <c r="O684" s="348"/>
      <c r="P684" s="348"/>
      <c r="Q684" s="348"/>
      <c r="R684" s="591" t="s">
        <v>3262</v>
      </c>
      <c r="S684" s="591" t="s">
        <v>2008</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2199</v>
      </c>
      <c r="S686" s="591" t="s">
        <v>773</v>
      </c>
    </row>
    <row r="687" spans="6:19" ht="10.5" customHeight="1">
      <c r="F687" s="371"/>
      <c r="G687" s="348"/>
      <c r="H687" s="348"/>
      <c r="I687" s="348"/>
      <c r="J687" s="705"/>
      <c r="K687" s="706"/>
      <c r="L687" s="187"/>
      <c r="M687" s="348"/>
      <c r="N687" s="348"/>
      <c r="O687" s="348"/>
      <c r="P687" s="348"/>
      <c r="Q687" s="348"/>
      <c r="R687" s="591" t="s">
        <v>2226</v>
      </c>
      <c r="S687" s="591" t="s">
        <v>108</v>
      </c>
    </row>
    <row r="688" spans="6:19" ht="10.5" customHeight="1">
      <c r="F688" s="371"/>
      <c r="G688" s="348"/>
      <c r="H688" s="348"/>
      <c r="I688" s="348"/>
      <c r="J688" s="705"/>
      <c r="K688" s="706"/>
      <c r="L688" s="187"/>
      <c r="M688" s="348"/>
      <c r="N688" s="348"/>
      <c r="O688" s="348"/>
      <c r="P688" s="348"/>
      <c r="Q688" s="348"/>
      <c r="R688" s="591" t="s">
        <v>875</v>
      </c>
      <c r="S688" s="591" t="s">
        <v>2104</v>
      </c>
    </row>
    <row r="689" spans="6:19" ht="10.5" customHeight="1">
      <c r="F689" s="371"/>
      <c r="G689" s="348"/>
      <c r="H689" s="348"/>
      <c r="I689" s="348"/>
      <c r="J689" s="705"/>
      <c r="K689" s="706"/>
      <c r="L689" s="187"/>
      <c r="M689" s="348"/>
      <c r="N689" s="348"/>
      <c r="O689" s="348"/>
      <c r="P689" s="348"/>
      <c r="Q689" s="348"/>
      <c r="R689" s="591" t="s">
        <v>2227</v>
      </c>
      <c r="S689" s="591" t="s">
        <v>2104</v>
      </c>
    </row>
    <row r="690" spans="6:19" ht="10.5" customHeight="1">
      <c r="F690" s="371"/>
      <c r="G690" s="348"/>
      <c r="H690" s="348"/>
      <c r="I690" s="348"/>
      <c r="J690" s="705"/>
      <c r="K690" s="706"/>
      <c r="L690" s="187"/>
      <c r="M690" s="348"/>
      <c r="N690" s="348"/>
      <c r="O690" s="348"/>
      <c r="P690" s="348"/>
      <c r="Q690" s="348"/>
      <c r="R690" s="702" t="s">
        <v>2228</v>
      </c>
      <c r="S690" s="702" t="s">
        <v>1746</v>
      </c>
    </row>
    <row r="691" spans="6:19" ht="10.5" customHeight="1">
      <c r="F691" s="371"/>
      <c r="G691" s="348"/>
      <c r="H691" s="348"/>
      <c r="I691" s="348"/>
      <c r="J691" s="705"/>
      <c r="K691" s="706"/>
      <c r="L691" s="187"/>
      <c r="M691" s="348"/>
      <c r="N691" s="348"/>
      <c r="O691" s="348"/>
      <c r="P691" s="348"/>
      <c r="Q691" s="348"/>
      <c r="R691" s="591" t="s">
        <v>2442</v>
      </c>
      <c r="S691" s="591" t="s">
        <v>1973</v>
      </c>
    </row>
    <row r="692" spans="6:19" ht="10.5" customHeight="1">
      <c r="F692" s="371"/>
      <c r="G692" s="348"/>
      <c r="H692" s="348"/>
      <c r="I692" s="348"/>
      <c r="J692" s="705"/>
      <c r="K692" s="706"/>
      <c r="L692" s="187"/>
      <c r="M692" s="348"/>
      <c r="N692" s="348"/>
      <c r="O692" s="348"/>
      <c r="P692" s="348"/>
      <c r="Q692" s="348"/>
      <c r="R692" s="591" t="s">
        <v>2443</v>
      </c>
      <c r="S692" s="591" t="s">
        <v>164</v>
      </c>
    </row>
    <row r="693" spans="6:19" ht="10.5" customHeight="1">
      <c r="F693" s="371"/>
      <c r="G693" s="348"/>
      <c r="H693" s="348"/>
      <c r="I693" s="348"/>
      <c r="J693" s="705"/>
      <c r="K693" s="706"/>
      <c r="L693" s="187"/>
      <c r="M693" s="348"/>
      <c r="N693" s="348"/>
      <c r="O693" s="348"/>
      <c r="P693" s="348"/>
      <c r="Q693" s="348"/>
      <c r="R693" s="591" t="s">
        <v>2444</v>
      </c>
      <c r="S693" s="591" t="s">
        <v>1748</v>
      </c>
    </row>
    <row r="694" spans="6:19" ht="10.5" customHeight="1">
      <c r="F694" s="371"/>
      <c r="G694" s="348"/>
      <c r="H694" s="348"/>
      <c r="I694" s="348"/>
      <c r="J694" s="705"/>
      <c r="K694" s="706"/>
      <c r="L694" s="187"/>
      <c r="M694" s="348"/>
      <c r="N694" s="348"/>
      <c r="O694" s="348"/>
      <c r="P694" s="348"/>
      <c r="Q694" s="348"/>
      <c r="R694" s="591" t="s">
        <v>2445</v>
      </c>
      <c r="S694" s="591" t="s">
        <v>1156</v>
      </c>
    </row>
    <row r="695" spans="6:19" ht="10.5" customHeight="1">
      <c r="F695" s="371"/>
      <c r="G695" s="348"/>
      <c r="H695" s="348"/>
      <c r="I695" s="348"/>
      <c r="J695" s="705"/>
      <c r="K695" s="706"/>
      <c r="L695" s="187"/>
      <c r="M695" s="348"/>
      <c r="N695" s="348"/>
      <c r="O695" s="348"/>
      <c r="P695" s="348"/>
      <c r="Q695" s="348"/>
      <c r="R695" s="591" t="s">
        <v>2446</v>
      </c>
      <c r="S695" s="591" t="s">
        <v>2514</v>
      </c>
    </row>
    <row r="696" spans="6:19" ht="10.5" customHeight="1">
      <c r="F696" s="371"/>
      <c r="G696" s="348"/>
      <c r="H696" s="348"/>
      <c r="I696" s="348"/>
      <c r="J696" s="705"/>
      <c r="K696" s="706"/>
      <c r="L696" s="187"/>
      <c r="M696" s="348"/>
      <c r="N696" s="348"/>
      <c r="O696" s="348"/>
      <c r="P696" s="348"/>
      <c r="Q696" s="348"/>
      <c r="R696" s="591" t="s">
        <v>2370</v>
      </c>
      <c r="S696" s="591" t="s">
        <v>2276</v>
      </c>
    </row>
    <row r="697" spans="6:19" ht="10.5" customHeight="1">
      <c r="F697" s="371"/>
      <c r="G697" s="348"/>
      <c r="H697" s="348"/>
      <c r="I697" s="348"/>
      <c r="J697" s="705"/>
      <c r="K697" s="706"/>
      <c r="L697" s="187"/>
      <c r="M697" s="348"/>
      <c r="N697" s="348"/>
      <c r="O697" s="348"/>
      <c r="P697" s="348"/>
      <c r="Q697" s="348"/>
      <c r="R697" s="591" t="s">
        <v>1704</v>
      </c>
      <c r="S697" s="591" t="s">
        <v>2516</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2047</v>
      </c>
    </row>
    <row r="702" spans="6:19" ht="10.5" customHeight="1">
      <c r="F702" s="371"/>
      <c r="G702" s="348"/>
      <c r="H702" s="348"/>
      <c r="I702" s="348"/>
      <c r="J702" s="705"/>
      <c r="K702" s="706"/>
      <c r="L702" s="187"/>
      <c r="M702" s="348"/>
      <c r="N702" s="348"/>
      <c r="O702" s="348"/>
      <c r="P702" s="348"/>
      <c r="Q702" s="348"/>
      <c r="R702" s="591" t="s">
        <v>1772</v>
      </c>
      <c r="S702" s="591" t="s">
        <v>2658</v>
      </c>
    </row>
    <row r="703" spans="6:19" ht="10.5" customHeight="1">
      <c r="F703" s="371"/>
      <c r="G703" s="348"/>
      <c r="H703" s="348"/>
      <c r="I703" s="348"/>
      <c r="J703" s="705"/>
      <c r="K703" s="706"/>
      <c r="L703" s="187"/>
      <c r="M703" s="348"/>
      <c r="N703" s="348"/>
      <c r="O703" s="348"/>
      <c r="P703" s="348"/>
      <c r="Q703" s="348"/>
      <c r="R703" s="591" t="s">
        <v>1773</v>
      </c>
      <c r="S703" s="591" t="s">
        <v>2351</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2047</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2006</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2609</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2107</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1975</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2518</v>
      </c>
    </row>
    <row r="729" spans="6:19" ht="10.5" customHeight="1">
      <c r="F729" s="371"/>
      <c r="G729" s="348"/>
      <c r="H729" s="348"/>
      <c r="I729" s="348"/>
      <c r="J729" s="705"/>
      <c r="K729" s="706"/>
      <c r="L729" s="187"/>
      <c r="M729" s="348"/>
      <c r="N729" s="348"/>
      <c r="O729" s="348"/>
      <c r="P729" s="348"/>
      <c r="Q729" s="348"/>
      <c r="R729" s="591" t="s">
        <v>108</v>
      </c>
      <c r="S729" s="591" t="s">
        <v>2514</v>
      </c>
    </row>
    <row r="730" spans="6:19" ht="10.5" customHeight="1">
      <c r="F730" s="371"/>
      <c r="G730" s="348"/>
      <c r="H730" s="348"/>
      <c r="I730" s="348"/>
      <c r="J730" s="705"/>
      <c r="K730" s="706"/>
      <c r="L730" s="187"/>
      <c r="M730" s="348"/>
      <c r="N730" s="348"/>
      <c r="O730" s="348"/>
      <c r="P730" s="348"/>
      <c r="Q730" s="348"/>
      <c r="R730" s="591" t="s">
        <v>307</v>
      </c>
      <c r="S730" s="432" t="s">
        <v>2718</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2108</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2012</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aX7ufG6kNRVPftvGGRDlds+lNCVw5D/QkvXHwkeyTnPTF8ECApGyN8sMaqxySK/6ogYsTRqFfMUYnJQFNwmlmQ==" saltValue="PQjRqf3LCFwPkvbgOWOFRQ=="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9"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47" bestFit="1" customWidth="1"/>
    <col min="2" max="5" width="10.28515625" style="1247" bestFit="1" customWidth="1"/>
    <col min="6" max="6" width="10.85546875" style="1247" bestFit="1" customWidth="1"/>
    <col min="7" max="11" width="10.28515625" style="1247" bestFit="1" customWidth="1"/>
    <col min="12" max="17" width="9.28515625" style="1247" bestFit="1" customWidth="1"/>
    <col min="18" max="19" width="9.140625" style="1247"/>
    <col min="20" max="20" width="9.28515625" style="1247" bestFit="1" customWidth="1"/>
    <col min="21" max="21" width="9.140625" style="1247"/>
    <col min="22" max="277" width="9.28515625" style="1247" bestFit="1" customWidth="1"/>
    <col min="278" max="16384" width="9.140625" style="1247"/>
  </cols>
  <sheetData>
    <row r="1" spans="1:16">
      <c r="A1" s="1247" t="s">
        <v>1027</v>
      </c>
    </row>
    <row r="2" spans="1:16">
      <c r="A2" s="1247" t="str">
        <f>'Project Narrative'!A2</f>
        <v>The Cove at York</v>
      </c>
    </row>
    <row r="3" spans="1:16">
      <c r="A3" s="1247" t="str">
        <f>'Project Narrative'!A3</f>
        <v>Centerville, Houston County</v>
      </c>
    </row>
    <row r="5" spans="1:16">
      <c r="A5" s="1247" t="str">
        <f>'Project Narrative'!A5</f>
        <v xml:space="preserve">     The Cove at York will be located on a +/-17.699 acre site within the city limits of Centerville in Houston County, Georgia. The site is convenient to numerous desirable 
amenities and activities while maintaining a peaceful atmosphere. The site is in an area of larger lot single-family homes and vacant land.  The site is well-located with regard to neighborhood amenities, both point eligible and non-point eligible.  The Cove will maintain the community’s character and provide much needed affordable housing to the community.   The proposal is for 96 apartment homes comprised of 18 one-bedroom units, 54 two-bedroom units and 24 three-bedroom units.  The Cove will provide decent, safe, attractive, well-located affordable housing for low to moderate income families in the Centerville area. 
     The Cove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Cove also plans to feature a community building that will include a management and leasing office along with a community laundry facility. The community building, with all of its resources, will make a great venue for the social and recreational programs hosted by the management team and staff.  Additional amenities will be chosen to meet DCA design and scoring standards, as appropriate.
    The Cove at York will engage South Face of Atlanta to provide guidance and certification for the EarthCraft Multifamily Program.  The development’s design will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The Cove will be owned and developed by affiliates of NAHPA, Inc, a 501c3 non-profit.  The construction and management of The Cove will be performed by Fyffe Construction Company, Inc. and Vantage Management, LLC, respectively, and both companies are owned by Lowell R. Barron, II. By offering amiable amenities, engaging activities, and affordable rents The Cove at York will meet a critical need for the citizens of  Centerville and Houston County.
</v>
      </c>
    </row>
    <row r="7" spans="1:16">
      <c r="A7" s="2679" t="str">
        <f>CONCATENATE("PART ONE - PROJECT INFORMATION"," - ",$O$4," ",$F$24,", ",'Part I-Project Information'!F34,", ",'Part I-Project Information'!J35," County")</f>
        <v>PART ONE - PROJECT INFORMATION -  AL, ,  County</v>
      </c>
      <c r="B7" s="2679"/>
      <c r="C7" s="2679"/>
      <c r="D7" s="2679"/>
      <c r="E7" s="2679"/>
      <c r="F7" s="2679"/>
      <c r="G7" s="2679"/>
      <c r="H7" s="2679"/>
      <c r="I7" s="2679"/>
      <c r="J7" s="2679"/>
      <c r="K7" s="2679"/>
      <c r="L7" s="2679"/>
      <c r="M7" s="2679"/>
      <c r="N7" s="2679"/>
      <c r="O7" s="2679"/>
      <c r="P7" s="2679"/>
    </row>
    <row r="8" spans="1:16">
      <c r="A8" s="2680"/>
      <c r="B8" s="2680"/>
      <c r="C8" s="2680"/>
      <c r="D8" s="2680"/>
      <c r="E8" s="2680"/>
      <c r="F8" s="2680"/>
      <c r="G8" s="2680"/>
      <c r="H8" s="2680"/>
      <c r="I8" s="2680"/>
      <c r="J8" s="2680"/>
      <c r="K8" s="2680"/>
      <c r="L8" s="2680"/>
      <c r="M8" s="2680"/>
      <c r="N8" s="2680"/>
      <c r="O8" s="2680"/>
      <c r="P8" s="2680"/>
    </row>
    <row r="9" spans="1:16" ht="13.5">
      <c r="A9" s="2681"/>
      <c r="B9" s="2682" t="s">
        <v>2476</v>
      </c>
      <c r="C9" s="2681"/>
      <c r="D9" s="2681"/>
      <c r="E9" s="2681"/>
      <c r="F9" s="2680"/>
      <c r="G9" s="2683" t="s">
        <v>4547</v>
      </c>
      <c r="H9" s="2681"/>
      <c r="I9" s="2681"/>
      <c r="J9" s="2681"/>
      <c r="K9" s="2681"/>
      <c r="L9" s="2680"/>
      <c r="M9" s="2681"/>
      <c r="N9" s="2681"/>
      <c r="O9" s="2679" t="s">
        <v>2827</v>
      </c>
      <c r="P9" s="2679"/>
    </row>
    <row r="10" spans="1:16" ht="13.5">
      <c r="A10" s="2680"/>
      <c r="B10" s="2684"/>
      <c r="C10" s="2681"/>
      <c r="D10" s="2681"/>
      <c r="E10" s="2681"/>
      <c r="F10" s="2680"/>
      <c r="G10" s="2683" t="s">
        <v>4548</v>
      </c>
      <c r="H10" s="2685"/>
      <c r="I10" s="2685"/>
      <c r="J10" s="2685"/>
      <c r="K10" s="2681"/>
      <c r="L10" s="2681"/>
      <c r="M10" s="2681"/>
      <c r="N10" s="2681"/>
      <c r="O10" s="2679" t="str">
        <f>'Part I-Project Information'!O4</f>
        <v>2015-009</v>
      </c>
      <c r="P10" s="2679"/>
    </row>
    <row r="11" spans="1:16">
      <c r="A11" s="2680"/>
      <c r="B11" s="2684"/>
      <c r="C11" s="2684"/>
      <c r="D11" s="2686"/>
      <c r="E11" s="2681"/>
      <c r="F11" s="2684"/>
      <c r="G11" s="2686" t="s">
        <v>3771</v>
      </c>
      <c r="H11" s="2685"/>
      <c r="I11" s="2685"/>
      <c r="J11" s="2685"/>
      <c r="K11" s="2681"/>
      <c r="L11" s="2681"/>
      <c r="M11" s="2681"/>
      <c r="N11" s="2681"/>
      <c r="O11" s="2681"/>
      <c r="P11" s="2681"/>
    </row>
    <row r="12" spans="1:16">
      <c r="A12" s="2680"/>
      <c r="B12" s="2684"/>
      <c r="C12" s="2684"/>
      <c r="D12" s="2684"/>
      <c r="E12" s="2685"/>
      <c r="F12" s="2681"/>
      <c r="G12" s="2681"/>
      <c r="H12" s="2685"/>
      <c r="I12" s="2685"/>
      <c r="J12" s="2685"/>
      <c r="K12" s="2682"/>
      <c r="L12" s="2681"/>
      <c r="M12" s="2685"/>
      <c r="N12" s="2681"/>
      <c r="O12" s="2681"/>
      <c r="P12" s="2681"/>
    </row>
    <row r="13" spans="1:16">
      <c r="A13" s="2684" t="s">
        <v>647</v>
      </c>
      <c r="B13" s="2684" t="s">
        <v>2489</v>
      </c>
      <c r="C13" s="2681"/>
      <c r="D13" s="2687"/>
      <c r="E13" s="2688"/>
      <c r="F13" s="2689" t="s">
        <v>1802</v>
      </c>
      <c r="G13" s="2681"/>
      <c r="H13" s="2681"/>
      <c r="I13" s="2681"/>
      <c r="J13" s="2690">
        <f>'Part I-Project Information'!J7</f>
        <v>956416.5</v>
      </c>
      <c r="K13" s="2690"/>
      <c r="L13" s="2681"/>
      <c r="M13" s="2685"/>
      <c r="N13" s="2681"/>
      <c r="O13" s="2681"/>
      <c r="P13" s="2681"/>
    </row>
    <row r="14" spans="1:16">
      <c r="A14" s="526"/>
      <c r="B14" s="526"/>
      <c r="C14" s="523"/>
      <c r="E14" s="2691"/>
      <c r="F14" s="2681" t="s">
        <v>1348</v>
      </c>
      <c r="G14" s="523"/>
      <c r="H14" s="523"/>
      <c r="I14" s="523"/>
      <c r="J14" s="2690">
        <f>'Part I-Project Information'!J8</f>
        <v>0</v>
      </c>
      <c r="K14" s="2690"/>
      <c r="L14" s="2681"/>
      <c r="M14" s="2685"/>
      <c r="N14" s="2681"/>
      <c r="O14" s="2681"/>
      <c r="P14" s="2681"/>
    </row>
    <row r="15" spans="1:16">
      <c r="A15" s="2684"/>
      <c r="B15" s="2684"/>
      <c r="C15" s="2681"/>
      <c r="D15" s="2687"/>
      <c r="E15" s="2688"/>
      <c r="F15" s="2688"/>
      <c r="G15" s="2681"/>
      <c r="H15" s="2681"/>
      <c r="I15" s="2682"/>
      <c r="J15" s="2681"/>
      <c r="K15" s="2681"/>
      <c r="L15" s="2681"/>
      <c r="M15" s="2681"/>
      <c r="N15" s="2692"/>
      <c r="O15" s="2681"/>
      <c r="P15" s="2681"/>
    </row>
    <row r="16" spans="1:16" ht="13.5">
      <c r="A16" s="2682" t="s">
        <v>780</v>
      </c>
      <c r="B16" s="2684" t="s">
        <v>2141</v>
      </c>
      <c r="C16" s="2681"/>
      <c r="D16" s="2681"/>
      <c r="E16" s="2681"/>
      <c r="F16" s="2693" t="str">
        <f>'Part I-Project Information'!F10</f>
        <v>Competitive Round</v>
      </c>
      <c r="G16" s="2693"/>
      <c r="H16" s="2693"/>
      <c r="I16" s="2694"/>
      <c r="J16" s="2684" t="s">
        <v>4549</v>
      </c>
      <c r="K16" s="2684"/>
      <c r="L16" s="2685"/>
      <c r="M16" s="2681"/>
      <c r="N16" s="2681"/>
      <c r="O16" s="2695" t="str">
        <f>'Part I-Project Information'!O10</f>
        <v>&lt;&lt;Enter Pre-App Nbr&gt;&gt;</v>
      </c>
      <c r="P16" s="2695"/>
    </row>
    <row r="17" spans="1:16">
      <c r="A17" s="2680"/>
      <c r="B17" s="2681"/>
      <c r="C17" s="2681"/>
      <c r="D17" s="2681"/>
      <c r="E17" s="2681"/>
      <c r="F17" s="2681"/>
      <c r="G17" s="2681"/>
      <c r="H17" s="2685"/>
      <c r="I17" s="2681"/>
      <c r="J17" s="2689" t="s">
        <v>2918</v>
      </c>
      <c r="K17" s="2682"/>
      <c r="L17" s="2681"/>
      <c r="M17" s="2685"/>
      <c r="N17" s="2681"/>
      <c r="O17" s="2695" t="str">
        <f>'Part I-Project Information'!O11</f>
        <v>No</v>
      </c>
      <c r="P17" s="2695"/>
    </row>
    <row r="18" spans="1:16">
      <c r="A18" s="2681"/>
      <c r="B18" s="2681"/>
      <c r="C18" s="2681"/>
      <c r="D18" s="2681"/>
      <c r="E18" s="2681"/>
      <c r="F18" s="2681"/>
      <c r="G18" s="2681"/>
      <c r="H18" s="2681"/>
      <c r="I18" s="2687"/>
      <c r="J18" s="2687"/>
      <c r="K18" s="2687"/>
      <c r="L18" s="2687"/>
      <c r="M18" s="2687"/>
      <c r="N18" s="2687"/>
      <c r="O18" s="2687"/>
      <c r="P18" s="2687"/>
    </row>
    <row r="19" spans="1:16">
      <c r="A19" s="2682" t="s">
        <v>782</v>
      </c>
      <c r="B19" s="2684" t="s">
        <v>1548</v>
      </c>
      <c r="C19" s="2681"/>
      <c r="D19" s="2689"/>
      <c r="E19" s="2688"/>
      <c r="F19" s="2681"/>
      <c r="G19" s="2688"/>
      <c r="H19" s="2688"/>
      <c r="I19" s="2688"/>
      <c r="J19" s="2681"/>
      <c r="K19" s="2692"/>
      <c r="L19" s="2692"/>
      <c r="M19" s="2681"/>
      <c r="N19" s="2681"/>
      <c r="O19" s="2681"/>
      <c r="P19" s="2681"/>
    </row>
    <row r="20" spans="1:16">
      <c r="A20" s="2682"/>
      <c r="B20" s="2688"/>
      <c r="C20" s="2684"/>
      <c r="D20" s="2689"/>
      <c r="E20" s="2688"/>
      <c r="F20" s="2681"/>
      <c r="G20" s="2688"/>
      <c r="H20" s="2688"/>
      <c r="I20" s="2688"/>
      <c r="J20" s="2681"/>
      <c r="K20" s="2692"/>
      <c r="L20" s="2692"/>
      <c r="M20" s="2681"/>
      <c r="N20" s="2681"/>
      <c r="O20" s="2680"/>
      <c r="P20" s="2681"/>
    </row>
    <row r="21" spans="1:16">
      <c r="A21" s="2681"/>
      <c r="B21" s="2681" t="s">
        <v>2410</v>
      </c>
      <c r="C21" s="2681"/>
      <c r="D21" s="2681"/>
      <c r="E21" s="2681"/>
      <c r="F21" s="2696" t="str">
        <f>'Part I-Project Information'!F15</f>
        <v>Mark E. English</v>
      </c>
      <c r="G21" s="2696"/>
      <c r="H21" s="2696"/>
      <c r="I21" s="2696"/>
      <c r="J21" s="2696"/>
      <c r="K21" s="2696"/>
      <c r="L21" s="2696"/>
      <c r="M21" s="2689" t="s">
        <v>2078</v>
      </c>
      <c r="N21" s="2696" t="str">
        <f>'Part I-Project Information'!N15</f>
        <v>President of GP</v>
      </c>
      <c r="O21" s="2696"/>
      <c r="P21" s="2696"/>
    </row>
    <row r="22" spans="1:16">
      <c r="A22" s="2681"/>
      <c r="B22" s="2689" t="s">
        <v>2079</v>
      </c>
      <c r="C22" s="2681"/>
      <c r="D22" s="2681"/>
      <c r="E22" s="2681"/>
      <c r="F22" s="2696" t="str">
        <f>'Part I-Project Information'!F16</f>
        <v>P.O. Box 71330 (624 Skyland Blvd. East, Suite D)</v>
      </c>
      <c r="G22" s="2696"/>
      <c r="H22" s="2696"/>
      <c r="I22" s="2696"/>
      <c r="J22" s="2696"/>
      <c r="K22" s="2696"/>
      <c r="L22" s="2696"/>
      <c r="M22" s="2689" t="s">
        <v>1808</v>
      </c>
      <c r="N22" s="2681"/>
      <c r="O22" s="2697">
        <f>'Part I-Project Information'!O16</f>
        <v>2057229331</v>
      </c>
      <c r="P22" s="2697"/>
    </row>
    <row r="23" spans="1:16">
      <c r="A23" s="2681"/>
      <c r="B23" s="2689" t="s">
        <v>649</v>
      </c>
      <c r="C23" s="2681"/>
      <c r="D23" s="2681"/>
      <c r="E23" s="2681"/>
      <c r="F23" s="2696" t="str">
        <f>'Part I-Project Information'!F17</f>
        <v>Tuscaloosa</v>
      </c>
      <c r="G23" s="2696"/>
      <c r="H23" s="2696"/>
      <c r="I23" s="2681"/>
      <c r="J23" s="2681"/>
      <c r="K23" s="2681"/>
      <c r="L23" s="2681"/>
      <c r="M23" s="2689" t="s">
        <v>1890</v>
      </c>
      <c r="N23" s="2681"/>
      <c r="O23" s="2697">
        <f>'Part I-Project Information'!O17</f>
        <v>2053453813</v>
      </c>
      <c r="P23" s="2697"/>
    </row>
    <row r="24" spans="1:16">
      <c r="A24" s="2681"/>
      <c r="B24" s="2689" t="s">
        <v>1887</v>
      </c>
      <c r="C24" s="2681"/>
      <c r="D24" s="2681"/>
      <c r="E24" s="2681"/>
      <c r="F24" s="2698" t="str">
        <f>'Part I-Project Information'!F18</f>
        <v>AL</v>
      </c>
      <c r="G24" s="2681"/>
      <c r="H24" s="2681"/>
      <c r="I24" s="2685" t="s">
        <v>2336</v>
      </c>
      <c r="J24" s="2699">
        <f>'Part I-Project Information'!J18</f>
        <v>354071330</v>
      </c>
      <c r="K24" s="2699"/>
      <c r="L24" s="2681"/>
      <c r="M24" s="2689" t="s">
        <v>2077</v>
      </c>
      <c r="N24" s="2681"/>
      <c r="O24" s="2697">
        <f>'Part I-Project Information'!O18</f>
        <v>2053948000</v>
      </c>
      <c r="P24" s="2697"/>
    </row>
    <row r="25" spans="1:16">
      <c r="A25" s="2681"/>
      <c r="B25" s="2689" t="s">
        <v>1807</v>
      </c>
      <c r="C25" s="2681"/>
      <c r="D25" s="2681"/>
      <c r="E25" s="2681"/>
      <c r="F25" s="2697">
        <f>'Part I-Project Information'!F19</f>
        <v>2057229331</v>
      </c>
      <c r="G25" s="2697"/>
      <c r="H25" s="2697"/>
      <c r="I25" s="2685" t="s">
        <v>1806</v>
      </c>
      <c r="J25" s="2685" t="str">
        <f>'Part I-Project Information'!J19</f>
        <v>N/A</v>
      </c>
      <c r="K25" s="2685" t="s">
        <v>2082</v>
      </c>
      <c r="L25" s="2696" t="str">
        <f>'Part I-Project Information'!L19</f>
        <v>mark@nahpa.org</v>
      </c>
      <c r="M25" s="2696"/>
      <c r="N25" s="2696"/>
      <c r="O25" s="2696"/>
      <c r="P25" s="2696"/>
    </row>
    <row r="26" spans="1:16" ht="13.5">
      <c r="A26" s="2684"/>
      <c r="B26" s="2683" t="s">
        <v>689</v>
      </c>
      <c r="C26" s="2681"/>
      <c r="D26" s="2688"/>
      <c r="E26" s="2681"/>
      <c r="F26" s="2681"/>
      <c r="G26" s="2688"/>
      <c r="H26" s="2688"/>
      <c r="I26" s="2688"/>
      <c r="J26" s="2681"/>
      <c r="K26" s="2681"/>
      <c r="L26" s="2681"/>
      <c r="M26" s="2681"/>
      <c r="N26" s="2681"/>
      <c r="O26" s="2681"/>
      <c r="P26" s="2681"/>
    </row>
    <row r="27" spans="1:16">
      <c r="A27" s="2680"/>
      <c r="B27" s="2680"/>
      <c r="C27" s="2687"/>
      <c r="D27" s="2681"/>
      <c r="E27" s="2681"/>
      <c r="F27" s="2681"/>
      <c r="G27" s="2681"/>
      <c r="H27" s="2685"/>
      <c r="I27" s="2681"/>
      <c r="J27" s="2687"/>
      <c r="K27" s="2681"/>
      <c r="L27" s="2681"/>
      <c r="M27" s="2681"/>
      <c r="N27" s="2681"/>
      <c r="O27" s="2681"/>
      <c r="P27" s="2700"/>
    </row>
    <row r="28" spans="1:16">
      <c r="A28" s="2682" t="s">
        <v>1880</v>
      </c>
      <c r="B28" s="2684" t="s">
        <v>1549</v>
      </c>
      <c r="C28" s="2681"/>
      <c r="D28" s="2687"/>
      <c r="E28" s="2688"/>
      <c r="F28" s="2688"/>
      <c r="G28" s="2689"/>
      <c r="H28" s="2688"/>
      <c r="I28" s="2688"/>
      <c r="J28" s="2688"/>
      <c r="K28" s="2681"/>
      <c r="L28" s="2692"/>
      <c r="M28" s="2692"/>
      <c r="N28" s="2681"/>
      <c r="O28" s="2681"/>
      <c r="P28" s="2681"/>
    </row>
    <row r="29" spans="1:16">
      <c r="A29" s="2682"/>
      <c r="B29" s="2684"/>
      <c r="C29" s="2681"/>
      <c r="D29" s="2687"/>
      <c r="E29" s="2688"/>
      <c r="F29" s="2688"/>
      <c r="G29" s="2689"/>
      <c r="H29" s="2688"/>
      <c r="I29" s="2688"/>
      <c r="J29" s="2688"/>
      <c r="K29" s="2681"/>
      <c r="L29" s="2692"/>
      <c r="M29" s="2681"/>
      <c r="N29" s="2681"/>
      <c r="O29" s="2681"/>
      <c r="P29" s="2681"/>
    </row>
    <row r="30" spans="1:16">
      <c r="A30" s="2684"/>
      <c r="B30" s="2681" t="s">
        <v>648</v>
      </c>
      <c r="C30" s="2681"/>
      <c r="D30" s="2684"/>
      <c r="E30" s="2681"/>
      <c r="F30" s="2701" t="str">
        <f>'Part I-Project Information'!F24</f>
        <v>The Cove at York</v>
      </c>
      <c r="G30" s="2701"/>
      <c r="H30" s="2701"/>
      <c r="I30" s="2701"/>
      <c r="J30" s="2701"/>
      <c r="K30" s="2701"/>
      <c r="L30" s="2701"/>
      <c r="M30" s="2689" t="s">
        <v>2295</v>
      </c>
      <c r="N30" s="2681"/>
      <c r="O30" s="2696" t="str">
        <f>'Part I-Project Information'!O24</f>
        <v>No</v>
      </c>
      <c r="P30" s="2696"/>
    </row>
    <row r="31" spans="1:16">
      <c r="A31" s="2702"/>
      <c r="B31" s="2681" t="s">
        <v>2862</v>
      </c>
      <c r="C31" s="2681"/>
      <c r="D31" s="2692"/>
      <c r="E31" s="2681"/>
      <c r="F31" s="2701" t="str">
        <f>'Part I-Project Information'!F25</f>
        <v>Parcel 0C0180 007000 (N. Houston Lake Rd.)</v>
      </c>
      <c r="G31" s="2701"/>
      <c r="H31" s="2701"/>
      <c r="I31" s="2701"/>
      <c r="J31" s="2701"/>
      <c r="K31" s="2701"/>
      <c r="L31" s="2701"/>
      <c r="M31" s="2689" t="s">
        <v>2151</v>
      </c>
      <c r="N31" s="2681"/>
      <c r="O31" s="2696" t="str">
        <f>'Part I-Project Information'!O25</f>
        <v>No</v>
      </c>
      <c r="P31" s="2696"/>
    </row>
    <row r="32" spans="1:16">
      <c r="A32" s="2702"/>
      <c r="B32" s="2681" t="s">
        <v>4550</v>
      </c>
      <c r="C32" s="2681"/>
      <c r="D32" s="2692"/>
      <c r="E32" s="2681"/>
      <c r="F32" s="2701" t="str">
        <f>'Part I-Project Information'!F26</f>
        <v>813 N. Houston Lake Rd.</v>
      </c>
      <c r="G32" s="2701"/>
      <c r="H32" s="2701"/>
      <c r="I32" s="2701"/>
      <c r="J32" s="2701"/>
      <c r="K32" s="2701"/>
      <c r="L32" s="2701"/>
      <c r="M32" s="2689" t="s">
        <v>2922</v>
      </c>
      <c r="N32" s="2681"/>
      <c r="O32" s="2696" t="str">
        <f>'Part I-Project Information'!O26</f>
        <v>N/A</v>
      </c>
      <c r="P32" s="2696"/>
    </row>
    <row r="33" spans="1:16">
      <c r="A33" s="2702"/>
      <c r="B33" s="2681" t="s">
        <v>3088</v>
      </c>
      <c r="C33" s="2681"/>
      <c r="D33" s="2692"/>
      <c r="E33" s="2681"/>
      <c r="F33" s="2701" t="str">
        <f>'Part I-Project Information'!F27</f>
        <v>Lat. 32.642250, Long. -83.690119</v>
      </c>
      <c r="G33" s="2701"/>
      <c r="H33" s="2701"/>
      <c r="I33" s="2701"/>
      <c r="J33" s="2701"/>
      <c r="K33" s="2701"/>
      <c r="L33" s="2701"/>
      <c r="M33" s="2689" t="s">
        <v>2392</v>
      </c>
      <c r="N33" s="2681"/>
      <c r="O33" s="2703">
        <f>'Part I-Project Information'!O27</f>
        <v>17.699000000000002</v>
      </c>
      <c r="P33" s="2703"/>
    </row>
    <row r="34" spans="1:16" ht="16.5">
      <c r="A34" s="2680"/>
      <c r="B34" s="2681" t="s">
        <v>649</v>
      </c>
      <c r="C34" s="2681"/>
      <c r="D34" s="2681"/>
      <c r="E34" s="2681"/>
      <c r="F34" s="2696" t="str">
        <f>'Part I-Project Information'!F28</f>
        <v>Centerville</v>
      </c>
      <c r="G34" s="2696"/>
      <c r="H34" s="2696"/>
      <c r="I34" s="2694" t="s">
        <v>4551</v>
      </c>
      <c r="J34" s="2699">
        <f>'Part I-Project Information'!J28</f>
        <v>310281043</v>
      </c>
      <c r="K34" s="2699"/>
      <c r="L34" s="2684" t="str">
        <f>IF(AND(NOT(F30=""),NOT(F34="Select from list"),J34=""),"Enter Zip!","")</f>
        <v/>
      </c>
      <c r="M34" s="2704" t="s">
        <v>3329</v>
      </c>
      <c r="N34" s="2681"/>
      <c r="O34" s="2705" t="str">
        <f>'Part I-Project Information'!O28</f>
        <v>201.09</v>
      </c>
      <c r="P34" s="2706"/>
    </row>
    <row r="35" spans="1:16">
      <c r="A35" s="2680"/>
      <c r="B35" s="2681" t="s">
        <v>3067</v>
      </c>
      <c r="C35" s="2681"/>
      <c r="D35" s="2681"/>
      <c r="E35" s="2681"/>
      <c r="F35" s="2696" t="str">
        <f>'Part I-Project Information'!F29</f>
        <v>Within City Limits</v>
      </c>
      <c r="G35" s="2696"/>
      <c r="H35" s="2696"/>
      <c r="I35" s="2707" t="s">
        <v>650</v>
      </c>
      <c r="J35" s="2701" t="str">
        <f>'Part I-Project Information'!J29</f>
        <v>Houston</v>
      </c>
      <c r="K35" s="2701"/>
      <c r="L35" s="2681"/>
      <c r="M35" s="2689" t="s">
        <v>470</v>
      </c>
      <c r="N35" s="2708" t="str">
        <f>'Part I-Project Information'!N29</f>
        <v>No</v>
      </c>
      <c r="O35" s="2692" t="s">
        <v>471</v>
      </c>
      <c r="P35" s="2708" t="str">
        <f>'Part I-Project Information'!P29</f>
        <v>No</v>
      </c>
    </row>
    <row r="36" spans="1:16">
      <c r="A36" s="2680"/>
      <c r="B36" s="2684"/>
      <c r="C36" s="2681" t="s">
        <v>1635</v>
      </c>
      <c r="D36" s="2681"/>
      <c r="E36" s="2681"/>
      <c r="F36" s="2689" t="str">
        <f>'Part I-Project Information'!F30</f>
        <v>No</v>
      </c>
      <c r="G36" s="2695" t="s">
        <v>3089</v>
      </c>
      <c r="H36" s="2695"/>
      <c r="I36" s="2685" t="str">
        <f>'Part I-Project Information'!I30</f>
        <v>No</v>
      </c>
      <c r="J36" s="2685" t="s">
        <v>3110</v>
      </c>
      <c r="K36" s="2685" t="str">
        <f>IF(OR(F36="Yes",I36="Yes"),"Rural","Urban")</f>
        <v>Urban</v>
      </c>
      <c r="L36" s="2681"/>
      <c r="M36" s="2689" t="s">
        <v>2739</v>
      </c>
      <c r="N36" s="2680" t="str">
        <f>'Part I-Project Information'!N30</f>
        <v>MSA</v>
      </c>
      <c r="O36" s="2696" t="str">
        <f>'Part I-Project Information'!O30</f>
        <v>Warner Robins</v>
      </c>
      <c r="P36" s="2696"/>
    </row>
    <row r="37" spans="1:16">
      <c r="A37" s="2680"/>
      <c r="B37" s="2684"/>
      <c r="C37" s="2684"/>
      <c r="D37" s="2681"/>
      <c r="E37" s="2681"/>
      <c r="F37" s="2681"/>
      <c r="G37" s="2681"/>
      <c r="H37" s="2681"/>
      <c r="I37" s="2689"/>
      <c r="J37" s="2681"/>
      <c r="K37" s="2681"/>
      <c r="L37" s="2709"/>
      <c r="M37" s="2709"/>
      <c r="N37" s="2709"/>
      <c r="O37" s="2709"/>
      <c r="P37" s="2709"/>
    </row>
    <row r="38" spans="1:16" ht="13.5">
      <c r="A38" s="2680"/>
      <c r="B38" s="2681"/>
      <c r="C38" s="2681" t="s">
        <v>4552</v>
      </c>
      <c r="D38" s="2681"/>
      <c r="E38" s="2681"/>
      <c r="F38" s="2710" t="s">
        <v>3034</v>
      </c>
      <c r="G38" s="2710"/>
      <c r="H38" s="2695" t="s">
        <v>776</v>
      </c>
      <c r="I38" s="2695"/>
      <c r="J38" s="2695" t="s">
        <v>777</v>
      </c>
      <c r="K38" s="2695"/>
      <c r="L38" s="2711" t="s">
        <v>4374</v>
      </c>
      <c r="M38" s="2681"/>
      <c r="N38" s="2681"/>
      <c r="O38" s="2681"/>
      <c r="P38" s="2681"/>
    </row>
    <row r="39" spans="1:16">
      <c r="A39" s="2680"/>
      <c r="B39" s="2681" t="s">
        <v>4553</v>
      </c>
      <c r="C39" s="2681"/>
      <c r="D39" s="2684"/>
      <c r="E39" s="2681"/>
      <c r="F39" s="2712">
        <f>'Part I-Project Information'!F33</f>
        <v>8</v>
      </c>
      <c r="G39" s="2712"/>
      <c r="H39" s="2712">
        <f>'Part I-Project Information'!H33</f>
        <v>18</v>
      </c>
      <c r="I39" s="2712"/>
      <c r="J39" s="2712">
        <f>'Part I-Project Information'!J33</f>
        <v>147</v>
      </c>
      <c r="K39" s="2712"/>
      <c r="L39" s="2686" t="s">
        <v>1344</v>
      </c>
      <c r="M39" s="2681"/>
      <c r="N39" s="2713" t="s">
        <v>1345</v>
      </c>
      <c r="O39" s="2713"/>
      <c r="P39" s="2713"/>
    </row>
    <row r="40" spans="1:16">
      <c r="A40" s="2680"/>
      <c r="B40" s="2689" t="s">
        <v>778</v>
      </c>
      <c r="C40" s="2681"/>
      <c r="D40" s="2681"/>
      <c r="E40" s="2681"/>
      <c r="F40" s="2712">
        <f>'Part I-Project Information'!F34</f>
        <v>0</v>
      </c>
      <c r="G40" s="2712"/>
      <c r="H40" s="2712">
        <f>'Part I-Project Information'!H34</f>
        <v>0</v>
      </c>
      <c r="I40" s="2712"/>
      <c r="J40" s="2712">
        <f>'Part I-Project Information'!J34</f>
        <v>0</v>
      </c>
      <c r="K40" s="2712"/>
      <c r="L40" s="2686" t="s">
        <v>3032</v>
      </c>
      <c r="M40" s="2681"/>
      <c r="N40" s="2713" t="s">
        <v>3031</v>
      </c>
      <c r="O40" s="2713"/>
      <c r="P40" s="2681"/>
    </row>
    <row r="41" spans="1:16">
      <c r="A41" s="2680"/>
      <c r="B41" s="2681"/>
      <c r="C41" s="2681"/>
      <c r="D41" s="2681"/>
      <c r="E41" s="2681"/>
      <c r="F41" s="2681"/>
      <c r="G41" s="2681"/>
      <c r="H41" s="2681"/>
      <c r="I41" s="2709"/>
      <c r="J41" s="2709"/>
      <c r="K41" s="2709"/>
      <c r="L41" s="2681"/>
      <c r="M41" s="2681"/>
      <c r="N41" s="2681"/>
      <c r="O41" s="2681"/>
      <c r="P41" s="2681"/>
    </row>
    <row r="42" spans="1:16">
      <c r="A42" s="2680"/>
      <c r="B42" s="2684" t="s">
        <v>668</v>
      </c>
      <c r="C42" s="2681"/>
      <c r="D42" s="2681"/>
      <c r="E42" s="2681"/>
      <c r="F42" s="2714" t="str">
        <f>'Part I-Project Information'!F36</f>
        <v>City of Centerville</v>
      </c>
      <c r="G42" s="2714"/>
      <c r="H42" s="2714"/>
      <c r="I42" s="2714"/>
      <c r="J42" s="2714"/>
      <c r="K42" s="2714"/>
      <c r="L42" s="2681"/>
      <c r="M42" s="2715" t="s">
        <v>2875</v>
      </c>
      <c r="N42" s="2696" t="str">
        <f>'Part I-Project Information'!N36</f>
        <v>www.centervillega.org</v>
      </c>
      <c r="O42" s="2696"/>
      <c r="P42" s="2696"/>
    </row>
    <row r="43" spans="1:16">
      <c r="A43" s="2680"/>
      <c r="B43" s="2681" t="s">
        <v>669</v>
      </c>
      <c r="C43" s="2681"/>
      <c r="D43" s="2681"/>
      <c r="E43" s="2681"/>
      <c r="F43" s="2714" t="str">
        <f>'Part I-Project Information'!F37</f>
        <v>John R. Harley</v>
      </c>
      <c r="G43" s="2714"/>
      <c r="H43" s="2714"/>
      <c r="I43" s="2685" t="s">
        <v>2078</v>
      </c>
      <c r="J43" s="2696" t="str">
        <f>'Part I-Project Information'!J37</f>
        <v>Mayor</v>
      </c>
      <c r="K43" s="2696"/>
      <c r="L43" s="2696"/>
      <c r="M43" s="2689" t="s">
        <v>1888</v>
      </c>
      <c r="N43" s="2696" t="str">
        <f>'Part I-Project Information'!N37</f>
        <v>cityclerk@centerville.mgacoxmail.com</v>
      </c>
      <c r="O43" s="2696"/>
      <c r="P43" s="2696"/>
    </row>
    <row r="44" spans="1:16">
      <c r="A44" s="2680"/>
      <c r="B44" s="2681" t="s">
        <v>2079</v>
      </c>
      <c r="C44" s="2681"/>
      <c r="D44" s="2681"/>
      <c r="E44" s="2681"/>
      <c r="F44" s="2714" t="str">
        <f>'Part I-Project Information'!F38</f>
        <v>300 E. Church Street</v>
      </c>
      <c r="G44" s="2714"/>
      <c r="H44" s="2714"/>
      <c r="I44" s="2714"/>
      <c r="J44" s="2714"/>
      <c r="K44" s="2714"/>
      <c r="L44" s="2681"/>
      <c r="M44" s="2689" t="s">
        <v>649</v>
      </c>
      <c r="N44" s="2696" t="str">
        <f>'Part I-Project Information'!N38</f>
        <v>Centerville</v>
      </c>
      <c r="O44" s="2696"/>
      <c r="P44" s="2696"/>
    </row>
    <row r="45" spans="1:16">
      <c r="A45" s="2680"/>
      <c r="B45" s="2689" t="s">
        <v>2336</v>
      </c>
      <c r="C45" s="2681"/>
      <c r="D45" s="2681"/>
      <c r="E45" s="2681"/>
      <c r="F45" s="2716">
        <f>'Part I-Project Information'!F39</f>
        <v>310281043</v>
      </c>
      <c r="G45" s="2716"/>
      <c r="H45" s="2685" t="s">
        <v>2080</v>
      </c>
      <c r="I45" s="2717">
        <f>'Part I-Project Information'!I39</f>
        <v>4789534734</v>
      </c>
      <c r="J45" s="2717"/>
      <c r="K45" s="2717"/>
      <c r="L45" s="2681"/>
      <c r="M45" s="2689" t="s">
        <v>1890</v>
      </c>
      <c r="N45" s="2697">
        <f>'Part I-Project Information'!N39</f>
        <v>4789534797</v>
      </c>
      <c r="O45" s="2697"/>
      <c r="P45" s="2681"/>
    </row>
    <row r="46" spans="1:16">
      <c r="A46" s="2680"/>
      <c r="B46" s="2680"/>
      <c r="C46" s="2718"/>
      <c r="D46" s="2694"/>
      <c r="E46" s="2694"/>
      <c r="F46" s="2685"/>
      <c r="G46" s="2685"/>
      <c r="H46" s="2685"/>
      <c r="I46" s="2685"/>
      <c r="J46" s="2694"/>
      <c r="K46" s="2685"/>
      <c r="L46" s="2685"/>
      <c r="M46" s="2681"/>
      <c r="N46" s="2681"/>
      <c r="O46" s="2681"/>
      <c r="P46" s="2700"/>
    </row>
    <row r="47" spans="1:16">
      <c r="A47" s="2682" t="s">
        <v>1882</v>
      </c>
      <c r="B47" s="2684" t="s">
        <v>1550</v>
      </c>
      <c r="C47" s="2681"/>
      <c r="D47" s="2681"/>
      <c r="E47" s="2681"/>
      <c r="F47" s="2719"/>
      <c r="G47" s="2681"/>
      <c r="H47" s="2681"/>
      <c r="I47" s="2689"/>
      <c r="J47" s="2681"/>
      <c r="K47" s="2681"/>
      <c r="L47" s="2681"/>
      <c r="M47" s="2681"/>
      <c r="N47" s="2681"/>
      <c r="O47" s="2681"/>
      <c r="P47" s="2681"/>
    </row>
    <row r="48" spans="1:16">
      <c r="A48" s="2680"/>
      <c r="B48" s="2684"/>
      <c r="C48" s="2684"/>
      <c r="D48" s="2681"/>
      <c r="E48" s="2681"/>
      <c r="F48" s="2681"/>
      <c r="G48" s="2681"/>
      <c r="H48" s="2681"/>
      <c r="I48" s="2689"/>
      <c r="J48" s="2681"/>
      <c r="K48" s="2681"/>
      <c r="L48" s="2681"/>
      <c r="M48" s="2681"/>
      <c r="N48" s="2681"/>
      <c r="O48" s="2681"/>
      <c r="P48" s="2681"/>
    </row>
    <row r="49" spans="1:16">
      <c r="A49" s="2680"/>
      <c r="B49" s="2680" t="s">
        <v>2081</v>
      </c>
      <c r="C49" s="2684" t="s">
        <v>4554</v>
      </c>
      <c r="D49" s="2681"/>
      <c r="E49" s="2681"/>
      <c r="F49" s="2681"/>
      <c r="G49" s="2681"/>
      <c r="H49" s="2681"/>
      <c r="I49" s="2681"/>
      <c r="J49" s="2681"/>
      <c r="K49" s="2686"/>
      <c r="L49" s="2681"/>
      <c r="M49" s="2720"/>
      <c r="N49" s="2720"/>
      <c r="O49" s="2720"/>
      <c r="P49" s="2720"/>
    </row>
    <row r="50" spans="1:16">
      <c r="A50" s="2687"/>
      <c r="B50" s="2680"/>
      <c r="C50" s="2681" t="s">
        <v>2404</v>
      </c>
      <c r="D50" s="2681"/>
      <c r="E50" s="2681"/>
      <c r="F50" s="2687"/>
      <c r="G50" s="2687"/>
      <c r="H50" s="2721">
        <f>'Part I-Project Information'!H44</f>
        <v>96</v>
      </c>
      <c r="I50" s="2687"/>
      <c r="J50" s="2687"/>
      <c r="K50" s="2689" t="s">
        <v>379</v>
      </c>
      <c r="L50" s="2681"/>
      <c r="M50" s="2687"/>
      <c r="N50" s="2687"/>
      <c r="O50" s="2687"/>
      <c r="P50" s="2721">
        <f>'Part I-Project Information'!P44</f>
        <v>0</v>
      </c>
    </row>
    <row r="51" spans="1:16">
      <c r="A51" s="2680"/>
      <c r="B51" s="2680"/>
      <c r="C51" s="2722" t="s">
        <v>360</v>
      </c>
      <c r="D51" s="2681"/>
      <c r="E51" s="2681"/>
      <c r="F51" s="2681"/>
      <c r="G51" s="2681"/>
      <c r="H51" s="2721">
        <f>'Part I-Project Information'!H45</f>
        <v>0</v>
      </c>
      <c r="I51" s="2681"/>
      <c r="J51" s="2681"/>
      <c r="K51" s="2722" t="s">
        <v>380</v>
      </c>
      <c r="L51" s="2681"/>
      <c r="M51" s="2681"/>
      <c r="N51" s="2681"/>
      <c r="O51" s="2681"/>
      <c r="P51" s="2721">
        <f>'Part I-Project Information'!P45</f>
        <v>0</v>
      </c>
    </row>
    <row r="52" spans="1:16">
      <c r="A52" s="2681"/>
      <c r="B52" s="2680"/>
      <c r="C52" s="2689" t="s">
        <v>359</v>
      </c>
      <c r="D52" s="2681"/>
      <c r="E52" s="2681"/>
      <c r="F52" s="2681"/>
      <c r="G52" s="2681"/>
      <c r="H52" s="2721">
        <f>'Part I-Project Information'!H46</f>
        <v>0</v>
      </c>
      <c r="I52" s="2723" t="s">
        <v>3336</v>
      </c>
      <c r="J52" s="2681"/>
      <c r="K52" s="2681" t="s">
        <v>361</v>
      </c>
      <c r="L52" s="2681"/>
      <c r="M52" s="2681"/>
      <c r="N52" s="2681"/>
      <c r="O52" s="2681"/>
      <c r="P52" s="2724" t="str">
        <f>'Part I-Project Information'!P46</f>
        <v>N/A</v>
      </c>
    </row>
    <row r="53" spans="1:16">
      <c r="A53" s="2680"/>
      <c r="B53" s="2681"/>
      <c r="C53" s="2681"/>
      <c r="D53" s="2681"/>
      <c r="E53" s="2681"/>
      <c r="F53" s="2681"/>
      <c r="G53" s="2681"/>
      <c r="H53" s="2681"/>
      <c r="I53" s="2681"/>
      <c r="J53" s="2681"/>
      <c r="K53" s="2681"/>
      <c r="L53" s="2681"/>
      <c r="M53" s="2681"/>
      <c r="N53" s="2681"/>
      <c r="O53" s="2681"/>
      <c r="P53" s="2681"/>
    </row>
    <row r="54" spans="1:16">
      <c r="A54" s="2680"/>
      <c r="B54" s="2680" t="s">
        <v>2084</v>
      </c>
      <c r="C54" s="2684" t="s">
        <v>2405</v>
      </c>
      <c r="D54" s="2681"/>
      <c r="E54" s="2681"/>
      <c r="F54" s="2681"/>
      <c r="G54" s="2681"/>
      <c r="H54" s="2685" t="str">
        <f>'Part I-Project Information'!H48</f>
        <v>No</v>
      </c>
      <c r="I54" s="2681"/>
      <c r="J54" s="2681"/>
      <c r="K54" s="2681"/>
      <c r="L54" s="2681"/>
      <c r="M54" s="2681"/>
      <c r="N54" s="2681"/>
      <c r="O54" s="2720"/>
      <c r="P54" s="2686"/>
    </row>
    <row r="55" spans="1:16">
      <c r="A55" s="2680"/>
      <c r="B55" s="2681"/>
      <c r="C55" s="2681"/>
      <c r="D55" s="2681"/>
      <c r="E55" s="2681"/>
      <c r="F55" s="2681"/>
      <c r="G55" s="2681"/>
      <c r="H55" s="2681"/>
      <c r="I55" s="2681"/>
      <c r="J55" s="2686"/>
      <c r="K55" s="2725"/>
      <c r="L55" s="2686"/>
      <c r="M55" s="2725"/>
      <c r="N55" s="2725"/>
      <c r="O55" s="2725"/>
      <c r="P55" s="2725"/>
    </row>
    <row r="56" spans="1:16" ht="12.75" customHeight="1">
      <c r="A56" s="2680"/>
      <c r="B56" s="2702" t="s">
        <v>789</v>
      </c>
      <c r="C56" s="2684" t="s">
        <v>2385</v>
      </c>
      <c r="D56" s="2681"/>
      <c r="E56" s="2681"/>
      <c r="F56" s="2681"/>
      <c r="G56" s="2681"/>
      <c r="H56" s="2681"/>
      <c r="I56" s="2726" t="s">
        <v>4363</v>
      </c>
      <c r="J56" s="2702" t="s">
        <v>2216</v>
      </c>
      <c r="K56" s="2727" t="s">
        <v>2411</v>
      </c>
      <c r="L56" s="2681"/>
      <c r="M56" s="2681"/>
      <c r="N56" s="2681"/>
      <c r="O56" s="2681"/>
      <c r="P56" s="2685"/>
    </row>
    <row r="57" spans="1:16">
      <c r="A57" s="2680"/>
      <c r="B57" s="2698"/>
      <c r="C57" s="2687" t="s">
        <v>2386</v>
      </c>
      <c r="D57" s="2681"/>
      <c r="E57" s="2681"/>
      <c r="F57" s="2681"/>
      <c r="G57" s="2681"/>
      <c r="H57" s="2728">
        <f>SUM(H58:H59)</f>
        <v>96</v>
      </c>
      <c r="I57" s="2728">
        <f>SUM(I58:I59)</f>
        <v>0</v>
      </c>
      <c r="J57" s="2680"/>
      <c r="K57" s="2687" t="s">
        <v>3080</v>
      </c>
      <c r="L57" s="2681"/>
      <c r="M57" s="2681"/>
      <c r="N57" s="2681"/>
      <c r="O57" s="2681"/>
      <c r="P57" s="2728">
        <f>'Part I-Project Information'!P51</f>
        <v>103944</v>
      </c>
    </row>
    <row r="58" spans="1:16">
      <c r="A58" s="2680"/>
      <c r="B58" s="2687"/>
      <c r="C58" s="2681"/>
      <c r="D58" s="2729" t="s">
        <v>399</v>
      </c>
      <c r="E58" s="2681"/>
      <c r="F58" s="2681"/>
      <c r="G58" s="2681"/>
      <c r="H58" s="2728">
        <f>'Part I-Project Information'!H52</f>
        <v>20</v>
      </c>
      <c r="I58" s="2728">
        <f>'Part I-Project Information'!I52</f>
        <v>0</v>
      </c>
      <c r="J58" s="2681"/>
      <c r="K58" s="2687" t="s">
        <v>3081</v>
      </c>
      <c r="L58" s="2681"/>
      <c r="M58" s="2681"/>
      <c r="N58" s="2681"/>
      <c r="O58" s="2681"/>
      <c r="P58" s="2728">
        <f>'Part I-Project Information'!P52</f>
        <v>0</v>
      </c>
    </row>
    <row r="59" spans="1:16">
      <c r="A59" s="2680"/>
      <c r="B59" s="2681"/>
      <c r="C59" s="2681"/>
      <c r="D59" s="2729" t="s">
        <v>1913</v>
      </c>
      <c r="E59" s="2729"/>
      <c r="F59" s="2681"/>
      <c r="G59" s="2681"/>
      <c r="H59" s="2728">
        <f>'Part I-Project Information'!H53</f>
        <v>76</v>
      </c>
      <c r="I59" s="2728">
        <f>'Part I-Project Information'!I53</f>
        <v>0</v>
      </c>
      <c r="J59" s="2681"/>
      <c r="K59" s="2687" t="s">
        <v>3082</v>
      </c>
      <c r="L59" s="2681"/>
      <c r="M59" s="2681"/>
      <c r="N59" s="2681"/>
      <c r="O59" s="2681"/>
      <c r="P59" s="2728">
        <f>P57+P58</f>
        <v>103944</v>
      </c>
    </row>
    <row r="60" spans="1:16">
      <c r="A60" s="2680"/>
      <c r="B60" s="2681"/>
      <c r="C60" s="2687" t="s">
        <v>264</v>
      </c>
      <c r="D60" s="2681"/>
      <c r="E60" s="2681"/>
      <c r="F60" s="2681"/>
      <c r="G60" s="2681"/>
      <c r="H60" s="2728">
        <f>'Part I-Project Information'!H54</f>
        <v>0</v>
      </c>
      <c r="I60" s="2681"/>
      <c r="J60" s="2680"/>
      <c r="K60" s="2687" t="s">
        <v>3083</v>
      </c>
      <c r="L60" s="2681"/>
      <c r="M60" s="2681"/>
      <c r="N60" s="2681"/>
      <c r="O60" s="2681"/>
      <c r="P60" s="2728">
        <f>'Part I-Project Information'!P54</f>
        <v>0</v>
      </c>
    </row>
    <row r="61" spans="1:16">
      <c r="A61" s="2680"/>
      <c r="B61" s="2681"/>
      <c r="C61" s="2687" t="s">
        <v>2527</v>
      </c>
      <c r="D61" s="2681"/>
      <c r="E61" s="2681"/>
      <c r="F61" s="2681"/>
      <c r="G61" s="2681"/>
      <c r="H61" s="2728">
        <f>H57+H60</f>
        <v>96</v>
      </c>
      <c r="I61" s="2681"/>
      <c r="J61" s="2680"/>
      <c r="K61" s="2687" t="s">
        <v>1491</v>
      </c>
      <c r="L61" s="2681"/>
      <c r="M61" s="2681"/>
      <c r="N61" s="2681"/>
      <c r="O61" s="2681"/>
      <c r="P61" s="2728">
        <f>+P59+P60</f>
        <v>103944</v>
      </c>
    </row>
    <row r="62" spans="1:16">
      <c r="A62" s="2680"/>
      <c r="B62" s="2681"/>
      <c r="C62" s="2687" t="s">
        <v>2528</v>
      </c>
      <c r="D62" s="2681"/>
      <c r="E62" s="2681"/>
      <c r="F62" s="2681"/>
      <c r="G62" s="2681"/>
      <c r="H62" s="2728">
        <f>'Part I-Project Information'!H56</f>
        <v>0</v>
      </c>
      <c r="I62" s="2681"/>
      <c r="J62" s="2680"/>
      <c r="K62" s="2681"/>
      <c r="L62" s="2681"/>
      <c r="M62" s="2681"/>
      <c r="N62" s="2681"/>
      <c r="O62" s="2681"/>
      <c r="P62" s="2681"/>
    </row>
    <row r="63" spans="1:16">
      <c r="A63" s="2680"/>
      <c r="B63" s="2681"/>
      <c r="C63" s="2687" t="s">
        <v>1881</v>
      </c>
      <c r="D63" s="2681"/>
      <c r="E63" s="2681"/>
      <c r="F63" s="2681"/>
      <c r="G63" s="2681"/>
      <c r="H63" s="2728">
        <f>+H61+H62</f>
        <v>96</v>
      </c>
      <c r="I63" s="2681"/>
      <c r="J63" s="2681"/>
      <c r="K63" s="2681"/>
      <c r="L63" s="2681"/>
      <c r="M63" s="2681"/>
      <c r="N63" s="2681"/>
      <c r="O63" s="2681"/>
      <c r="P63" s="2681"/>
    </row>
    <row r="64" spans="1:16">
      <c r="A64" s="2680"/>
      <c r="B64" s="2681"/>
      <c r="C64" s="2681"/>
      <c r="D64" s="2681"/>
      <c r="E64" s="2681"/>
      <c r="F64" s="2681"/>
      <c r="G64" s="2681"/>
      <c r="H64" s="2681"/>
      <c r="I64" s="2685"/>
      <c r="J64" s="2681"/>
      <c r="K64" s="2681"/>
      <c r="L64" s="2685"/>
      <c r="M64" s="2685"/>
      <c r="N64" s="2681"/>
      <c r="O64" s="2681"/>
      <c r="P64" s="2700"/>
    </row>
    <row r="65" spans="1:16">
      <c r="A65" s="2680"/>
      <c r="B65" s="2680" t="s">
        <v>1823</v>
      </c>
      <c r="C65" s="2684" t="s">
        <v>2406</v>
      </c>
      <c r="D65" s="2729" t="s">
        <v>2095</v>
      </c>
      <c r="E65" s="2681"/>
      <c r="F65" s="2681"/>
      <c r="G65" s="2681"/>
      <c r="H65" s="2728">
        <f>'Part I-Project Information'!H59</f>
        <v>3</v>
      </c>
      <c r="I65" s="2681"/>
      <c r="J65" s="2681"/>
      <c r="K65" s="2687" t="s">
        <v>1178</v>
      </c>
      <c r="L65" s="2681"/>
      <c r="M65" s="2681"/>
      <c r="N65" s="2681"/>
      <c r="O65" s="2681"/>
      <c r="P65" s="2728">
        <f>'Part I-Project Information'!P59</f>
        <v>2499</v>
      </c>
    </row>
    <row r="66" spans="1:16">
      <c r="A66" s="2680"/>
      <c r="B66" s="2680"/>
      <c r="C66" s="2681"/>
      <c r="D66" s="2698" t="s">
        <v>2096</v>
      </c>
      <c r="E66" s="2681"/>
      <c r="F66" s="2681"/>
      <c r="G66" s="2681"/>
      <c r="H66" s="2728">
        <f>'Part I-Project Information'!H60</f>
        <v>1</v>
      </c>
      <c r="I66" s="2681"/>
      <c r="J66" s="2681"/>
      <c r="K66" s="2687" t="s">
        <v>263</v>
      </c>
      <c r="L66" s="2681"/>
      <c r="M66" s="2681"/>
      <c r="N66" s="2681"/>
      <c r="O66" s="2681"/>
      <c r="P66" s="2728">
        <f>+P61+P65</f>
        <v>106443</v>
      </c>
    </row>
    <row r="67" spans="1:16">
      <c r="A67" s="2680"/>
      <c r="B67" s="2680"/>
      <c r="C67" s="2681"/>
      <c r="D67" s="2698" t="s">
        <v>2097</v>
      </c>
      <c r="E67" s="2681"/>
      <c r="F67" s="2681"/>
      <c r="G67" s="2681"/>
      <c r="H67" s="2728">
        <f>+H65+H66</f>
        <v>4</v>
      </c>
      <c r="I67" s="2681"/>
      <c r="J67" s="2681"/>
      <c r="K67" s="2681"/>
      <c r="L67" s="2681"/>
      <c r="M67" s="2681"/>
      <c r="N67" s="2681"/>
      <c r="O67" s="2681"/>
      <c r="P67" s="2681"/>
    </row>
    <row r="68" spans="1:16">
      <c r="A68" s="2680"/>
      <c r="B68" s="2680"/>
      <c r="C68" s="2681"/>
      <c r="D68" s="2681"/>
      <c r="E68" s="2681"/>
      <c r="F68" s="2681"/>
      <c r="G68" s="2685"/>
      <c r="H68" s="2681"/>
      <c r="I68" s="2687"/>
      <c r="J68" s="2681"/>
      <c r="K68" s="2681"/>
      <c r="L68" s="2681"/>
      <c r="M68" s="2681"/>
      <c r="N68" s="2681"/>
      <c r="O68" s="2681"/>
      <c r="P68" s="2700"/>
    </row>
    <row r="69" spans="1:16">
      <c r="A69" s="2680"/>
      <c r="B69" s="2680" t="s">
        <v>1824</v>
      </c>
      <c r="C69" s="2684" t="s">
        <v>3184</v>
      </c>
      <c r="D69" s="2681"/>
      <c r="E69" s="2681"/>
      <c r="F69" s="2681"/>
      <c r="G69" s="2681"/>
      <c r="H69" s="2728">
        <f>'Part I-Project Information'!H63</f>
        <v>149</v>
      </c>
      <c r="I69" s="2681"/>
      <c r="J69" s="2681"/>
      <c r="K69" s="2681" t="s">
        <v>3187</v>
      </c>
      <c r="L69" s="2681"/>
      <c r="M69" s="2681"/>
      <c r="N69" s="2681"/>
      <c r="O69" s="2681"/>
      <c r="P69" s="2681"/>
    </row>
    <row r="70" spans="1:16">
      <c r="A70" s="2680"/>
      <c r="B70" s="2680"/>
      <c r="C70" s="2687"/>
      <c r="D70" s="2681"/>
      <c r="E70" s="2681"/>
      <c r="F70" s="2681"/>
      <c r="G70" s="2685"/>
      <c r="H70" s="2681"/>
      <c r="I70" s="2687"/>
      <c r="J70" s="2687"/>
      <c r="K70" s="2681"/>
      <c r="L70" s="2681"/>
      <c r="M70" s="2681"/>
      <c r="N70" s="2681"/>
      <c r="O70" s="2681"/>
      <c r="P70" s="2700"/>
    </row>
    <row r="71" spans="1:16">
      <c r="A71" s="2680" t="s">
        <v>554</v>
      </c>
      <c r="B71" s="2730" t="s">
        <v>1247</v>
      </c>
      <c r="C71" s="2681"/>
      <c r="D71" s="2730"/>
      <c r="E71" s="2730"/>
      <c r="F71" s="2681"/>
      <c r="G71" s="2685"/>
      <c r="H71" s="2681"/>
      <c r="I71" s="2681"/>
      <c r="J71" s="2681"/>
      <c r="K71" s="2681"/>
      <c r="L71" s="2681"/>
      <c r="M71" s="2681"/>
      <c r="N71" s="2681"/>
      <c r="O71" s="2681"/>
      <c r="P71" s="2681"/>
    </row>
    <row r="72" spans="1:16">
      <c r="A72" s="2680"/>
      <c r="B72" s="2681"/>
      <c r="C72" s="2731"/>
      <c r="D72" s="2731"/>
      <c r="E72" s="2731"/>
      <c r="F72" s="2681"/>
      <c r="G72" s="2685"/>
      <c r="H72" s="2681"/>
      <c r="I72" s="2681"/>
      <c r="J72" s="2681"/>
      <c r="K72" s="2681"/>
      <c r="L72" s="2681"/>
      <c r="M72" s="2681"/>
      <c r="N72" s="2681"/>
      <c r="O72" s="2681"/>
      <c r="P72" s="2700"/>
    </row>
    <row r="73" spans="1:16">
      <c r="A73" s="2680"/>
      <c r="B73" s="2680" t="s">
        <v>2081</v>
      </c>
      <c r="C73" s="2682" t="s">
        <v>4555</v>
      </c>
      <c r="D73" s="2731"/>
      <c r="E73" s="2731"/>
      <c r="F73" s="2681"/>
      <c r="G73" s="2685"/>
      <c r="H73" s="2732" t="str">
        <f>'Part I-Project Information'!H67</f>
        <v>Family</v>
      </c>
      <c r="I73" s="2732"/>
      <c r="J73" s="2681"/>
      <c r="K73" s="2696" t="s">
        <v>1860</v>
      </c>
      <c r="L73" s="2696"/>
      <c r="M73" s="2681"/>
      <c r="N73" s="2696">
        <f>'Part I-Project Information'!N67</f>
        <v>0</v>
      </c>
      <c r="O73" s="2696"/>
      <c r="P73" s="2696"/>
    </row>
    <row r="74" spans="1:16">
      <c r="A74" s="2680"/>
      <c r="B74" s="2680"/>
      <c r="C74" s="2681"/>
      <c r="D74" s="2698"/>
      <c r="E74" s="2698"/>
      <c r="F74" s="2698"/>
      <c r="G74" s="2698"/>
      <c r="H74" s="2681"/>
      <c r="I74" s="2685"/>
      <c r="J74" s="2681"/>
      <c r="K74" s="2689"/>
      <c r="L74" s="2689"/>
      <c r="M74" s="2685"/>
      <c r="N74" s="2681"/>
      <c r="O74" s="2681"/>
      <c r="P74" s="2700"/>
    </row>
    <row r="75" spans="1:16">
      <c r="A75" s="2680"/>
      <c r="B75" s="2680"/>
      <c r="C75" s="2681"/>
      <c r="D75" s="2681"/>
      <c r="E75" s="2731"/>
      <c r="F75" s="2681"/>
      <c r="G75" s="2681"/>
      <c r="H75" s="2681"/>
      <c r="I75" s="2681"/>
      <c r="J75" s="2681"/>
      <c r="K75" s="2733" t="s">
        <v>3772</v>
      </c>
      <c r="L75" s="2733"/>
      <c r="M75" s="2734" t="s">
        <v>3337</v>
      </c>
      <c r="N75" s="2728">
        <f>'Part I-Project Information'!N69</f>
        <v>0</v>
      </c>
      <c r="O75" s="2734" t="s">
        <v>3338</v>
      </c>
      <c r="P75" s="2728">
        <f>'Part I-Project Information'!P69</f>
        <v>0</v>
      </c>
    </row>
    <row r="76" spans="1:16">
      <c r="A76" s="2680"/>
      <c r="B76" s="2680"/>
      <c r="C76" s="2681"/>
      <c r="D76" s="2698"/>
      <c r="E76" s="2698"/>
      <c r="F76" s="2698"/>
      <c r="G76" s="2698"/>
      <c r="H76" s="2681"/>
      <c r="I76" s="2681"/>
      <c r="J76" s="2681"/>
      <c r="K76" s="2733"/>
      <c r="L76" s="2733"/>
      <c r="M76" s="2685"/>
      <c r="N76" s="2681"/>
      <c r="O76" s="2681"/>
      <c r="P76" s="2700"/>
    </row>
    <row r="77" spans="1:16">
      <c r="A77" s="2680"/>
      <c r="B77" s="2680"/>
      <c r="C77" s="2681"/>
      <c r="D77" s="2689"/>
      <c r="E77" s="2731"/>
      <c r="F77" s="2681"/>
      <c r="G77" s="2681"/>
      <c r="H77" s="2681"/>
      <c r="I77" s="2681"/>
      <c r="J77" s="2681"/>
      <c r="K77" s="2733"/>
      <c r="L77" s="2733"/>
      <c r="M77" s="2692" t="s">
        <v>3339</v>
      </c>
      <c r="N77" s="2728">
        <f>'Part I-Project Information'!N71</f>
        <v>0</v>
      </c>
      <c r="O77" s="2692" t="s">
        <v>1679</v>
      </c>
      <c r="P77" s="2728">
        <f>'Part I-Project Information'!P71</f>
        <v>0</v>
      </c>
    </row>
    <row r="78" spans="1:16">
      <c r="A78" s="2680"/>
      <c r="B78" s="2680"/>
      <c r="C78" s="2681"/>
      <c r="D78" s="2698"/>
      <c r="E78" s="2698"/>
      <c r="F78" s="2698"/>
      <c r="G78" s="2698"/>
      <c r="H78" s="2681"/>
      <c r="I78" s="2685"/>
      <c r="J78" s="2681"/>
      <c r="K78" s="2689"/>
      <c r="L78" s="2689"/>
      <c r="M78" s="2685"/>
      <c r="N78" s="2681"/>
      <c r="O78" s="2681"/>
      <c r="P78" s="2700"/>
    </row>
    <row r="79" spans="1:16">
      <c r="A79" s="2680"/>
      <c r="B79" s="2680" t="s">
        <v>2084</v>
      </c>
      <c r="C79" s="2684" t="s">
        <v>1482</v>
      </c>
      <c r="D79" s="2681"/>
      <c r="E79" s="2729"/>
      <c r="F79" s="2698" t="s">
        <v>838</v>
      </c>
      <c r="G79" s="2681"/>
      <c r="H79" s="2728">
        <f>'Part I-Project Information'!H73</f>
        <v>5</v>
      </c>
      <c r="I79" s="2681"/>
      <c r="J79" s="2681"/>
      <c r="K79" s="2696" t="s">
        <v>544</v>
      </c>
      <c r="L79" s="2696"/>
      <c r="M79" s="2681"/>
      <c r="N79" s="2681"/>
      <c r="O79" s="2681"/>
      <c r="P79" s="2735">
        <f>'Part I-Project Information'!P73</f>
        <v>5.2083333333333336E-2</v>
      </c>
    </row>
    <row r="80" spans="1:16">
      <c r="A80" s="2680"/>
      <c r="B80" s="2680"/>
      <c r="C80" s="2681"/>
      <c r="D80" s="2698" t="s">
        <v>3182</v>
      </c>
      <c r="E80" s="2698"/>
      <c r="F80" s="2698" t="s">
        <v>838</v>
      </c>
      <c r="G80" s="2681"/>
      <c r="H80" s="2728">
        <f>'Part I-Project Information'!H74</f>
        <v>2</v>
      </c>
      <c r="I80" s="2681"/>
      <c r="J80" s="2681"/>
      <c r="K80" s="2681" t="s">
        <v>3183</v>
      </c>
      <c r="L80" s="2681"/>
      <c r="M80" s="2681"/>
      <c r="N80" s="2681"/>
      <c r="O80" s="2681"/>
      <c r="P80" s="2735">
        <f>IF(H79=0,0,H80/H79)</f>
        <v>0.4</v>
      </c>
    </row>
    <row r="81" spans="1:16">
      <c r="A81" s="2680"/>
      <c r="B81" s="2680"/>
      <c r="C81" s="2681"/>
      <c r="D81" s="2698"/>
      <c r="E81" s="2698"/>
      <c r="F81" s="2698"/>
      <c r="G81" s="2681"/>
      <c r="H81" s="2681"/>
      <c r="I81" s="2685"/>
      <c r="J81" s="2681"/>
      <c r="K81" s="2689"/>
      <c r="L81" s="2689"/>
      <c r="M81" s="2685"/>
      <c r="N81" s="2681"/>
      <c r="O81" s="2681"/>
      <c r="P81" s="2685"/>
    </row>
    <row r="82" spans="1:16">
      <c r="A82" s="2680"/>
      <c r="B82" s="2680" t="s">
        <v>789</v>
      </c>
      <c r="C82" s="2684" t="s">
        <v>1936</v>
      </c>
      <c r="D82" s="2729"/>
      <c r="E82" s="2729"/>
      <c r="F82" s="2698" t="s">
        <v>838</v>
      </c>
      <c r="G82" s="2681"/>
      <c r="H82" s="2728">
        <f>'Part I-Project Information'!H76</f>
        <v>2</v>
      </c>
      <c r="I82" s="2681"/>
      <c r="J82" s="2681"/>
      <c r="K82" s="2696" t="s">
        <v>544</v>
      </c>
      <c r="L82" s="2696"/>
      <c r="M82" s="2681"/>
      <c r="N82" s="2681"/>
      <c r="O82" s="2681"/>
      <c r="P82" s="2735">
        <f>'Part I-Project Information'!P76</f>
        <v>2.0833333333333332E-2</v>
      </c>
    </row>
    <row r="83" spans="1:16">
      <c r="A83" s="2680"/>
      <c r="B83" s="2680"/>
      <c r="C83" s="2681"/>
      <c r="D83" s="2698"/>
      <c r="E83" s="2698"/>
      <c r="F83" s="2698"/>
      <c r="G83" s="2698"/>
      <c r="H83" s="2681"/>
      <c r="I83" s="2685"/>
      <c r="J83" s="2685"/>
      <c r="K83" s="2685"/>
      <c r="L83" s="2685"/>
      <c r="M83" s="2685"/>
      <c r="N83" s="2681"/>
      <c r="O83" s="2681"/>
      <c r="P83" s="2700"/>
    </row>
    <row r="84" spans="1:16">
      <c r="A84" s="2727" t="s">
        <v>813</v>
      </c>
      <c r="B84" s="2731" t="s">
        <v>2491</v>
      </c>
      <c r="C84" s="2681"/>
      <c r="D84" s="2698"/>
      <c r="E84" s="2698"/>
      <c r="F84" s="2698"/>
      <c r="G84" s="2698"/>
      <c r="H84" s="2698"/>
      <c r="I84" s="2685"/>
      <c r="J84" s="2681"/>
      <c r="K84" s="2681"/>
      <c r="L84" s="2681"/>
      <c r="M84" s="2685"/>
      <c r="N84" s="2681"/>
      <c r="O84" s="2681"/>
      <c r="P84" s="2700"/>
    </row>
    <row r="85" spans="1:16">
      <c r="A85" s="2680"/>
      <c r="B85" s="2680"/>
      <c r="C85" s="2731"/>
      <c r="D85" s="2698"/>
      <c r="E85" s="2698"/>
      <c r="F85" s="2698"/>
      <c r="G85" s="2681"/>
      <c r="H85" s="2681"/>
      <c r="I85" s="2681"/>
      <c r="J85" s="2681"/>
      <c r="K85" s="2681"/>
      <c r="L85" s="2685"/>
      <c r="M85" s="2685"/>
      <c r="N85" s="2681"/>
      <c r="O85" s="2681"/>
      <c r="P85" s="2700"/>
    </row>
    <row r="86" spans="1:16">
      <c r="A86" s="2680"/>
      <c r="B86" s="2680" t="s">
        <v>2081</v>
      </c>
      <c r="C86" s="2682" t="s">
        <v>2490</v>
      </c>
      <c r="D86" s="2698"/>
      <c r="E86" s="2698"/>
      <c r="F86" s="2698"/>
      <c r="G86" s="2681"/>
      <c r="H86" s="2732" t="str">
        <f>'Part I-Project Information'!H80</f>
        <v>40% of Units at 60% of AMI</v>
      </c>
      <c r="I86" s="2732"/>
      <c r="J86" s="2732"/>
      <c r="K86" s="2681"/>
      <c r="L86" s="2681"/>
      <c r="M86" s="2685"/>
      <c r="N86" s="2681"/>
      <c r="O86" s="2681"/>
      <c r="P86" s="2700"/>
    </row>
    <row r="87" spans="1:16">
      <c r="A87" s="2680"/>
      <c r="B87" s="2680"/>
      <c r="C87" s="2681"/>
      <c r="D87" s="2698"/>
      <c r="E87" s="2698"/>
      <c r="F87" s="2698"/>
      <c r="G87" s="2698"/>
      <c r="H87" s="2681"/>
      <c r="I87" s="2685"/>
      <c r="J87" s="2685"/>
      <c r="K87" s="2685"/>
      <c r="L87" s="2685"/>
      <c r="M87" s="2685"/>
      <c r="N87" s="2681"/>
      <c r="O87" s="2681"/>
      <c r="P87" s="2700"/>
    </row>
    <row r="88" spans="1:16">
      <c r="A88" s="2681"/>
      <c r="B88" s="2680" t="s">
        <v>2084</v>
      </c>
      <c r="C88" s="2684" t="s">
        <v>1610</v>
      </c>
      <c r="D88" s="2681"/>
      <c r="E88" s="2681"/>
      <c r="F88" s="2681"/>
      <c r="G88" s="2681"/>
      <c r="H88" s="2681"/>
      <c r="I88" s="2681"/>
      <c r="J88" s="2681"/>
      <c r="K88" s="2689" t="s">
        <v>911</v>
      </c>
      <c r="L88" s="2681"/>
      <c r="M88" s="2681"/>
      <c r="N88" s="2736"/>
      <c r="O88" s="2681"/>
      <c r="P88" s="2685" t="str">
        <f>'Part I-Project Information'!P82</f>
        <v>No</v>
      </c>
    </row>
    <row r="89" spans="1:16">
      <c r="A89" s="2680"/>
      <c r="B89" s="2680"/>
      <c r="C89" s="2684"/>
      <c r="D89" s="2698"/>
      <c r="E89" s="2698"/>
      <c r="F89" s="2698"/>
      <c r="G89" s="2698"/>
      <c r="H89" s="2681"/>
      <c r="I89" s="2685"/>
      <c r="J89" s="2685"/>
      <c r="K89" s="2685"/>
      <c r="L89" s="2685"/>
      <c r="M89" s="2685"/>
      <c r="N89" s="2681"/>
      <c r="O89" s="2681"/>
      <c r="P89" s="2700"/>
    </row>
    <row r="90" spans="1:16">
      <c r="A90" s="2727" t="s">
        <v>305</v>
      </c>
      <c r="B90" s="2731" t="s">
        <v>2142</v>
      </c>
      <c r="C90" s="2681"/>
      <c r="D90" s="2698"/>
      <c r="E90" s="2681"/>
      <c r="F90" s="2681"/>
      <c r="G90" s="2681"/>
      <c r="H90" s="2681"/>
      <c r="I90" s="2681"/>
      <c r="J90" s="2681"/>
      <c r="K90" s="2681"/>
      <c r="L90" s="2681"/>
      <c r="M90" s="2681"/>
      <c r="N90" s="2681"/>
      <c r="O90" s="2681"/>
      <c r="P90" s="2681"/>
    </row>
    <row r="91" spans="1:16">
      <c r="A91" s="2680"/>
      <c r="B91" s="2680"/>
      <c r="C91" s="2681"/>
      <c r="D91" s="2698"/>
      <c r="E91" s="2681"/>
      <c r="F91" s="2681"/>
      <c r="G91" s="2681"/>
      <c r="H91" s="2681"/>
      <c r="I91" s="2681"/>
      <c r="J91" s="2681"/>
      <c r="K91" s="2681"/>
      <c r="L91" s="2681"/>
      <c r="M91" s="2681"/>
      <c r="N91" s="2681"/>
      <c r="O91" s="2681"/>
      <c r="P91" s="2700"/>
    </row>
    <row r="92" spans="1:16">
      <c r="A92" s="2727"/>
      <c r="B92" s="2680" t="s">
        <v>2081</v>
      </c>
      <c r="C92" s="2684" t="s">
        <v>2880</v>
      </c>
      <c r="D92" s="2681"/>
      <c r="E92" s="2681"/>
      <c r="F92" s="2729" t="s">
        <v>2728</v>
      </c>
      <c r="G92" s="2681"/>
      <c r="H92" s="2685" t="str">
        <f>'Part I-Project Information'!H86</f>
        <v>Yes</v>
      </c>
      <c r="I92" s="2681"/>
      <c r="J92" s="2681"/>
      <c r="K92" s="2729" t="s">
        <v>3991</v>
      </c>
      <c r="L92" s="2681"/>
      <c r="M92" s="2685" t="str">
        <f>'Part I-Project Information'!M86</f>
        <v>Yes</v>
      </c>
      <c r="N92" s="2681"/>
      <c r="O92" s="2681"/>
      <c r="P92" s="2681"/>
    </row>
    <row r="93" spans="1:16">
      <c r="A93" s="2680"/>
      <c r="B93" s="2680"/>
      <c r="C93" s="2731"/>
      <c r="D93" s="2681"/>
      <c r="E93" s="2681"/>
      <c r="F93" s="2698"/>
      <c r="G93" s="2681"/>
      <c r="H93" s="2698"/>
      <c r="I93" s="2681"/>
      <c r="J93" s="2685"/>
      <c r="K93" s="2685"/>
      <c r="L93" s="2685"/>
      <c r="M93" s="2685"/>
      <c r="N93" s="2685"/>
      <c r="O93" s="2681"/>
      <c r="P93" s="2700"/>
    </row>
    <row r="94" spans="1:16">
      <c r="A94" s="2727"/>
      <c r="B94" s="2680" t="s">
        <v>2084</v>
      </c>
      <c r="C94" s="2684" t="s">
        <v>2881</v>
      </c>
      <c r="D94" s="2681"/>
      <c r="E94" s="2681"/>
      <c r="F94" s="2689" t="s">
        <v>2820</v>
      </c>
      <c r="G94" s="2681"/>
      <c r="H94" s="2685" t="str">
        <f>'Part I-Project Information'!H88</f>
        <v>No</v>
      </c>
      <c r="I94" s="2681"/>
      <c r="J94" s="2685"/>
      <c r="K94" s="2737" t="s">
        <v>2882</v>
      </c>
      <c r="L94" s="2685"/>
      <c r="M94" s="2685"/>
      <c r="N94" s="2685"/>
      <c r="O94" s="2685"/>
      <c r="P94" s="2681"/>
    </row>
    <row r="95" spans="1:16">
      <c r="A95" s="2680"/>
      <c r="B95" s="2680"/>
      <c r="C95" s="2684"/>
      <c r="D95" s="2698"/>
      <c r="E95" s="2698"/>
      <c r="F95" s="2698"/>
      <c r="G95" s="2698"/>
      <c r="H95" s="2681"/>
      <c r="I95" s="2685"/>
      <c r="J95" s="2685"/>
      <c r="K95" s="2685"/>
      <c r="L95" s="2685"/>
      <c r="M95" s="2685"/>
      <c r="N95" s="2681"/>
      <c r="O95" s="2681"/>
      <c r="P95" s="2700"/>
    </row>
    <row r="96" spans="1:16">
      <c r="A96" s="2727" t="s">
        <v>440</v>
      </c>
      <c r="B96" s="2731" t="s">
        <v>3091</v>
      </c>
      <c r="C96" s="2681"/>
      <c r="D96" s="2698"/>
      <c r="E96" s="2681"/>
      <c r="F96" s="2681"/>
      <c r="G96" s="2681"/>
      <c r="H96" s="2696" t="str">
        <f>'Part I-Project Information'!H90</f>
        <v>Flexible</v>
      </c>
      <c r="I96" s="2696"/>
      <c r="J96" s="2685"/>
      <c r="K96" s="2681"/>
      <c r="L96" s="2681"/>
      <c r="M96" s="2681"/>
      <c r="N96" s="2681"/>
      <c r="O96" s="2681"/>
      <c r="P96" s="2681"/>
    </row>
    <row r="97" spans="1:16">
      <c r="A97" s="2680"/>
      <c r="B97" s="2681"/>
      <c r="C97" s="2681"/>
      <c r="D97" s="2694"/>
      <c r="E97" s="2681"/>
      <c r="F97" s="2681"/>
      <c r="G97" s="2681"/>
      <c r="H97" s="2681"/>
      <c r="I97" s="2694"/>
      <c r="J97" s="2687"/>
      <c r="K97" s="2681"/>
      <c r="L97" s="2681"/>
      <c r="M97" s="2681"/>
      <c r="N97" s="2681"/>
      <c r="O97" s="2681"/>
      <c r="P97" s="2700"/>
    </row>
    <row r="98" spans="1:16">
      <c r="A98" s="2727" t="s">
        <v>376</v>
      </c>
      <c r="B98" s="2727" t="s">
        <v>1245</v>
      </c>
      <c r="C98" s="2681"/>
      <c r="D98" s="2681"/>
      <c r="E98" s="2681"/>
      <c r="F98" s="2681"/>
      <c r="G98" s="2681"/>
      <c r="H98" s="2681"/>
      <c r="I98" s="2694"/>
      <c r="J98" s="2687"/>
      <c r="K98" s="2681"/>
      <c r="L98" s="2681"/>
      <c r="M98" s="2681"/>
      <c r="N98" s="2681"/>
      <c r="O98" s="2681"/>
      <c r="P98" s="2700"/>
    </row>
    <row r="99" spans="1:16">
      <c r="A99" s="2727"/>
      <c r="B99" s="2680"/>
      <c r="C99" s="2727"/>
      <c r="D99" s="2681"/>
      <c r="E99" s="2681"/>
      <c r="F99" s="2681"/>
      <c r="G99" s="2681"/>
      <c r="H99" s="2681"/>
      <c r="I99" s="2694"/>
      <c r="J99" s="2687"/>
      <c r="K99" s="2681"/>
      <c r="L99" s="2681"/>
      <c r="M99" s="2681"/>
      <c r="N99" s="2681"/>
      <c r="O99" s="2681"/>
      <c r="P99" s="2681"/>
    </row>
    <row r="100" spans="1:16">
      <c r="A100" s="2680"/>
      <c r="B100" s="2680"/>
      <c r="C100" s="2687" t="s">
        <v>576</v>
      </c>
      <c r="D100" s="2681"/>
      <c r="E100" s="2696">
        <f>'Part I-Project Information'!E94</f>
        <v>0</v>
      </c>
      <c r="F100" s="2696"/>
      <c r="G100" s="2696"/>
      <c r="H100" s="2696"/>
      <c r="I100" s="2696"/>
      <c r="J100" s="2696"/>
      <c r="K100" s="2696"/>
      <c r="L100" s="2696"/>
      <c r="M100" s="2732" t="s">
        <v>577</v>
      </c>
      <c r="N100" s="2732"/>
      <c r="O100" s="2738">
        <f>'Part I-Project Information'!O94</f>
        <v>0</v>
      </c>
      <c r="P100" s="2738"/>
    </row>
    <row r="101" spans="1:16">
      <c r="A101" s="2681"/>
      <c r="B101" s="2681"/>
      <c r="C101" s="2689" t="s">
        <v>1071</v>
      </c>
      <c r="D101" s="2692"/>
      <c r="E101" s="2696">
        <f>'Part I-Project Information'!E95</f>
        <v>0</v>
      </c>
      <c r="F101" s="2696"/>
      <c r="G101" s="2696"/>
      <c r="H101" s="2696"/>
      <c r="I101" s="2696"/>
      <c r="J101" s="2696"/>
      <c r="K101" s="2696"/>
      <c r="L101" s="2696"/>
      <c r="M101" s="2732" t="s">
        <v>850</v>
      </c>
      <c r="N101" s="2732"/>
      <c r="O101" s="2701">
        <f>'Part I-Project Information'!O95</f>
        <v>0</v>
      </c>
      <c r="P101" s="2701"/>
    </row>
    <row r="102" spans="1:16">
      <c r="A102" s="2681"/>
      <c r="B102" s="2681"/>
      <c r="C102" s="2689" t="s">
        <v>649</v>
      </c>
      <c r="D102" s="2681"/>
      <c r="E102" s="2696">
        <f>'Part I-Project Information'!E96</f>
        <v>0</v>
      </c>
      <c r="F102" s="2739"/>
      <c r="G102" s="2739"/>
      <c r="H102" s="2685" t="s">
        <v>1887</v>
      </c>
      <c r="I102" s="2685">
        <f>'Part I-Project Information'!I96</f>
        <v>0</v>
      </c>
      <c r="J102" s="2685" t="s">
        <v>2336</v>
      </c>
      <c r="K102" s="2699">
        <f>'Part I-Project Information'!K96</f>
        <v>0</v>
      </c>
      <c r="L102" s="2739"/>
      <c r="M102" s="2687"/>
      <c r="N102" s="2687"/>
      <c r="O102" s="2687"/>
      <c r="P102" s="2687"/>
    </row>
    <row r="103" spans="1:16">
      <c r="A103" s="2681"/>
      <c r="B103" s="2681"/>
      <c r="C103" s="2681" t="s">
        <v>2297</v>
      </c>
      <c r="D103" s="2681"/>
      <c r="E103" s="2696">
        <f>'Part I-Project Information'!E97</f>
        <v>0</v>
      </c>
      <c r="F103" s="2739"/>
      <c r="G103" s="2739"/>
      <c r="H103" s="2685" t="s">
        <v>2078</v>
      </c>
      <c r="I103" s="2696">
        <f>'Part I-Project Information'!I97</f>
        <v>0</v>
      </c>
      <c r="J103" s="2739"/>
      <c r="K103" s="2739"/>
      <c r="L103" s="2685" t="s">
        <v>2082</v>
      </c>
      <c r="M103" s="2696">
        <f>'Part I-Project Information'!M97</f>
        <v>0</v>
      </c>
      <c r="N103" s="2739"/>
      <c r="O103" s="2739"/>
      <c r="P103" s="2739"/>
    </row>
    <row r="104" spans="1:16">
      <c r="A104" s="2681"/>
      <c r="B104" s="2681"/>
      <c r="C104" s="2689" t="s">
        <v>2296</v>
      </c>
      <c r="D104" s="2681"/>
      <c r="E104" s="2697">
        <f>'Part I-Project Information'!E98</f>
        <v>0</v>
      </c>
      <c r="F104" s="2697"/>
      <c r="G104" s="2697"/>
      <c r="H104" s="2685" t="s">
        <v>1890</v>
      </c>
      <c r="I104" s="2717">
        <f>'Part I-Project Information'!I98</f>
        <v>0</v>
      </c>
      <c r="J104" s="2739"/>
      <c r="K104" s="2685" t="s">
        <v>1891</v>
      </c>
      <c r="L104" s="2717">
        <f>'Part I-Project Information'!L98</f>
        <v>0</v>
      </c>
      <c r="M104" s="2739"/>
      <c r="N104" s="2685" t="s">
        <v>2077</v>
      </c>
      <c r="O104" s="2717">
        <f>'Part I-Project Information'!O98</f>
        <v>0</v>
      </c>
      <c r="P104" s="2739"/>
    </row>
    <row r="105" spans="1:16">
      <c r="A105" s="2680"/>
      <c r="B105" s="2680"/>
      <c r="C105" s="2681"/>
      <c r="D105" s="2681"/>
      <c r="E105" s="2681"/>
      <c r="F105" s="2681"/>
      <c r="G105" s="2694"/>
      <c r="H105" s="2685"/>
      <c r="I105" s="2685"/>
      <c r="J105" s="2681"/>
      <c r="K105" s="2681"/>
      <c r="L105" s="2681"/>
      <c r="M105" s="2700"/>
      <c r="N105" s="2681"/>
      <c r="O105" s="2681"/>
      <c r="P105" s="2681"/>
    </row>
    <row r="106" spans="1:16">
      <c r="A106" s="2727" t="s">
        <v>377</v>
      </c>
      <c r="B106" s="2731" t="s">
        <v>1749</v>
      </c>
      <c r="C106" s="2681"/>
      <c r="D106" s="2694"/>
      <c r="E106" s="2694"/>
      <c r="F106" s="2685"/>
      <c r="G106" s="2685"/>
      <c r="H106" s="2685"/>
      <c r="I106" s="2685"/>
      <c r="J106" s="2694"/>
      <c r="K106" s="2685"/>
      <c r="L106" s="2685"/>
      <c r="M106" s="2681"/>
      <c r="N106" s="2681"/>
      <c r="O106" s="2681"/>
      <c r="P106" s="2700"/>
    </row>
    <row r="107" spans="1:16">
      <c r="A107" s="2727"/>
      <c r="B107" s="2731"/>
      <c r="C107" s="2681"/>
      <c r="D107" s="2694"/>
      <c r="E107" s="2694"/>
      <c r="F107" s="2685"/>
      <c r="G107" s="2685"/>
      <c r="H107" s="2685"/>
      <c r="I107" s="2685"/>
      <c r="J107" s="2694"/>
      <c r="K107" s="2685"/>
      <c r="L107" s="2685"/>
      <c r="M107" s="2681"/>
      <c r="N107" s="2681"/>
      <c r="O107" s="2681"/>
      <c r="P107" s="2700"/>
    </row>
    <row r="108" spans="1:16">
      <c r="A108" s="2681"/>
      <c r="B108" s="2729" t="s">
        <v>2254</v>
      </c>
      <c r="C108" s="2681"/>
      <c r="D108" s="2740"/>
      <c r="E108" s="2740"/>
      <c r="F108" s="2740"/>
      <c r="G108" s="2740"/>
      <c r="H108" s="2740"/>
      <c r="I108" s="2740"/>
      <c r="J108" s="2740"/>
      <c r="K108" s="2740"/>
      <c r="L108" s="2740"/>
      <c r="M108" s="2740"/>
      <c r="N108" s="2740"/>
      <c r="O108" s="2740"/>
      <c r="P108" s="2740"/>
    </row>
    <row r="109" spans="1:16">
      <c r="A109" s="2680"/>
      <c r="B109" s="2680"/>
      <c r="C109" s="2741"/>
      <c r="D109" s="2741"/>
      <c r="E109" s="2741"/>
      <c r="F109" s="2741"/>
      <c r="G109" s="2741"/>
      <c r="H109" s="2741"/>
      <c r="I109" s="2741"/>
      <c r="J109" s="2741"/>
      <c r="K109" s="2741"/>
      <c r="L109" s="2741"/>
      <c r="M109" s="2741"/>
      <c r="N109" s="2741"/>
      <c r="O109" s="2741"/>
      <c r="P109" s="2741"/>
    </row>
    <row r="110" spans="1:16">
      <c r="A110" s="2680"/>
      <c r="B110" s="2680" t="s">
        <v>2081</v>
      </c>
      <c r="C110" s="2731" t="s">
        <v>1483</v>
      </c>
      <c r="D110" s="2698"/>
      <c r="E110" s="2698"/>
      <c r="F110" s="2685"/>
      <c r="G110" s="2685"/>
      <c r="H110" s="2694">
        <f>'Part I-Project Information'!H104</f>
        <v>2</v>
      </c>
      <c r="I110" s="2681"/>
      <c r="J110" s="2681"/>
      <c r="K110" s="2681"/>
      <c r="L110" s="2681"/>
      <c r="M110" s="2681"/>
      <c r="N110" s="2681"/>
      <c r="O110" s="2681"/>
      <c r="P110" s="2681"/>
    </row>
    <row r="111" spans="1:16">
      <c r="A111" s="2680"/>
      <c r="B111" s="2680"/>
      <c r="C111" s="2741"/>
      <c r="D111" s="2741"/>
      <c r="E111" s="2741"/>
      <c r="F111" s="2741"/>
      <c r="G111" s="2741"/>
      <c r="H111" s="2741"/>
      <c r="I111" s="2681"/>
      <c r="J111" s="2741"/>
      <c r="K111" s="2681"/>
      <c r="L111" s="2681"/>
      <c r="M111" s="2741"/>
      <c r="N111" s="2741"/>
      <c r="O111" s="2741"/>
      <c r="P111" s="2681"/>
    </row>
    <row r="112" spans="1:16">
      <c r="A112" s="2680"/>
      <c r="B112" s="2680" t="s">
        <v>2084</v>
      </c>
      <c r="C112" s="2731" t="s">
        <v>430</v>
      </c>
      <c r="D112" s="2698"/>
      <c r="E112" s="2698"/>
      <c r="F112" s="2685"/>
      <c r="G112" s="2685"/>
      <c r="H112" s="2694">
        <f>'Part I-Project Information'!H106</f>
        <v>1598186</v>
      </c>
      <c r="I112" s="2681"/>
      <c r="J112" s="2694"/>
      <c r="K112" s="2689"/>
      <c r="L112" s="2681"/>
      <c r="M112" s="2681"/>
      <c r="N112" s="2681"/>
      <c r="O112" s="2681"/>
      <c r="P112" s="2681"/>
    </row>
    <row r="113" spans="1:16">
      <c r="A113" s="2680"/>
      <c r="B113" s="2680"/>
      <c r="C113" s="2741"/>
      <c r="D113" s="2741"/>
      <c r="E113" s="2741"/>
      <c r="F113" s="2741"/>
      <c r="G113" s="2741"/>
      <c r="H113" s="2741"/>
      <c r="I113" s="2741"/>
      <c r="J113" s="2741"/>
      <c r="K113" s="2741"/>
      <c r="L113" s="2681"/>
      <c r="M113" s="2741"/>
      <c r="N113" s="2741"/>
      <c r="O113" s="2741"/>
      <c r="P113" s="2741"/>
    </row>
    <row r="114" spans="1:16">
      <c r="A114" s="2681"/>
      <c r="B114" s="2680" t="s">
        <v>789</v>
      </c>
      <c r="C114" s="2731" t="s">
        <v>315</v>
      </c>
      <c r="D114" s="2698"/>
      <c r="E114" s="2698"/>
      <c r="F114" s="2685"/>
      <c r="G114" s="2685"/>
      <c r="H114" s="2685"/>
      <c r="I114" s="2685"/>
      <c r="J114" s="2694"/>
      <c r="K114" s="2685"/>
      <c r="L114" s="2685"/>
      <c r="M114" s="2681"/>
      <c r="N114" s="2681"/>
      <c r="O114" s="2681"/>
      <c r="P114" s="2681"/>
    </row>
    <row r="115" spans="1:16">
      <c r="A115" s="2681"/>
      <c r="B115" s="2680"/>
      <c r="C115" s="2698" t="s">
        <v>2236</v>
      </c>
      <c r="D115" s="2698"/>
      <c r="E115" s="2681"/>
      <c r="F115" s="2698" t="s">
        <v>1188</v>
      </c>
      <c r="G115" s="2685"/>
      <c r="H115" s="2685"/>
      <c r="I115" s="2685"/>
      <c r="J115" s="2698" t="s">
        <v>2236</v>
      </c>
      <c r="K115" s="2698"/>
      <c r="L115" s="2681"/>
      <c r="M115" s="2698" t="s">
        <v>1188</v>
      </c>
      <c r="N115" s="2685"/>
      <c r="O115" s="2685"/>
      <c r="P115" s="2685"/>
    </row>
    <row r="116" spans="1:16" ht="13.5">
      <c r="A116" s="2680"/>
      <c r="B116" s="2680"/>
      <c r="C116" s="2693" t="str">
        <f>'Part I-Project Information'!C110</f>
        <v>1 National Aff. Housing Pres. Ass, Inc.</v>
      </c>
      <c r="D116" s="2693"/>
      <c r="E116" s="2693"/>
      <c r="F116" s="2693" t="str">
        <f>'Part I-Project Information'!F110</f>
        <v>The Cove at York</v>
      </c>
      <c r="G116" s="2693"/>
      <c r="H116" s="2693"/>
      <c r="I116" s="2693"/>
      <c r="J116" s="2693" t="str">
        <f>'Part I-Project Information'!J110</f>
        <v>6 Lowell R. Barron, II</v>
      </c>
      <c r="K116" s="2693"/>
      <c r="L116" s="2693"/>
      <c r="M116" s="2693" t="str">
        <f>'Part I-Project Information'!M110</f>
        <v>The Grove at Oakmont</v>
      </c>
      <c r="N116" s="2693"/>
      <c r="O116" s="2693"/>
      <c r="P116" s="2693"/>
    </row>
    <row r="117" spans="1:16" ht="13.5">
      <c r="A117" s="2680"/>
      <c r="B117" s="2680"/>
      <c r="C117" s="2693" t="str">
        <f>'Part I-Project Information'!C111</f>
        <v>2 NAHPA Development, LLC</v>
      </c>
      <c r="D117" s="2693"/>
      <c r="E117" s="2693"/>
      <c r="F117" s="2693" t="str">
        <f>'Part I-Project Information'!F111</f>
        <v>The Cove at York</v>
      </c>
      <c r="G117" s="2693"/>
      <c r="H117" s="2693"/>
      <c r="I117" s="2693"/>
      <c r="J117" s="2693" t="str">
        <f>'Part I-Project Information'!J111</f>
        <v>7 Vantage Development, LLC</v>
      </c>
      <c r="K117" s="2693"/>
      <c r="L117" s="2693"/>
      <c r="M117" s="2693" t="str">
        <f>'Part I-Project Information'!M111</f>
        <v>The Pines at Westdale</v>
      </c>
      <c r="N117" s="2693"/>
      <c r="O117" s="2693"/>
      <c r="P117" s="2693"/>
    </row>
    <row r="118" spans="1:16" ht="13.5">
      <c r="A118" s="2680"/>
      <c r="B118" s="2680"/>
      <c r="C118" s="2693" t="str">
        <f>'Part I-Project Information'!C112</f>
        <v>3 National Aff. Housing Pres. Assoc. Inc.</v>
      </c>
      <c r="D118" s="2693"/>
      <c r="E118" s="2693"/>
      <c r="F118" s="2693" t="str">
        <f>'Part I-Project Information'!F112</f>
        <v>The Vinings at Oxford</v>
      </c>
      <c r="G118" s="2693"/>
      <c r="H118" s="2693"/>
      <c r="I118" s="2693"/>
      <c r="J118" s="2693" t="str">
        <f>'Part I-Project Information'!J112</f>
        <v>8 Lowell R. Barron, II</v>
      </c>
      <c r="K118" s="2693"/>
      <c r="L118" s="2693"/>
      <c r="M118" s="2693" t="str">
        <f>'Part I-Project Information'!M112</f>
        <v>The Pines at Westdale</v>
      </c>
      <c r="N118" s="2693"/>
      <c r="O118" s="2693"/>
      <c r="P118" s="2693"/>
    </row>
    <row r="119" spans="1:16" ht="13.5">
      <c r="A119" s="2680"/>
      <c r="B119" s="2680"/>
      <c r="C119" s="2693" t="str">
        <f>'Part I-Project Information'!C113</f>
        <v>4 NAHPA Development, LLC</v>
      </c>
      <c r="D119" s="2693"/>
      <c r="E119" s="2693"/>
      <c r="F119" s="2693" t="str">
        <f>'Part I-Project Information'!F113</f>
        <v>The Vinings at Oxford</v>
      </c>
      <c r="G119" s="2693"/>
      <c r="H119" s="2693"/>
      <c r="I119" s="2693"/>
      <c r="J119" s="2693">
        <f>'Part I-Project Information'!J113</f>
        <v>9</v>
      </c>
      <c r="K119" s="2693"/>
      <c r="L119" s="2693"/>
      <c r="M119" s="2693">
        <f>'Part I-Project Information'!M113</f>
        <v>0</v>
      </c>
      <c r="N119" s="2693"/>
      <c r="O119" s="2693"/>
      <c r="P119" s="2693"/>
    </row>
    <row r="120" spans="1:16" ht="13.5">
      <c r="A120" s="2680"/>
      <c r="B120" s="2680"/>
      <c r="C120" s="2693" t="str">
        <f>'Part I-Project Information'!C114</f>
        <v>5 Vantage Development, LLC</v>
      </c>
      <c r="D120" s="2693"/>
      <c r="E120" s="2693"/>
      <c r="F120" s="2693" t="str">
        <f>'Part I-Project Information'!F114</f>
        <v>The Grove at Oakmont</v>
      </c>
      <c r="G120" s="2693"/>
      <c r="H120" s="2693"/>
      <c r="I120" s="2693"/>
      <c r="J120" s="2693">
        <f>'Part I-Project Information'!J114</f>
        <v>10</v>
      </c>
      <c r="K120" s="2693"/>
      <c r="L120" s="2693"/>
      <c r="M120" s="2693">
        <f>'Part I-Project Information'!M114</f>
        <v>0</v>
      </c>
      <c r="N120" s="2693"/>
      <c r="O120" s="2693"/>
      <c r="P120" s="2693"/>
    </row>
    <row r="121" spans="1:16">
      <c r="A121" s="2680"/>
      <c r="B121" s="2680"/>
      <c r="C121" s="2741"/>
      <c r="D121" s="2741"/>
      <c r="E121" s="2741"/>
      <c r="F121" s="2741"/>
      <c r="G121" s="2741"/>
      <c r="H121" s="2741"/>
      <c r="I121" s="2741"/>
      <c r="J121" s="2741"/>
      <c r="K121" s="2741"/>
      <c r="L121" s="2741"/>
      <c r="M121" s="2741"/>
      <c r="N121" s="2741"/>
      <c r="O121" s="2741"/>
      <c r="P121" s="2741"/>
    </row>
    <row r="122" spans="1:16">
      <c r="A122" s="2680"/>
      <c r="B122" s="2680" t="s">
        <v>2216</v>
      </c>
      <c r="C122" s="2742" t="s">
        <v>1940</v>
      </c>
      <c r="D122" s="2742"/>
      <c r="E122" s="2742"/>
      <c r="F122" s="2742"/>
      <c r="G122" s="2742"/>
      <c r="H122" s="2742"/>
      <c r="I122" s="2742"/>
      <c r="J122" s="2742"/>
      <c r="K122" s="2742"/>
      <c r="L122" s="2742"/>
      <c r="M122" s="2742"/>
      <c r="N122" s="2742"/>
      <c r="O122" s="2742"/>
      <c r="P122" s="2742"/>
    </row>
    <row r="123" spans="1:16">
      <c r="A123" s="2680"/>
      <c r="B123" s="2680"/>
      <c r="C123" s="2742"/>
      <c r="D123" s="2742"/>
      <c r="E123" s="2742"/>
      <c r="F123" s="2742"/>
      <c r="G123" s="2742"/>
      <c r="H123" s="2742"/>
      <c r="I123" s="2742"/>
      <c r="J123" s="2742"/>
      <c r="K123" s="2742"/>
      <c r="L123" s="2742"/>
      <c r="M123" s="2742"/>
      <c r="N123" s="2742"/>
      <c r="O123" s="2742"/>
      <c r="P123" s="2742"/>
    </row>
    <row r="124" spans="1:16">
      <c r="A124" s="2681"/>
      <c r="B124" s="2680"/>
      <c r="C124" s="2698" t="s">
        <v>2236</v>
      </c>
      <c r="D124" s="2698"/>
      <c r="E124" s="2681"/>
      <c r="F124" s="2698" t="s">
        <v>1188</v>
      </c>
      <c r="G124" s="2685"/>
      <c r="H124" s="2685"/>
      <c r="I124" s="2685"/>
      <c r="J124" s="2698" t="s">
        <v>2236</v>
      </c>
      <c r="K124" s="2698"/>
      <c r="L124" s="2681"/>
      <c r="M124" s="2698" t="s">
        <v>1188</v>
      </c>
      <c r="N124" s="2685"/>
      <c r="O124" s="2685"/>
      <c r="P124" s="2685"/>
    </row>
    <row r="125" spans="1:16" ht="13.5">
      <c r="A125" s="2680"/>
      <c r="B125" s="2680"/>
      <c r="C125" s="2693">
        <f>'Part I-Project Information'!C119</f>
        <v>1</v>
      </c>
      <c r="D125" s="2693"/>
      <c r="E125" s="2693"/>
      <c r="F125" s="2693">
        <f>'Part I-Project Information'!F119</f>
        <v>0</v>
      </c>
      <c r="G125" s="2693"/>
      <c r="H125" s="2693"/>
      <c r="I125" s="2693"/>
      <c r="J125" s="2693">
        <f>'Part I-Project Information'!J119</f>
        <v>6</v>
      </c>
      <c r="K125" s="2693"/>
      <c r="L125" s="2693"/>
      <c r="M125" s="2693">
        <f>'Part I-Project Information'!M119</f>
        <v>0</v>
      </c>
      <c r="N125" s="2693"/>
      <c r="O125" s="2693"/>
      <c r="P125" s="2693"/>
    </row>
    <row r="126" spans="1:16" ht="13.5">
      <c r="A126" s="2680"/>
      <c r="B126" s="2680"/>
      <c r="C126" s="2693">
        <f>'Part I-Project Information'!C120</f>
        <v>2</v>
      </c>
      <c r="D126" s="2693"/>
      <c r="E126" s="2693"/>
      <c r="F126" s="2693">
        <f>'Part I-Project Information'!F120</f>
        <v>0</v>
      </c>
      <c r="G126" s="2693"/>
      <c r="H126" s="2693"/>
      <c r="I126" s="2693"/>
      <c r="J126" s="2693">
        <f>'Part I-Project Information'!J120</f>
        <v>7</v>
      </c>
      <c r="K126" s="2693"/>
      <c r="L126" s="2693"/>
      <c r="M126" s="2693">
        <f>'Part I-Project Information'!M120</f>
        <v>0</v>
      </c>
      <c r="N126" s="2693"/>
      <c r="O126" s="2693"/>
      <c r="P126" s="2693"/>
    </row>
    <row r="127" spans="1:16" ht="13.5">
      <c r="A127" s="2680"/>
      <c r="B127" s="2680"/>
      <c r="C127" s="2693">
        <f>'Part I-Project Information'!C121</f>
        <v>3</v>
      </c>
      <c r="D127" s="2693"/>
      <c r="E127" s="2693"/>
      <c r="F127" s="2693">
        <f>'Part I-Project Information'!F121</f>
        <v>0</v>
      </c>
      <c r="G127" s="2693"/>
      <c r="H127" s="2693"/>
      <c r="I127" s="2693"/>
      <c r="J127" s="2693">
        <f>'Part I-Project Information'!J121</f>
        <v>8</v>
      </c>
      <c r="K127" s="2693"/>
      <c r="L127" s="2693"/>
      <c r="M127" s="2693">
        <f>'Part I-Project Information'!M121</f>
        <v>0</v>
      </c>
      <c r="N127" s="2693"/>
      <c r="O127" s="2693"/>
      <c r="P127" s="2693"/>
    </row>
    <row r="128" spans="1:16" ht="13.5">
      <c r="A128" s="2680"/>
      <c r="B128" s="2680"/>
      <c r="C128" s="2693">
        <f>'Part I-Project Information'!C122</f>
        <v>4</v>
      </c>
      <c r="D128" s="2693"/>
      <c r="E128" s="2693"/>
      <c r="F128" s="2693">
        <f>'Part I-Project Information'!F122</f>
        <v>0</v>
      </c>
      <c r="G128" s="2693"/>
      <c r="H128" s="2693"/>
      <c r="I128" s="2693"/>
      <c r="J128" s="2693">
        <f>'Part I-Project Information'!J122</f>
        <v>9</v>
      </c>
      <c r="K128" s="2693"/>
      <c r="L128" s="2693"/>
      <c r="M128" s="2693">
        <f>'Part I-Project Information'!M122</f>
        <v>0</v>
      </c>
      <c r="N128" s="2693"/>
      <c r="O128" s="2693"/>
      <c r="P128" s="2693"/>
    </row>
    <row r="129" spans="1:16" ht="13.5">
      <c r="A129" s="2680"/>
      <c r="B129" s="2680"/>
      <c r="C129" s="2693">
        <f>'Part I-Project Information'!C123</f>
        <v>5</v>
      </c>
      <c r="D129" s="2693"/>
      <c r="E129" s="2693"/>
      <c r="F129" s="2693">
        <f>'Part I-Project Information'!F123</f>
        <v>0</v>
      </c>
      <c r="G129" s="2693"/>
      <c r="H129" s="2693"/>
      <c r="I129" s="2693"/>
      <c r="J129" s="2693">
        <f>'Part I-Project Information'!J123</f>
        <v>10</v>
      </c>
      <c r="K129" s="2693"/>
      <c r="L129" s="2693"/>
      <c r="M129" s="2693">
        <f>'Part I-Project Information'!M123</f>
        <v>0</v>
      </c>
      <c r="N129" s="2693"/>
      <c r="O129" s="2693"/>
      <c r="P129" s="2693"/>
    </row>
    <row r="130" spans="1:16">
      <c r="A130" s="2680"/>
      <c r="B130" s="2680"/>
      <c r="C130" s="2698"/>
      <c r="D130" s="2698"/>
      <c r="E130" s="2698"/>
      <c r="F130" s="2685"/>
      <c r="G130" s="2685"/>
      <c r="H130" s="2685"/>
      <c r="I130" s="2685"/>
      <c r="J130" s="2694"/>
      <c r="K130" s="2685"/>
      <c r="L130" s="2685"/>
      <c r="M130" s="2681"/>
      <c r="N130" s="2681"/>
      <c r="O130" s="2681"/>
      <c r="P130" s="2700"/>
    </row>
    <row r="131" spans="1:16">
      <c r="A131" s="2727" t="s">
        <v>378</v>
      </c>
      <c r="B131" s="2730" t="s">
        <v>2539</v>
      </c>
      <c r="C131" s="2681"/>
      <c r="D131" s="2730"/>
      <c r="E131" s="2730"/>
      <c r="F131" s="2730"/>
      <c r="G131" s="2681"/>
      <c r="H131" s="2685" t="str">
        <f>'Part I-Project Information'!H125</f>
        <v>No</v>
      </c>
      <c r="I131" s="2681"/>
      <c r="J131" s="2681"/>
      <c r="K131" s="2681"/>
      <c r="L131" s="2681"/>
      <c r="M131" s="2685"/>
      <c r="N131" s="2681"/>
      <c r="O131" s="2681"/>
      <c r="P131" s="2700"/>
    </row>
    <row r="132" spans="1:16">
      <c r="A132" s="2727"/>
      <c r="B132" s="2680"/>
      <c r="C132" s="2731"/>
      <c r="D132" s="2731"/>
      <c r="E132" s="2731"/>
      <c r="F132" s="2731"/>
      <c r="G132" s="2685"/>
      <c r="H132" s="2681"/>
      <c r="I132" s="2681"/>
      <c r="J132" s="2681"/>
      <c r="K132" s="2681"/>
      <c r="L132" s="2681"/>
      <c r="M132" s="2685"/>
      <c r="N132" s="2681"/>
      <c r="O132" s="2681"/>
      <c r="P132" s="2681"/>
    </row>
    <row r="133" spans="1:16">
      <c r="A133" s="2680"/>
      <c r="B133" s="2680" t="s">
        <v>2081</v>
      </c>
      <c r="C133" s="2682" t="s">
        <v>1798</v>
      </c>
      <c r="D133" s="2681"/>
      <c r="E133" s="2681"/>
      <c r="F133" s="2681"/>
      <c r="G133" s="2681"/>
      <c r="H133" s="2685" t="str">
        <f>'Part I-Project Information'!H127</f>
        <v>No</v>
      </c>
      <c r="I133" s="2681"/>
      <c r="J133" s="2681"/>
      <c r="K133" s="2681"/>
      <c r="L133" s="2681"/>
      <c r="M133" s="2685"/>
      <c r="N133" s="2681"/>
      <c r="O133" s="2681"/>
      <c r="P133" s="2700"/>
    </row>
    <row r="134" spans="1:16">
      <c r="A134" s="2680"/>
      <c r="B134" s="2680"/>
      <c r="C134" s="2698" t="s">
        <v>2541</v>
      </c>
      <c r="D134" s="2698"/>
      <c r="E134" s="2698"/>
      <c r="F134" s="2685"/>
      <c r="G134" s="2681"/>
      <c r="H134" s="2743">
        <f>'Part I-Project Information'!H128</f>
        <v>0</v>
      </c>
      <c r="I134" s="2681"/>
      <c r="J134" s="2681"/>
      <c r="K134" s="2681"/>
      <c r="L134" s="2681"/>
      <c r="M134" s="2681"/>
      <c r="N134" s="2681"/>
      <c r="O134" s="2681"/>
      <c r="P134" s="2700"/>
    </row>
    <row r="135" spans="1:16">
      <c r="A135" s="2680"/>
      <c r="B135" s="2680"/>
      <c r="C135" s="2744" t="s">
        <v>1797</v>
      </c>
      <c r="D135" s="2689"/>
      <c r="E135" s="2681"/>
      <c r="F135" s="2681"/>
      <c r="G135" s="2681"/>
      <c r="H135" s="2696">
        <f>'Part I-Project Information'!H129</f>
        <v>0</v>
      </c>
      <c r="I135" s="2696"/>
      <c r="J135" s="2681"/>
      <c r="K135" s="2681"/>
      <c r="L135" s="2681"/>
      <c r="M135" s="2681"/>
      <c r="N135" s="2681"/>
      <c r="O135" s="2681"/>
      <c r="P135" s="2700"/>
    </row>
    <row r="136" spans="1:16">
      <c r="A136" s="2680"/>
      <c r="B136" s="2680"/>
      <c r="C136" s="2698" t="s">
        <v>2542</v>
      </c>
      <c r="D136" s="2698"/>
      <c r="E136" s="2698"/>
      <c r="F136" s="2685"/>
      <c r="G136" s="2681"/>
      <c r="H136" s="2743">
        <f>'Part I-Project Information'!H130</f>
        <v>0</v>
      </c>
      <c r="I136" s="2681"/>
      <c r="J136" s="2681"/>
      <c r="K136" s="2687" t="s">
        <v>2354</v>
      </c>
      <c r="L136" s="2681"/>
      <c r="M136" s="2681"/>
      <c r="N136" s="2681"/>
      <c r="O136" s="2696" t="str">
        <f>'Part I-Project Information'!O130</f>
        <v>GA-</v>
      </c>
      <c r="P136" s="2696"/>
    </row>
    <row r="137" spans="1:16">
      <c r="A137" s="2680"/>
      <c r="B137" s="2680"/>
      <c r="C137" s="2698" t="s">
        <v>2540</v>
      </c>
      <c r="D137" s="2681"/>
      <c r="E137" s="2681"/>
      <c r="F137" s="2685"/>
      <c r="G137" s="2681"/>
      <c r="H137" s="2694">
        <f>'Part I-Project Information'!H131</f>
        <v>0</v>
      </c>
      <c r="I137" s="2681"/>
      <c r="J137" s="2681"/>
      <c r="K137" s="2687" t="s">
        <v>2355</v>
      </c>
      <c r="L137" s="2681"/>
      <c r="M137" s="2681"/>
      <c r="N137" s="2681"/>
      <c r="O137" s="2696" t="str">
        <f>'Part I-Project Information'!O131</f>
        <v>GA-</v>
      </c>
      <c r="P137" s="2696"/>
    </row>
    <row r="138" spans="1:16">
      <c r="A138" s="2680"/>
      <c r="B138" s="2680"/>
      <c r="C138" s="2698" t="s">
        <v>2268</v>
      </c>
      <c r="D138" s="2698"/>
      <c r="E138" s="2698"/>
      <c r="F138" s="2685"/>
      <c r="G138" s="2681"/>
      <c r="H138" s="2738">
        <f>'Part I-Project Information'!H132</f>
        <v>0</v>
      </c>
      <c r="I138" s="2738"/>
      <c r="J138" s="2681"/>
      <c r="K138" s="2681"/>
      <c r="L138" s="2681"/>
      <c r="M138" s="2681"/>
      <c r="N138" s="2681"/>
      <c r="O138" s="2681"/>
      <c r="P138" s="2700"/>
    </row>
    <row r="139" spans="1:16">
      <c r="A139" s="2680"/>
      <c r="B139" s="2680"/>
      <c r="C139" s="2698"/>
      <c r="D139" s="2698"/>
      <c r="E139" s="2698"/>
      <c r="F139" s="2685"/>
      <c r="G139" s="2681"/>
      <c r="H139" s="2681"/>
      <c r="I139" s="2681"/>
      <c r="J139" s="2681"/>
      <c r="K139" s="2681"/>
      <c r="L139" s="2681"/>
      <c r="M139" s="2681"/>
      <c r="N139" s="2681"/>
      <c r="O139" s="2681"/>
      <c r="P139" s="2700"/>
    </row>
    <row r="140" spans="1:16">
      <c r="A140" s="2680"/>
      <c r="B140" s="2680" t="s">
        <v>2084</v>
      </c>
      <c r="C140" s="2731" t="s">
        <v>2613</v>
      </c>
      <c r="D140" s="2698"/>
      <c r="E140" s="2698"/>
      <c r="F140" s="2685"/>
      <c r="G140" s="2681"/>
      <c r="H140" s="2685" t="str">
        <f>'Part I-Project Information'!H134</f>
        <v>No</v>
      </c>
      <c r="I140" s="2681"/>
      <c r="J140" s="2681"/>
      <c r="K140" s="2681"/>
      <c r="L140" s="2681"/>
      <c r="M140" s="2681"/>
      <c r="N140" s="2681"/>
      <c r="O140" s="2681"/>
      <c r="P140" s="2700"/>
    </row>
    <row r="141" spans="1:16">
      <c r="A141" s="2680"/>
      <c r="B141" s="2680"/>
      <c r="C141" s="2698"/>
      <c r="D141" s="2698"/>
      <c r="E141" s="2698"/>
      <c r="F141" s="2685"/>
      <c r="G141" s="2685"/>
      <c r="H141" s="2681"/>
      <c r="I141" s="2681"/>
      <c r="J141" s="2681"/>
      <c r="K141" s="2681"/>
      <c r="L141" s="2681"/>
      <c r="M141" s="2685"/>
      <c r="N141" s="2681"/>
      <c r="O141" s="2681"/>
      <c r="P141" s="2700"/>
    </row>
    <row r="142" spans="1:16">
      <c r="A142" s="2680"/>
      <c r="B142" s="2680" t="s">
        <v>789</v>
      </c>
      <c r="C142" s="2731" t="s">
        <v>2865</v>
      </c>
      <c r="D142" s="2698"/>
      <c r="E142" s="2698"/>
      <c r="F142" s="2685"/>
      <c r="G142" s="2685"/>
      <c r="H142" s="2681"/>
      <c r="I142" s="2681"/>
      <c r="J142" s="2681"/>
      <c r="K142" s="2681"/>
      <c r="L142" s="2681"/>
      <c r="M142" s="2681"/>
      <c r="N142" s="2681"/>
      <c r="O142" s="2681"/>
      <c r="P142" s="2700"/>
    </row>
    <row r="143" spans="1:16">
      <c r="A143" s="2680"/>
      <c r="B143" s="2680"/>
      <c r="C143" s="2698" t="s">
        <v>4556</v>
      </c>
      <c r="D143" s="2698"/>
      <c r="E143" s="2698"/>
      <c r="F143" s="2685"/>
      <c r="G143" s="2685"/>
      <c r="H143" s="2685" t="str">
        <f>'Part I-Project Information'!H137</f>
        <v>No</v>
      </c>
      <c r="I143" s="2681"/>
      <c r="J143" s="2681"/>
      <c r="K143" s="2698" t="s">
        <v>1611</v>
      </c>
      <c r="L143" s="2698"/>
      <c r="M143" s="2685"/>
      <c r="N143" s="2685"/>
      <c r="O143" s="2685" t="str">
        <f>'Part I-Project Information'!O137</f>
        <v>No</v>
      </c>
      <c r="P143" s="2700"/>
    </row>
    <row r="144" spans="1:16">
      <c r="A144" s="2680"/>
      <c r="B144" s="2680"/>
      <c r="C144" s="2698"/>
      <c r="D144" s="2698"/>
      <c r="E144" s="2698"/>
      <c r="F144" s="2685"/>
      <c r="G144" s="2685"/>
      <c r="H144" s="2685"/>
      <c r="I144" s="2685"/>
      <c r="J144" s="2694"/>
      <c r="K144" s="2685"/>
      <c r="L144" s="2685"/>
      <c r="M144" s="2681"/>
      <c r="N144" s="2681"/>
      <c r="O144" s="2681"/>
      <c r="P144" s="2700"/>
    </row>
    <row r="145" spans="1:16">
      <c r="A145" s="2727" t="s">
        <v>1813</v>
      </c>
      <c r="B145" s="2730" t="s">
        <v>1246</v>
      </c>
      <c r="C145" s="2681"/>
      <c r="D145" s="2730"/>
      <c r="E145" s="2730"/>
      <c r="F145" s="2730"/>
      <c r="G145" s="2685"/>
      <c r="H145" s="2685"/>
      <c r="I145" s="2685"/>
      <c r="J145" s="2694"/>
      <c r="K145" s="2685"/>
      <c r="L145" s="2685"/>
      <c r="M145" s="2681"/>
      <c r="N145" s="2681"/>
      <c r="O145" s="2681"/>
      <c r="P145" s="2700"/>
    </row>
    <row r="146" spans="1:16">
      <c r="A146" s="2727"/>
      <c r="B146" s="2680"/>
      <c r="C146" s="2731"/>
      <c r="D146" s="2731"/>
      <c r="E146" s="2731"/>
      <c r="F146" s="2731"/>
      <c r="G146" s="2685"/>
      <c r="H146" s="2685"/>
      <c r="I146" s="2685"/>
      <c r="J146" s="2694"/>
      <c r="K146" s="2685"/>
      <c r="L146" s="2685"/>
      <c r="M146" s="2681"/>
      <c r="N146" s="2681"/>
      <c r="O146" s="2681"/>
      <c r="P146" s="2681"/>
    </row>
    <row r="147" spans="1:16">
      <c r="A147" s="2680"/>
      <c r="B147" s="2680" t="s">
        <v>2081</v>
      </c>
      <c r="C147" s="2718" t="s">
        <v>1914</v>
      </c>
      <c r="D147" s="2681"/>
      <c r="E147" s="2681"/>
      <c r="F147" s="2685"/>
      <c r="G147" s="2685"/>
      <c r="H147" s="2685"/>
      <c r="I147" s="2685"/>
      <c r="J147" s="2694"/>
      <c r="K147" s="2685"/>
      <c r="L147" s="2685"/>
      <c r="M147" s="2681"/>
      <c r="N147" s="2681"/>
      <c r="O147" s="2681"/>
      <c r="P147" s="2700"/>
    </row>
    <row r="148" spans="1:16">
      <c r="A148" s="2680"/>
      <c r="B148" s="2680"/>
      <c r="C148" s="2729" t="s">
        <v>1603</v>
      </c>
      <c r="D148" s="2694"/>
      <c r="E148" s="2694"/>
      <c r="F148" s="2685"/>
      <c r="G148" s="2685"/>
      <c r="H148" s="2685"/>
      <c r="I148" s="2685"/>
      <c r="J148" s="2681"/>
      <c r="K148" s="2685" t="str">
        <f>'Part I-Project Information'!K142</f>
        <v>No</v>
      </c>
      <c r="L148" s="2681"/>
      <c r="M148" s="2681"/>
      <c r="N148" s="2681"/>
      <c r="O148" s="2681"/>
      <c r="P148" s="2700"/>
    </row>
    <row r="149" spans="1:16">
      <c r="A149" s="2680"/>
      <c r="B149" s="2680"/>
      <c r="C149" s="2681" t="s">
        <v>646</v>
      </c>
      <c r="D149" s="2681"/>
      <c r="E149" s="2681"/>
      <c r="F149" s="2681"/>
      <c r="G149" s="2681"/>
      <c r="H149" s="2681"/>
      <c r="I149" s="2681"/>
      <c r="J149" s="2681"/>
      <c r="K149" s="2728">
        <f>'Part I-Project Information'!K143</f>
        <v>0</v>
      </c>
      <c r="L149" s="2689" t="s">
        <v>1883</v>
      </c>
      <c r="M149" s="2681"/>
      <c r="N149" s="2681"/>
      <c r="O149" s="2681"/>
      <c r="P149" s="2745">
        <f>'Part I-Project Information'!P143</f>
        <v>0</v>
      </c>
    </row>
    <row r="150" spans="1:16">
      <c r="A150" s="2680"/>
      <c r="B150" s="2680"/>
      <c r="C150" s="2681" t="s">
        <v>2269</v>
      </c>
      <c r="D150" s="2681"/>
      <c r="E150" s="2681"/>
      <c r="F150" s="2681"/>
      <c r="G150" s="2681"/>
      <c r="H150" s="2681"/>
      <c r="I150" s="2681"/>
      <c r="J150" s="2681"/>
      <c r="K150" s="2728">
        <f>'Part I-Project Information'!K144</f>
        <v>0</v>
      </c>
      <c r="L150" s="2689" t="s">
        <v>1883</v>
      </c>
      <c r="M150" s="2681"/>
      <c r="N150" s="2681"/>
      <c r="O150" s="2681"/>
      <c r="P150" s="2745">
        <f>'Part I-Project Information'!P144</f>
        <v>0</v>
      </c>
    </row>
    <row r="151" spans="1:16">
      <c r="A151" s="2680"/>
      <c r="B151" s="2680"/>
      <c r="C151" s="2681" t="s">
        <v>1884</v>
      </c>
      <c r="D151" s="2681"/>
      <c r="E151" s="2696">
        <f>'Part I-Project Information'!E145</f>
        <v>0</v>
      </c>
      <c r="F151" s="2696"/>
      <c r="G151" s="2696"/>
      <c r="H151" s="2696"/>
      <c r="I151" s="2696"/>
      <c r="J151" s="2696"/>
      <c r="K151" s="2696"/>
      <c r="L151" s="2689" t="s">
        <v>1885</v>
      </c>
      <c r="M151" s="2696">
        <f>'Part I-Project Information'!M145</f>
        <v>0</v>
      </c>
      <c r="N151" s="2696"/>
      <c r="O151" s="2696"/>
      <c r="P151" s="2696"/>
    </row>
    <row r="152" spans="1:16">
      <c r="A152" s="2680"/>
      <c r="B152" s="2680"/>
      <c r="C152" s="2689" t="s">
        <v>1886</v>
      </c>
      <c r="D152" s="2692"/>
      <c r="E152" s="2696">
        <f>'Part I-Project Information'!E146</f>
        <v>0</v>
      </c>
      <c r="F152" s="2696"/>
      <c r="G152" s="2696"/>
      <c r="H152" s="2696"/>
      <c r="I152" s="2696"/>
      <c r="J152" s="2696"/>
      <c r="K152" s="2696"/>
      <c r="L152" s="2689" t="s">
        <v>1888</v>
      </c>
      <c r="M152" s="2696">
        <f>'Part I-Project Information'!M146</f>
        <v>0</v>
      </c>
      <c r="N152" s="2696"/>
      <c r="O152" s="2696"/>
      <c r="P152" s="2696"/>
    </row>
    <row r="153" spans="1:16">
      <c r="A153" s="2680"/>
      <c r="B153" s="2680"/>
      <c r="C153" s="2689" t="s">
        <v>649</v>
      </c>
      <c r="D153" s="2681"/>
      <c r="E153" s="2696">
        <f>'Part I-Project Information'!E147</f>
        <v>0</v>
      </c>
      <c r="F153" s="2696"/>
      <c r="G153" s="2696"/>
      <c r="H153" s="2696"/>
      <c r="I153" s="2685" t="s">
        <v>2336</v>
      </c>
      <c r="J153" s="2699">
        <f>'Part I-Project Information'!J147</f>
        <v>0</v>
      </c>
      <c r="K153" s="2699"/>
      <c r="L153" s="2689" t="s">
        <v>1891</v>
      </c>
      <c r="M153" s="2697">
        <f>'Part I-Project Information'!M147</f>
        <v>0</v>
      </c>
      <c r="N153" s="2697"/>
      <c r="O153" s="2697"/>
      <c r="P153" s="2681"/>
    </row>
    <row r="154" spans="1:16">
      <c r="A154" s="2680"/>
      <c r="B154" s="2680"/>
      <c r="C154" s="2689" t="s">
        <v>1889</v>
      </c>
      <c r="D154" s="2681"/>
      <c r="E154" s="2697">
        <f>'Part I-Project Information'!E148:G148</f>
        <v>0</v>
      </c>
      <c r="F154" s="2697"/>
      <c r="G154" s="2697"/>
      <c r="H154" s="2685" t="s">
        <v>1890</v>
      </c>
      <c r="I154" s="2697">
        <f>'Part I-Project Information'!I148</f>
        <v>0</v>
      </c>
      <c r="J154" s="2697"/>
      <c r="K154" s="2697"/>
      <c r="L154" s="2689" t="s">
        <v>2077</v>
      </c>
      <c r="M154" s="2697">
        <f>'Part I-Project Information'!M148</f>
        <v>0</v>
      </c>
      <c r="N154" s="2697"/>
      <c r="O154" s="2697"/>
      <c r="P154" s="2681"/>
    </row>
    <row r="155" spans="1:16">
      <c r="A155" s="2680"/>
      <c r="B155" s="2680"/>
      <c r="C155" s="2689"/>
      <c r="D155" s="2681"/>
      <c r="E155" s="2746"/>
      <c r="F155" s="2746"/>
      <c r="G155" s="2746"/>
      <c r="H155" s="2685"/>
      <c r="I155" s="2746"/>
      <c r="J155" s="2746"/>
      <c r="K155" s="2685"/>
      <c r="L155" s="2746"/>
      <c r="M155" s="2746"/>
      <c r="N155" s="2685"/>
      <c r="O155" s="2746"/>
      <c r="P155" s="2746"/>
    </row>
    <row r="156" spans="1:16">
      <c r="A156" s="2680"/>
      <c r="B156" s="2680" t="s">
        <v>2084</v>
      </c>
      <c r="C156" s="2731" t="s">
        <v>2873</v>
      </c>
      <c r="D156" s="2731"/>
      <c r="E156" s="2731"/>
      <c r="F156" s="2731"/>
      <c r="G156" s="2731"/>
      <c r="H156" s="2681"/>
      <c r="I156" s="2685" t="str">
        <f>'Part I-Project Information'!I150</f>
        <v>No</v>
      </c>
      <c r="J156" s="2710" t="s">
        <v>802</v>
      </c>
      <c r="K156" s="2710"/>
      <c r="L156" s="2694">
        <f>'Part I-Project Information'!L150</f>
        <v>0</v>
      </c>
      <c r="M156" s="2695" t="s">
        <v>2435</v>
      </c>
      <c r="N156" s="2695"/>
      <c r="O156" s="2695"/>
      <c r="P156" s="2743">
        <f>'Part I-Project Information'!P150</f>
        <v>0</v>
      </c>
    </row>
    <row r="157" spans="1:16">
      <c r="A157" s="2680"/>
      <c r="B157" s="2680"/>
      <c r="C157" s="2731"/>
      <c r="D157" s="2731"/>
      <c r="E157" s="2684"/>
      <c r="F157" s="2731"/>
      <c r="G157" s="2731"/>
      <c r="H157" s="2681"/>
      <c r="I157" s="2681"/>
      <c r="J157" s="2687"/>
      <c r="K157" s="2694"/>
      <c r="L157" s="2681"/>
      <c r="M157" s="2681"/>
      <c r="N157" s="2681"/>
      <c r="O157" s="2685"/>
      <c r="P157" s="2700"/>
    </row>
    <row r="158" spans="1:16">
      <c r="A158" s="2680"/>
      <c r="B158" s="2680"/>
      <c r="C158" s="2731" t="s">
        <v>2874</v>
      </c>
      <c r="D158" s="2731"/>
      <c r="E158" s="2731"/>
      <c r="F158" s="2731"/>
      <c r="G158" s="2731"/>
      <c r="H158" s="2681"/>
      <c r="I158" s="2685" t="str">
        <f>'Part I-Project Information'!I152</f>
        <v>Yes</v>
      </c>
      <c r="J158" s="2710" t="s">
        <v>802</v>
      </c>
      <c r="K158" s="2710"/>
      <c r="L158" s="2694">
        <f>'Part I-Project Information'!L152</f>
        <v>2037</v>
      </c>
      <c r="M158" s="2695" t="s">
        <v>2435</v>
      </c>
      <c r="N158" s="2695"/>
      <c r="O158" s="2695"/>
      <c r="P158" s="2743">
        <f>'Part I-Project Information'!P152</f>
        <v>5</v>
      </c>
    </row>
    <row r="159" spans="1:16">
      <c r="A159" s="2680"/>
      <c r="B159" s="2680"/>
      <c r="C159" s="2731"/>
      <c r="D159" s="2731"/>
      <c r="E159" s="2684"/>
      <c r="F159" s="2731"/>
      <c r="G159" s="2731"/>
      <c r="H159" s="2681"/>
      <c r="I159" s="2681"/>
      <c r="J159" s="2687"/>
      <c r="K159" s="2694"/>
      <c r="L159" s="2681"/>
      <c r="M159" s="2681"/>
      <c r="N159" s="2681"/>
      <c r="O159" s="2685"/>
      <c r="P159" s="2700"/>
    </row>
    <row r="160" spans="1:16">
      <c r="A160" s="2680"/>
      <c r="B160" s="2680" t="s">
        <v>789</v>
      </c>
      <c r="C160" s="2731" t="s">
        <v>1845</v>
      </c>
      <c r="D160" s="2731"/>
      <c r="E160" s="2731"/>
      <c r="F160" s="2731"/>
      <c r="G160" s="2731"/>
      <c r="H160" s="2681"/>
      <c r="I160" s="2685" t="str">
        <f>'Part I-Project Information'!I154</f>
        <v>No</v>
      </c>
      <c r="J160" s="2681"/>
      <c r="K160" s="2681"/>
      <c r="L160" s="2687"/>
      <c r="M160" s="2687"/>
      <c r="N160" s="2681"/>
      <c r="O160" s="2681"/>
      <c r="P160" s="2700"/>
    </row>
    <row r="161" spans="1:16">
      <c r="A161" s="2680"/>
      <c r="B161" s="2680"/>
      <c r="C161" s="2689"/>
      <c r="D161" s="2681"/>
      <c r="E161" s="2746"/>
      <c r="F161" s="2746"/>
      <c r="G161" s="2746"/>
      <c r="H161" s="2681"/>
      <c r="I161" s="2746"/>
      <c r="J161" s="2746"/>
      <c r="K161" s="2685"/>
      <c r="L161" s="2746"/>
      <c r="M161" s="2746"/>
      <c r="N161" s="2685"/>
      <c r="O161" s="2746"/>
      <c r="P161" s="2746"/>
    </row>
    <row r="162" spans="1:16">
      <c r="A162" s="2680"/>
      <c r="B162" s="2680" t="s">
        <v>2216</v>
      </c>
      <c r="C162" s="2747" t="s">
        <v>2076</v>
      </c>
      <c r="D162" s="2747"/>
      <c r="E162" s="2747"/>
      <c r="F162" s="2747"/>
      <c r="G162" s="2731"/>
      <c r="H162" s="2681"/>
      <c r="I162" s="2685" t="str">
        <f>'Part I-Project Information'!I156</f>
        <v>No</v>
      </c>
      <c r="J162" s="2748" t="s">
        <v>3019</v>
      </c>
      <c r="K162" s="2681"/>
      <c r="L162" s="2732" t="s">
        <v>1551</v>
      </c>
      <c r="M162" s="2732"/>
      <c r="N162" s="2731"/>
      <c r="O162" s="2731"/>
      <c r="P162" s="2749">
        <f>'Part I-Project Information'!P156</f>
        <v>0</v>
      </c>
    </row>
    <row r="163" spans="1:16">
      <c r="A163" s="2681"/>
      <c r="B163" s="2680"/>
      <c r="C163" s="2681"/>
      <c r="D163" s="2681"/>
      <c r="E163" s="2681"/>
      <c r="F163" s="2681"/>
      <c r="G163" s="2681"/>
      <c r="H163" s="2681"/>
      <c r="I163" s="2681"/>
      <c r="J163" s="2681"/>
      <c r="K163" s="2681"/>
      <c r="L163" s="2696" t="s">
        <v>839</v>
      </c>
      <c r="M163" s="2696"/>
      <c r="N163" s="2731"/>
      <c r="O163" s="2731"/>
      <c r="P163" s="2749">
        <f>'Part I-Project Information'!P157</f>
        <v>0</v>
      </c>
    </row>
    <row r="164" spans="1:16">
      <c r="A164" s="2680"/>
      <c r="B164" s="2680"/>
      <c r="C164" s="2681"/>
      <c r="D164" s="2681"/>
      <c r="E164" s="2681"/>
      <c r="F164" s="2681"/>
      <c r="G164" s="2681"/>
      <c r="H164" s="2681"/>
      <c r="I164" s="2681"/>
      <c r="J164" s="2681"/>
      <c r="K164" s="2681"/>
      <c r="L164" s="2696" t="s">
        <v>1879</v>
      </c>
      <c r="M164" s="2696"/>
      <c r="N164" s="2731"/>
      <c r="O164" s="2731"/>
      <c r="P164" s="2750" t="e">
        <f>IF(P162="","",P163/P162)</f>
        <v>#DIV/0!</v>
      </c>
    </row>
    <row r="165" spans="1:16">
      <c r="A165" s="2680"/>
      <c r="B165" s="2680" t="s">
        <v>1823</v>
      </c>
      <c r="C165" s="2682" t="s">
        <v>1687</v>
      </c>
      <c r="D165" s="2698"/>
      <c r="E165" s="2698"/>
      <c r="F165" s="2698"/>
      <c r="G165" s="2698"/>
      <c r="H165" s="2685"/>
      <c r="I165" s="2681"/>
      <c r="J165" s="2687"/>
      <c r="K165" s="2694"/>
      <c r="L165" s="2681"/>
      <c r="M165" s="2681"/>
      <c r="N165" s="2681"/>
      <c r="O165" s="2685"/>
      <c r="P165" s="2700"/>
    </row>
    <row r="166" spans="1:16">
      <c r="A166" s="2680"/>
      <c r="B166" s="2680"/>
      <c r="C166" s="2681" t="s">
        <v>2317</v>
      </c>
      <c r="D166" s="2684"/>
      <c r="E166" s="2681"/>
      <c r="F166" s="2681"/>
      <c r="G166" s="2681"/>
      <c r="H166" s="2681"/>
      <c r="I166" s="2685" t="str">
        <f>'Part I-Project Information'!I160</f>
        <v>No</v>
      </c>
      <c r="J166" s="2681"/>
      <c r="K166" s="2681"/>
      <c r="L166" s="2681" t="s">
        <v>1688</v>
      </c>
      <c r="M166" s="2681"/>
      <c r="N166" s="2681"/>
      <c r="O166" s="2681"/>
      <c r="P166" s="2685" t="str">
        <f>'Part I-Project Information'!P160</f>
        <v>No</v>
      </c>
    </row>
    <row r="167" spans="1:16">
      <c r="A167" s="2680"/>
      <c r="B167" s="2680"/>
      <c r="C167" s="2681" t="s">
        <v>2319</v>
      </c>
      <c r="D167" s="2681"/>
      <c r="E167" s="2681"/>
      <c r="F167" s="2681"/>
      <c r="G167" s="2681"/>
      <c r="H167" s="2681"/>
      <c r="I167" s="2685" t="str">
        <f>'Part I-Project Information'!I161</f>
        <v>No</v>
      </c>
      <c r="J167" s="2681"/>
      <c r="K167" s="2681"/>
      <c r="L167" s="2681" t="s">
        <v>3188</v>
      </c>
      <c r="M167" s="2681"/>
      <c r="N167" s="2681"/>
      <c r="O167" s="2681"/>
      <c r="P167" s="2685" t="str">
        <f>'Part I-Project Information'!P161</f>
        <v>No</v>
      </c>
    </row>
    <row r="168" spans="1:16" ht="13.5">
      <c r="A168" s="2680"/>
      <c r="B168" s="2681"/>
      <c r="C168" s="2681" t="s">
        <v>2897</v>
      </c>
      <c r="D168" s="2681"/>
      <c r="E168" s="2681"/>
      <c r="F168" s="2681"/>
      <c r="G168" s="2681"/>
      <c r="H168" s="2681"/>
      <c r="I168" s="2685" t="str">
        <f>'Part I-Project Information'!I162</f>
        <v>No</v>
      </c>
      <c r="J168" s="2681"/>
      <c r="K168" s="2681"/>
      <c r="L168" s="2681" t="s">
        <v>2849</v>
      </c>
      <c r="M168" s="2681"/>
      <c r="N168" s="2751">
        <f>'Part I-Project Information'!N162</f>
        <v>0</v>
      </c>
      <c r="O168" s="2751"/>
      <c r="P168" s="2685" t="str">
        <f>'Part I-Project Information'!P162</f>
        <v>No</v>
      </c>
    </row>
    <row r="169" spans="1:16" ht="13.5">
      <c r="A169" s="2680"/>
      <c r="B169" s="2680"/>
      <c r="C169" s="2681" t="s">
        <v>1347</v>
      </c>
      <c r="D169" s="2752"/>
      <c r="E169" s="2681"/>
      <c r="F169" s="2681"/>
      <c r="G169" s="2681"/>
      <c r="H169" s="2681"/>
      <c r="I169" s="2685" t="str">
        <f>'Part I-Project Information'!I163</f>
        <v>No</v>
      </c>
      <c r="J169" s="2681"/>
      <c r="K169" s="2684"/>
      <c r="L169" s="2681" t="s">
        <v>4227</v>
      </c>
      <c r="M169" s="2681"/>
      <c r="N169" s="2681"/>
      <c r="O169" s="2681"/>
      <c r="P169" s="2685" t="str">
        <f>'Part I-Project Information'!P163</f>
        <v>No</v>
      </c>
    </row>
    <row r="170" spans="1:16">
      <c r="A170" s="2680"/>
      <c r="B170" s="2684"/>
      <c r="C170" s="2681" t="s">
        <v>1898</v>
      </c>
      <c r="D170" s="2681"/>
      <c r="E170" s="2681"/>
      <c r="F170" s="2681"/>
      <c r="G170" s="2681"/>
      <c r="H170" s="2681"/>
      <c r="I170" s="2685" t="str">
        <f>'Part I-Project Information'!I164</f>
        <v>No</v>
      </c>
      <c r="J170" s="2748" t="s">
        <v>3020</v>
      </c>
      <c r="K170" s="2681"/>
      <c r="L170" s="2681"/>
      <c r="M170" s="2681"/>
      <c r="N170" s="2681"/>
      <c r="O170" s="2753">
        <f>'Part I-Project Information'!O164</f>
        <v>0</v>
      </c>
      <c r="P170" s="2753"/>
    </row>
    <row r="171" spans="1:16">
      <c r="A171" s="2680"/>
      <c r="B171" s="2680"/>
      <c r="C171" s="2681" t="s">
        <v>3299</v>
      </c>
      <c r="D171" s="2681"/>
      <c r="E171" s="2681"/>
      <c r="F171" s="2681"/>
      <c r="G171" s="2681"/>
      <c r="H171" s="2681"/>
      <c r="I171" s="2685" t="str">
        <f>'Part I-Project Information'!I165</f>
        <v>No</v>
      </c>
      <c r="J171" s="2748" t="s">
        <v>3020</v>
      </c>
      <c r="K171" s="2681"/>
      <c r="L171" s="2681"/>
      <c r="M171" s="2681"/>
      <c r="N171" s="2681"/>
      <c r="O171" s="2753">
        <f>'Part I-Project Information'!O165</f>
        <v>0</v>
      </c>
      <c r="P171" s="2753"/>
    </row>
    <row r="172" spans="1:16">
      <c r="A172" s="2680"/>
      <c r="B172" s="2680"/>
      <c r="C172" s="2681" t="s">
        <v>3300</v>
      </c>
      <c r="D172" s="2681"/>
      <c r="E172" s="2681"/>
      <c r="F172" s="2681"/>
      <c r="G172" s="2681"/>
      <c r="H172" s="2681"/>
      <c r="I172" s="2685" t="str">
        <f>'Part I-Project Information'!I166</f>
        <v>No</v>
      </c>
      <c r="J172" s="2748" t="s">
        <v>3020</v>
      </c>
      <c r="K172" s="2681"/>
      <c r="L172" s="2681"/>
      <c r="M172" s="2681"/>
      <c r="N172" s="2681"/>
      <c r="O172" s="2753">
        <f>'Part I-Project Information'!O166</f>
        <v>0</v>
      </c>
      <c r="P172" s="2753"/>
    </row>
    <row r="173" spans="1:16">
      <c r="A173" s="2680"/>
      <c r="B173" s="2680"/>
      <c r="C173" s="2681"/>
      <c r="D173" s="2681"/>
      <c r="E173" s="2681"/>
      <c r="F173" s="2681"/>
      <c r="G173" s="2681"/>
      <c r="H173" s="2681"/>
      <c r="I173" s="2681"/>
      <c r="J173" s="2681"/>
      <c r="K173" s="2681"/>
      <c r="L173" s="2681"/>
      <c r="M173" s="2681"/>
      <c r="N173" s="2681"/>
      <c r="O173" s="2681"/>
      <c r="P173" s="2687"/>
    </row>
    <row r="174" spans="1:16">
      <c r="A174" s="2681"/>
      <c r="B174" s="2680" t="s">
        <v>1824</v>
      </c>
      <c r="C174" s="2682" t="s">
        <v>779</v>
      </c>
      <c r="D174" s="2681"/>
      <c r="E174" s="2681"/>
      <c r="F174" s="2681"/>
      <c r="G174" s="2681"/>
      <c r="H174" s="2681"/>
      <c r="I174" s="2681"/>
      <c r="J174" s="2681"/>
      <c r="K174" s="2681"/>
      <c r="L174" s="2681"/>
      <c r="M174" s="2681"/>
      <c r="N174" s="2681"/>
      <c r="O174" s="2681"/>
      <c r="P174" s="2681"/>
    </row>
    <row r="175" spans="1:16">
      <c r="A175" s="2680"/>
      <c r="B175" s="2680"/>
      <c r="C175" s="2689" t="s">
        <v>670</v>
      </c>
      <c r="D175" s="2698"/>
      <c r="E175" s="2698"/>
      <c r="F175" s="2685"/>
      <c r="G175" s="2685"/>
      <c r="H175" s="2738">
        <f>'Part I-Project Information'!H169</f>
        <v>0</v>
      </c>
      <c r="I175" s="2738"/>
      <c r="J175" s="2681"/>
      <c r="K175" s="2681"/>
      <c r="L175" s="2681"/>
      <c r="M175" s="2681"/>
      <c r="N175" s="2681"/>
      <c r="O175" s="2681"/>
      <c r="P175" s="2700"/>
    </row>
    <row r="176" spans="1:16">
      <c r="A176" s="2680"/>
      <c r="B176" s="2680"/>
      <c r="C176" s="2689" t="s">
        <v>288</v>
      </c>
      <c r="D176" s="2698"/>
      <c r="E176" s="2698"/>
      <c r="F176" s="2685"/>
      <c r="G176" s="2685"/>
      <c r="H176" s="2738">
        <f>'Part I-Project Information'!H170</f>
        <v>0</v>
      </c>
      <c r="I176" s="2738"/>
      <c r="J176" s="2681"/>
      <c r="K176" s="2681"/>
      <c r="L176" s="2681"/>
      <c r="M176" s="2681"/>
      <c r="N176" s="2681"/>
      <c r="O176" s="2681"/>
      <c r="P176" s="2700"/>
    </row>
    <row r="177" spans="1:19">
      <c r="A177" s="2680"/>
      <c r="B177" s="2680"/>
      <c r="C177" s="2689" t="s">
        <v>2404</v>
      </c>
      <c r="D177" s="2698"/>
      <c r="E177" s="2698"/>
      <c r="F177" s="2685"/>
      <c r="G177" s="2685"/>
      <c r="H177" s="2738">
        <f>'Part I-Project Information'!H171</f>
        <v>43100</v>
      </c>
      <c r="I177" s="2738"/>
      <c r="J177" s="2681"/>
      <c r="K177" s="2681"/>
      <c r="L177" s="2681"/>
      <c r="M177" s="2681"/>
      <c r="N177" s="2681"/>
      <c r="O177" s="2681"/>
      <c r="P177" s="2700"/>
    </row>
    <row r="178" spans="1:19">
      <c r="A178" s="2681"/>
      <c r="B178" s="2684"/>
      <c r="C178" s="2681"/>
      <c r="D178" s="2681"/>
      <c r="E178" s="2681"/>
      <c r="F178" s="2681"/>
      <c r="G178" s="2681"/>
      <c r="H178" s="2681"/>
      <c r="I178" s="2681"/>
      <c r="J178" s="2681"/>
      <c r="K178" s="2681"/>
      <c r="L178" s="2687"/>
      <c r="M178" s="2687"/>
      <c r="N178" s="2687"/>
      <c r="O178" s="2687"/>
      <c r="P178" s="2692"/>
    </row>
    <row r="179" spans="1:19">
      <c r="A179" s="2727" t="s">
        <v>3090</v>
      </c>
      <c r="B179" s="2730"/>
      <c r="C179" s="2727" t="s">
        <v>599</v>
      </c>
      <c r="D179" s="2687"/>
      <c r="E179" s="2687"/>
      <c r="F179" s="2687"/>
      <c r="G179" s="2687"/>
      <c r="H179" s="2687"/>
      <c r="I179" s="2687"/>
      <c r="J179" s="2687"/>
      <c r="K179" s="2727" t="s">
        <v>2360</v>
      </c>
      <c r="L179" s="2727" t="s">
        <v>81</v>
      </c>
      <c r="M179" s="2687"/>
      <c r="N179" s="2687"/>
      <c r="O179" s="2687"/>
      <c r="P179" s="2687"/>
    </row>
    <row r="180" spans="1:19" ht="13.5">
      <c r="A180" s="2754" t="str">
        <f>'Part I-Project Information'!A174</f>
        <v>In regards to application related matters, please also contact Jay Ronca, Vice President of Development Consultant, at 404-788-7162 or jronca@thevantagegroup.biz
Owners commit to the extension of the cancellation option for 5 years. We expect the placed in service date to be 12/31/2017. Regardless of the actual placed in service date the owner will extend for the 5 year period. 
Vantage Development, LLC (consultant) is owned/operated by The Vantage Group, Barron Group and ultimately Lowell R. Barron, II.  Please note that neither Vantage Development, its affiliates or its Principal - Lowell R. Barron II, have any ownership in this deal or The Vinings at Oxford.</v>
      </c>
      <c r="B180" s="2754"/>
      <c r="C180" s="2754"/>
      <c r="D180" s="2754"/>
      <c r="E180" s="2754"/>
      <c r="F180" s="2754"/>
      <c r="G180" s="2754"/>
      <c r="H180" s="2754"/>
      <c r="I180" s="2754"/>
      <c r="J180" s="2754"/>
      <c r="K180" s="2754">
        <f>'Part I-Project Information'!K174</f>
        <v>0</v>
      </c>
      <c r="L180" s="2754"/>
      <c r="M180" s="2754"/>
      <c r="N180" s="2754"/>
      <c r="O180" s="2754"/>
      <c r="P180" s="2754"/>
    </row>
    <row r="183" spans="1:19">
      <c r="A183" s="2679" t="str">
        <f>'Part II-Development Team'!A1</f>
        <v>PART TWO - DEVELOPMENT TEAM INFORMATION  -  2015-009 The Cove at York, Centerville, Houston County</v>
      </c>
      <c r="B183" s="2679"/>
      <c r="C183" s="2679"/>
      <c r="D183" s="2679"/>
      <c r="E183" s="2679"/>
      <c r="F183" s="2679"/>
      <c r="G183" s="2679"/>
      <c r="H183" s="2679"/>
      <c r="I183" s="2679"/>
      <c r="J183" s="2679"/>
      <c r="K183" s="2679"/>
      <c r="L183" s="2679"/>
      <c r="M183" s="2679"/>
      <c r="N183" s="2679"/>
      <c r="O183" s="2679"/>
      <c r="P183" s="2679"/>
      <c r="Q183" s="2679"/>
      <c r="R183" s="2679"/>
      <c r="S183" s="2679"/>
    </row>
    <row r="184" spans="1:19">
      <c r="A184" s="2687"/>
      <c r="B184" s="2687"/>
      <c r="C184" s="2687"/>
      <c r="D184" s="2687"/>
      <c r="E184" s="2687"/>
      <c r="F184" s="2687"/>
      <c r="G184" s="2687"/>
      <c r="H184" s="2687"/>
      <c r="I184" s="2687"/>
      <c r="J184" s="2687"/>
      <c r="K184" s="2687"/>
      <c r="L184" s="2687"/>
      <c r="M184" s="2687"/>
      <c r="N184" s="2687"/>
      <c r="O184" s="2687"/>
      <c r="P184" s="2687"/>
      <c r="Q184" s="2687"/>
      <c r="R184" s="2687"/>
      <c r="S184" s="2687"/>
    </row>
    <row r="185" spans="1:19">
      <c r="A185" s="2684" t="s">
        <v>647</v>
      </c>
      <c r="B185" s="2682" t="s">
        <v>1951</v>
      </c>
      <c r="C185" s="2682"/>
      <c r="D185" s="2681"/>
      <c r="E185" s="2682"/>
      <c r="F185" s="2682"/>
      <c r="G185" s="2682"/>
      <c r="H185" s="2682" t="s">
        <v>4021</v>
      </c>
      <c r="I185" s="2682"/>
      <c r="J185" s="2682"/>
      <c r="K185" s="2682"/>
      <c r="L185" s="2682"/>
      <c r="M185" s="2682"/>
      <c r="N185" s="2681"/>
      <c r="O185" s="2681"/>
      <c r="P185" s="2681"/>
      <c r="Q185" s="2681"/>
      <c r="R185" s="2681"/>
      <c r="S185" s="2681"/>
    </row>
    <row r="186" spans="1:19">
      <c r="A186" s="2684"/>
      <c r="B186" s="2684"/>
      <c r="C186" s="2684"/>
      <c r="D186" s="2682"/>
      <c r="E186" s="2682"/>
      <c r="F186" s="2682"/>
      <c r="G186" s="2682"/>
      <c r="H186" s="2682"/>
      <c r="I186" s="2682"/>
      <c r="J186" s="2682"/>
      <c r="K186" s="2681"/>
      <c r="L186" s="2681"/>
      <c r="M186" s="2681"/>
      <c r="N186" s="2681"/>
      <c r="O186" s="2681"/>
      <c r="P186" s="2681"/>
      <c r="Q186" s="2681"/>
      <c r="R186" s="2681"/>
      <c r="S186" s="2681"/>
    </row>
    <row r="187" spans="1:19">
      <c r="A187" s="2681"/>
      <c r="B187" s="2684" t="s">
        <v>2081</v>
      </c>
      <c r="C187" s="2682" t="s">
        <v>1947</v>
      </c>
      <c r="D187" s="2681"/>
      <c r="E187" s="2681"/>
      <c r="F187" s="2681"/>
      <c r="G187" s="2681"/>
      <c r="H187" s="2696" t="str">
        <f>'Part II-Development Team'!H5</f>
        <v>The Cove at York, LP</v>
      </c>
      <c r="I187" s="2739"/>
      <c r="J187" s="2739"/>
      <c r="K187" s="2739"/>
      <c r="L187" s="2739"/>
      <c r="M187" s="2739"/>
      <c r="N187" s="2739"/>
      <c r="O187" s="2689" t="s">
        <v>2088</v>
      </c>
      <c r="P187" s="2689"/>
      <c r="Q187" s="2696" t="str">
        <f>'Part II-Development Team'!Q5</f>
        <v>Mark E. English</v>
      </c>
      <c r="R187" s="2739"/>
      <c r="S187" s="2739"/>
    </row>
    <row r="188" spans="1:19">
      <c r="A188" s="2681"/>
      <c r="B188" s="2681"/>
      <c r="C188" s="2681"/>
      <c r="D188" s="2755"/>
      <c r="E188" s="2689" t="s">
        <v>1071</v>
      </c>
      <c r="F188" s="2692"/>
      <c r="G188" s="2681"/>
      <c r="H188" s="2696" t="str">
        <f>'Part II-Development Team'!H6</f>
        <v>624 Skyland Blvd East, Suite D</v>
      </c>
      <c r="I188" s="2739"/>
      <c r="J188" s="2739"/>
      <c r="K188" s="2739"/>
      <c r="L188" s="2739"/>
      <c r="M188" s="2739"/>
      <c r="N188" s="2739"/>
      <c r="O188" s="2689" t="s">
        <v>1835</v>
      </c>
      <c r="P188" s="2681"/>
      <c r="Q188" s="2696" t="str">
        <f>'Part II-Development Team'!Q6</f>
        <v>President of GP</v>
      </c>
      <c r="R188" s="2739"/>
      <c r="S188" s="2739"/>
    </row>
    <row r="189" spans="1:19">
      <c r="A189" s="2681"/>
      <c r="B189" s="2681"/>
      <c r="C189" s="2681"/>
      <c r="D189" s="2755"/>
      <c r="E189" s="2689" t="s">
        <v>649</v>
      </c>
      <c r="F189" s="2681"/>
      <c r="G189" s="2681"/>
      <c r="H189" s="2696" t="str">
        <f>'Part II-Development Team'!H7</f>
        <v>Tuscaloosa</v>
      </c>
      <c r="I189" s="2739"/>
      <c r="J189" s="2739"/>
      <c r="K189" s="2685" t="s">
        <v>803</v>
      </c>
      <c r="L189" s="2696">
        <f>'Part II-Development Team'!L7</f>
        <v>0</v>
      </c>
      <c r="M189" s="2739"/>
      <c r="N189" s="2739"/>
      <c r="O189" s="2689" t="s">
        <v>1891</v>
      </c>
      <c r="P189" s="2681"/>
      <c r="Q189" s="2697">
        <f>'Part II-Development Team'!Q7</f>
        <v>2057229331</v>
      </c>
      <c r="R189" s="2697"/>
      <c r="S189" s="2697"/>
    </row>
    <row r="190" spans="1:19">
      <c r="A190" s="2681"/>
      <c r="B190" s="2681"/>
      <c r="C190" s="2681"/>
      <c r="D190" s="2755"/>
      <c r="E190" s="2689" t="s">
        <v>1887</v>
      </c>
      <c r="F190" s="2681"/>
      <c r="G190" s="2681"/>
      <c r="H190" s="2685" t="str">
        <f>'Part II-Development Team'!H8</f>
        <v>AL</v>
      </c>
      <c r="I190" s="2685" t="s">
        <v>4557</v>
      </c>
      <c r="J190" s="2699">
        <f>'Part II-Development Team'!J8</f>
        <v>354054021</v>
      </c>
      <c r="K190" s="2739"/>
      <c r="L190" s="2756"/>
      <c r="M190" s="2756"/>
      <c r="N190" s="2756"/>
      <c r="O190" s="2689" t="s">
        <v>2077</v>
      </c>
      <c r="P190" s="2681"/>
      <c r="Q190" s="2697">
        <f>'Part II-Development Team'!Q8</f>
        <v>2053948000</v>
      </c>
      <c r="R190" s="2697"/>
      <c r="S190" s="2697"/>
    </row>
    <row r="191" spans="1:19">
      <c r="A191" s="2681"/>
      <c r="B191" s="2681"/>
      <c r="C191" s="2681"/>
      <c r="D191" s="2755"/>
      <c r="E191" s="2689" t="s">
        <v>2083</v>
      </c>
      <c r="F191" s="2681"/>
      <c r="G191" s="2681"/>
      <c r="H191" s="2697">
        <f>'Part II-Development Team'!H9</f>
        <v>2057229331</v>
      </c>
      <c r="I191" s="2697"/>
      <c r="J191" s="2694" t="str">
        <f>'Part II-Development Team'!J9</f>
        <v>N/A</v>
      </c>
      <c r="K191" s="2685" t="s">
        <v>1890</v>
      </c>
      <c r="L191" s="2697">
        <f>'Part II-Development Team'!L9</f>
        <v>2053453813</v>
      </c>
      <c r="M191" s="2697"/>
      <c r="N191" s="2692" t="s">
        <v>2082</v>
      </c>
      <c r="O191" s="2701" t="str">
        <f>'Part II-Development Team'!O9</f>
        <v>mark@nahpa.org</v>
      </c>
      <c r="P191" s="2701"/>
      <c r="Q191" s="2701"/>
      <c r="R191" s="2701"/>
      <c r="S191" s="2701"/>
    </row>
    <row r="192" spans="1:19" ht="13.5">
      <c r="A192" s="2681"/>
      <c r="B192" s="2681"/>
      <c r="C192" s="2681"/>
      <c r="D192" s="2755"/>
      <c r="E192" s="2683" t="s">
        <v>2920</v>
      </c>
      <c r="F192" s="2681"/>
      <c r="G192" s="2681"/>
      <c r="H192" s="2746"/>
      <c r="I192" s="2681"/>
      <c r="J192" s="2681"/>
      <c r="K192" s="2757"/>
      <c r="L192" s="2681"/>
      <c r="M192" s="2681"/>
      <c r="N192" s="2684" t="s">
        <v>4375</v>
      </c>
      <c r="O192" s="2681"/>
      <c r="P192" s="2681"/>
      <c r="Q192" s="2685"/>
      <c r="R192" s="2681"/>
      <c r="S192" s="2681"/>
    </row>
    <row r="193" spans="1:19">
      <c r="A193" s="2681"/>
      <c r="B193" s="2681"/>
      <c r="C193" s="2681"/>
      <c r="D193" s="2758"/>
      <c r="E193" s="2689"/>
      <c r="F193" s="2682"/>
      <c r="G193" s="2682"/>
      <c r="H193" s="2682"/>
      <c r="I193" s="2682"/>
      <c r="J193" s="2682"/>
      <c r="K193" s="2681"/>
      <c r="L193" s="2681"/>
      <c r="M193" s="2681"/>
      <c r="N193" s="2682"/>
      <c r="O193" s="2682"/>
      <c r="P193" s="2682"/>
      <c r="Q193" s="2682"/>
      <c r="R193" s="2682"/>
      <c r="S193" s="2682"/>
    </row>
    <row r="194" spans="1:19" ht="13.5">
      <c r="A194" s="2681"/>
      <c r="B194" s="2730" t="s">
        <v>2084</v>
      </c>
      <c r="C194" s="2682" t="s">
        <v>1948</v>
      </c>
      <c r="D194" s="2681"/>
      <c r="E194" s="2681"/>
      <c r="F194" s="2682"/>
      <c r="G194" s="2682"/>
      <c r="H194" s="2682"/>
      <c r="I194" s="2682"/>
      <c r="J194" s="2682"/>
      <c r="K194" s="2681"/>
      <c r="L194" s="2681"/>
      <c r="M194" s="2681"/>
      <c r="N194" s="2757" t="s">
        <v>4558</v>
      </c>
      <c r="O194" s="2681"/>
      <c r="P194" s="2759" t="s">
        <v>1345</v>
      </c>
      <c r="Q194" s="2681"/>
      <c r="R194" s="2681"/>
      <c r="S194" s="2681"/>
    </row>
    <row r="195" spans="1:19" ht="13.5">
      <c r="A195" s="2681"/>
      <c r="B195" s="2681"/>
      <c r="C195" s="2760" t="s">
        <v>2085</v>
      </c>
      <c r="D195" s="2730" t="s">
        <v>2086</v>
      </c>
      <c r="E195" s="2681"/>
      <c r="F195" s="2681"/>
      <c r="G195" s="2681"/>
      <c r="H195" s="2681"/>
      <c r="I195" s="2681"/>
      <c r="J195" s="2681"/>
      <c r="K195" s="2681"/>
      <c r="L195" s="2681"/>
      <c r="M195" s="2681"/>
      <c r="N195" s="2757"/>
      <c r="O195" s="2681"/>
      <c r="P195" s="2681"/>
      <c r="Q195" s="2681"/>
      <c r="R195" s="2681"/>
      <c r="S195" s="2681"/>
    </row>
    <row r="196" spans="1:19">
      <c r="A196" s="2681"/>
      <c r="B196" s="2681"/>
      <c r="C196" s="2681"/>
      <c r="D196" s="2684" t="s">
        <v>2217</v>
      </c>
      <c r="E196" s="2681" t="s">
        <v>1949</v>
      </c>
      <c r="F196" s="2681"/>
      <c r="G196" s="2681"/>
      <c r="H196" s="2696" t="str">
        <f>'Part II-Development Team'!H14</f>
        <v>NAHPA 2015 GA, Inc.</v>
      </c>
      <c r="I196" s="2739"/>
      <c r="J196" s="2739"/>
      <c r="K196" s="2739"/>
      <c r="L196" s="2739"/>
      <c r="M196" s="2739"/>
      <c r="N196" s="2739"/>
      <c r="O196" s="2689" t="s">
        <v>2088</v>
      </c>
      <c r="P196" s="2689"/>
      <c r="Q196" s="2696" t="str">
        <f>'Part II-Development Team'!Q14</f>
        <v>Mark E. English</v>
      </c>
      <c r="R196" s="2739"/>
      <c r="S196" s="2739"/>
    </row>
    <row r="197" spans="1:19">
      <c r="A197" s="2681"/>
      <c r="B197" s="2681"/>
      <c r="C197" s="2681"/>
      <c r="D197" s="2755"/>
      <c r="E197" s="2689" t="s">
        <v>1071</v>
      </c>
      <c r="F197" s="2692"/>
      <c r="G197" s="2681"/>
      <c r="H197" s="2696" t="str">
        <f>'Part II-Development Team'!H15</f>
        <v>624 Skyland Blvd East, Suite D</v>
      </c>
      <c r="I197" s="2739"/>
      <c r="J197" s="2739"/>
      <c r="K197" s="2739"/>
      <c r="L197" s="2739"/>
      <c r="M197" s="2739"/>
      <c r="N197" s="2739"/>
      <c r="O197" s="2689" t="s">
        <v>1835</v>
      </c>
      <c r="P197" s="2681"/>
      <c r="Q197" s="2696" t="str">
        <f>'Part II-Development Team'!Q15</f>
        <v>President</v>
      </c>
      <c r="R197" s="2739"/>
      <c r="S197" s="2739"/>
    </row>
    <row r="198" spans="1:19">
      <c r="A198" s="2681"/>
      <c r="B198" s="2681"/>
      <c r="C198" s="2681"/>
      <c r="D198" s="2755"/>
      <c r="E198" s="2689" t="s">
        <v>649</v>
      </c>
      <c r="F198" s="2681"/>
      <c r="G198" s="2681"/>
      <c r="H198" s="2696" t="str">
        <f>'Part II-Development Team'!H16</f>
        <v>Tuscaloosa</v>
      </c>
      <c r="I198" s="2739"/>
      <c r="J198" s="2739"/>
      <c r="K198" s="2685" t="s">
        <v>2875</v>
      </c>
      <c r="L198" s="2696" t="str">
        <f>'Part II-Development Team'!L16</f>
        <v>www.nahpa.org</v>
      </c>
      <c r="M198" s="2739"/>
      <c r="N198" s="2739"/>
      <c r="O198" s="2689" t="s">
        <v>1891</v>
      </c>
      <c r="P198" s="2681"/>
      <c r="Q198" s="2697">
        <f>'Part II-Development Team'!Q16</f>
        <v>2057229331</v>
      </c>
      <c r="R198" s="2697"/>
      <c r="S198" s="2697"/>
    </row>
    <row r="199" spans="1:19">
      <c r="A199" s="2681"/>
      <c r="B199" s="2681"/>
      <c r="C199" s="2681"/>
      <c r="D199" s="2684"/>
      <c r="E199" s="2689" t="s">
        <v>1887</v>
      </c>
      <c r="F199" s="2681"/>
      <c r="G199" s="2681"/>
      <c r="H199" s="2685" t="str">
        <f>'Part II-Development Team'!H17</f>
        <v>AL</v>
      </c>
      <c r="I199" s="2685" t="s">
        <v>4557</v>
      </c>
      <c r="J199" s="2699">
        <f>'Part II-Development Team'!J17</f>
        <v>354054021</v>
      </c>
      <c r="K199" s="2739"/>
      <c r="L199" s="2681"/>
      <c r="M199" s="2681"/>
      <c r="N199" s="2681"/>
      <c r="O199" s="2689" t="s">
        <v>2077</v>
      </c>
      <c r="P199" s="2681"/>
      <c r="Q199" s="2697">
        <f>'Part II-Development Team'!Q17</f>
        <v>2053948000</v>
      </c>
      <c r="R199" s="2697"/>
      <c r="S199" s="2697"/>
    </row>
    <row r="200" spans="1:19">
      <c r="A200" s="2681"/>
      <c r="B200" s="2681"/>
      <c r="C200" s="2681"/>
      <c r="D200" s="2755"/>
      <c r="E200" s="2689" t="s">
        <v>2083</v>
      </c>
      <c r="F200" s="2681"/>
      <c r="G200" s="2681"/>
      <c r="H200" s="2697">
        <f>'Part II-Development Team'!H18</f>
        <v>2057229331</v>
      </c>
      <c r="I200" s="2697"/>
      <c r="J200" s="2694" t="str">
        <f>'Part II-Development Team'!J18</f>
        <v>N/A</v>
      </c>
      <c r="K200" s="2685" t="s">
        <v>1890</v>
      </c>
      <c r="L200" s="2697">
        <f>'Part II-Development Team'!L18</f>
        <v>2053453813</v>
      </c>
      <c r="M200" s="2697"/>
      <c r="N200" s="2692" t="s">
        <v>2082</v>
      </c>
      <c r="O200" s="2701" t="str">
        <f>'Part II-Development Team'!O18</f>
        <v>mark@nahpa.org</v>
      </c>
      <c r="P200" s="2701"/>
      <c r="Q200" s="2701"/>
      <c r="R200" s="2701"/>
      <c r="S200" s="2701"/>
    </row>
    <row r="201" spans="1:19">
      <c r="A201" s="2687"/>
      <c r="B201" s="2687"/>
      <c r="C201" s="2687"/>
      <c r="D201" s="2727"/>
      <c r="E201" s="2687"/>
      <c r="F201" s="2687"/>
      <c r="G201" s="2687"/>
      <c r="H201" s="2761"/>
      <c r="I201" s="2761"/>
      <c r="J201" s="2761"/>
      <c r="K201" s="2685"/>
      <c r="L201" s="2761"/>
      <c r="M201" s="2761"/>
      <c r="N201" s="2685"/>
      <c r="O201" s="2761"/>
      <c r="P201" s="2761"/>
      <c r="Q201" s="2685"/>
      <c r="R201" s="2761"/>
      <c r="S201" s="2761"/>
    </row>
    <row r="202" spans="1:19">
      <c r="A202" s="2681"/>
      <c r="B202" s="2681"/>
      <c r="C202" s="2681"/>
      <c r="D202" s="2684" t="s">
        <v>2218</v>
      </c>
      <c r="E202" s="2681" t="s">
        <v>1950</v>
      </c>
      <c r="F202" s="2681"/>
      <c r="G202" s="2681"/>
      <c r="H202" s="2696">
        <f>'Part II-Development Team'!H20</f>
        <v>0</v>
      </c>
      <c r="I202" s="2696"/>
      <c r="J202" s="2696"/>
      <c r="K202" s="2696"/>
      <c r="L202" s="2696"/>
      <c r="M202" s="2696"/>
      <c r="N202" s="2696"/>
      <c r="O202" s="2689" t="s">
        <v>2088</v>
      </c>
      <c r="P202" s="2689"/>
      <c r="Q202" s="2696">
        <f>'Part II-Development Team'!Q20</f>
        <v>0</v>
      </c>
      <c r="R202" s="2696"/>
      <c r="S202" s="2696"/>
    </row>
    <row r="203" spans="1:19">
      <c r="A203" s="2681"/>
      <c r="B203" s="2681"/>
      <c r="C203" s="2681"/>
      <c r="D203" s="2755"/>
      <c r="E203" s="2689" t="s">
        <v>1071</v>
      </c>
      <c r="F203" s="2692"/>
      <c r="G203" s="2681"/>
      <c r="H203" s="2696">
        <f>'Part II-Development Team'!H21</f>
        <v>0</v>
      </c>
      <c r="I203" s="2696"/>
      <c r="J203" s="2696"/>
      <c r="K203" s="2696"/>
      <c r="L203" s="2696"/>
      <c r="M203" s="2696"/>
      <c r="N203" s="2696"/>
      <c r="O203" s="2689" t="s">
        <v>1835</v>
      </c>
      <c r="P203" s="2681"/>
      <c r="Q203" s="2696">
        <f>'Part II-Development Team'!Q21</f>
        <v>0</v>
      </c>
      <c r="R203" s="2696"/>
      <c r="S203" s="2696"/>
    </row>
    <row r="204" spans="1:19">
      <c r="A204" s="2681"/>
      <c r="B204" s="2681"/>
      <c r="C204" s="2681"/>
      <c r="D204" s="2755"/>
      <c r="E204" s="2689" t="s">
        <v>649</v>
      </c>
      <c r="F204" s="2681"/>
      <c r="G204" s="2681"/>
      <c r="H204" s="2696">
        <f>'Part II-Development Team'!H22</f>
        <v>0</v>
      </c>
      <c r="I204" s="2696"/>
      <c r="J204" s="2696"/>
      <c r="K204" s="2685" t="s">
        <v>2875</v>
      </c>
      <c r="L204" s="2696">
        <f>'Part II-Development Team'!L22</f>
        <v>0</v>
      </c>
      <c r="M204" s="2696"/>
      <c r="N204" s="2696"/>
      <c r="O204" s="2689" t="s">
        <v>1891</v>
      </c>
      <c r="P204" s="2681"/>
      <c r="Q204" s="2697">
        <f>'Part II-Development Team'!Q22</f>
        <v>0</v>
      </c>
      <c r="R204" s="2697"/>
      <c r="S204" s="2697"/>
    </row>
    <row r="205" spans="1:19">
      <c r="A205" s="2681"/>
      <c r="B205" s="2681"/>
      <c r="C205" s="2681"/>
      <c r="D205" s="2681"/>
      <c r="E205" s="2689" t="s">
        <v>1887</v>
      </c>
      <c r="F205" s="2681"/>
      <c r="G205" s="2681"/>
      <c r="H205" s="2685">
        <f>'Part II-Development Team'!H23</f>
        <v>0</v>
      </c>
      <c r="I205" s="2685" t="s">
        <v>4557</v>
      </c>
      <c r="J205" s="2699">
        <f>'Part II-Development Team'!J23</f>
        <v>0</v>
      </c>
      <c r="K205" s="2699"/>
      <c r="L205" s="2681"/>
      <c r="M205" s="2681"/>
      <c r="N205" s="2681"/>
      <c r="O205" s="2689" t="s">
        <v>2077</v>
      </c>
      <c r="P205" s="2681"/>
      <c r="Q205" s="2697">
        <f>'Part II-Development Team'!Q23</f>
        <v>0</v>
      </c>
      <c r="R205" s="2697"/>
      <c r="S205" s="2697"/>
    </row>
    <row r="206" spans="1:19">
      <c r="A206" s="2681"/>
      <c r="B206" s="2681"/>
      <c r="C206" s="2681"/>
      <c r="D206" s="2755"/>
      <c r="E206" s="2689" t="s">
        <v>2083</v>
      </c>
      <c r="F206" s="2681"/>
      <c r="G206" s="2681"/>
      <c r="H206" s="2697">
        <f>'Part II-Development Team'!H24</f>
        <v>0</v>
      </c>
      <c r="I206" s="2697"/>
      <c r="J206" s="2694">
        <f>'Part II-Development Team'!J24</f>
        <v>0</v>
      </c>
      <c r="K206" s="2685" t="s">
        <v>1890</v>
      </c>
      <c r="L206" s="2697">
        <f>'Part II-Development Team'!L24</f>
        <v>0</v>
      </c>
      <c r="M206" s="2697"/>
      <c r="N206" s="2692" t="s">
        <v>2082</v>
      </c>
      <c r="O206" s="2701">
        <f>'Part II-Development Team'!O24</f>
        <v>0</v>
      </c>
      <c r="P206" s="2701"/>
      <c r="Q206" s="2701"/>
      <c r="R206" s="2701"/>
      <c r="S206" s="2701"/>
    </row>
    <row r="207" spans="1:19">
      <c r="A207" s="2681"/>
      <c r="B207" s="2681"/>
      <c r="C207" s="2681"/>
      <c r="D207" s="2755"/>
      <c r="E207" s="2681"/>
      <c r="F207" s="2681"/>
      <c r="G207" s="2689"/>
      <c r="H207" s="2761"/>
      <c r="I207" s="2761"/>
      <c r="J207" s="2761"/>
      <c r="K207" s="2685"/>
      <c r="L207" s="2761"/>
      <c r="M207" s="2761"/>
      <c r="N207" s="2685"/>
      <c r="O207" s="2761"/>
      <c r="P207" s="2761"/>
      <c r="Q207" s="2685"/>
      <c r="R207" s="2761"/>
      <c r="S207" s="2761"/>
    </row>
    <row r="208" spans="1:19">
      <c r="A208" s="2681"/>
      <c r="B208" s="2681"/>
      <c r="C208" s="2681"/>
      <c r="D208" s="2684" t="s">
        <v>1822</v>
      </c>
      <c r="E208" s="2681" t="s">
        <v>1950</v>
      </c>
      <c r="F208" s="2681"/>
      <c r="G208" s="2681"/>
      <c r="H208" s="2696">
        <f>'Part II-Development Team'!H26</f>
        <v>0</v>
      </c>
      <c r="I208" s="2696"/>
      <c r="J208" s="2696"/>
      <c r="K208" s="2696"/>
      <c r="L208" s="2696"/>
      <c r="M208" s="2696"/>
      <c r="N208" s="2696"/>
      <c r="O208" s="2689" t="s">
        <v>2088</v>
      </c>
      <c r="P208" s="2689"/>
      <c r="Q208" s="2696">
        <f>'Part II-Development Team'!Q26</f>
        <v>0</v>
      </c>
      <c r="R208" s="2696"/>
      <c r="S208" s="2696"/>
    </row>
    <row r="209" spans="1:19">
      <c r="A209" s="2681"/>
      <c r="B209" s="2681"/>
      <c r="C209" s="2681"/>
      <c r="D209" s="2755"/>
      <c r="E209" s="2689" t="s">
        <v>1071</v>
      </c>
      <c r="F209" s="2692"/>
      <c r="G209" s="2681"/>
      <c r="H209" s="2696">
        <f>'Part II-Development Team'!H27</f>
        <v>0</v>
      </c>
      <c r="I209" s="2696"/>
      <c r="J209" s="2696"/>
      <c r="K209" s="2696"/>
      <c r="L209" s="2696"/>
      <c r="M209" s="2696"/>
      <c r="N209" s="2696"/>
      <c r="O209" s="2689" t="s">
        <v>1835</v>
      </c>
      <c r="P209" s="2681"/>
      <c r="Q209" s="2696">
        <f>'Part II-Development Team'!Q27</f>
        <v>0</v>
      </c>
      <c r="R209" s="2696"/>
      <c r="S209" s="2696"/>
    </row>
    <row r="210" spans="1:19">
      <c r="A210" s="2681"/>
      <c r="B210" s="2681"/>
      <c r="C210" s="2681"/>
      <c r="D210" s="2755"/>
      <c r="E210" s="2689" t="s">
        <v>649</v>
      </c>
      <c r="F210" s="2681"/>
      <c r="G210" s="2681"/>
      <c r="H210" s="2696">
        <f>'Part II-Development Team'!H28</f>
        <v>0</v>
      </c>
      <c r="I210" s="2696"/>
      <c r="J210" s="2696"/>
      <c r="K210" s="2685" t="s">
        <v>2875</v>
      </c>
      <c r="L210" s="2696">
        <f>'Part II-Development Team'!L28</f>
        <v>0</v>
      </c>
      <c r="M210" s="2696"/>
      <c r="N210" s="2696"/>
      <c r="O210" s="2689" t="s">
        <v>1891</v>
      </c>
      <c r="P210" s="2681"/>
      <c r="Q210" s="2697">
        <f>'Part II-Development Team'!Q28</f>
        <v>0</v>
      </c>
      <c r="R210" s="2697"/>
      <c r="S210" s="2697"/>
    </row>
    <row r="211" spans="1:19">
      <c r="A211" s="2681"/>
      <c r="B211" s="2681"/>
      <c r="C211" s="2681"/>
      <c r="D211" s="2681"/>
      <c r="E211" s="2689" t="s">
        <v>1887</v>
      </c>
      <c r="F211" s="2681"/>
      <c r="G211" s="2681"/>
      <c r="H211" s="2685">
        <f>'Part II-Development Team'!H29</f>
        <v>0</v>
      </c>
      <c r="I211" s="2685" t="s">
        <v>4557</v>
      </c>
      <c r="J211" s="2699">
        <f>'Part II-Development Team'!J29</f>
        <v>0</v>
      </c>
      <c r="K211" s="2699"/>
      <c r="L211" s="2681"/>
      <c r="M211" s="2681"/>
      <c r="N211" s="2681"/>
      <c r="O211" s="2689" t="s">
        <v>2077</v>
      </c>
      <c r="P211" s="2681"/>
      <c r="Q211" s="2697">
        <f>'Part II-Development Team'!Q29</f>
        <v>0</v>
      </c>
      <c r="R211" s="2697"/>
      <c r="S211" s="2697"/>
    </row>
    <row r="212" spans="1:19">
      <c r="A212" s="2681"/>
      <c r="B212" s="2681"/>
      <c r="C212" s="2681"/>
      <c r="D212" s="2755"/>
      <c r="E212" s="2689" t="s">
        <v>2083</v>
      </c>
      <c r="F212" s="2681"/>
      <c r="G212" s="2681"/>
      <c r="H212" s="2697">
        <f>'Part II-Development Team'!H30</f>
        <v>0</v>
      </c>
      <c r="I212" s="2697"/>
      <c r="J212" s="2694">
        <f>'Part II-Development Team'!J30</f>
        <v>0</v>
      </c>
      <c r="K212" s="2685" t="s">
        <v>1890</v>
      </c>
      <c r="L212" s="2697">
        <f>'Part II-Development Team'!L30</f>
        <v>0</v>
      </c>
      <c r="M212" s="2697"/>
      <c r="N212" s="2692" t="s">
        <v>2082</v>
      </c>
      <c r="O212" s="2701">
        <f>'Part II-Development Team'!O30</f>
        <v>0</v>
      </c>
      <c r="P212" s="2701"/>
      <c r="Q212" s="2701"/>
      <c r="R212" s="2701"/>
      <c r="S212" s="2701"/>
    </row>
    <row r="213" spans="1:19">
      <c r="A213" s="2687"/>
      <c r="B213" s="2687"/>
      <c r="C213" s="2687"/>
      <c r="D213" s="2687"/>
      <c r="E213" s="2687"/>
      <c r="F213" s="2687"/>
      <c r="G213" s="2687"/>
      <c r="H213" s="2687"/>
      <c r="I213" s="2687"/>
      <c r="J213" s="2687"/>
      <c r="K213" s="2687"/>
      <c r="L213" s="2687"/>
      <c r="M213" s="2687"/>
      <c r="N213" s="2687"/>
      <c r="O213" s="2687"/>
      <c r="P213" s="2687"/>
      <c r="Q213" s="2687"/>
      <c r="R213" s="2687"/>
      <c r="S213" s="2687"/>
    </row>
    <row r="214" spans="1:19">
      <c r="A214" s="2681"/>
      <c r="B214" s="2681"/>
      <c r="C214" s="2760" t="s">
        <v>2087</v>
      </c>
      <c r="D214" s="2730" t="s">
        <v>1952</v>
      </c>
      <c r="E214" s="2681"/>
      <c r="F214" s="2681"/>
      <c r="G214" s="2681"/>
      <c r="H214" s="2681"/>
      <c r="I214" s="2681"/>
      <c r="J214" s="2681"/>
      <c r="K214" s="2681"/>
      <c r="L214" s="2681"/>
      <c r="M214" s="2681"/>
      <c r="N214" s="2681"/>
      <c r="O214" s="2681"/>
      <c r="P214" s="2681"/>
      <c r="Q214" s="2681"/>
      <c r="R214" s="2681"/>
      <c r="S214" s="2681"/>
    </row>
    <row r="215" spans="1:19">
      <c r="A215" s="2681"/>
      <c r="B215" s="2681"/>
      <c r="C215" s="2681"/>
      <c r="D215" s="2684" t="s">
        <v>2217</v>
      </c>
      <c r="E215" s="2681" t="s">
        <v>790</v>
      </c>
      <c r="F215" s="2681"/>
      <c r="G215" s="2681"/>
      <c r="H215" s="2696" t="str">
        <f>'Part II-Development Team'!H33</f>
        <v>To Be Determined - 42 Equity Partners</v>
      </c>
      <c r="I215" s="2696"/>
      <c r="J215" s="2696"/>
      <c r="K215" s="2696"/>
      <c r="L215" s="2696"/>
      <c r="M215" s="2696"/>
      <c r="N215" s="2696"/>
      <c r="O215" s="2689" t="s">
        <v>2088</v>
      </c>
      <c r="P215" s="2689"/>
      <c r="Q215" s="2696" t="str">
        <f>'Part II-Development Team'!Q33</f>
        <v>Michael Haynes</v>
      </c>
      <c r="R215" s="2696"/>
      <c r="S215" s="2696"/>
    </row>
    <row r="216" spans="1:19">
      <c r="A216" s="2681"/>
      <c r="B216" s="2681"/>
      <c r="C216" s="2681"/>
      <c r="D216" s="2755"/>
      <c r="E216" s="2689" t="s">
        <v>1071</v>
      </c>
      <c r="F216" s="2692"/>
      <c r="G216" s="2681"/>
      <c r="H216" s="2696" t="str">
        <f>'Part II-Development Team'!H34</f>
        <v>1140 Avenue of the Americas, 9th Floor</v>
      </c>
      <c r="I216" s="2696"/>
      <c r="J216" s="2696"/>
      <c r="K216" s="2696"/>
      <c r="L216" s="2696"/>
      <c r="M216" s="2696"/>
      <c r="N216" s="2696"/>
      <c r="O216" s="2689" t="s">
        <v>1835</v>
      </c>
      <c r="P216" s="2681"/>
      <c r="Q216" s="2696" t="str">
        <f>'Part II-Development Team'!Q34</f>
        <v>Managing Director</v>
      </c>
      <c r="R216" s="2696"/>
      <c r="S216" s="2696"/>
    </row>
    <row r="217" spans="1:19">
      <c r="A217" s="2681"/>
      <c r="B217" s="2681"/>
      <c r="C217" s="2681"/>
      <c r="D217" s="2755"/>
      <c r="E217" s="2689" t="s">
        <v>649</v>
      </c>
      <c r="F217" s="2681"/>
      <c r="G217" s="2681"/>
      <c r="H217" s="2696" t="str">
        <f>'Part II-Development Team'!H35</f>
        <v>New York</v>
      </c>
      <c r="I217" s="2696"/>
      <c r="J217" s="2696"/>
      <c r="K217" s="2685" t="s">
        <v>2875</v>
      </c>
      <c r="L217" s="2696" t="str">
        <f>'Part II-Development Team'!L35</f>
        <v>www.42equity.com</v>
      </c>
      <c r="M217" s="2696"/>
      <c r="N217" s="2696"/>
      <c r="O217" s="2689" t="s">
        <v>1891</v>
      </c>
      <c r="P217" s="2681"/>
      <c r="Q217" s="2697">
        <f>'Part II-Development Team'!Q35</f>
        <v>6463806657</v>
      </c>
      <c r="R217" s="2697"/>
      <c r="S217" s="2697"/>
    </row>
    <row r="218" spans="1:19">
      <c r="A218" s="2681"/>
      <c r="B218" s="2681"/>
      <c r="C218" s="2681"/>
      <c r="D218" s="2681"/>
      <c r="E218" s="2689" t="s">
        <v>1887</v>
      </c>
      <c r="F218" s="2681"/>
      <c r="G218" s="2681"/>
      <c r="H218" s="2685" t="str">
        <f>'Part II-Development Team'!H36</f>
        <v>NY</v>
      </c>
      <c r="I218" s="2685" t="s">
        <v>4557</v>
      </c>
      <c r="J218" s="2699">
        <f>'Part II-Development Team'!J36</f>
        <v>100365803</v>
      </c>
      <c r="K218" s="2699"/>
      <c r="L218" s="2681"/>
      <c r="M218" s="2681"/>
      <c r="N218" s="2681"/>
      <c r="O218" s="2689" t="s">
        <v>2077</v>
      </c>
      <c r="P218" s="2681"/>
      <c r="Q218" s="2697">
        <f>'Part II-Development Team'!Q36</f>
        <v>5166620267</v>
      </c>
      <c r="R218" s="2697"/>
      <c r="S218" s="2697"/>
    </row>
    <row r="219" spans="1:19">
      <c r="A219" s="2681"/>
      <c r="B219" s="2681"/>
      <c r="C219" s="2681"/>
      <c r="D219" s="2755"/>
      <c r="E219" s="2689" t="s">
        <v>2083</v>
      </c>
      <c r="F219" s="2681"/>
      <c r="G219" s="2681"/>
      <c r="H219" s="2697">
        <f>'Part II-Development Team'!H37</f>
        <v>6463806657</v>
      </c>
      <c r="I219" s="2697"/>
      <c r="J219" s="2694">
        <f>'Part II-Development Team'!J37</f>
        <v>0</v>
      </c>
      <c r="K219" s="2685" t="s">
        <v>1890</v>
      </c>
      <c r="L219" s="2697">
        <f>'Part II-Development Team'!L37</f>
        <v>0</v>
      </c>
      <c r="M219" s="2697"/>
      <c r="N219" s="2692" t="s">
        <v>2082</v>
      </c>
      <c r="O219" s="2701" t="str">
        <f>'Part II-Development Team'!O37</f>
        <v>m.haynes@42equity.com</v>
      </c>
      <c r="P219" s="2701"/>
      <c r="Q219" s="2701"/>
      <c r="R219" s="2701"/>
      <c r="S219" s="2701"/>
    </row>
    <row r="220" spans="1:19">
      <c r="A220" s="2687"/>
      <c r="B220" s="2687"/>
      <c r="C220" s="2687"/>
      <c r="D220" s="2687"/>
      <c r="E220" s="2687"/>
      <c r="F220" s="2687"/>
      <c r="G220" s="2687"/>
      <c r="H220" s="2761"/>
      <c r="I220" s="2761"/>
      <c r="J220" s="2761"/>
      <c r="K220" s="2685"/>
      <c r="L220" s="2761"/>
      <c r="M220" s="2761"/>
      <c r="N220" s="2685"/>
      <c r="O220" s="2761"/>
      <c r="P220" s="2761"/>
      <c r="Q220" s="2685"/>
      <c r="R220" s="2761"/>
      <c r="S220" s="2761"/>
    </row>
    <row r="221" spans="1:19">
      <c r="A221" s="2681"/>
      <c r="B221" s="2681"/>
      <c r="C221" s="2681"/>
      <c r="D221" s="2684" t="s">
        <v>2218</v>
      </c>
      <c r="E221" s="2681" t="s">
        <v>791</v>
      </c>
      <c r="F221" s="2684"/>
      <c r="G221" s="2681"/>
      <c r="H221" s="2696" t="str">
        <f>'Part II-Development Team'!H39</f>
        <v>To Be Determined - Sugar Creek Capital</v>
      </c>
      <c r="I221" s="2739"/>
      <c r="J221" s="2739"/>
      <c r="K221" s="2739"/>
      <c r="L221" s="2739"/>
      <c r="M221" s="2739"/>
      <c r="N221" s="2739"/>
      <c r="O221" s="2689" t="s">
        <v>2088</v>
      </c>
      <c r="P221" s="2689"/>
      <c r="Q221" s="2696" t="str">
        <f>'Part II-Development Team'!Q39</f>
        <v>Chris Hite</v>
      </c>
      <c r="R221" s="2739"/>
      <c r="S221" s="2739"/>
    </row>
    <row r="222" spans="1:19">
      <c r="A222" s="2681"/>
      <c r="B222" s="2681"/>
      <c r="C222" s="2681"/>
      <c r="D222" s="2755"/>
      <c r="E222" s="2689" t="s">
        <v>1071</v>
      </c>
      <c r="F222" s="2692"/>
      <c r="G222" s="2681"/>
      <c r="H222" s="2696" t="str">
        <f>'Part II-Development Team'!H40</f>
        <v>17 W. Lockwood Avenue</v>
      </c>
      <c r="I222" s="2739"/>
      <c r="J222" s="2739"/>
      <c r="K222" s="2739"/>
      <c r="L222" s="2739"/>
      <c r="M222" s="2739"/>
      <c r="N222" s="2739"/>
      <c r="O222" s="2689" t="s">
        <v>1835</v>
      </c>
      <c r="P222" s="2681"/>
      <c r="Q222" s="2696" t="str">
        <f>'Part II-Development Team'!Q40</f>
        <v>Principal</v>
      </c>
      <c r="R222" s="2739"/>
      <c r="S222" s="2739"/>
    </row>
    <row r="223" spans="1:19">
      <c r="A223" s="2681"/>
      <c r="B223" s="2681"/>
      <c r="C223" s="2681"/>
      <c r="D223" s="2755"/>
      <c r="E223" s="2689" t="s">
        <v>649</v>
      </c>
      <c r="F223" s="2681"/>
      <c r="G223" s="2681"/>
      <c r="H223" s="2696" t="str">
        <f>'Part II-Development Team'!H41</f>
        <v>St. Louis</v>
      </c>
      <c r="I223" s="2739"/>
      <c r="J223" s="2739"/>
      <c r="K223" s="2685" t="s">
        <v>2875</v>
      </c>
      <c r="L223" s="2696" t="str">
        <f>'Part II-Development Team'!L41</f>
        <v>www.sugarcreekcapital.com</v>
      </c>
      <c r="M223" s="2739"/>
      <c r="N223" s="2739"/>
      <c r="O223" s="2689" t="s">
        <v>1891</v>
      </c>
      <c r="P223" s="2681"/>
      <c r="Q223" s="2697">
        <f>'Part II-Development Team'!Q41</f>
        <v>3149682205</v>
      </c>
      <c r="R223" s="2697"/>
      <c r="S223" s="2697"/>
    </row>
    <row r="224" spans="1:19">
      <c r="A224" s="2681"/>
      <c r="B224" s="2681"/>
      <c r="C224" s="2681"/>
      <c r="D224" s="2684"/>
      <c r="E224" s="2689" t="s">
        <v>1887</v>
      </c>
      <c r="F224" s="2681"/>
      <c r="G224" s="2681"/>
      <c r="H224" s="2685" t="str">
        <f>'Part II-Development Team'!H42</f>
        <v>MO</v>
      </c>
      <c r="I224" s="2685" t="s">
        <v>4557</v>
      </c>
      <c r="J224" s="2699">
        <f>'Part II-Development Team'!J42</f>
        <v>631192931</v>
      </c>
      <c r="K224" s="2739"/>
      <c r="L224" s="2681"/>
      <c r="M224" s="2681"/>
      <c r="N224" s="2681"/>
      <c r="O224" s="2689" t="s">
        <v>2077</v>
      </c>
      <c r="P224" s="2681"/>
      <c r="Q224" s="2697">
        <f>'Part II-Development Team'!Q42</f>
        <v>3144821700</v>
      </c>
      <c r="R224" s="2697"/>
      <c r="S224" s="2697"/>
    </row>
    <row r="225" spans="1:19">
      <c r="A225" s="2681"/>
      <c r="B225" s="2681"/>
      <c r="C225" s="2681"/>
      <c r="D225" s="2755"/>
      <c r="E225" s="2689" t="s">
        <v>2083</v>
      </c>
      <c r="F225" s="2681"/>
      <c r="G225" s="2681"/>
      <c r="H225" s="2697">
        <f>'Part II-Development Team'!H43</f>
        <v>3149682205</v>
      </c>
      <c r="I225" s="2697"/>
      <c r="J225" s="2694">
        <f>'Part II-Development Team'!J43</f>
        <v>0</v>
      </c>
      <c r="K225" s="2685" t="s">
        <v>1890</v>
      </c>
      <c r="L225" s="2697">
        <f>'Part II-Development Team'!L43</f>
        <v>3149683860</v>
      </c>
      <c r="M225" s="2697"/>
      <c r="N225" s="2692" t="s">
        <v>2082</v>
      </c>
      <c r="O225" s="2701" t="str">
        <f>'Part II-Development Team'!O43</f>
        <v>chite@sugarcreekcapital.com</v>
      </c>
      <c r="P225" s="2701"/>
      <c r="Q225" s="2701"/>
      <c r="R225" s="2701"/>
      <c r="S225" s="2701"/>
    </row>
    <row r="226" spans="1:19">
      <c r="A226" s="2681"/>
      <c r="B226" s="2681"/>
      <c r="C226" s="2681"/>
      <c r="D226" s="2755"/>
      <c r="E226" s="2689"/>
      <c r="F226" s="2684"/>
      <c r="G226" s="2681"/>
      <c r="H226" s="2746"/>
      <c r="I226" s="2746"/>
      <c r="J226" s="2743"/>
      <c r="K226" s="2685"/>
      <c r="L226" s="2746"/>
      <c r="M226" s="2746"/>
      <c r="N226" s="2685"/>
      <c r="O226" s="2746"/>
      <c r="P226" s="2746"/>
      <c r="Q226" s="2685"/>
      <c r="R226" s="2746"/>
      <c r="S226" s="2746"/>
    </row>
    <row r="227" spans="1:19">
      <c r="A227" s="2681"/>
      <c r="B227" s="2681"/>
      <c r="C227" s="2762" t="s">
        <v>2661</v>
      </c>
      <c r="D227" s="2730" t="s">
        <v>686</v>
      </c>
      <c r="E227" s="2681"/>
      <c r="F227" s="2681"/>
      <c r="G227" s="2681"/>
      <c r="H227" s="2681"/>
      <c r="I227" s="2681"/>
      <c r="J227" s="2681"/>
      <c r="K227" s="2681"/>
      <c r="L227" s="2681"/>
      <c r="M227" s="2681"/>
      <c r="N227" s="2681"/>
      <c r="O227" s="2681"/>
      <c r="P227" s="2681"/>
      <c r="Q227" s="2681"/>
      <c r="R227" s="2681"/>
      <c r="S227" s="2681"/>
    </row>
    <row r="228" spans="1:19">
      <c r="A228" s="2681"/>
      <c r="B228" s="2681"/>
      <c r="C228" s="2681"/>
      <c r="D228" s="2681"/>
      <c r="E228" s="2681" t="s">
        <v>94</v>
      </c>
      <c r="F228" s="2681"/>
      <c r="G228" s="2681"/>
      <c r="H228" s="2696" t="str">
        <f>'Part II-Development Team'!H46</f>
        <v>National Affordable Housing Preservation Associates, Inc.</v>
      </c>
      <c r="I228" s="2739"/>
      <c r="J228" s="2739"/>
      <c r="K228" s="2739"/>
      <c r="L228" s="2739"/>
      <c r="M228" s="2739"/>
      <c r="N228" s="2739"/>
      <c r="O228" s="2689" t="s">
        <v>2088</v>
      </c>
      <c r="P228" s="2689"/>
      <c r="Q228" s="2696" t="str">
        <f>'Part II-Development Team'!Q46</f>
        <v>Mark E. English</v>
      </c>
      <c r="R228" s="2739"/>
      <c r="S228" s="2739"/>
    </row>
    <row r="229" spans="1:19">
      <c r="A229" s="2681"/>
      <c r="B229" s="2681"/>
      <c r="C229" s="2681"/>
      <c r="D229" s="2755"/>
      <c r="E229" s="2689" t="s">
        <v>1071</v>
      </c>
      <c r="F229" s="2692"/>
      <c r="G229" s="2681"/>
      <c r="H229" s="2696" t="str">
        <f>'Part II-Development Team'!H47</f>
        <v>624 Skyland Blvd East, Suite D</v>
      </c>
      <c r="I229" s="2739"/>
      <c r="J229" s="2739"/>
      <c r="K229" s="2739"/>
      <c r="L229" s="2739"/>
      <c r="M229" s="2739"/>
      <c r="N229" s="2739"/>
      <c r="O229" s="2689" t="s">
        <v>1835</v>
      </c>
      <c r="P229" s="2681"/>
      <c r="Q229" s="2696" t="str">
        <f>'Part II-Development Team'!Q47</f>
        <v>President</v>
      </c>
      <c r="R229" s="2739"/>
      <c r="S229" s="2739"/>
    </row>
    <row r="230" spans="1:19">
      <c r="A230" s="2681"/>
      <c r="B230" s="2681"/>
      <c r="C230" s="2681"/>
      <c r="D230" s="2755"/>
      <c r="E230" s="2689" t="s">
        <v>649</v>
      </c>
      <c r="F230" s="2681"/>
      <c r="G230" s="2681"/>
      <c r="H230" s="2696" t="str">
        <f>'Part II-Development Team'!H48</f>
        <v>Tuscaloosa</v>
      </c>
      <c r="I230" s="2739"/>
      <c r="J230" s="2739"/>
      <c r="K230" s="2685" t="s">
        <v>2875</v>
      </c>
      <c r="L230" s="2696" t="str">
        <f>'Part II-Development Team'!L48</f>
        <v>www.nahpa.org</v>
      </c>
      <c r="M230" s="2739"/>
      <c r="N230" s="2739"/>
      <c r="O230" s="2689" t="s">
        <v>1891</v>
      </c>
      <c r="P230" s="2681"/>
      <c r="Q230" s="2697">
        <f>'Part II-Development Team'!Q48</f>
        <v>2057229331</v>
      </c>
      <c r="R230" s="2697"/>
      <c r="S230" s="2697"/>
    </row>
    <row r="231" spans="1:19">
      <c r="A231" s="2681"/>
      <c r="B231" s="2681"/>
      <c r="C231" s="2681"/>
      <c r="D231" s="2681"/>
      <c r="E231" s="2689" t="s">
        <v>1887</v>
      </c>
      <c r="F231" s="2681"/>
      <c r="G231" s="2681"/>
      <c r="H231" s="2685" t="str">
        <f>'Part II-Development Team'!H49</f>
        <v>AL</v>
      </c>
      <c r="I231" s="2685" t="s">
        <v>4557</v>
      </c>
      <c r="J231" s="2699">
        <f>'Part II-Development Team'!J49</f>
        <v>354054021</v>
      </c>
      <c r="K231" s="2739"/>
      <c r="L231" s="2681"/>
      <c r="M231" s="2681"/>
      <c r="N231" s="2681"/>
      <c r="O231" s="2689" t="s">
        <v>2077</v>
      </c>
      <c r="P231" s="2681"/>
      <c r="Q231" s="2697">
        <f>'Part II-Development Team'!Q49</f>
        <v>2053948000</v>
      </c>
      <c r="R231" s="2697"/>
      <c r="S231" s="2697"/>
    </row>
    <row r="232" spans="1:19">
      <c r="A232" s="2681"/>
      <c r="B232" s="2681"/>
      <c r="C232" s="2681"/>
      <c r="D232" s="2755"/>
      <c r="E232" s="2689" t="s">
        <v>2083</v>
      </c>
      <c r="F232" s="2681"/>
      <c r="G232" s="2681"/>
      <c r="H232" s="2697">
        <f>'Part II-Development Team'!H50</f>
        <v>2057229331</v>
      </c>
      <c r="I232" s="2697"/>
      <c r="J232" s="2694">
        <f>'Part II-Development Team'!J50</f>
        <v>0</v>
      </c>
      <c r="K232" s="2685" t="s">
        <v>1890</v>
      </c>
      <c r="L232" s="2697">
        <f>'Part II-Development Team'!L50</f>
        <v>2053453813</v>
      </c>
      <c r="M232" s="2697"/>
      <c r="N232" s="2692" t="s">
        <v>2082</v>
      </c>
      <c r="O232" s="2701" t="str">
        <f>'Part II-Development Team'!O50</f>
        <v>mark@nahpa.org</v>
      </c>
      <c r="P232" s="2701"/>
      <c r="Q232" s="2701"/>
      <c r="R232" s="2701"/>
      <c r="S232" s="2701"/>
    </row>
    <row r="233" spans="1:19">
      <c r="A233" s="2687"/>
      <c r="B233" s="2687"/>
      <c r="C233" s="2687"/>
      <c r="D233" s="2687"/>
      <c r="E233" s="2687"/>
      <c r="F233" s="2687"/>
      <c r="G233" s="2687"/>
      <c r="H233" s="2687"/>
      <c r="I233" s="2687"/>
      <c r="J233" s="2687"/>
      <c r="K233" s="2687"/>
      <c r="L233" s="2687"/>
      <c r="M233" s="2687"/>
      <c r="N233" s="2687"/>
      <c r="O233" s="2687"/>
      <c r="P233" s="2687"/>
      <c r="Q233" s="2687"/>
      <c r="R233" s="2687"/>
      <c r="S233" s="2687"/>
    </row>
    <row r="234" spans="1:19">
      <c r="A234" s="2684" t="s">
        <v>780</v>
      </c>
      <c r="B234" s="2684" t="s">
        <v>687</v>
      </c>
      <c r="C234" s="2681"/>
      <c r="D234" s="2681"/>
      <c r="E234" s="2681"/>
      <c r="F234" s="2684"/>
      <c r="G234" s="2685"/>
      <c r="H234" s="2685"/>
      <c r="I234" s="2685"/>
      <c r="J234" s="2681"/>
      <c r="K234" s="2681"/>
      <c r="L234" s="2681"/>
      <c r="M234" s="2681"/>
      <c r="N234" s="2681"/>
      <c r="O234" s="2681"/>
      <c r="P234" s="2681"/>
      <c r="Q234" s="2681"/>
      <c r="R234" s="2681"/>
      <c r="S234" s="2681"/>
    </row>
    <row r="235" spans="1:19">
      <c r="A235" s="2684"/>
      <c r="B235" s="2684"/>
      <c r="C235" s="2681"/>
      <c r="D235" s="2681"/>
      <c r="E235" s="2681"/>
      <c r="F235" s="2684"/>
      <c r="G235" s="2685"/>
      <c r="H235" s="2761"/>
      <c r="I235" s="2761"/>
      <c r="J235" s="2761"/>
      <c r="K235" s="2685"/>
      <c r="L235" s="2761"/>
      <c r="M235" s="2761"/>
      <c r="N235" s="2685"/>
      <c r="O235" s="2761"/>
      <c r="P235" s="2761"/>
      <c r="Q235" s="2685"/>
      <c r="R235" s="2761"/>
      <c r="S235" s="2761"/>
    </row>
    <row r="236" spans="1:19">
      <c r="A236" s="2681"/>
      <c r="B236" s="2684" t="s">
        <v>2081</v>
      </c>
      <c r="C236" s="2684" t="s">
        <v>295</v>
      </c>
      <c r="D236" s="2681"/>
      <c r="E236" s="2681"/>
      <c r="F236" s="2681"/>
      <c r="G236" s="2681"/>
      <c r="H236" s="2696" t="str">
        <f>'Part II-Development Team'!H54</f>
        <v>NAHPA Development, LLC</v>
      </c>
      <c r="I236" s="2739"/>
      <c r="J236" s="2739"/>
      <c r="K236" s="2739"/>
      <c r="L236" s="2739"/>
      <c r="M236" s="2739"/>
      <c r="N236" s="2739"/>
      <c r="O236" s="2689" t="s">
        <v>2088</v>
      </c>
      <c r="P236" s="2689"/>
      <c r="Q236" s="2696" t="str">
        <f>'Part II-Development Team'!Q54</f>
        <v>Mark E. English</v>
      </c>
      <c r="R236" s="2739"/>
      <c r="S236" s="2739"/>
    </row>
    <row r="237" spans="1:19">
      <c r="A237" s="2681"/>
      <c r="B237" s="2681"/>
      <c r="C237" s="2681"/>
      <c r="D237" s="2755"/>
      <c r="E237" s="2689" t="s">
        <v>1071</v>
      </c>
      <c r="F237" s="2692"/>
      <c r="G237" s="2681"/>
      <c r="H237" s="2696" t="str">
        <f>'Part II-Development Team'!H55</f>
        <v>624 Skyland Blvd East, Suite D</v>
      </c>
      <c r="I237" s="2739"/>
      <c r="J237" s="2739"/>
      <c r="K237" s="2739"/>
      <c r="L237" s="2739"/>
      <c r="M237" s="2739"/>
      <c r="N237" s="2739"/>
      <c r="O237" s="2689" t="s">
        <v>1835</v>
      </c>
      <c r="P237" s="2681"/>
      <c r="Q237" s="2696" t="str">
        <f>'Part II-Development Team'!Q55</f>
        <v>President</v>
      </c>
      <c r="R237" s="2739"/>
      <c r="S237" s="2739"/>
    </row>
    <row r="238" spans="1:19">
      <c r="A238" s="2681"/>
      <c r="B238" s="2681"/>
      <c r="C238" s="2681"/>
      <c r="D238" s="2755"/>
      <c r="E238" s="2689" t="s">
        <v>649</v>
      </c>
      <c r="F238" s="2681"/>
      <c r="G238" s="2681"/>
      <c r="H238" s="2696" t="str">
        <f>'Part II-Development Team'!H56</f>
        <v>Tuscaloosa</v>
      </c>
      <c r="I238" s="2739"/>
      <c r="J238" s="2739"/>
      <c r="K238" s="2685" t="s">
        <v>2875</v>
      </c>
      <c r="L238" s="2696" t="str">
        <f>'Part II-Development Team'!L56</f>
        <v>www.nahpa.org</v>
      </c>
      <c r="M238" s="2739"/>
      <c r="N238" s="2739"/>
      <c r="O238" s="2689" t="s">
        <v>1891</v>
      </c>
      <c r="P238" s="2681"/>
      <c r="Q238" s="2697">
        <f>'Part II-Development Team'!Q56</f>
        <v>2057229331</v>
      </c>
      <c r="R238" s="2697"/>
      <c r="S238" s="2697"/>
    </row>
    <row r="239" spans="1:19">
      <c r="A239" s="2681"/>
      <c r="B239" s="2681"/>
      <c r="C239" s="2681"/>
      <c r="D239" s="2681"/>
      <c r="E239" s="2689" t="s">
        <v>1887</v>
      </c>
      <c r="F239" s="2681"/>
      <c r="G239" s="2681"/>
      <c r="H239" s="2685" t="str">
        <f>'Part II-Development Team'!H57</f>
        <v>AL</v>
      </c>
      <c r="I239" s="2685" t="s">
        <v>4557</v>
      </c>
      <c r="J239" s="2699">
        <f>'Part II-Development Team'!J57</f>
        <v>354054021</v>
      </c>
      <c r="K239" s="2739"/>
      <c r="L239" s="2681"/>
      <c r="M239" s="2681"/>
      <c r="N239" s="2681"/>
      <c r="O239" s="2689" t="s">
        <v>2077</v>
      </c>
      <c r="P239" s="2681"/>
      <c r="Q239" s="2697">
        <f>'Part II-Development Team'!Q57</f>
        <v>2053948000</v>
      </c>
      <c r="R239" s="2697"/>
      <c r="S239" s="2697"/>
    </row>
    <row r="240" spans="1:19">
      <c r="A240" s="2681"/>
      <c r="B240" s="2681"/>
      <c r="C240" s="2681"/>
      <c r="D240" s="2755"/>
      <c r="E240" s="2689" t="s">
        <v>2083</v>
      </c>
      <c r="F240" s="2681"/>
      <c r="G240" s="2681"/>
      <c r="H240" s="2697">
        <f>'Part II-Development Team'!H58</f>
        <v>2057229331</v>
      </c>
      <c r="I240" s="2697"/>
      <c r="J240" s="2694">
        <f>'Part II-Development Team'!J58</f>
        <v>0</v>
      </c>
      <c r="K240" s="2685" t="s">
        <v>1890</v>
      </c>
      <c r="L240" s="2697">
        <f>'Part II-Development Team'!L58</f>
        <v>2053453813</v>
      </c>
      <c r="M240" s="2697"/>
      <c r="N240" s="2692" t="s">
        <v>2082</v>
      </c>
      <c r="O240" s="2701" t="str">
        <f>'Part II-Development Team'!O58</f>
        <v>mark@nahpa.org</v>
      </c>
      <c r="P240" s="2701"/>
      <c r="Q240" s="2701"/>
      <c r="R240" s="2701"/>
      <c r="S240" s="2701"/>
    </row>
    <row r="241" spans="1:19">
      <c r="A241" s="2681"/>
      <c r="B241" s="2681"/>
      <c r="C241" s="2681"/>
      <c r="D241" s="2755"/>
      <c r="E241" s="2681"/>
      <c r="F241" s="2681"/>
      <c r="G241" s="2689"/>
      <c r="H241" s="2761"/>
      <c r="I241" s="2761"/>
      <c r="J241" s="2761"/>
      <c r="K241" s="2685"/>
      <c r="L241" s="2761"/>
      <c r="M241" s="2761"/>
      <c r="N241" s="2685"/>
      <c r="O241" s="2761"/>
      <c r="P241" s="2761"/>
      <c r="Q241" s="2685"/>
      <c r="R241" s="2761"/>
      <c r="S241" s="2761"/>
    </row>
    <row r="242" spans="1:19">
      <c r="A242" s="2681"/>
      <c r="B242" s="2684" t="s">
        <v>2084</v>
      </c>
      <c r="C242" s="2684" t="s">
        <v>296</v>
      </c>
      <c r="D242" s="2681"/>
      <c r="E242" s="2681"/>
      <c r="F242" s="2681"/>
      <c r="G242" s="2681"/>
      <c r="H242" s="2696">
        <f>'Part II-Development Team'!H60</f>
        <v>0</v>
      </c>
      <c r="I242" s="2739"/>
      <c r="J242" s="2739"/>
      <c r="K242" s="2739"/>
      <c r="L242" s="2739"/>
      <c r="M242" s="2739"/>
      <c r="N242" s="2739"/>
      <c r="O242" s="2689" t="s">
        <v>2088</v>
      </c>
      <c r="P242" s="2689"/>
      <c r="Q242" s="2696">
        <f>'Part II-Development Team'!Q60</f>
        <v>0</v>
      </c>
      <c r="R242" s="2739"/>
      <c r="S242" s="2739"/>
    </row>
    <row r="243" spans="1:19">
      <c r="A243" s="2681"/>
      <c r="B243" s="2681"/>
      <c r="C243" s="2681"/>
      <c r="D243" s="2755"/>
      <c r="E243" s="2689" t="s">
        <v>1071</v>
      </c>
      <c r="F243" s="2692"/>
      <c r="G243" s="2681"/>
      <c r="H243" s="2696">
        <f>'Part II-Development Team'!H61</f>
        <v>0</v>
      </c>
      <c r="I243" s="2739"/>
      <c r="J243" s="2739"/>
      <c r="K243" s="2739"/>
      <c r="L243" s="2739"/>
      <c r="M243" s="2739"/>
      <c r="N243" s="2739"/>
      <c r="O243" s="2689" t="s">
        <v>1835</v>
      </c>
      <c r="P243" s="2681"/>
      <c r="Q243" s="2696">
        <f>'Part II-Development Team'!Q61</f>
        <v>0</v>
      </c>
      <c r="R243" s="2739"/>
      <c r="S243" s="2739"/>
    </row>
    <row r="244" spans="1:19">
      <c r="A244" s="2681"/>
      <c r="B244" s="2681"/>
      <c r="C244" s="2681"/>
      <c r="D244" s="2755"/>
      <c r="E244" s="2689" t="s">
        <v>649</v>
      </c>
      <c r="F244" s="2681"/>
      <c r="G244" s="2681"/>
      <c r="H244" s="2696">
        <f>'Part II-Development Team'!H62</f>
        <v>0</v>
      </c>
      <c r="I244" s="2739"/>
      <c r="J244" s="2739"/>
      <c r="K244" s="2685" t="s">
        <v>2875</v>
      </c>
      <c r="L244" s="2696">
        <f>'Part II-Development Team'!L62</f>
        <v>0</v>
      </c>
      <c r="M244" s="2739"/>
      <c r="N244" s="2739"/>
      <c r="O244" s="2689" t="s">
        <v>1891</v>
      </c>
      <c r="P244" s="2681"/>
      <c r="Q244" s="2697">
        <f>'Part II-Development Team'!Q62</f>
        <v>0</v>
      </c>
      <c r="R244" s="2697"/>
      <c r="S244" s="2697"/>
    </row>
    <row r="245" spans="1:19">
      <c r="A245" s="2681"/>
      <c r="B245" s="2681"/>
      <c r="C245" s="2681"/>
      <c r="D245" s="2681"/>
      <c r="E245" s="2689" t="s">
        <v>1887</v>
      </c>
      <c r="F245" s="2681"/>
      <c r="G245" s="2681"/>
      <c r="H245" s="2685">
        <f>'Part II-Development Team'!H63</f>
        <v>0</v>
      </c>
      <c r="I245" s="2685" t="s">
        <v>4557</v>
      </c>
      <c r="J245" s="2699">
        <f>'Part II-Development Team'!J63</f>
        <v>0</v>
      </c>
      <c r="K245" s="2739"/>
      <c r="L245" s="2681"/>
      <c r="M245" s="2681"/>
      <c r="N245" s="2681"/>
      <c r="O245" s="2689" t="s">
        <v>2077</v>
      </c>
      <c r="P245" s="2681"/>
      <c r="Q245" s="2697">
        <f>'Part II-Development Team'!Q63</f>
        <v>0</v>
      </c>
      <c r="R245" s="2697"/>
      <c r="S245" s="2697"/>
    </row>
    <row r="246" spans="1:19">
      <c r="A246" s="2681"/>
      <c r="B246" s="2681"/>
      <c r="C246" s="2681"/>
      <c r="D246" s="2755"/>
      <c r="E246" s="2689" t="s">
        <v>2083</v>
      </c>
      <c r="F246" s="2681"/>
      <c r="G246" s="2681"/>
      <c r="H246" s="2697">
        <f>'Part II-Development Team'!H64</f>
        <v>0</v>
      </c>
      <c r="I246" s="2697"/>
      <c r="J246" s="2694">
        <f>'Part II-Development Team'!J64</f>
        <v>0</v>
      </c>
      <c r="K246" s="2685" t="s">
        <v>1890</v>
      </c>
      <c r="L246" s="2697">
        <f>'Part II-Development Team'!L64</f>
        <v>0</v>
      </c>
      <c r="M246" s="2697"/>
      <c r="N246" s="2692" t="s">
        <v>2082</v>
      </c>
      <c r="O246" s="2701">
        <f>'Part II-Development Team'!O64</f>
        <v>0</v>
      </c>
      <c r="P246" s="2701"/>
      <c r="Q246" s="2701"/>
      <c r="R246" s="2701"/>
      <c r="S246" s="2701"/>
    </row>
    <row r="247" spans="1:19">
      <c r="A247" s="2681"/>
      <c r="B247" s="2681"/>
      <c r="C247" s="2681"/>
      <c r="D247" s="2755"/>
      <c r="E247" s="2681"/>
      <c r="F247" s="2681"/>
      <c r="G247" s="2689"/>
      <c r="H247" s="2761"/>
      <c r="I247" s="2761"/>
      <c r="J247" s="2761"/>
      <c r="K247" s="2685"/>
      <c r="L247" s="2761"/>
      <c r="M247" s="2761"/>
      <c r="N247" s="2685"/>
      <c r="O247" s="2761"/>
      <c r="P247" s="2761"/>
      <c r="Q247" s="2685"/>
      <c r="R247" s="2761"/>
      <c r="S247" s="2761"/>
    </row>
    <row r="248" spans="1:19">
      <c r="A248" s="2681"/>
      <c r="B248" s="2684" t="s">
        <v>789</v>
      </c>
      <c r="C248" s="2684" t="s">
        <v>1604</v>
      </c>
      <c r="D248" s="2681"/>
      <c r="E248" s="2681"/>
      <c r="F248" s="2681"/>
      <c r="G248" s="2681"/>
      <c r="H248" s="2696">
        <f>'Part II-Development Team'!H66</f>
        <v>0</v>
      </c>
      <c r="I248" s="2739"/>
      <c r="J248" s="2739"/>
      <c r="K248" s="2739"/>
      <c r="L248" s="2739"/>
      <c r="M248" s="2739"/>
      <c r="N248" s="2739"/>
      <c r="O248" s="2689" t="s">
        <v>2088</v>
      </c>
      <c r="P248" s="2689"/>
      <c r="Q248" s="2696">
        <f>'Part II-Development Team'!Q66</f>
        <v>0</v>
      </c>
      <c r="R248" s="2739"/>
      <c r="S248" s="2739"/>
    </row>
    <row r="249" spans="1:19">
      <c r="A249" s="2681"/>
      <c r="B249" s="2681"/>
      <c r="C249" s="2681"/>
      <c r="D249" s="2755"/>
      <c r="E249" s="2689" t="s">
        <v>1071</v>
      </c>
      <c r="F249" s="2692"/>
      <c r="G249" s="2681"/>
      <c r="H249" s="2696">
        <f>'Part II-Development Team'!H67</f>
        <v>0</v>
      </c>
      <c r="I249" s="2739"/>
      <c r="J249" s="2739"/>
      <c r="K249" s="2739"/>
      <c r="L249" s="2739"/>
      <c r="M249" s="2739"/>
      <c r="N249" s="2739"/>
      <c r="O249" s="2689" t="s">
        <v>1835</v>
      </c>
      <c r="P249" s="2681"/>
      <c r="Q249" s="2696">
        <f>'Part II-Development Team'!Q67</f>
        <v>0</v>
      </c>
      <c r="R249" s="2739"/>
      <c r="S249" s="2739"/>
    </row>
    <row r="250" spans="1:19">
      <c r="A250" s="2681"/>
      <c r="B250" s="2681"/>
      <c r="C250" s="2681"/>
      <c r="D250" s="2755"/>
      <c r="E250" s="2689" t="s">
        <v>649</v>
      </c>
      <c r="F250" s="2681"/>
      <c r="G250" s="2681"/>
      <c r="H250" s="2696">
        <f>'Part II-Development Team'!H68</f>
        <v>0</v>
      </c>
      <c r="I250" s="2739"/>
      <c r="J250" s="2739"/>
      <c r="K250" s="2685" t="s">
        <v>2875</v>
      </c>
      <c r="L250" s="2696">
        <f>'Part II-Development Team'!L68</f>
        <v>0</v>
      </c>
      <c r="M250" s="2739"/>
      <c r="N250" s="2739"/>
      <c r="O250" s="2689" t="s">
        <v>1891</v>
      </c>
      <c r="P250" s="2681"/>
      <c r="Q250" s="2697">
        <f>'Part II-Development Team'!Q68</f>
        <v>0</v>
      </c>
      <c r="R250" s="2697"/>
      <c r="S250" s="2697"/>
    </row>
    <row r="251" spans="1:19">
      <c r="A251" s="2681"/>
      <c r="B251" s="2681"/>
      <c r="C251" s="2681"/>
      <c r="D251" s="2681"/>
      <c r="E251" s="2689" t="s">
        <v>1887</v>
      </c>
      <c r="F251" s="2681"/>
      <c r="G251" s="2681"/>
      <c r="H251" s="2685">
        <f>'Part II-Development Team'!H69</f>
        <v>0</v>
      </c>
      <c r="I251" s="2685" t="s">
        <v>4557</v>
      </c>
      <c r="J251" s="2699">
        <f>'Part II-Development Team'!J69</f>
        <v>0</v>
      </c>
      <c r="K251" s="2739"/>
      <c r="L251" s="2681"/>
      <c r="M251" s="2681"/>
      <c r="N251" s="2681"/>
      <c r="O251" s="2689" t="s">
        <v>2077</v>
      </c>
      <c r="P251" s="2681"/>
      <c r="Q251" s="2697">
        <f>'Part II-Development Team'!Q69</f>
        <v>0</v>
      </c>
      <c r="R251" s="2697"/>
      <c r="S251" s="2697"/>
    </row>
    <row r="252" spans="1:19">
      <c r="A252" s="2681"/>
      <c r="B252" s="2681"/>
      <c r="C252" s="2681"/>
      <c r="D252" s="2755"/>
      <c r="E252" s="2689" t="s">
        <v>2083</v>
      </c>
      <c r="F252" s="2681"/>
      <c r="G252" s="2681"/>
      <c r="H252" s="2697">
        <f>'Part II-Development Team'!H70</f>
        <v>0</v>
      </c>
      <c r="I252" s="2697"/>
      <c r="J252" s="2694">
        <f>'Part II-Development Team'!J70</f>
        <v>0</v>
      </c>
      <c r="K252" s="2685" t="s">
        <v>1890</v>
      </c>
      <c r="L252" s="2697">
        <f>'Part II-Development Team'!L70</f>
        <v>0</v>
      </c>
      <c r="M252" s="2697"/>
      <c r="N252" s="2692" t="s">
        <v>2082</v>
      </c>
      <c r="O252" s="2701">
        <f>'Part II-Development Team'!O70</f>
        <v>0</v>
      </c>
      <c r="P252" s="2701"/>
      <c r="Q252" s="2701"/>
      <c r="R252" s="2701"/>
      <c r="S252" s="2701"/>
    </row>
    <row r="253" spans="1:19">
      <c r="A253" s="2687"/>
      <c r="B253" s="2687"/>
      <c r="C253" s="2687"/>
      <c r="D253" s="2687"/>
      <c r="E253" s="2687"/>
      <c r="F253" s="2687"/>
      <c r="G253" s="2687"/>
      <c r="H253" s="2761"/>
      <c r="I253" s="2761"/>
      <c r="J253" s="2761"/>
      <c r="K253" s="2685"/>
      <c r="L253" s="2761"/>
      <c r="M253" s="2761"/>
      <c r="N253" s="2685"/>
      <c r="O253" s="2761"/>
      <c r="P253" s="2761"/>
      <c r="Q253" s="2685"/>
      <c r="R253" s="2761"/>
      <c r="S253" s="2761"/>
    </row>
    <row r="254" spans="1:19">
      <c r="A254" s="2681"/>
      <c r="B254" s="2684" t="s">
        <v>2216</v>
      </c>
      <c r="C254" s="2684" t="s">
        <v>297</v>
      </c>
      <c r="D254" s="2681"/>
      <c r="E254" s="2681"/>
      <c r="F254" s="2681"/>
      <c r="G254" s="2681"/>
      <c r="H254" s="2696" t="str">
        <f>'Part II-Development Team'!H72</f>
        <v>Vantage Development, LLC</v>
      </c>
      <c r="I254" s="2739"/>
      <c r="J254" s="2739"/>
      <c r="K254" s="2739"/>
      <c r="L254" s="2739"/>
      <c r="M254" s="2739"/>
      <c r="N254" s="2739"/>
      <c r="O254" s="2689" t="s">
        <v>2088</v>
      </c>
      <c r="P254" s="2689"/>
      <c r="Q254" s="2696" t="str">
        <f>'Part II-Development Team'!Q72</f>
        <v>Lowell R. Barron, II</v>
      </c>
      <c r="R254" s="2739"/>
      <c r="S254" s="2739"/>
    </row>
    <row r="255" spans="1:19">
      <c r="A255" s="2681"/>
      <c r="B255" s="2681"/>
      <c r="C255" s="2681"/>
      <c r="D255" s="2755"/>
      <c r="E255" s="2689" t="s">
        <v>1071</v>
      </c>
      <c r="F255" s="2692"/>
      <c r="G255" s="2681"/>
      <c r="H255" s="2696" t="str">
        <f>'Part II-Development Team'!H73</f>
        <v>1544 S. Main Street</v>
      </c>
      <c r="I255" s="2739"/>
      <c r="J255" s="2739"/>
      <c r="K255" s="2739"/>
      <c r="L255" s="2739"/>
      <c r="M255" s="2739"/>
      <c r="N255" s="2739"/>
      <c r="O255" s="2689" t="s">
        <v>1835</v>
      </c>
      <c r="P255" s="2681"/>
      <c r="Q255" s="2696" t="str">
        <f>'Part II-Development Team'!Q73</f>
        <v>President</v>
      </c>
      <c r="R255" s="2739"/>
      <c r="S255" s="2739"/>
    </row>
    <row r="256" spans="1:19">
      <c r="A256" s="2681"/>
      <c r="B256" s="2681"/>
      <c r="C256" s="2681"/>
      <c r="D256" s="2755"/>
      <c r="E256" s="2689" t="s">
        <v>649</v>
      </c>
      <c r="F256" s="2681"/>
      <c r="G256" s="2681"/>
      <c r="H256" s="2696" t="str">
        <f>'Part II-Development Team'!H74</f>
        <v>Fyffe</v>
      </c>
      <c r="I256" s="2739"/>
      <c r="J256" s="2739"/>
      <c r="K256" s="2685" t="s">
        <v>2875</v>
      </c>
      <c r="L256" s="2696" t="str">
        <f>'Part II-Development Team'!L74</f>
        <v>www.thevantagegroup.biz</v>
      </c>
      <c r="M256" s="2739"/>
      <c r="N256" s="2739"/>
      <c r="O256" s="2689" t="s">
        <v>1891</v>
      </c>
      <c r="P256" s="2681"/>
      <c r="Q256" s="2697">
        <f>'Part II-Development Team'!Q74</f>
        <v>2564174920</v>
      </c>
      <c r="R256" s="2697"/>
      <c r="S256" s="2697"/>
    </row>
    <row r="257" spans="1:19">
      <c r="A257" s="2681"/>
      <c r="B257" s="2681"/>
      <c r="C257" s="2681"/>
      <c r="D257" s="2681"/>
      <c r="E257" s="2689" t="s">
        <v>1887</v>
      </c>
      <c r="F257" s="2681"/>
      <c r="G257" s="2681"/>
      <c r="H257" s="2685" t="str">
        <f>'Part II-Development Team'!H75</f>
        <v>AL</v>
      </c>
      <c r="I257" s="2685" t="s">
        <v>4557</v>
      </c>
      <c r="J257" s="2699">
        <f>'Part II-Development Team'!J75</f>
        <v>359713484</v>
      </c>
      <c r="K257" s="2739"/>
      <c r="L257" s="2681"/>
      <c r="M257" s="2681"/>
      <c r="N257" s="2681"/>
      <c r="O257" s="2689" t="s">
        <v>2077</v>
      </c>
      <c r="P257" s="2681"/>
      <c r="Q257" s="2697">
        <f>'Part II-Development Team'!Q75</f>
        <v>2569976659</v>
      </c>
      <c r="R257" s="2697"/>
      <c r="S257" s="2697"/>
    </row>
    <row r="258" spans="1:19">
      <c r="A258" s="2681"/>
      <c r="B258" s="2681"/>
      <c r="C258" s="2681"/>
      <c r="D258" s="2755"/>
      <c r="E258" s="2689" t="s">
        <v>2083</v>
      </c>
      <c r="F258" s="2681"/>
      <c r="G258" s="2681"/>
      <c r="H258" s="2697">
        <f>'Part II-Development Team'!H76</f>
        <v>2564174920</v>
      </c>
      <c r="I258" s="2697"/>
      <c r="J258" s="2694">
        <f>'Part II-Development Team'!J76</f>
        <v>224</v>
      </c>
      <c r="K258" s="2685" t="s">
        <v>1890</v>
      </c>
      <c r="L258" s="2697">
        <f>'Part II-Development Team'!L76</f>
        <v>2566233944</v>
      </c>
      <c r="M258" s="2697"/>
      <c r="N258" s="2692" t="s">
        <v>2082</v>
      </c>
      <c r="O258" s="2701" t="str">
        <f>'Part II-Development Team'!O76</f>
        <v>lbarron@thevantagegroup.biz</v>
      </c>
      <c r="P258" s="2701"/>
      <c r="Q258" s="2701"/>
      <c r="R258" s="2701"/>
      <c r="S258" s="2701"/>
    </row>
    <row r="259" spans="1:19">
      <c r="A259" s="2687"/>
      <c r="B259" s="2687"/>
      <c r="C259" s="2687"/>
      <c r="D259" s="2687"/>
      <c r="E259" s="2687"/>
      <c r="F259" s="2687"/>
      <c r="G259" s="2687"/>
      <c r="H259" s="2687"/>
      <c r="I259" s="2687"/>
      <c r="J259" s="2687"/>
      <c r="K259" s="2687"/>
      <c r="L259" s="2687"/>
      <c r="M259" s="2687"/>
      <c r="N259" s="2687"/>
      <c r="O259" s="2687"/>
      <c r="P259" s="2687"/>
      <c r="Q259" s="2687"/>
      <c r="R259" s="2687"/>
      <c r="S259" s="2687"/>
    </row>
    <row r="260" spans="1:19">
      <c r="A260" s="2682" t="s">
        <v>782</v>
      </c>
      <c r="B260" s="2682" t="s">
        <v>298</v>
      </c>
      <c r="C260" s="2689"/>
      <c r="D260" s="2682"/>
      <c r="E260" s="2689"/>
      <c r="F260" s="2682"/>
      <c r="G260" s="2682"/>
      <c r="H260" s="2682"/>
      <c r="I260" s="2682"/>
      <c r="J260" s="2682"/>
      <c r="K260" s="2682"/>
      <c r="L260" s="2682"/>
      <c r="M260" s="2682"/>
      <c r="N260" s="2689"/>
      <c r="O260" s="2689"/>
      <c r="P260" s="2689"/>
      <c r="Q260" s="2689"/>
      <c r="R260" s="2689"/>
      <c r="S260" s="2689"/>
    </row>
    <row r="261" spans="1:19">
      <c r="A261" s="2682"/>
      <c r="B261" s="2682"/>
      <c r="C261" s="2689"/>
      <c r="D261" s="2682"/>
      <c r="E261" s="2689"/>
      <c r="F261" s="2682"/>
      <c r="G261" s="2682"/>
      <c r="H261" s="2761"/>
      <c r="I261" s="2761"/>
      <c r="J261" s="2761"/>
      <c r="K261" s="2685"/>
      <c r="L261" s="2761"/>
      <c r="M261" s="2761"/>
      <c r="N261" s="2685"/>
      <c r="O261" s="2761"/>
      <c r="P261" s="2761"/>
      <c r="Q261" s="2685"/>
      <c r="R261" s="2761"/>
      <c r="S261" s="2761"/>
    </row>
    <row r="262" spans="1:19">
      <c r="A262" s="2681"/>
      <c r="B262" s="2684" t="s">
        <v>2081</v>
      </c>
      <c r="C262" s="2684" t="s">
        <v>299</v>
      </c>
      <c r="D262" s="2681"/>
      <c r="E262" s="2681"/>
      <c r="F262" s="2681"/>
      <c r="G262" s="2681"/>
      <c r="H262" s="2696">
        <f>'Part II-Development Team'!H80</f>
        <v>0</v>
      </c>
      <c r="I262" s="2739"/>
      <c r="J262" s="2739"/>
      <c r="K262" s="2739"/>
      <c r="L262" s="2739"/>
      <c r="M262" s="2739"/>
      <c r="N262" s="2739"/>
      <c r="O262" s="2689" t="s">
        <v>2088</v>
      </c>
      <c r="P262" s="2689"/>
      <c r="Q262" s="2696">
        <f>'Part II-Development Team'!Q80</f>
        <v>0</v>
      </c>
      <c r="R262" s="2739"/>
      <c r="S262" s="2739"/>
    </row>
    <row r="263" spans="1:19">
      <c r="A263" s="2681"/>
      <c r="B263" s="2681"/>
      <c r="C263" s="2681"/>
      <c r="D263" s="2755"/>
      <c r="E263" s="2689" t="s">
        <v>1071</v>
      </c>
      <c r="F263" s="2692"/>
      <c r="G263" s="2681"/>
      <c r="H263" s="2696">
        <f>'Part II-Development Team'!H81</f>
        <v>0</v>
      </c>
      <c r="I263" s="2739"/>
      <c r="J263" s="2739"/>
      <c r="K263" s="2739"/>
      <c r="L263" s="2739"/>
      <c r="M263" s="2739"/>
      <c r="N263" s="2739"/>
      <c r="O263" s="2689" t="s">
        <v>1835</v>
      </c>
      <c r="P263" s="2681"/>
      <c r="Q263" s="2696">
        <f>'Part II-Development Team'!Q81</f>
        <v>0</v>
      </c>
      <c r="R263" s="2739"/>
      <c r="S263" s="2739"/>
    </row>
    <row r="264" spans="1:19">
      <c r="A264" s="2681"/>
      <c r="B264" s="2681"/>
      <c r="C264" s="2681"/>
      <c r="D264" s="2755"/>
      <c r="E264" s="2689" t="s">
        <v>649</v>
      </c>
      <c r="F264" s="2681"/>
      <c r="G264" s="2681"/>
      <c r="H264" s="2696">
        <f>'Part II-Development Team'!H82</f>
        <v>0</v>
      </c>
      <c r="I264" s="2739"/>
      <c r="J264" s="2739"/>
      <c r="K264" s="2685" t="s">
        <v>2875</v>
      </c>
      <c r="L264" s="2696">
        <f>'Part II-Development Team'!L82</f>
        <v>0</v>
      </c>
      <c r="M264" s="2739"/>
      <c r="N264" s="2739"/>
      <c r="O264" s="2689" t="s">
        <v>1891</v>
      </c>
      <c r="P264" s="2681"/>
      <c r="Q264" s="2697">
        <f>'Part II-Development Team'!Q82</f>
        <v>0</v>
      </c>
      <c r="R264" s="2697"/>
      <c r="S264" s="2697"/>
    </row>
    <row r="265" spans="1:19">
      <c r="A265" s="2681"/>
      <c r="B265" s="2681"/>
      <c r="C265" s="2681"/>
      <c r="D265" s="2681"/>
      <c r="E265" s="2689" t="s">
        <v>1887</v>
      </c>
      <c r="F265" s="2681"/>
      <c r="G265" s="2681"/>
      <c r="H265" s="2685">
        <f>'Part II-Development Team'!H83</f>
        <v>0</v>
      </c>
      <c r="I265" s="2685" t="s">
        <v>4557</v>
      </c>
      <c r="J265" s="2699">
        <f>'Part II-Development Team'!J83</f>
        <v>0</v>
      </c>
      <c r="K265" s="2739"/>
      <c r="L265" s="2681"/>
      <c r="M265" s="2681"/>
      <c r="N265" s="2681"/>
      <c r="O265" s="2689" t="s">
        <v>2077</v>
      </c>
      <c r="P265" s="2681"/>
      <c r="Q265" s="2697">
        <f>'Part II-Development Team'!Q83</f>
        <v>0</v>
      </c>
      <c r="R265" s="2697"/>
      <c r="S265" s="2697"/>
    </row>
    <row r="266" spans="1:19">
      <c r="A266" s="2681"/>
      <c r="B266" s="2681"/>
      <c r="C266" s="2681"/>
      <c r="D266" s="2755"/>
      <c r="E266" s="2689" t="s">
        <v>2083</v>
      </c>
      <c r="F266" s="2681"/>
      <c r="G266" s="2681"/>
      <c r="H266" s="2697">
        <f>'Part II-Development Team'!H84</f>
        <v>0</v>
      </c>
      <c r="I266" s="2697"/>
      <c r="J266" s="2694">
        <f>'Part II-Development Team'!J84</f>
        <v>0</v>
      </c>
      <c r="K266" s="2685" t="s">
        <v>1890</v>
      </c>
      <c r="L266" s="2697">
        <f>'Part II-Development Team'!L84</f>
        <v>0</v>
      </c>
      <c r="M266" s="2697"/>
      <c r="N266" s="2692" t="s">
        <v>2082</v>
      </c>
      <c r="O266" s="2701">
        <f>'Part II-Development Team'!O84</f>
        <v>0</v>
      </c>
      <c r="P266" s="2701"/>
      <c r="Q266" s="2701"/>
      <c r="R266" s="2701"/>
      <c r="S266" s="2701"/>
    </row>
    <row r="267" spans="1:19">
      <c r="A267" s="2687"/>
      <c r="B267" s="2687"/>
      <c r="C267" s="2687"/>
      <c r="D267" s="2687"/>
      <c r="E267" s="2687"/>
      <c r="F267" s="2687"/>
      <c r="G267" s="2687"/>
      <c r="H267" s="2761"/>
      <c r="I267" s="2761"/>
      <c r="J267" s="2761"/>
      <c r="K267" s="2685"/>
      <c r="L267" s="2761"/>
      <c r="M267" s="2761"/>
      <c r="N267" s="2685"/>
      <c r="O267" s="2761"/>
      <c r="P267" s="2761"/>
      <c r="Q267" s="2685"/>
      <c r="R267" s="2761"/>
      <c r="S267" s="2761"/>
    </row>
    <row r="268" spans="1:19">
      <c r="A268" s="2681"/>
      <c r="B268" s="2684" t="s">
        <v>2084</v>
      </c>
      <c r="C268" s="2684" t="s">
        <v>300</v>
      </c>
      <c r="D268" s="2681"/>
      <c r="E268" s="2681"/>
      <c r="F268" s="2681"/>
      <c r="G268" s="2681"/>
      <c r="H268" s="2696" t="str">
        <f>'Part II-Development Team'!H86</f>
        <v>Fyffe Construction Company, Inc.</v>
      </c>
      <c r="I268" s="2739"/>
      <c r="J268" s="2739"/>
      <c r="K268" s="2739"/>
      <c r="L268" s="2739"/>
      <c r="M268" s="2739"/>
      <c r="N268" s="2739"/>
      <c r="O268" s="2689" t="s">
        <v>2088</v>
      </c>
      <c r="P268" s="2689"/>
      <c r="Q268" s="2696" t="str">
        <f>'Part II-Development Team'!Q86</f>
        <v>Lowell R. Barron, II</v>
      </c>
      <c r="R268" s="2739"/>
      <c r="S268" s="2739"/>
    </row>
    <row r="269" spans="1:19">
      <c r="A269" s="2681"/>
      <c r="B269" s="2681"/>
      <c r="C269" s="2681"/>
      <c r="D269" s="2755"/>
      <c r="E269" s="2689" t="s">
        <v>1071</v>
      </c>
      <c r="F269" s="2692"/>
      <c r="G269" s="2681"/>
      <c r="H269" s="2696" t="str">
        <f>'Part II-Development Team'!H87</f>
        <v>1544 S. Main Street</v>
      </c>
      <c r="I269" s="2739"/>
      <c r="J269" s="2739"/>
      <c r="K269" s="2739"/>
      <c r="L269" s="2739"/>
      <c r="M269" s="2739"/>
      <c r="N269" s="2739"/>
      <c r="O269" s="2689" t="s">
        <v>1835</v>
      </c>
      <c r="P269" s="2681"/>
      <c r="Q269" s="2696" t="str">
        <f>'Part II-Development Team'!Q87</f>
        <v>President</v>
      </c>
      <c r="R269" s="2739"/>
      <c r="S269" s="2739"/>
    </row>
    <row r="270" spans="1:19">
      <c r="A270" s="2681"/>
      <c r="B270" s="2681"/>
      <c r="C270" s="2681"/>
      <c r="D270" s="2755"/>
      <c r="E270" s="2689" t="s">
        <v>649</v>
      </c>
      <c r="F270" s="2681"/>
      <c r="G270" s="2681"/>
      <c r="H270" s="2696" t="str">
        <f>'Part II-Development Team'!H88</f>
        <v xml:space="preserve">Fyffe </v>
      </c>
      <c r="I270" s="2739"/>
      <c r="J270" s="2739"/>
      <c r="K270" s="2685" t="s">
        <v>2875</v>
      </c>
      <c r="L270" s="2696" t="str">
        <f>'Part II-Development Team'!L88</f>
        <v>www.fyffeconstruction.com</v>
      </c>
      <c r="M270" s="2739"/>
      <c r="N270" s="2739"/>
      <c r="O270" s="2689" t="s">
        <v>1891</v>
      </c>
      <c r="P270" s="2681"/>
      <c r="Q270" s="2697">
        <f>'Part II-Development Team'!Q88</f>
        <v>2564174920</v>
      </c>
      <c r="R270" s="2697"/>
      <c r="S270" s="2697"/>
    </row>
    <row r="271" spans="1:19">
      <c r="A271" s="2681"/>
      <c r="B271" s="2681"/>
      <c r="C271" s="2681"/>
      <c r="D271" s="2681"/>
      <c r="E271" s="2689" t="s">
        <v>1887</v>
      </c>
      <c r="F271" s="2681"/>
      <c r="G271" s="2681"/>
      <c r="H271" s="2685" t="str">
        <f>'Part II-Development Team'!H89</f>
        <v>AL</v>
      </c>
      <c r="I271" s="2685" t="s">
        <v>4557</v>
      </c>
      <c r="J271" s="2699">
        <f>'Part II-Development Team'!J89</f>
        <v>359713484</v>
      </c>
      <c r="K271" s="2739"/>
      <c r="L271" s="2681"/>
      <c r="M271" s="2681"/>
      <c r="N271" s="2681"/>
      <c r="O271" s="2689" t="s">
        <v>2077</v>
      </c>
      <c r="P271" s="2681"/>
      <c r="Q271" s="2697">
        <f>'Part II-Development Team'!Q89</f>
        <v>2569976659</v>
      </c>
      <c r="R271" s="2697"/>
      <c r="S271" s="2697"/>
    </row>
    <row r="272" spans="1:19">
      <c r="A272" s="2681"/>
      <c r="B272" s="2681"/>
      <c r="C272" s="2681"/>
      <c r="D272" s="2755"/>
      <c r="E272" s="2689" t="s">
        <v>2083</v>
      </c>
      <c r="F272" s="2681"/>
      <c r="G272" s="2681"/>
      <c r="H272" s="2697">
        <f>'Part II-Development Team'!H90</f>
        <v>2564174922</v>
      </c>
      <c r="I272" s="2697"/>
      <c r="J272" s="2694">
        <f>'Part II-Development Team'!J90</f>
        <v>239</v>
      </c>
      <c r="K272" s="2685" t="s">
        <v>1890</v>
      </c>
      <c r="L272" s="2697">
        <f>'Part II-Development Team'!L90</f>
        <v>0</v>
      </c>
      <c r="M272" s="2697"/>
      <c r="N272" s="2692" t="s">
        <v>2082</v>
      </c>
      <c r="O272" s="2701" t="str">
        <f>'Part II-Development Team'!O90</f>
        <v>lbarron@thevantagegroup.biz</v>
      </c>
      <c r="P272" s="2701"/>
      <c r="Q272" s="2701"/>
      <c r="R272" s="2701"/>
      <c r="S272" s="2701"/>
    </row>
    <row r="273" spans="1:19">
      <c r="A273" s="2687"/>
      <c r="B273" s="2687"/>
      <c r="C273" s="2687"/>
      <c r="D273" s="2687"/>
      <c r="E273" s="2687"/>
      <c r="F273" s="2687"/>
      <c r="G273" s="2687"/>
      <c r="H273" s="2761"/>
      <c r="I273" s="2761"/>
      <c r="J273" s="2761"/>
      <c r="K273" s="2685"/>
      <c r="L273" s="2761"/>
      <c r="M273" s="2761"/>
      <c r="N273" s="2685"/>
      <c r="O273" s="2761"/>
      <c r="P273" s="2761"/>
      <c r="Q273" s="2685"/>
      <c r="R273" s="2761"/>
      <c r="S273" s="2761"/>
    </row>
    <row r="274" spans="1:19">
      <c r="A274" s="2681"/>
      <c r="B274" s="2684" t="s">
        <v>789</v>
      </c>
      <c r="C274" s="2684" t="s">
        <v>301</v>
      </c>
      <c r="D274" s="2681"/>
      <c r="E274" s="2681"/>
      <c r="F274" s="2687"/>
      <c r="G274" s="2681"/>
      <c r="H274" s="2696" t="str">
        <f>'Part II-Development Team'!H92</f>
        <v>Vantage Management, LLC</v>
      </c>
      <c r="I274" s="2739"/>
      <c r="J274" s="2739"/>
      <c r="K274" s="2739"/>
      <c r="L274" s="2739"/>
      <c r="M274" s="2739"/>
      <c r="N274" s="2739"/>
      <c r="O274" s="2689" t="s">
        <v>2088</v>
      </c>
      <c r="P274" s="2689"/>
      <c r="Q274" s="2696" t="str">
        <f>'Part II-Development Team'!Q92</f>
        <v>Lowell R. Barron, II</v>
      </c>
      <c r="R274" s="2739"/>
      <c r="S274" s="2739"/>
    </row>
    <row r="275" spans="1:19">
      <c r="A275" s="2681"/>
      <c r="B275" s="2681"/>
      <c r="C275" s="2681"/>
      <c r="D275" s="2755"/>
      <c r="E275" s="2689" t="s">
        <v>1071</v>
      </c>
      <c r="F275" s="2692"/>
      <c r="G275" s="2681"/>
      <c r="H275" s="2696" t="str">
        <f>'Part II-Development Team'!H93</f>
        <v>1544 S. Main Street</v>
      </c>
      <c r="I275" s="2739"/>
      <c r="J275" s="2739"/>
      <c r="K275" s="2739"/>
      <c r="L275" s="2739"/>
      <c r="M275" s="2739"/>
      <c r="N275" s="2739"/>
      <c r="O275" s="2689" t="s">
        <v>1835</v>
      </c>
      <c r="P275" s="2681"/>
      <c r="Q275" s="2696" t="str">
        <f>'Part II-Development Team'!Q93</f>
        <v>President</v>
      </c>
      <c r="R275" s="2739"/>
      <c r="S275" s="2739"/>
    </row>
    <row r="276" spans="1:19">
      <c r="A276" s="2681"/>
      <c r="B276" s="2681"/>
      <c r="C276" s="2681"/>
      <c r="D276" s="2755"/>
      <c r="E276" s="2689" t="s">
        <v>649</v>
      </c>
      <c r="F276" s="2681"/>
      <c r="G276" s="2681"/>
      <c r="H276" s="2696" t="str">
        <f>'Part II-Development Team'!H94</f>
        <v>Fyffe</v>
      </c>
      <c r="I276" s="2739"/>
      <c r="J276" s="2739"/>
      <c r="K276" s="2685" t="s">
        <v>2875</v>
      </c>
      <c r="L276" s="2696" t="str">
        <f>'Part II-Development Team'!L94</f>
        <v>www.thevantagegroup.biz</v>
      </c>
      <c r="M276" s="2739"/>
      <c r="N276" s="2739"/>
      <c r="O276" s="2689" t="s">
        <v>1891</v>
      </c>
      <c r="P276" s="2681"/>
      <c r="Q276" s="2697">
        <f>'Part II-Development Team'!Q94</f>
        <v>2564174920</v>
      </c>
      <c r="R276" s="2697"/>
      <c r="S276" s="2697"/>
    </row>
    <row r="277" spans="1:19">
      <c r="A277" s="2681"/>
      <c r="B277" s="2681"/>
      <c r="C277" s="2681"/>
      <c r="D277" s="2755"/>
      <c r="E277" s="2689" t="s">
        <v>1887</v>
      </c>
      <c r="F277" s="2681"/>
      <c r="G277" s="2681"/>
      <c r="H277" s="2685" t="str">
        <f>'Part II-Development Team'!H95</f>
        <v>AL</v>
      </c>
      <c r="I277" s="2685" t="s">
        <v>4557</v>
      </c>
      <c r="J277" s="2699">
        <f>'Part II-Development Team'!J95</f>
        <v>359713484</v>
      </c>
      <c r="K277" s="2739"/>
      <c r="L277" s="2681"/>
      <c r="M277" s="2681"/>
      <c r="N277" s="2681"/>
      <c r="O277" s="2689" t="s">
        <v>2077</v>
      </c>
      <c r="P277" s="2681"/>
      <c r="Q277" s="2697">
        <f>'Part II-Development Team'!Q95</f>
        <v>2569976659</v>
      </c>
      <c r="R277" s="2697"/>
      <c r="S277" s="2697"/>
    </row>
    <row r="278" spans="1:19">
      <c r="A278" s="2681"/>
      <c r="B278" s="2681"/>
      <c r="C278" s="2681"/>
      <c r="D278" s="2755"/>
      <c r="E278" s="2689" t="s">
        <v>2083</v>
      </c>
      <c r="F278" s="2681"/>
      <c r="G278" s="2681"/>
      <c r="H278" s="2697">
        <f>'Part II-Development Team'!H96</f>
        <v>2564174921</v>
      </c>
      <c r="I278" s="2697"/>
      <c r="J278" s="2694">
        <f>'Part II-Development Team'!J96</f>
        <v>208</v>
      </c>
      <c r="K278" s="2685" t="s">
        <v>1890</v>
      </c>
      <c r="L278" s="2697">
        <f>'Part II-Development Team'!L96</f>
        <v>2566233944</v>
      </c>
      <c r="M278" s="2697"/>
      <c r="N278" s="2692" t="s">
        <v>2082</v>
      </c>
      <c r="O278" s="2701" t="str">
        <f>'Part II-Development Team'!O96</f>
        <v>lbarron@thevantagegroup.biz</v>
      </c>
      <c r="P278" s="2701"/>
      <c r="Q278" s="2701"/>
      <c r="R278" s="2701"/>
      <c r="S278" s="2701"/>
    </row>
    <row r="279" spans="1:19">
      <c r="A279" s="2687"/>
      <c r="B279" s="2687"/>
      <c r="C279" s="2687"/>
      <c r="D279" s="2687"/>
      <c r="E279" s="2687"/>
      <c r="F279" s="2687"/>
      <c r="G279" s="2687"/>
      <c r="H279" s="2761"/>
      <c r="I279" s="2761"/>
      <c r="J279" s="2761"/>
      <c r="K279" s="2685"/>
      <c r="L279" s="2761"/>
      <c r="M279" s="2761"/>
      <c r="N279" s="2685"/>
      <c r="O279" s="2761"/>
      <c r="P279" s="2761"/>
      <c r="Q279" s="2685"/>
      <c r="R279" s="2761"/>
      <c r="S279" s="2761"/>
    </row>
    <row r="280" spans="1:19">
      <c r="A280" s="2681"/>
      <c r="B280" s="2684" t="s">
        <v>2216</v>
      </c>
      <c r="C280" s="2684" t="s">
        <v>302</v>
      </c>
      <c r="D280" s="2681"/>
      <c r="E280" s="2681"/>
      <c r="F280" s="2681"/>
      <c r="G280" s="2681"/>
      <c r="H280" s="2696" t="str">
        <f>'Part II-Development Team'!H98</f>
        <v>Balch &amp; Bingham, LLP</v>
      </c>
      <c r="I280" s="2739"/>
      <c r="J280" s="2739"/>
      <c r="K280" s="2739"/>
      <c r="L280" s="2739"/>
      <c r="M280" s="2739"/>
      <c r="N280" s="2739"/>
      <c r="O280" s="2689" t="s">
        <v>2088</v>
      </c>
      <c r="P280" s="2689"/>
      <c r="Q280" s="2696" t="str">
        <f>'Part II-Development Team'!Q98</f>
        <v>Matt Aiken</v>
      </c>
      <c r="R280" s="2739"/>
      <c r="S280" s="2739"/>
    </row>
    <row r="281" spans="1:19">
      <c r="A281" s="2681"/>
      <c r="B281" s="2681"/>
      <c r="C281" s="2681"/>
      <c r="D281" s="2755"/>
      <c r="E281" s="2689" t="s">
        <v>1071</v>
      </c>
      <c r="F281" s="2692"/>
      <c r="G281" s="2681"/>
      <c r="H281" s="2696" t="str">
        <f>'Part II-Development Team'!H99</f>
        <v>1901 Sixth Avenue North</v>
      </c>
      <c r="I281" s="2739"/>
      <c r="J281" s="2739"/>
      <c r="K281" s="2739"/>
      <c r="L281" s="2739"/>
      <c r="M281" s="2739"/>
      <c r="N281" s="2739"/>
      <c r="O281" s="2689" t="s">
        <v>1835</v>
      </c>
      <c r="P281" s="2681"/>
      <c r="Q281" s="2696" t="str">
        <f>'Part II-Development Team'!Q99</f>
        <v>Partner</v>
      </c>
      <c r="R281" s="2739"/>
      <c r="S281" s="2739"/>
    </row>
    <row r="282" spans="1:19">
      <c r="A282" s="2681"/>
      <c r="B282" s="2681"/>
      <c r="C282" s="2681"/>
      <c r="D282" s="2755"/>
      <c r="E282" s="2689" t="s">
        <v>649</v>
      </c>
      <c r="F282" s="2681"/>
      <c r="G282" s="2681"/>
      <c r="H282" s="2696" t="str">
        <f>'Part II-Development Team'!H100</f>
        <v>Birmingham</v>
      </c>
      <c r="I282" s="2739"/>
      <c r="J282" s="2739"/>
      <c r="K282" s="2685" t="s">
        <v>2875</v>
      </c>
      <c r="L282" s="2696" t="str">
        <f>'Part II-Development Team'!L100</f>
        <v>www.balch.com</v>
      </c>
      <c r="M282" s="2739"/>
      <c r="N282" s="2739"/>
      <c r="O282" s="2689" t="s">
        <v>1891</v>
      </c>
      <c r="P282" s="2681"/>
      <c r="Q282" s="2697">
        <f>'Part II-Development Team'!Q100</f>
        <v>2052263425</v>
      </c>
      <c r="R282" s="2697"/>
      <c r="S282" s="2697"/>
    </row>
    <row r="283" spans="1:19">
      <c r="A283" s="2681"/>
      <c r="B283" s="2681"/>
      <c r="C283" s="2681"/>
      <c r="D283" s="2755"/>
      <c r="E283" s="2689" t="s">
        <v>1887</v>
      </c>
      <c r="F283" s="2681"/>
      <c r="G283" s="2681"/>
      <c r="H283" s="2685" t="str">
        <f>'Part II-Development Team'!H101</f>
        <v>AL</v>
      </c>
      <c r="I283" s="2685" t="s">
        <v>4557</v>
      </c>
      <c r="J283" s="2699">
        <f>'Part II-Development Team'!J101</f>
        <v>352034642</v>
      </c>
      <c r="K283" s="2739"/>
      <c r="L283" s="2681"/>
      <c r="M283" s="2681"/>
      <c r="N283" s="2681"/>
      <c r="O283" s="2689" t="s">
        <v>2077</v>
      </c>
      <c r="P283" s="2681"/>
      <c r="Q283" s="2697">
        <f>'Part II-Development Team'!Q101</f>
        <v>2052263425</v>
      </c>
      <c r="R283" s="2697"/>
      <c r="S283" s="2697"/>
    </row>
    <row r="284" spans="1:19">
      <c r="A284" s="2687"/>
      <c r="B284" s="2687"/>
      <c r="C284" s="2687"/>
      <c r="D284" s="2687"/>
      <c r="E284" s="2689" t="s">
        <v>2083</v>
      </c>
      <c r="F284" s="2681"/>
      <c r="G284" s="2681"/>
      <c r="H284" s="2697">
        <f>'Part II-Development Team'!H102</f>
        <v>2052263425</v>
      </c>
      <c r="I284" s="2697"/>
      <c r="J284" s="2694" t="str">
        <f>'Part II-Development Team'!J102</f>
        <v>N/A</v>
      </c>
      <c r="K284" s="2685" t="s">
        <v>1890</v>
      </c>
      <c r="L284" s="2697">
        <f>'Part II-Development Team'!L102</f>
        <v>2054885649</v>
      </c>
      <c r="M284" s="2697"/>
      <c r="N284" s="2692" t="s">
        <v>2082</v>
      </c>
      <c r="O284" s="2701" t="str">
        <f>'Part II-Development Team'!O102</f>
        <v>maiken@balch.com</v>
      </c>
      <c r="P284" s="2701"/>
      <c r="Q284" s="2701"/>
      <c r="R284" s="2701"/>
      <c r="S284" s="2701"/>
    </row>
    <row r="285" spans="1:19">
      <c r="A285" s="2687"/>
      <c r="B285" s="2687"/>
      <c r="C285" s="2687"/>
      <c r="D285" s="2687"/>
      <c r="E285" s="2689"/>
      <c r="F285" s="2681"/>
      <c r="G285" s="2681"/>
      <c r="H285" s="2681"/>
      <c r="I285" s="2681"/>
      <c r="J285" s="2681"/>
      <c r="K285" s="2681"/>
      <c r="L285" s="2681"/>
      <c r="M285" s="2681"/>
      <c r="N285" s="2681"/>
      <c r="O285" s="2681"/>
      <c r="P285" s="2681"/>
      <c r="Q285" s="2685"/>
      <c r="R285" s="2685"/>
      <c r="S285" s="2687"/>
    </row>
    <row r="286" spans="1:19">
      <c r="A286" s="2687"/>
      <c r="B286" s="2687"/>
      <c r="C286" s="2687"/>
      <c r="D286" s="2687"/>
      <c r="E286" s="2689"/>
      <c r="F286" s="2681"/>
      <c r="G286" s="2681"/>
      <c r="H286" s="2761"/>
      <c r="I286" s="2761"/>
      <c r="J286" s="2761"/>
      <c r="K286" s="2685"/>
      <c r="L286" s="2761"/>
      <c r="M286" s="2761"/>
      <c r="N286" s="2685"/>
      <c r="O286" s="2761"/>
      <c r="P286" s="2761"/>
      <c r="Q286" s="2685"/>
      <c r="R286" s="2761"/>
      <c r="S286" s="2761"/>
    </row>
    <row r="287" spans="1:19">
      <c r="A287" s="2681"/>
      <c r="B287" s="2684" t="s">
        <v>1823</v>
      </c>
      <c r="C287" s="2684" t="s">
        <v>303</v>
      </c>
      <c r="D287" s="2681"/>
      <c r="E287" s="2681"/>
      <c r="F287" s="2681"/>
      <c r="G287" s="2681"/>
      <c r="H287" s="2696" t="str">
        <f>'Part II-Development Team'!H105</f>
        <v>Cone &amp; Smith, PC</v>
      </c>
      <c r="I287" s="2739"/>
      <c r="J287" s="2739"/>
      <c r="K287" s="2739"/>
      <c r="L287" s="2739"/>
      <c r="M287" s="2739"/>
      <c r="N287" s="2739"/>
      <c r="O287" s="2689" t="s">
        <v>2088</v>
      </c>
      <c r="P287" s="2689"/>
      <c r="Q287" s="2696" t="str">
        <f>'Part II-Development Team'!Q105</f>
        <v>David Smith</v>
      </c>
      <c r="R287" s="2739"/>
      <c r="S287" s="2739"/>
    </row>
    <row r="288" spans="1:19">
      <c r="A288" s="2681"/>
      <c r="B288" s="2681"/>
      <c r="C288" s="2681"/>
      <c r="D288" s="2755"/>
      <c r="E288" s="2689" t="s">
        <v>1071</v>
      </c>
      <c r="F288" s="2692"/>
      <c r="G288" s="2681"/>
      <c r="H288" s="2696" t="str">
        <f>'Part II-Development Team'!H106</f>
        <v>3421 Rainbow Parkway</v>
      </c>
      <c r="I288" s="2739"/>
      <c r="J288" s="2739"/>
      <c r="K288" s="2739"/>
      <c r="L288" s="2739"/>
      <c r="M288" s="2739"/>
      <c r="N288" s="2739"/>
      <c r="O288" s="2689" t="s">
        <v>1835</v>
      </c>
      <c r="P288" s="2681"/>
      <c r="Q288" s="2696" t="str">
        <f>'Part II-Development Team'!Q106</f>
        <v>Principal, CPA</v>
      </c>
      <c r="R288" s="2739"/>
      <c r="S288" s="2739"/>
    </row>
    <row r="289" spans="1:19">
      <c r="A289" s="2681"/>
      <c r="B289" s="2681"/>
      <c r="C289" s="2681"/>
      <c r="D289" s="2755"/>
      <c r="E289" s="2689" t="s">
        <v>649</v>
      </c>
      <c r="F289" s="2681"/>
      <c r="G289" s="2681"/>
      <c r="H289" s="2696" t="str">
        <f>'Part II-Development Team'!H107</f>
        <v>Rainbow City</v>
      </c>
      <c r="I289" s="2739"/>
      <c r="J289" s="2739"/>
      <c r="K289" s="2685" t="s">
        <v>2875</v>
      </c>
      <c r="L289" s="2696" t="str">
        <f>'Part II-Development Team'!L107</f>
        <v>N/A</v>
      </c>
      <c r="M289" s="2739"/>
      <c r="N289" s="2739"/>
      <c r="O289" s="2689" t="s">
        <v>1891</v>
      </c>
      <c r="P289" s="2681"/>
      <c r="Q289" s="2697">
        <f>'Part II-Development Team'!Q107</f>
        <v>2564133057</v>
      </c>
      <c r="R289" s="2697"/>
      <c r="S289" s="2697"/>
    </row>
    <row r="290" spans="1:19">
      <c r="A290" s="2681"/>
      <c r="B290" s="2681"/>
      <c r="C290" s="2681"/>
      <c r="D290" s="2755"/>
      <c r="E290" s="2689" t="s">
        <v>1887</v>
      </c>
      <c r="F290" s="2681"/>
      <c r="G290" s="2681"/>
      <c r="H290" s="2685" t="str">
        <f>'Part II-Development Team'!H108</f>
        <v>AL</v>
      </c>
      <c r="I290" s="2685" t="s">
        <v>4557</v>
      </c>
      <c r="J290" s="2699">
        <f>'Part II-Development Team'!J108</f>
        <v>359063206</v>
      </c>
      <c r="K290" s="2739"/>
      <c r="L290" s="2681"/>
      <c r="M290" s="2681"/>
      <c r="N290" s="2681"/>
      <c r="O290" s="2689" t="s">
        <v>2077</v>
      </c>
      <c r="P290" s="2681"/>
      <c r="Q290" s="2697">
        <f>'Part II-Development Team'!Q108</f>
        <v>2563905972</v>
      </c>
      <c r="R290" s="2697"/>
      <c r="S290" s="2697"/>
    </row>
    <row r="291" spans="1:19">
      <c r="A291" s="2687"/>
      <c r="B291" s="2687"/>
      <c r="C291" s="2687"/>
      <c r="D291" s="2687"/>
      <c r="E291" s="2689" t="s">
        <v>2083</v>
      </c>
      <c r="F291" s="2681"/>
      <c r="G291" s="2681"/>
      <c r="H291" s="2697">
        <f>'Part II-Development Team'!H109</f>
        <v>2564133057</v>
      </c>
      <c r="I291" s="2697"/>
      <c r="J291" s="2694">
        <f>'Part II-Development Team'!J109</f>
        <v>0</v>
      </c>
      <c r="K291" s="2685" t="s">
        <v>1890</v>
      </c>
      <c r="L291" s="2697">
        <f>'Part II-Development Team'!L109</f>
        <v>2564133058</v>
      </c>
      <c r="M291" s="2697"/>
      <c r="N291" s="2692" t="s">
        <v>2082</v>
      </c>
      <c r="O291" s="2701" t="str">
        <f>'Part II-Development Team'!O109</f>
        <v>dsmith@coneandsmith.com</v>
      </c>
      <c r="P291" s="2701"/>
      <c r="Q291" s="2701"/>
      <c r="R291" s="2701"/>
      <c r="S291" s="2701"/>
    </row>
    <row r="292" spans="1:19">
      <c r="A292" s="2687"/>
      <c r="B292" s="2687"/>
      <c r="C292" s="2687"/>
      <c r="D292" s="2687"/>
      <c r="E292" s="2689"/>
      <c r="F292" s="2681"/>
      <c r="G292" s="2681"/>
      <c r="H292" s="2761"/>
      <c r="I292" s="2761"/>
      <c r="J292" s="2761"/>
      <c r="K292" s="2685"/>
      <c r="L292" s="2761"/>
      <c r="M292" s="2761"/>
      <c r="N292" s="2685"/>
      <c r="O292" s="2761"/>
      <c r="P292" s="2761"/>
      <c r="Q292" s="2685"/>
      <c r="R292" s="2761"/>
      <c r="S292" s="2761"/>
    </row>
    <row r="293" spans="1:19">
      <c r="A293" s="2681"/>
      <c r="B293" s="2684" t="s">
        <v>1824</v>
      </c>
      <c r="C293" s="2684" t="s">
        <v>304</v>
      </c>
      <c r="D293" s="2681"/>
      <c r="E293" s="2681"/>
      <c r="F293" s="2681"/>
      <c r="G293" s="2681"/>
      <c r="H293" s="2696" t="str">
        <f>'Part II-Development Team'!H111</f>
        <v>Wallace Architects, LLC</v>
      </c>
      <c r="I293" s="2739"/>
      <c r="J293" s="2739"/>
      <c r="K293" s="2739"/>
      <c r="L293" s="2739"/>
      <c r="M293" s="2739"/>
      <c r="N293" s="2739"/>
      <c r="O293" s="2689" t="s">
        <v>2088</v>
      </c>
      <c r="P293" s="2689"/>
      <c r="Q293" s="2696" t="str">
        <f>'Part II-Development Team'!Q111</f>
        <v>Mike Kleffner</v>
      </c>
      <c r="R293" s="2739"/>
      <c r="S293" s="2739"/>
    </row>
    <row r="294" spans="1:19">
      <c r="A294" s="2681"/>
      <c r="B294" s="2681"/>
      <c r="C294" s="2681"/>
      <c r="D294" s="2755"/>
      <c r="E294" s="2689" t="s">
        <v>1071</v>
      </c>
      <c r="F294" s="2692"/>
      <c r="G294" s="2681"/>
      <c r="H294" s="2696" t="str">
        <f>'Part II-Development Team'!H112</f>
        <v>3615 West Broadway, Suite B</v>
      </c>
      <c r="I294" s="2739"/>
      <c r="J294" s="2739"/>
      <c r="K294" s="2739"/>
      <c r="L294" s="2739"/>
      <c r="M294" s="2739"/>
      <c r="N294" s="2739"/>
      <c r="O294" s="2689" t="s">
        <v>1835</v>
      </c>
      <c r="P294" s="2681"/>
      <c r="Q294" s="2696" t="str">
        <f>'Part II-Development Team'!Q112</f>
        <v>Architect</v>
      </c>
      <c r="R294" s="2739"/>
      <c r="S294" s="2739"/>
    </row>
    <row r="295" spans="1:19">
      <c r="A295" s="2681"/>
      <c r="B295" s="2681"/>
      <c r="C295" s="2681"/>
      <c r="D295" s="2755"/>
      <c r="E295" s="2689" t="s">
        <v>649</v>
      </c>
      <c r="F295" s="2681"/>
      <c r="G295" s="2681"/>
      <c r="H295" s="2696" t="str">
        <f>'Part II-Development Team'!H113</f>
        <v>Sedalia</v>
      </c>
      <c r="I295" s="2739"/>
      <c r="J295" s="2739"/>
      <c r="K295" s="2685" t="s">
        <v>2875</v>
      </c>
      <c r="L295" s="2696" t="str">
        <f>'Part II-Development Team'!L113</f>
        <v>www.wallacearchitects.com</v>
      </c>
      <c r="M295" s="2739"/>
      <c r="N295" s="2739"/>
      <c r="O295" s="2689" t="s">
        <v>1891</v>
      </c>
      <c r="P295" s="2681"/>
      <c r="Q295" s="2697">
        <f>'Part II-Development Team'!Q113</f>
        <v>6608267000</v>
      </c>
      <c r="R295" s="2697"/>
      <c r="S295" s="2697"/>
    </row>
    <row r="296" spans="1:19">
      <c r="A296" s="2681"/>
      <c r="B296" s="2681"/>
      <c r="C296" s="2681"/>
      <c r="D296" s="2755"/>
      <c r="E296" s="2689" t="s">
        <v>1887</v>
      </c>
      <c r="F296" s="2681"/>
      <c r="G296" s="2681"/>
      <c r="H296" s="2685" t="str">
        <f>'Part II-Development Team'!H114</f>
        <v>MO</v>
      </c>
      <c r="I296" s="2685" t="s">
        <v>4557</v>
      </c>
      <c r="J296" s="2699">
        <f>'Part II-Development Team'!J114</f>
        <v>653012479</v>
      </c>
      <c r="K296" s="2739"/>
      <c r="L296" s="2681"/>
      <c r="M296" s="2681"/>
      <c r="N296" s="2681"/>
      <c r="O296" s="2689" t="s">
        <v>2077</v>
      </c>
      <c r="P296" s="2681"/>
      <c r="Q296" s="2697">
        <f>'Part II-Development Team'!Q114</f>
        <v>6602817041</v>
      </c>
      <c r="R296" s="2697"/>
      <c r="S296" s="2697"/>
    </row>
    <row r="297" spans="1:19">
      <c r="A297" s="2681"/>
      <c r="B297" s="2681"/>
      <c r="C297" s="2681"/>
      <c r="D297" s="2755"/>
      <c r="E297" s="2689" t="s">
        <v>2083</v>
      </c>
      <c r="F297" s="2681"/>
      <c r="G297" s="2681"/>
      <c r="H297" s="2697">
        <f>'Part II-Development Team'!H115</f>
        <v>6608267000</v>
      </c>
      <c r="I297" s="2697"/>
      <c r="J297" s="2694" t="str">
        <f>'Part II-Development Team'!J115</f>
        <v>N/A</v>
      </c>
      <c r="K297" s="2685" t="s">
        <v>1890</v>
      </c>
      <c r="L297" s="2697">
        <f>'Part II-Development Team'!L115</f>
        <v>6608267666</v>
      </c>
      <c r="M297" s="2697"/>
      <c r="N297" s="2692" t="s">
        <v>2082</v>
      </c>
      <c r="O297" s="2701" t="str">
        <f>'Part II-Development Team'!O115</f>
        <v>mikek@wallacearchitects.com</v>
      </c>
      <c r="P297" s="2701"/>
      <c r="Q297" s="2701"/>
      <c r="R297" s="2701"/>
      <c r="S297" s="2701"/>
    </row>
    <row r="298" spans="1:19">
      <c r="A298" s="2687"/>
      <c r="B298" s="2687"/>
      <c r="C298" s="2687"/>
      <c r="D298" s="2687"/>
      <c r="E298" s="2687"/>
      <c r="F298" s="2687"/>
      <c r="G298" s="2687"/>
      <c r="H298" s="2687"/>
      <c r="I298" s="2687"/>
      <c r="J298" s="2687"/>
      <c r="K298" s="2687"/>
      <c r="L298" s="2687"/>
      <c r="M298" s="2687"/>
      <c r="N298" s="2687"/>
      <c r="O298" s="2687"/>
      <c r="P298" s="2687"/>
      <c r="Q298" s="2687"/>
      <c r="R298" s="2687"/>
      <c r="S298" s="2687"/>
    </row>
    <row r="299" spans="1:19">
      <c r="A299" s="2684" t="s">
        <v>1880</v>
      </c>
      <c r="B299" s="2684" t="s">
        <v>2731</v>
      </c>
      <c r="C299" s="2681"/>
      <c r="D299" s="2681"/>
      <c r="E299" s="2681"/>
      <c r="F299" s="2684"/>
      <c r="G299" s="2685"/>
      <c r="H299" s="2685"/>
      <c r="I299" s="2685"/>
      <c r="J299" s="2685"/>
      <c r="K299" s="2685"/>
      <c r="L299" s="2685"/>
      <c r="M299" s="2685"/>
      <c r="N299" s="2685"/>
      <c r="O299" s="2685"/>
      <c r="P299" s="2685"/>
      <c r="Q299" s="2685"/>
      <c r="R299" s="2681"/>
      <c r="S299" s="2681"/>
    </row>
    <row r="300" spans="1:19">
      <c r="A300" s="2684"/>
      <c r="B300" s="2684"/>
      <c r="C300" s="2681"/>
      <c r="D300" s="2681"/>
      <c r="E300" s="2681"/>
      <c r="F300" s="2684"/>
      <c r="G300" s="2685"/>
      <c r="H300" s="2685"/>
      <c r="I300" s="2685"/>
      <c r="J300" s="2685"/>
      <c r="K300" s="2685"/>
      <c r="L300" s="2685"/>
      <c r="M300" s="2685"/>
      <c r="N300" s="2685"/>
      <c r="O300" s="2685"/>
      <c r="P300" s="2685"/>
      <c r="Q300" s="2685"/>
      <c r="R300" s="2681"/>
      <c r="S300" s="2681"/>
    </row>
    <row r="301" spans="1:19">
      <c r="A301" s="2687"/>
      <c r="B301" s="2684" t="s">
        <v>2081</v>
      </c>
      <c r="C301" s="2684" t="s">
        <v>3177</v>
      </c>
      <c r="D301" s="2687"/>
      <c r="E301" s="2687"/>
      <c r="F301" s="2687"/>
      <c r="G301" s="2687"/>
      <c r="H301" s="2763"/>
      <c r="I301" s="2763"/>
      <c r="J301" s="2763"/>
      <c r="K301" s="2763"/>
      <c r="L301" s="2763"/>
      <c r="M301" s="2763"/>
      <c r="N301" s="2763"/>
      <c r="O301" s="2763"/>
      <c r="P301" s="2763"/>
      <c r="Q301" s="2763"/>
      <c r="R301" s="2763"/>
      <c r="S301" s="2763"/>
    </row>
    <row r="302" spans="1:19">
      <c r="A302" s="2764" t="s">
        <v>4023</v>
      </c>
      <c r="B302" s="2764"/>
      <c r="C302" s="2764"/>
      <c r="D302" s="2764"/>
      <c r="E302" s="2764"/>
      <c r="F302" s="2694" t="s">
        <v>2636</v>
      </c>
      <c r="G302" s="2765" t="s">
        <v>4219</v>
      </c>
      <c r="H302" s="2765"/>
      <c r="I302" s="2765"/>
      <c r="J302" s="2765"/>
      <c r="K302" s="2765"/>
      <c r="L302" s="2765"/>
      <c r="M302" s="2765"/>
      <c r="N302" s="2765"/>
      <c r="O302" s="2765"/>
      <c r="P302" s="2765"/>
      <c r="Q302" s="2765"/>
      <c r="R302" s="2765"/>
      <c r="S302" s="2765"/>
    </row>
    <row r="303" spans="1:19">
      <c r="A303" s="2681"/>
      <c r="B303" s="2744"/>
      <c r="C303" s="2766" t="s">
        <v>2085</v>
      </c>
      <c r="D303" s="2767" t="s">
        <v>3178</v>
      </c>
      <c r="E303" s="2767"/>
      <c r="F303" s="2768" t="str">
        <f>'Part II-Development Team'!F121</f>
        <v>No</v>
      </c>
      <c r="G303" s="2769">
        <f>'Part II-Development Team'!G121</f>
        <v>0</v>
      </c>
      <c r="H303" s="2769"/>
      <c r="I303" s="2769"/>
      <c r="J303" s="2769"/>
      <c r="K303" s="2769"/>
      <c r="L303" s="2769"/>
      <c r="M303" s="2769"/>
      <c r="N303" s="2769"/>
      <c r="O303" s="2769"/>
      <c r="P303" s="2769"/>
      <c r="Q303" s="2769"/>
      <c r="R303" s="2769"/>
      <c r="S303" s="2769"/>
    </row>
    <row r="304" spans="1:19">
      <c r="A304" s="2681"/>
      <c r="B304" s="2744"/>
      <c r="C304" s="2766" t="s">
        <v>2087</v>
      </c>
      <c r="D304" s="2767" t="s">
        <v>3298</v>
      </c>
      <c r="E304" s="2767"/>
      <c r="F304" s="2768" t="str">
        <f>'Part II-Development Team'!F122</f>
        <v>No</v>
      </c>
      <c r="G304" s="2769">
        <f>'Part II-Development Team'!G122</f>
        <v>0</v>
      </c>
      <c r="H304" s="2769"/>
      <c r="I304" s="2769"/>
      <c r="J304" s="2769"/>
      <c r="K304" s="2769"/>
      <c r="L304" s="2769"/>
      <c r="M304" s="2769"/>
      <c r="N304" s="2769"/>
      <c r="O304" s="2769"/>
      <c r="P304" s="2769"/>
      <c r="Q304" s="2769"/>
      <c r="R304" s="2769"/>
      <c r="S304" s="2769"/>
    </row>
    <row r="305" spans="1:19">
      <c r="A305" s="2681"/>
      <c r="B305" s="2744"/>
      <c r="C305" s="2766" t="s">
        <v>2661</v>
      </c>
      <c r="D305" s="2767" t="s">
        <v>3264</v>
      </c>
      <c r="E305" s="2767"/>
      <c r="F305" s="2768" t="str">
        <f>'Part II-Development Team'!F123</f>
        <v>No</v>
      </c>
      <c r="G305" s="2769">
        <f>'Part II-Development Team'!G123</f>
        <v>0</v>
      </c>
      <c r="H305" s="2769"/>
      <c r="I305" s="2769"/>
      <c r="J305" s="2769"/>
      <c r="K305" s="2769"/>
      <c r="L305" s="2769"/>
      <c r="M305" s="2769"/>
      <c r="N305" s="2769"/>
      <c r="O305" s="2769"/>
      <c r="P305" s="2769"/>
      <c r="Q305" s="2769"/>
      <c r="R305" s="2769"/>
      <c r="S305" s="2769"/>
    </row>
    <row r="306" spans="1:19">
      <c r="A306" s="2681"/>
      <c r="B306" s="2744"/>
      <c r="C306" s="2766" t="s">
        <v>1283</v>
      </c>
      <c r="D306" s="2767" t="s">
        <v>3179</v>
      </c>
      <c r="E306" s="2767"/>
      <c r="F306" s="2768" t="str">
        <f>'Part II-Development Team'!F124</f>
        <v>No</v>
      </c>
      <c r="G306" s="2769">
        <f>'Part II-Development Team'!G124</f>
        <v>0</v>
      </c>
      <c r="H306" s="2769"/>
      <c r="I306" s="2769"/>
      <c r="J306" s="2769"/>
      <c r="K306" s="2769"/>
      <c r="L306" s="2769"/>
      <c r="M306" s="2769"/>
      <c r="N306" s="2769"/>
      <c r="O306" s="2769"/>
      <c r="P306" s="2769"/>
      <c r="Q306" s="2769"/>
      <c r="R306" s="2769"/>
      <c r="S306" s="2769"/>
    </row>
    <row r="307" spans="1:19">
      <c r="A307" s="2681"/>
      <c r="B307" s="2744"/>
      <c r="C307" s="2766" t="s">
        <v>1284</v>
      </c>
      <c r="D307" s="2767" t="s">
        <v>4168</v>
      </c>
      <c r="E307" s="2767"/>
      <c r="F307" s="2768" t="str">
        <f>'Part II-Development Team'!F125</f>
        <v>No</v>
      </c>
      <c r="G307" s="2769">
        <f>'Part II-Development Team'!G125</f>
        <v>0</v>
      </c>
      <c r="H307" s="2769"/>
      <c r="I307" s="2769"/>
      <c r="J307" s="2769"/>
      <c r="K307" s="2769"/>
      <c r="L307" s="2769"/>
      <c r="M307" s="2769"/>
      <c r="N307" s="2769"/>
      <c r="O307" s="2769"/>
      <c r="P307" s="2769"/>
      <c r="Q307" s="2769"/>
      <c r="R307" s="2769"/>
      <c r="S307" s="2769"/>
    </row>
    <row r="308" spans="1:19">
      <c r="A308" s="2681"/>
      <c r="B308" s="2744"/>
      <c r="C308" s="2766" t="s">
        <v>1978</v>
      </c>
      <c r="D308" s="2767" t="s">
        <v>4169</v>
      </c>
      <c r="E308" s="2767"/>
      <c r="F308" s="2768" t="str">
        <f>'Part II-Development Team'!F126</f>
        <v>No</v>
      </c>
      <c r="G308" s="2769">
        <f>'Part II-Development Team'!G126</f>
        <v>0</v>
      </c>
      <c r="H308" s="2769"/>
      <c r="I308" s="2769"/>
      <c r="J308" s="2769"/>
      <c r="K308" s="2769"/>
      <c r="L308" s="2769"/>
      <c r="M308" s="2769"/>
      <c r="N308" s="2769"/>
      <c r="O308" s="2769"/>
      <c r="P308" s="2769"/>
      <c r="Q308" s="2769"/>
      <c r="R308" s="2769"/>
      <c r="S308" s="2769"/>
    </row>
    <row r="309" spans="1:19">
      <c r="A309" s="2681"/>
      <c r="B309" s="2744"/>
      <c r="C309" s="2766" t="s">
        <v>526</v>
      </c>
      <c r="D309" s="2767" t="s">
        <v>3180</v>
      </c>
      <c r="E309" s="2767"/>
      <c r="F309" s="2768" t="str">
        <f>'Part II-Development Team'!F127</f>
        <v>No</v>
      </c>
      <c r="G309" s="2769">
        <f>'Part II-Development Team'!G127</f>
        <v>0</v>
      </c>
      <c r="H309" s="2769"/>
      <c r="I309" s="2769"/>
      <c r="J309" s="2769"/>
      <c r="K309" s="2769"/>
      <c r="L309" s="2769"/>
      <c r="M309" s="2769"/>
      <c r="N309" s="2769"/>
      <c r="O309" s="2769"/>
      <c r="P309" s="2769"/>
      <c r="Q309" s="2769"/>
      <c r="R309" s="2769"/>
      <c r="S309" s="2769"/>
    </row>
    <row r="310" spans="1:19">
      <c r="A310" s="2681"/>
      <c r="B310" s="2744"/>
      <c r="C310" s="2766" t="s">
        <v>527</v>
      </c>
      <c r="D310" s="2767" t="s">
        <v>1679</v>
      </c>
      <c r="E310" s="2767"/>
      <c r="F310" s="2768" t="str">
        <f>'Part II-Development Team'!F128</f>
        <v>Yes</v>
      </c>
      <c r="G310" s="2769" t="str">
        <f>'Part II-Development Team'!G128</f>
        <v>The Managing GP, NAHPA 2015 GA, Inc., and NAHPA Development, LLC are both owned by National Affordable Housing Preservation Associates, Inc. a 501(c)3. Vantage Development, LLC (consultant), Fyffe Construction Company, Inc. (contractor) and Vantage Management, LLC (management agent) are all owned by Lowell R. Barron, II.</v>
      </c>
      <c r="H310" s="2769"/>
      <c r="I310" s="2769"/>
      <c r="J310" s="2769"/>
      <c r="K310" s="2769"/>
      <c r="L310" s="2769"/>
      <c r="M310" s="2769"/>
      <c r="N310" s="2769"/>
      <c r="O310" s="2769"/>
      <c r="P310" s="2769"/>
      <c r="Q310" s="2769"/>
      <c r="R310" s="2769"/>
      <c r="S310" s="2769"/>
    </row>
    <row r="311" spans="1:19">
      <c r="A311" s="2684" t="s">
        <v>1880</v>
      </c>
      <c r="B311" s="2684" t="s">
        <v>4559</v>
      </c>
      <c r="C311" s="2681"/>
      <c r="D311" s="2681"/>
      <c r="E311" s="2681"/>
      <c r="F311" s="2684"/>
      <c r="G311" s="2685"/>
      <c r="H311" s="2685"/>
      <c r="I311" s="2685"/>
      <c r="J311" s="2685"/>
      <c r="K311" s="2685"/>
      <c r="L311" s="2685"/>
      <c r="M311" s="2685"/>
      <c r="N311" s="2685"/>
      <c r="O311" s="2685"/>
      <c r="P311" s="2685"/>
      <c r="Q311" s="2685"/>
      <c r="R311" s="2681"/>
      <c r="S311" s="2681"/>
    </row>
    <row r="312" spans="1:19">
      <c r="A312" s="2684"/>
      <c r="B312" s="2684"/>
      <c r="C312" s="2681"/>
      <c r="D312" s="2681"/>
      <c r="E312" s="2681"/>
      <c r="F312" s="2684"/>
      <c r="G312" s="2685"/>
      <c r="H312" s="2685"/>
      <c r="I312" s="2685"/>
      <c r="J312" s="2685"/>
      <c r="K312" s="2685"/>
      <c r="L312" s="2685"/>
      <c r="M312" s="2685"/>
      <c r="N312" s="2685"/>
      <c r="O312" s="2685"/>
      <c r="P312" s="2685"/>
      <c r="Q312" s="2685"/>
      <c r="R312" s="2681"/>
      <c r="S312" s="2681"/>
    </row>
    <row r="313" spans="1:19">
      <c r="A313" s="2687"/>
      <c r="B313" s="2684" t="s">
        <v>2084</v>
      </c>
      <c r="C313" s="2684" t="s">
        <v>3181</v>
      </c>
      <c r="D313" s="2687"/>
      <c r="E313" s="2687"/>
      <c r="F313" s="2687"/>
      <c r="G313" s="2687"/>
      <c r="H313" s="2687"/>
      <c r="I313" s="2687"/>
      <c r="J313" s="2687"/>
      <c r="K313" s="2687"/>
      <c r="L313" s="2687"/>
      <c r="M313" s="2687"/>
      <c r="N313" s="2687"/>
      <c r="O313" s="2687"/>
      <c r="P313" s="2687"/>
      <c r="Q313" s="2687"/>
      <c r="R313" s="2687"/>
      <c r="S313" s="2687"/>
    </row>
    <row r="314" spans="1:19">
      <c r="A314" s="2767" t="s">
        <v>671</v>
      </c>
      <c r="B314" s="2767"/>
      <c r="C314" s="2767"/>
      <c r="D314" s="2767"/>
      <c r="E314" s="2770" t="s">
        <v>4029</v>
      </c>
      <c r="F314" s="2771"/>
      <c r="G314" s="2771"/>
      <c r="H314" s="2771"/>
      <c r="I314" s="2771"/>
      <c r="J314" s="2770" t="s">
        <v>4030</v>
      </c>
      <c r="K314" s="2771" t="s">
        <v>4560</v>
      </c>
      <c r="L314" s="2771" t="s">
        <v>4561</v>
      </c>
      <c r="M314" s="2771" t="s">
        <v>4562</v>
      </c>
      <c r="N314" s="2771"/>
      <c r="O314" s="2771"/>
      <c r="P314" s="2771"/>
      <c r="Q314" s="2771"/>
      <c r="R314" s="2771"/>
      <c r="S314" s="2771"/>
    </row>
    <row r="315" spans="1:19">
      <c r="A315" s="2767"/>
      <c r="B315" s="2767"/>
      <c r="C315" s="2767"/>
      <c r="D315" s="2767"/>
      <c r="E315" s="2771"/>
      <c r="F315" s="2771"/>
      <c r="G315" s="2771"/>
      <c r="H315" s="2771"/>
      <c r="I315" s="2771"/>
      <c r="J315" s="2770"/>
      <c r="K315" s="2771"/>
      <c r="L315" s="2771"/>
      <c r="M315" s="2771"/>
      <c r="N315" s="2771"/>
      <c r="O315" s="2771"/>
      <c r="P315" s="2771"/>
      <c r="Q315" s="2771"/>
      <c r="R315" s="2771"/>
      <c r="S315" s="2771"/>
    </row>
    <row r="316" spans="1:19">
      <c r="A316" s="2767"/>
      <c r="B316" s="2767"/>
      <c r="C316" s="2767"/>
      <c r="D316" s="2767"/>
      <c r="E316" s="2681"/>
      <c r="F316" s="2772"/>
      <c r="G316" s="2772"/>
      <c r="H316" s="2772"/>
      <c r="I316" s="2773"/>
      <c r="J316" s="2770"/>
      <c r="K316" s="2771"/>
      <c r="L316" s="2771"/>
      <c r="M316" s="2771"/>
      <c r="N316" s="2771"/>
      <c r="O316" s="2771"/>
      <c r="P316" s="2771"/>
      <c r="Q316" s="2771"/>
      <c r="R316" s="2771"/>
      <c r="S316" s="2771"/>
    </row>
    <row r="317" spans="1:19">
      <c r="A317" s="2767"/>
      <c r="B317" s="2767"/>
      <c r="C317" s="2767"/>
      <c r="D317" s="2767"/>
      <c r="E317" s="2774" t="s">
        <v>4122</v>
      </c>
      <c r="F317" s="2774"/>
      <c r="G317" s="2774"/>
      <c r="H317" s="2774"/>
      <c r="I317" s="2773"/>
      <c r="J317" s="2770"/>
      <c r="K317" s="2771"/>
      <c r="L317" s="2771"/>
      <c r="M317" s="2771"/>
      <c r="N317" s="2771"/>
      <c r="O317" s="2771"/>
      <c r="P317" s="2771"/>
      <c r="Q317" s="2771"/>
      <c r="R317" s="2771"/>
      <c r="S317" s="2771"/>
    </row>
    <row r="318" spans="1:19">
      <c r="A318" s="2767"/>
      <c r="B318" s="2767"/>
      <c r="C318" s="2767"/>
      <c r="D318" s="2767"/>
      <c r="E318" s="2774"/>
      <c r="F318" s="2774"/>
      <c r="G318" s="2774"/>
      <c r="H318" s="2774"/>
      <c r="I318" s="2775" t="s">
        <v>2636</v>
      </c>
      <c r="J318" s="2770"/>
      <c r="K318" s="2771"/>
      <c r="L318" s="2771"/>
      <c r="M318" s="2694" t="s">
        <v>2636</v>
      </c>
      <c r="N318" s="2710" t="s">
        <v>3332</v>
      </c>
      <c r="O318" s="2710"/>
      <c r="P318" s="2710"/>
      <c r="Q318" s="2710"/>
      <c r="R318" s="2710"/>
      <c r="S318" s="2710"/>
    </row>
    <row r="319" spans="1:19">
      <c r="A319" s="2767" t="s">
        <v>4024</v>
      </c>
      <c r="B319" s="2767"/>
      <c r="C319" s="2767"/>
      <c r="D319" s="2767"/>
      <c r="E319" s="2769">
        <f>'Part II-Development Team'!E137</f>
        <v>0</v>
      </c>
      <c r="F319" s="2769"/>
      <c r="G319" s="2769"/>
      <c r="H319" s="2769"/>
      <c r="I319" s="2768" t="str">
        <f>'Part II-Development Team'!I137</f>
        <v>No</v>
      </c>
      <c r="J319" s="2768" t="str">
        <f>'Part II-Development Team'!J137</f>
        <v>No</v>
      </c>
      <c r="K319" s="2776" t="str">
        <f>'Part II-Development Team'!K137</f>
        <v>For Profit</v>
      </c>
      <c r="L319" s="2777">
        <f>'Part II-Development Team'!L137</f>
        <v>1E-4</v>
      </c>
      <c r="M319" s="2768" t="str">
        <f>'Part II-Development Team'!M137</f>
        <v>No</v>
      </c>
      <c r="N319" s="2778">
        <f>'Part II-Development Team'!N137</f>
        <v>0</v>
      </c>
      <c r="O319" s="2778"/>
      <c r="P319" s="2778"/>
      <c r="Q319" s="2778"/>
      <c r="R319" s="2778"/>
      <c r="S319" s="2778"/>
    </row>
    <row r="320" spans="1:19">
      <c r="A320" s="2767" t="s">
        <v>4025</v>
      </c>
      <c r="B320" s="2767"/>
      <c r="C320" s="2767"/>
      <c r="D320" s="2767"/>
      <c r="E320" s="2769">
        <f>'Part II-Development Team'!E138</f>
        <v>0</v>
      </c>
      <c r="F320" s="2769"/>
      <c r="G320" s="2769"/>
      <c r="H320" s="2769"/>
      <c r="I320" s="2768">
        <f>'Part II-Development Team'!I138</f>
        <v>0</v>
      </c>
      <c r="J320" s="2768">
        <f>'Part II-Development Team'!J138</f>
        <v>0</v>
      </c>
      <c r="K320" s="2776">
        <f>'Part II-Development Team'!K138</f>
        <v>0</v>
      </c>
      <c r="L320" s="2777">
        <f>'Part II-Development Team'!L138</f>
        <v>0</v>
      </c>
      <c r="M320" s="2768">
        <f>'Part II-Development Team'!M138</f>
        <v>0</v>
      </c>
      <c r="N320" s="2778">
        <f>'Part II-Development Team'!N138</f>
        <v>0</v>
      </c>
      <c r="O320" s="2778"/>
      <c r="P320" s="2778"/>
      <c r="Q320" s="2778"/>
      <c r="R320" s="2778"/>
      <c r="S320" s="2778"/>
    </row>
    <row r="321" spans="1:19">
      <c r="A321" s="2767" t="s">
        <v>4026</v>
      </c>
      <c r="B321" s="2767"/>
      <c r="C321" s="2767"/>
      <c r="D321" s="2767"/>
      <c r="E321" s="2769">
        <f>'Part II-Development Team'!E139</f>
        <v>0</v>
      </c>
      <c r="F321" s="2769"/>
      <c r="G321" s="2769"/>
      <c r="H321" s="2769"/>
      <c r="I321" s="2768">
        <f>'Part II-Development Team'!I139</f>
        <v>0</v>
      </c>
      <c r="J321" s="2768">
        <f>'Part II-Development Team'!J139</f>
        <v>0</v>
      </c>
      <c r="K321" s="2776">
        <f>'Part II-Development Team'!K139</f>
        <v>0</v>
      </c>
      <c r="L321" s="2777">
        <f>'Part II-Development Team'!L139</f>
        <v>0</v>
      </c>
      <c r="M321" s="2768">
        <f>'Part II-Development Team'!M139</f>
        <v>0</v>
      </c>
      <c r="N321" s="2778">
        <f>'Part II-Development Team'!N139</f>
        <v>0</v>
      </c>
      <c r="O321" s="2778"/>
      <c r="P321" s="2778"/>
      <c r="Q321" s="2778"/>
      <c r="R321" s="2778"/>
      <c r="S321" s="2778"/>
    </row>
    <row r="322" spans="1:19">
      <c r="A322" s="2767" t="s">
        <v>4027</v>
      </c>
      <c r="B322" s="2767"/>
      <c r="C322" s="2767"/>
      <c r="D322" s="2767"/>
      <c r="E322" s="2769">
        <f>'Part II-Development Team'!E140</f>
        <v>0</v>
      </c>
      <c r="F322" s="2769"/>
      <c r="G322" s="2769"/>
      <c r="H322" s="2769"/>
      <c r="I322" s="2768" t="str">
        <f>'Part II-Development Team'!I140</f>
        <v>No</v>
      </c>
      <c r="J322" s="2768" t="str">
        <f>'Part II-Development Team'!J140</f>
        <v>No</v>
      </c>
      <c r="K322" s="2776" t="str">
        <f>'Part II-Development Team'!K140</f>
        <v>For Profit</v>
      </c>
      <c r="L322" s="2777">
        <f>'Part II-Development Team'!L140</f>
        <v>0.9899</v>
      </c>
      <c r="M322" s="2768" t="str">
        <f>'Part II-Development Team'!M140</f>
        <v>No</v>
      </c>
      <c r="N322" s="2778">
        <f>'Part II-Development Team'!N140</f>
        <v>0</v>
      </c>
      <c r="O322" s="2778"/>
      <c r="P322" s="2778"/>
      <c r="Q322" s="2778"/>
      <c r="R322" s="2778"/>
      <c r="S322" s="2778"/>
    </row>
    <row r="323" spans="1:19">
      <c r="A323" s="2767" t="s">
        <v>4028</v>
      </c>
      <c r="B323" s="2767"/>
      <c r="C323" s="2767"/>
      <c r="D323" s="2767"/>
      <c r="E323" s="2769">
        <f>'Part II-Development Team'!E141</f>
        <v>0</v>
      </c>
      <c r="F323" s="2769"/>
      <c r="G323" s="2769"/>
      <c r="H323" s="2769"/>
      <c r="I323" s="2768" t="str">
        <f>'Part II-Development Team'!I141</f>
        <v>No</v>
      </c>
      <c r="J323" s="2768" t="str">
        <f>'Part II-Development Team'!J141</f>
        <v>No</v>
      </c>
      <c r="K323" s="2776" t="str">
        <f>'Part II-Development Team'!K141</f>
        <v>For Profit</v>
      </c>
      <c r="L323" s="2777">
        <f>'Part II-Development Team'!L141</f>
        <v>0.01</v>
      </c>
      <c r="M323" s="2768" t="str">
        <f>'Part II-Development Team'!M141</f>
        <v>No</v>
      </c>
      <c r="N323" s="2778">
        <f>'Part II-Development Team'!N141</f>
        <v>0</v>
      </c>
      <c r="O323" s="2778"/>
      <c r="P323" s="2778"/>
      <c r="Q323" s="2778"/>
      <c r="R323" s="2778"/>
      <c r="S323" s="2778"/>
    </row>
    <row r="324" spans="1:19">
      <c r="A324" s="2767" t="s">
        <v>3291</v>
      </c>
      <c r="B324" s="2767"/>
      <c r="C324" s="2767"/>
      <c r="D324" s="2767"/>
      <c r="E324" s="2769">
        <f>'Part II-Development Team'!E142</f>
        <v>0</v>
      </c>
      <c r="F324" s="2769"/>
      <c r="G324" s="2769"/>
      <c r="H324" s="2769"/>
      <c r="I324" s="2768" t="str">
        <f>'Part II-Development Team'!I142</f>
        <v>No</v>
      </c>
      <c r="J324" s="2768" t="str">
        <f>'Part II-Development Team'!J142</f>
        <v>No</v>
      </c>
      <c r="K324" s="2776" t="str">
        <f>'Part II-Development Team'!K142</f>
        <v>Nonprofit</v>
      </c>
      <c r="L324" s="2777">
        <f>'Part II-Development Team'!L142</f>
        <v>0</v>
      </c>
      <c r="M324" s="2768" t="str">
        <f>'Part II-Development Team'!M142</f>
        <v>No</v>
      </c>
      <c r="N324" s="2778">
        <f>'Part II-Development Team'!N142</f>
        <v>0</v>
      </c>
      <c r="O324" s="2778"/>
      <c r="P324" s="2778"/>
      <c r="Q324" s="2778"/>
      <c r="R324" s="2778"/>
      <c r="S324" s="2778"/>
    </row>
    <row r="325" spans="1:19">
      <c r="A325" s="2767" t="s">
        <v>688</v>
      </c>
      <c r="B325" s="2767"/>
      <c r="C325" s="2767"/>
      <c r="D325" s="2767"/>
      <c r="E325" s="2769">
        <f>'Part II-Development Team'!E143</f>
        <v>0</v>
      </c>
      <c r="F325" s="2769"/>
      <c r="G325" s="2769"/>
      <c r="H325" s="2769"/>
      <c r="I325" s="2768" t="str">
        <f>'Part II-Development Team'!I143</f>
        <v>No</v>
      </c>
      <c r="J325" s="2768" t="str">
        <f>'Part II-Development Team'!J143</f>
        <v>No</v>
      </c>
      <c r="K325" s="2776" t="str">
        <f>'Part II-Development Team'!K143</f>
        <v>For Profit</v>
      </c>
      <c r="L325" s="2777">
        <f>'Part II-Development Team'!L143</f>
        <v>0</v>
      </c>
      <c r="M325" s="2768" t="str">
        <f>'Part II-Development Team'!M143</f>
        <v>No</v>
      </c>
      <c r="N325" s="2778">
        <f>'Part II-Development Team'!N143</f>
        <v>0</v>
      </c>
      <c r="O325" s="2778"/>
      <c r="P325" s="2778"/>
      <c r="Q325" s="2778"/>
      <c r="R325" s="2778"/>
      <c r="S325" s="2778"/>
    </row>
    <row r="326" spans="1:19">
      <c r="A326" s="2767" t="s">
        <v>3292</v>
      </c>
      <c r="B326" s="2767"/>
      <c r="C326" s="2767"/>
      <c r="D326" s="2767"/>
      <c r="E326" s="2769">
        <f>'Part II-Development Team'!E144</f>
        <v>0</v>
      </c>
      <c r="F326" s="2769"/>
      <c r="G326" s="2769"/>
      <c r="H326" s="2769"/>
      <c r="I326" s="2768">
        <f>'Part II-Development Team'!I144</f>
        <v>0</v>
      </c>
      <c r="J326" s="2768">
        <f>'Part II-Development Team'!J144</f>
        <v>0</v>
      </c>
      <c r="K326" s="2776">
        <f>'Part II-Development Team'!K144</f>
        <v>0</v>
      </c>
      <c r="L326" s="2777">
        <f>'Part II-Development Team'!L144</f>
        <v>0</v>
      </c>
      <c r="M326" s="2768">
        <f>'Part II-Development Team'!M144</f>
        <v>0</v>
      </c>
      <c r="N326" s="2778">
        <f>'Part II-Development Team'!N144</f>
        <v>0</v>
      </c>
      <c r="O326" s="2778"/>
      <c r="P326" s="2778"/>
      <c r="Q326" s="2778"/>
      <c r="R326" s="2778"/>
      <c r="S326" s="2778"/>
    </row>
    <row r="327" spans="1:19">
      <c r="A327" s="2767" t="s">
        <v>3293</v>
      </c>
      <c r="B327" s="2767"/>
      <c r="C327" s="2767"/>
      <c r="D327" s="2767"/>
      <c r="E327" s="2769">
        <f>'Part II-Development Team'!E145</f>
        <v>0</v>
      </c>
      <c r="F327" s="2769"/>
      <c r="G327" s="2769"/>
      <c r="H327" s="2769"/>
      <c r="I327" s="2768">
        <f>'Part II-Development Team'!I145</f>
        <v>0</v>
      </c>
      <c r="J327" s="2768">
        <f>'Part II-Development Team'!J145</f>
        <v>0</v>
      </c>
      <c r="K327" s="2776">
        <f>'Part II-Development Team'!K145</f>
        <v>0</v>
      </c>
      <c r="L327" s="2777">
        <f>'Part II-Development Team'!L145</f>
        <v>0</v>
      </c>
      <c r="M327" s="2768">
        <f>'Part II-Development Team'!M145</f>
        <v>0</v>
      </c>
      <c r="N327" s="2778">
        <f>'Part II-Development Team'!N145</f>
        <v>0</v>
      </c>
      <c r="O327" s="2778"/>
      <c r="P327" s="2778"/>
      <c r="Q327" s="2778"/>
      <c r="R327" s="2778"/>
      <c r="S327" s="2778"/>
    </row>
    <row r="328" spans="1:19">
      <c r="A328" s="2767" t="s">
        <v>3295</v>
      </c>
      <c r="B328" s="2767"/>
      <c r="C328" s="2767"/>
      <c r="D328" s="2767"/>
      <c r="E328" s="2769">
        <f>'Part II-Development Team'!E146</f>
        <v>0</v>
      </c>
      <c r="F328" s="2769"/>
      <c r="G328" s="2769"/>
      <c r="H328" s="2769"/>
      <c r="I328" s="2768">
        <f>'Part II-Development Team'!I146</f>
        <v>0</v>
      </c>
      <c r="J328" s="2768">
        <f>'Part II-Development Team'!J146</f>
        <v>0</v>
      </c>
      <c r="K328" s="2776">
        <f>'Part II-Development Team'!K146</f>
        <v>0</v>
      </c>
      <c r="L328" s="2777">
        <f>'Part II-Development Team'!L146</f>
        <v>0</v>
      </c>
      <c r="M328" s="2768">
        <f>'Part II-Development Team'!M146</f>
        <v>0</v>
      </c>
      <c r="N328" s="2778">
        <f>'Part II-Development Team'!N146</f>
        <v>0</v>
      </c>
      <c r="O328" s="2778"/>
      <c r="P328" s="2778"/>
      <c r="Q328" s="2778"/>
      <c r="R328" s="2778"/>
      <c r="S328" s="2778"/>
    </row>
    <row r="329" spans="1:19">
      <c r="A329" s="2767" t="s">
        <v>3294</v>
      </c>
      <c r="B329" s="2767"/>
      <c r="C329" s="2767"/>
      <c r="D329" s="2767"/>
      <c r="E329" s="2769">
        <f>'Part II-Development Team'!E147</f>
        <v>0</v>
      </c>
      <c r="F329" s="2769"/>
      <c r="G329" s="2769"/>
      <c r="H329" s="2769"/>
      <c r="I329" s="2768">
        <f>'Part II-Development Team'!I147</f>
        <v>0</v>
      </c>
      <c r="J329" s="2768">
        <f>'Part II-Development Team'!J147</f>
        <v>0</v>
      </c>
      <c r="K329" s="2776">
        <f>'Part II-Development Team'!K147</f>
        <v>0</v>
      </c>
      <c r="L329" s="2777">
        <f>'Part II-Development Team'!L147</f>
        <v>0</v>
      </c>
      <c r="M329" s="2768">
        <f>'Part II-Development Team'!M147</f>
        <v>0</v>
      </c>
      <c r="N329" s="2778">
        <f>'Part II-Development Team'!N147</f>
        <v>0</v>
      </c>
      <c r="O329" s="2778"/>
      <c r="P329" s="2778"/>
      <c r="Q329" s="2778"/>
      <c r="R329" s="2778"/>
      <c r="S329" s="2778"/>
    </row>
    <row r="330" spans="1:19">
      <c r="A330" s="2767" t="s">
        <v>1605</v>
      </c>
      <c r="B330" s="2767"/>
      <c r="C330" s="2767"/>
      <c r="D330" s="2767"/>
      <c r="E330" s="2769">
        <f>'Part II-Development Team'!E148</f>
        <v>0</v>
      </c>
      <c r="F330" s="2769"/>
      <c r="G330" s="2769"/>
      <c r="H330" s="2769"/>
      <c r="I330" s="2768" t="str">
        <f>'Part II-Development Team'!I148</f>
        <v>No</v>
      </c>
      <c r="J330" s="2768" t="str">
        <f>'Part II-Development Team'!J148</f>
        <v>No</v>
      </c>
      <c r="K330" s="2776" t="str">
        <f>'Part II-Development Team'!K148</f>
        <v>For Profit</v>
      </c>
      <c r="L330" s="2777">
        <f>'Part II-Development Team'!L148</f>
        <v>0</v>
      </c>
      <c r="M330" s="2768" t="str">
        <f>'Part II-Development Team'!M148</f>
        <v>No</v>
      </c>
      <c r="N330" s="2778">
        <f>'Part II-Development Team'!N148</f>
        <v>0</v>
      </c>
      <c r="O330" s="2778"/>
      <c r="P330" s="2778"/>
      <c r="Q330" s="2778"/>
      <c r="R330" s="2778"/>
      <c r="S330" s="2778"/>
    </row>
    <row r="331" spans="1:19">
      <c r="A331" s="2767" t="s">
        <v>3296</v>
      </c>
      <c r="B331" s="2767"/>
      <c r="C331" s="2767"/>
      <c r="D331" s="2767"/>
      <c r="E331" s="2769">
        <f>'Part II-Development Team'!E149</f>
        <v>0</v>
      </c>
      <c r="F331" s="2769"/>
      <c r="G331" s="2769"/>
      <c r="H331" s="2769"/>
      <c r="I331" s="2768" t="str">
        <f>'Part II-Development Team'!I149</f>
        <v>No</v>
      </c>
      <c r="J331" s="2768" t="str">
        <f>'Part II-Development Team'!J149</f>
        <v>No</v>
      </c>
      <c r="K331" s="2776" t="str">
        <f>'Part II-Development Team'!K149</f>
        <v>For Profit</v>
      </c>
      <c r="L331" s="2777">
        <f>'Part II-Development Team'!L149</f>
        <v>0</v>
      </c>
      <c r="M331" s="2768" t="str">
        <f>'Part II-Development Team'!M149</f>
        <v>No</v>
      </c>
      <c r="N331" s="2778">
        <f>'Part II-Development Team'!N149</f>
        <v>0</v>
      </c>
      <c r="O331" s="2778"/>
      <c r="P331" s="2778"/>
      <c r="Q331" s="2778"/>
      <c r="R331" s="2778"/>
      <c r="S331" s="2778"/>
    </row>
    <row r="332" spans="1:19">
      <c r="A332" s="2681"/>
      <c r="B332" s="2681"/>
      <c r="C332" s="2681"/>
      <c r="D332" s="2681"/>
      <c r="E332" s="2681"/>
      <c r="F332" s="2681"/>
      <c r="G332" s="2684"/>
      <c r="H332" s="2684"/>
      <c r="I332" s="2684"/>
      <c r="J332" s="2685"/>
      <c r="K332" s="2734" t="s">
        <v>563</v>
      </c>
      <c r="L332" s="2779">
        <f>SUM(L319:S331)</f>
        <v>1</v>
      </c>
      <c r="M332" s="2685"/>
      <c r="N332" s="2681"/>
      <c r="O332" s="2681"/>
      <c r="P332" s="2687"/>
      <c r="Q332" s="2681"/>
      <c r="R332" s="2681"/>
      <c r="S332" s="2681"/>
    </row>
    <row r="333" spans="1:19">
      <c r="A333" s="2727" t="s">
        <v>1882</v>
      </c>
      <c r="B333" s="2730"/>
      <c r="C333" s="2727" t="s">
        <v>599</v>
      </c>
      <c r="D333" s="2687"/>
      <c r="E333" s="2687"/>
      <c r="F333" s="2687"/>
      <c r="G333" s="2687"/>
      <c r="H333" s="2687"/>
      <c r="I333" s="2687"/>
      <c r="J333" s="2687"/>
      <c r="K333" s="2687"/>
      <c r="L333" s="2687"/>
      <c r="M333" s="2687"/>
      <c r="N333" s="2727" t="s">
        <v>554</v>
      </c>
      <c r="O333" s="2727" t="s">
        <v>81</v>
      </c>
      <c r="P333" s="2687"/>
      <c r="Q333" s="2687"/>
      <c r="R333" s="2687"/>
      <c r="S333" s="2687"/>
    </row>
    <row r="334" spans="1:19" ht="13.5">
      <c r="A334" s="2754" t="str">
        <f>'Part II-Development Team'!A152</f>
        <v>The Managing GP, NAHPA 2015 GA, Inc., and NAHPA Development, LLC are both owned by National Affordable Housing Preservation Associates, Inc.  National Affordable Housing Preservation Associates, Inc. is a 501c3 nonprofit.   Fyffe Construction Company, Inc. (contractor), Vantage Development, LLC (consultant) and Vantage Management, LLC (management agent) are all owned by Lowell R. Barron, II.</v>
      </c>
      <c r="B334" s="2754"/>
      <c r="C334" s="2754"/>
      <c r="D334" s="2754"/>
      <c r="E334" s="2754"/>
      <c r="F334" s="2754"/>
      <c r="G334" s="2754"/>
      <c r="H334" s="2754"/>
      <c r="I334" s="2754"/>
      <c r="J334" s="2754"/>
      <c r="K334" s="2754"/>
      <c r="L334" s="2754"/>
      <c r="M334" s="2754"/>
      <c r="N334" s="2754">
        <f>'Part II-Development Team'!N152</f>
        <v>0</v>
      </c>
      <c r="O334" s="2754"/>
      <c r="P334" s="2754"/>
      <c r="Q334" s="2754"/>
      <c r="R334" s="2754"/>
      <c r="S334" s="2754"/>
    </row>
    <row r="337" spans="1:20" ht="13.5">
      <c r="A337" s="2679" t="str">
        <f>CONCATENATE("PART THREE - SOURCES OF FUNDS","  -  ",'Part I-Project Information'!$O$4," ",'Part I-Project Information'!$F$24,", ",'Part I-Project Information'!$F$28,", ",'Part I-Project Information'!$J$29," County")</f>
        <v>PART THREE - SOURCES OF FUNDS  -  2015-009 The Cove at York, Centerville, Houston County</v>
      </c>
      <c r="B337" s="2679"/>
      <c r="C337" s="2679"/>
      <c r="D337" s="2679"/>
      <c r="E337" s="2679"/>
      <c r="F337" s="2679"/>
      <c r="G337" s="2679"/>
      <c r="H337" s="2679"/>
      <c r="I337" s="2679"/>
      <c r="J337" s="2679"/>
      <c r="K337" s="2679"/>
      <c r="L337" s="2679"/>
      <c r="M337" s="2679"/>
      <c r="N337" s="2679"/>
      <c r="O337" s="2679"/>
      <c r="P337" s="2679"/>
      <c r="Q337" s="2679"/>
      <c r="S337" s="2780" t="str">
        <f>$A$1</f>
        <v>Project Narrative</v>
      </c>
      <c r="T337" s="2780"/>
    </row>
    <row r="338" spans="1:20" ht="13.5">
      <c r="A338" s="2687"/>
      <c r="B338" s="2687"/>
      <c r="C338" s="2687"/>
      <c r="D338" s="2687"/>
      <c r="E338" s="2687"/>
      <c r="F338" s="2687"/>
      <c r="G338" s="2687"/>
      <c r="H338" s="2687"/>
      <c r="I338" s="2687"/>
      <c r="J338" s="2687"/>
      <c r="K338" s="2687"/>
      <c r="L338" s="2687"/>
      <c r="M338" s="2687"/>
      <c r="N338" s="2687"/>
      <c r="O338" s="2687"/>
      <c r="P338" s="2687"/>
      <c r="Q338" s="2687"/>
      <c r="S338" s="2781"/>
      <c r="T338" s="2781"/>
    </row>
    <row r="339" spans="1:20" ht="13.5">
      <c r="A339" s="2684" t="s">
        <v>647</v>
      </c>
      <c r="B339" s="2727" t="s">
        <v>2614</v>
      </c>
      <c r="C339" s="2681"/>
      <c r="D339" s="2681"/>
      <c r="E339" s="2681"/>
      <c r="F339" s="2681"/>
      <c r="G339" s="2681"/>
      <c r="H339" s="2757"/>
      <c r="I339" s="2757"/>
      <c r="J339" s="2681"/>
      <c r="K339" s="2757"/>
      <c r="L339" s="2757"/>
      <c r="M339" s="2681"/>
      <c r="N339" s="2681"/>
      <c r="O339" s="2757"/>
      <c r="P339" s="2757"/>
      <c r="Q339" s="2757"/>
      <c r="S339" s="2752" t="str">
        <f>B339</f>
        <v>GOVERNMENT FUNDING SOURCES  (check all that apply)</v>
      </c>
      <c r="T339" s="2757"/>
    </row>
    <row r="340" spans="1:20" ht="13.5">
      <c r="A340" s="2727"/>
      <c r="B340" s="2680"/>
      <c r="C340" s="2727"/>
      <c r="D340" s="2681"/>
      <c r="E340" s="2681"/>
      <c r="F340" s="2681"/>
      <c r="G340" s="2681"/>
      <c r="H340" s="2757"/>
      <c r="I340" s="2757"/>
      <c r="J340" s="2757"/>
      <c r="K340" s="2757"/>
      <c r="L340" s="2757"/>
      <c r="M340" s="2757"/>
      <c r="N340" s="2757"/>
      <c r="O340" s="2757"/>
      <c r="P340" s="2757"/>
      <c r="Q340" s="2757"/>
      <c r="S340" s="2782" t="s">
        <v>2826</v>
      </c>
      <c r="T340" s="2782"/>
    </row>
    <row r="341" spans="1:20" ht="13.5">
      <c r="A341" s="2680"/>
      <c r="B341" s="2685" t="str">
        <f>'Part III-Sources of Funds'!B5</f>
        <v>Yes</v>
      </c>
      <c r="C341" s="2689" t="s">
        <v>2530</v>
      </c>
      <c r="D341" s="2681"/>
      <c r="E341" s="2757"/>
      <c r="F341" s="2757"/>
      <c r="G341" s="2757"/>
      <c r="H341" s="2685" t="str">
        <f>'Part III-Sources of Funds'!H5</f>
        <v>No</v>
      </c>
      <c r="I341" s="2689" t="s">
        <v>2737</v>
      </c>
      <c r="J341" s="2757"/>
      <c r="K341" s="2757"/>
      <c r="L341" s="2757"/>
      <c r="M341" s="2757"/>
      <c r="N341" s="2685" t="str">
        <f>'Part III-Sources of Funds'!N5</f>
        <v>No</v>
      </c>
      <c r="O341" s="2689" t="s">
        <v>3104</v>
      </c>
      <c r="P341" s="2757"/>
      <c r="Q341" s="2757"/>
      <c r="S341" s="2754">
        <f>'Part III-Sources of Funds'!S5</f>
        <v>0</v>
      </c>
      <c r="T341" s="2754"/>
    </row>
    <row r="342" spans="1:20" ht="13.5">
      <c r="A342" s="2680"/>
      <c r="B342" s="2685" t="str">
        <f>'Part III-Sources of Funds'!B6</f>
        <v>No</v>
      </c>
      <c r="C342" s="2689" t="s">
        <v>574</v>
      </c>
      <c r="D342" s="2681"/>
      <c r="E342" s="2757"/>
      <c r="F342" s="2757"/>
      <c r="G342" s="2757"/>
      <c r="H342" s="2685" t="str">
        <f>'Part III-Sources of Funds'!H6</f>
        <v>No</v>
      </c>
      <c r="I342" s="2689" t="s">
        <v>4204</v>
      </c>
      <c r="J342" s="2757"/>
      <c r="K342" s="2683"/>
      <c r="L342" s="2683"/>
      <c r="M342" s="2757"/>
      <c r="N342" s="2685" t="str">
        <f>'Part III-Sources of Funds'!N6</f>
        <v>No</v>
      </c>
      <c r="O342" s="2689" t="s">
        <v>1613</v>
      </c>
      <c r="P342" s="2757"/>
      <c r="Q342" s="2744"/>
      <c r="S342" s="2754"/>
      <c r="T342" s="2754"/>
    </row>
    <row r="343" spans="1:20" ht="13.5">
      <c r="A343" s="2681"/>
      <c r="B343" s="2685" t="str">
        <f>'Part III-Sources of Funds'!B7</f>
        <v>No</v>
      </c>
      <c r="C343" s="2689" t="s">
        <v>1892</v>
      </c>
      <c r="D343" s="2757"/>
      <c r="E343" s="2757"/>
      <c r="F343" s="2757"/>
      <c r="G343" s="2757"/>
      <c r="H343" s="2685" t="str">
        <f>'Part III-Sources of Funds'!H7</f>
        <v>No</v>
      </c>
      <c r="I343" s="2681" t="s">
        <v>2729</v>
      </c>
      <c r="J343" s="2757"/>
      <c r="K343" s="2757"/>
      <c r="L343" s="2757"/>
      <c r="M343" s="2757"/>
      <c r="N343" s="2685" t="str">
        <f>'Part III-Sources of Funds'!N7</f>
        <v>No</v>
      </c>
      <c r="O343" s="2689" t="s">
        <v>573</v>
      </c>
      <c r="P343" s="2757"/>
      <c r="Q343" s="2757"/>
      <c r="S343" s="2754"/>
      <c r="T343" s="2754"/>
    </row>
    <row r="344" spans="1:20" ht="13.5">
      <c r="A344" s="2680"/>
      <c r="B344" s="2685" t="str">
        <f>'Part III-Sources of Funds'!B8</f>
        <v>No</v>
      </c>
      <c r="C344" s="2689" t="s">
        <v>1893</v>
      </c>
      <c r="D344" s="2681"/>
      <c r="E344" s="2757"/>
      <c r="F344" s="2757"/>
      <c r="G344" s="2757"/>
      <c r="H344" s="2685" t="str">
        <f>'Part III-Sources of Funds'!H8</f>
        <v>No</v>
      </c>
      <c r="I344" s="2729" t="s">
        <v>2730</v>
      </c>
      <c r="J344" s="2757"/>
      <c r="K344" s="2689"/>
      <c r="L344" s="2689"/>
      <c r="M344" s="2757"/>
      <c r="N344" s="2685" t="str">
        <f>'Part III-Sources of Funds'!N8</f>
        <v>No</v>
      </c>
      <c r="O344" s="2681" t="s">
        <v>2738</v>
      </c>
      <c r="P344" s="2757"/>
      <c r="Q344" s="2757"/>
      <c r="S344" s="2754"/>
      <c r="T344" s="2754"/>
    </row>
    <row r="345" spans="1:20" ht="13.5">
      <c r="A345" s="2680"/>
      <c r="B345" s="2685" t="str">
        <f>'Part III-Sources of Funds'!B9</f>
        <v>No</v>
      </c>
      <c r="C345" s="2689" t="s">
        <v>575</v>
      </c>
      <c r="D345" s="2757"/>
      <c r="E345" s="2757"/>
      <c r="F345" s="2757"/>
      <c r="G345" s="2757"/>
      <c r="H345" s="2685" t="str">
        <f>'Part III-Sources of Funds'!H9</f>
        <v>No</v>
      </c>
      <c r="I345" s="2681" t="s">
        <v>2736</v>
      </c>
      <c r="J345" s="2757"/>
      <c r="K345" s="2757"/>
      <c r="L345" s="2681"/>
      <c r="M345" s="2757"/>
      <c r="N345" s="2757"/>
      <c r="O345" s="2757"/>
      <c r="P345" s="2681"/>
      <c r="Q345" s="2681"/>
      <c r="S345" s="2757"/>
      <c r="T345" s="2757"/>
    </row>
    <row r="346" spans="1:20" ht="13.5">
      <c r="A346" s="2680"/>
      <c r="B346" s="2685" t="str">
        <f>'Part III-Sources of Funds'!B10</f>
        <v>No</v>
      </c>
      <c r="C346" s="2689" t="s">
        <v>4563</v>
      </c>
      <c r="D346" s="2681"/>
      <c r="E346" s="2757"/>
      <c r="F346" s="2757"/>
      <c r="G346" s="2783" t="s">
        <v>4034</v>
      </c>
      <c r="H346" s="2784">
        <f>'Part III-Sources of Funds'!H10</f>
        <v>0</v>
      </c>
      <c r="I346" s="2785"/>
      <c r="J346" s="2757"/>
      <c r="K346" s="2757"/>
      <c r="L346" s="2757"/>
      <c r="M346" s="2757"/>
      <c r="N346" s="2681"/>
      <c r="O346" s="2681"/>
      <c r="P346" s="2757"/>
      <c r="Q346" s="2681"/>
      <c r="S346" s="2757"/>
      <c r="T346" s="2757"/>
    </row>
    <row r="347" spans="1:20" ht="13.5">
      <c r="A347" s="2680"/>
      <c r="B347" s="2685" t="str">
        <f>'Part III-Sources of Funds'!B11</f>
        <v>No</v>
      </c>
      <c r="C347" s="2689" t="s">
        <v>2304</v>
      </c>
      <c r="D347" s="2757"/>
      <c r="E347" s="2757"/>
      <c r="F347" s="2757"/>
      <c r="G347" s="2757"/>
      <c r="H347" s="2786" t="str">
        <f>'Part III-Sources of Funds'!H11</f>
        <v>Specify Other HOME Source here</v>
      </c>
      <c r="I347" s="2786"/>
      <c r="J347" s="2786"/>
      <c r="K347" s="2786"/>
      <c r="L347" s="2786"/>
      <c r="M347" s="2786"/>
      <c r="N347" s="2681"/>
      <c r="O347" s="2681"/>
      <c r="P347" s="2681"/>
      <c r="Q347" s="2681"/>
      <c r="S347" s="2757"/>
      <c r="T347" s="2757"/>
    </row>
    <row r="348" spans="1:20" ht="13.5">
      <c r="A348" s="2680"/>
      <c r="B348" s="2685" t="str">
        <f>'Part III-Sources of Funds'!B12</f>
        <v>No</v>
      </c>
      <c r="C348" s="2696" t="str">
        <f>'Part III-Sources of Funds'!C12</f>
        <v>Other Type of Funding - describe here</v>
      </c>
      <c r="D348" s="2696"/>
      <c r="E348" s="2696"/>
      <c r="F348" s="2696"/>
      <c r="G348" s="2696"/>
      <c r="H348" s="2786" t="str">
        <f>'Part III-Sources of Funds'!H12</f>
        <v>Specify Source of Other Funding Type</v>
      </c>
      <c r="I348" s="2786"/>
      <c r="J348" s="2786"/>
      <c r="K348" s="2786"/>
      <c r="L348" s="2786"/>
      <c r="M348" s="2786"/>
      <c r="N348" s="2681"/>
      <c r="O348" s="2681"/>
      <c r="P348" s="2757"/>
      <c r="Q348" s="2681"/>
      <c r="S348" s="2757"/>
      <c r="T348" s="2757"/>
    </row>
    <row r="349" spans="1:20" ht="13.5">
      <c r="A349" s="2680"/>
      <c r="B349" s="2757" t="s">
        <v>3029</v>
      </c>
      <c r="C349" s="2681"/>
      <c r="D349" s="2681"/>
      <c r="E349" s="2681"/>
      <c r="F349" s="2681"/>
      <c r="G349" s="2681"/>
      <c r="H349" s="2681"/>
      <c r="I349" s="2681"/>
      <c r="J349" s="2681"/>
      <c r="K349" s="2681"/>
      <c r="L349" s="2681"/>
      <c r="M349" s="2729"/>
      <c r="N349" s="2681"/>
      <c r="O349" s="2681"/>
      <c r="P349" s="2681"/>
      <c r="Q349" s="2681"/>
      <c r="S349" s="2757"/>
      <c r="T349" s="2757"/>
    </row>
    <row r="350" spans="1:20" ht="13.5">
      <c r="A350" s="2680"/>
      <c r="B350" s="2757"/>
      <c r="C350" s="2757"/>
      <c r="D350" s="2757"/>
      <c r="E350" s="2757"/>
      <c r="F350" s="2757"/>
      <c r="G350" s="2757"/>
      <c r="H350" s="2757"/>
      <c r="I350" s="2757"/>
      <c r="J350" s="2757"/>
      <c r="K350" s="2757"/>
      <c r="L350" s="2681"/>
      <c r="M350" s="2729"/>
      <c r="N350" s="2681"/>
      <c r="O350" s="2681"/>
      <c r="P350" s="2681"/>
      <c r="Q350" s="2681"/>
      <c r="S350" s="2757"/>
      <c r="T350" s="2757"/>
    </row>
    <row r="351" spans="1:20" ht="13.5">
      <c r="A351" s="2684" t="s">
        <v>780</v>
      </c>
      <c r="B351" s="2682" t="s">
        <v>2455</v>
      </c>
      <c r="C351" s="2681"/>
      <c r="D351" s="2681"/>
      <c r="E351" s="2681"/>
      <c r="F351" s="2681"/>
      <c r="G351" s="2681"/>
      <c r="H351" s="2757"/>
      <c r="I351" s="2757"/>
      <c r="J351" s="2684"/>
      <c r="K351" s="2681"/>
      <c r="L351" s="2681"/>
      <c r="M351" s="2681"/>
      <c r="N351" s="2695"/>
      <c r="O351" s="2695"/>
      <c r="P351" s="2681"/>
      <c r="Q351" s="2681"/>
      <c r="S351" s="2752" t="str">
        <f>B351</f>
        <v>CONSTRUCTION FINANCING</v>
      </c>
      <c r="T351" s="2752"/>
    </row>
    <row r="352" spans="1:20" ht="13.5">
      <c r="A352" s="2684"/>
      <c r="B352" s="2682"/>
      <c r="C352" s="2681"/>
      <c r="D352" s="2752"/>
      <c r="E352" s="2752"/>
      <c r="F352" s="2752"/>
      <c r="G352" s="2752"/>
      <c r="H352" s="2752"/>
      <c r="I352" s="2752"/>
      <c r="J352" s="2752"/>
      <c r="K352" s="2681"/>
      <c r="L352" s="2681"/>
      <c r="M352" s="2681"/>
      <c r="N352" s="2685"/>
      <c r="O352" s="2685"/>
      <c r="P352" s="2681"/>
      <c r="Q352" s="2681"/>
      <c r="S352" s="2752"/>
      <c r="T352" s="2752"/>
    </row>
    <row r="353" spans="1:20">
      <c r="A353" s="2681"/>
      <c r="B353" s="2689" t="s">
        <v>1965</v>
      </c>
      <c r="C353" s="2681"/>
      <c r="D353" s="2681"/>
      <c r="E353" s="2681"/>
      <c r="F353" s="2681"/>
      <c r="G353" s="2681"/>
      <c r="H353" s="2696" t="s">
        <v>1362</v>
      </c>
      <c r="I353" s="2696"/>
      <c r="J353" s="2696"/>
      <c r="K353" s="2696"/>
      <c r="L353" s="2695" t="s">
        <v>2089</v>
      </c>
      <c r="M353" s="2695"/>
      <c r="N353" s="2695" t="s">
        <v>1583</v>
      </c>
      <c r="O353" s="2695"/>
      <c r="P353" s="2695" t="s">
        <v>1709</v>
      </c>
      <c r="Q353" s="2695"/>
      <c r="S353" s="2782" t="s">
        <v>2826</v>
      </c>
      <c r="T353" s="2782"/>
    </row>
    <row r="354" spans="1:20">
      <c r="A354" s="2681"/>
      <c r="B354" s="2787" t="s">
        <v>1668</v>
      </c>
      <c r="C354" s="2787"/>
      <c r="D354" s="2787"/>
      <c r="E354" s="2681"/>
      <c r="F354" s="2681"/>
      <c r="G354" s="2681"/>
      <c r="H354" s="2696" t="str">
        <f>'Part III-Sources of Funds'!H18</f>
        <v>C&amp;S Bank - TBD</v>
      </c>
      <c r="I354" s="2696"/>
      <c r="J354" s="2696"/>
      <c r="K354" s="2696"/>
      <c r="L354" s="2788">
        <f>'Part III-Sources of Funds'!L18</f>
        <v>9078110</v>
      </c>
      <c r="M354" s="2788"/>
      <c r="N354" s="2789">
        <f>'Part III-Sources of Funds'!N18</f>
        <v>4.4999999999999998E-2</v>
      </c>
      <c r="O354" s="2789"/>
      <c r="P354" s="2790">
        <f>'Part III-Sources of Funds'!P18</f>
        <v>24</v>
      </c>
      <c r="Q354" s="2790"/>
      <c r="S354" s="2754">
        <f>'Part III-Sources of Funds'!S18</f>
        <v>0</v>
      </c>
      <c r="T354" s="2754"/>
    </row>
    <row r="355" spans="1:20">
      <c r="A355" s="2681"/>
      <c r="B355" s="2787" t="s">
        <v>1669</v>
      </c>
      <c r="C355" s="2787"/>
      <c r="D355" s="2787"/>
      <c r="E355" s="2681"/>
      <c r="F355" s="2681"/>
      <c r="G355" s="2681"/>
      <c r="H355" s="2696">
        <f>'Part III-Sources of Funds'!H19</f>
        <v>0</v>
      </c>
      <c r="I355" s="2696"/>
      <c r="J355" s="2696"/>
      <c r="K355" s="2696"/>
      <c r="L355" s="2788">
        <f>'Part III-Sources of Funds'!L19</f>
        <v>0</v>
      </c>
      <c r="M355" s="2788"/>
      <c r="N355" s="2789">
        <f>'Part III-Sources of Funds'!N19</f>
        <v>0</v>
      </c>
      <c r="O355" s="2789"/>
      <c r="P355" s="2790">
        <f>'Part III-Sources of Funds'!P19</f>
        <v>0</v>
      </c>
      <c r="Q355" s="2790"/>
      <c r="S355" s="2754"/>
      <c r="T355" s="2754"/>
    </row>
    <row r="356" spans="1:20">
      <c r="A356" s="2681"/>
      <c r="B356" s="2787" t="s">
        <v>1670</v>
      </c>
      <c r="C356" s="2787"/>
      <c r="D356" s="2787"/>
      <c r="E356" s="2681"/>
      <c r="F356" s="2681"/>
      <c r="G356" s="2681"/>
      <c r="H356" s="2696">
        <f>'Part III-Sources of Funds'!H20</f>
        <v>0</v>
      </c>
      <c r="I356" s="2696"/>
      <c r="J356" s="2696"/>
      <c r="K356" s="2696"/>
      <c r="L356" s="2788">
        <f>'Part III-Sources of Funds'!L20</f>
        <v>0</v>
      </c>
      <c r="M356" s="2788"/>
      <c r="N356" s="2789">
        <f>'Part III-Sources of Funds'!N20</f>
        <v>0</v>
      </c>
      <c r="O356" s="2789"/>
      <c r="P356" s="2790">
        <f>'Part III-Sources of Funds'!P20</f>
        <v>0</v>
      </c>
      <c r="Q356" s="2790"/>
      <c r="S356" s="2754"/>
      <c r="T356" s="2754"/>
    </row>
    <row r="357" spans="1:20">
      <c r="A357" s="2681"/>
      <c r="B357" s="2787" t="s">
        <v>2321</v>
      </c>
      <c r="C357" s="2787"/>
      <c r="D357" s="2787"/>
      <c r="E357" s="2681"/>
      <c r="F357" s="2681"/>
      <c r="G357" s="2681"/>
      <c r="H357" s="2696">
        <f>'Part III-Sources of Funds'!H21</f>
        <v>0</v>
      </c>
      <c r="I357" s="2696"/>
      <c r="J357" s="2696"/>
      <c r="K357" s="2696"/>
      <c r="L357" s="2788">
        <f>'Part III-Sources of Funds'!L21</f>
        <v>0</v>
      </c>
      <c r="M357" s="2788"/>
      <c r="N357" s="2791"/>
      <c r="O357" s="2791"/>
      <c r="P357" s="2695"/>
      <c r="Q357" s="2695"/>
      <c r="S357" s="2754"/>
      <c r="T357" s="2754"/>
    </row>
    <row r="358" spans="1:20" ht="13.5">
      <c r="A358" s="2681"/>
      <c r="B358" s="2787" t="s">
        <v>843</v>
      </c>
      <c r="C358" s="2787"/>
      <c r="D358" s="2787"/>
      <c r="E358" s="2681"/>
      <c r="F358" s="2757"/>
      <c r="G358" s="2757"/>
      <c r="H358" s="2696">
        <f>'Part III-Sources of Funds'!H22</f>
        <v>0</v>
      </c>
      <c r="I358" s="2696"/>
      <c r="J358" s="2696"/>
      <c r="K358" s="2696"/>
      <c r="L358" s="2788">
        <f>'Part III-Sources of Funds'!L22</f>
        <v>0</v>
      </c>
      <c r="M358" s="2788"/>
      <c r="N358" s="2791"/>
      <c r="O358" s="2791"/>
      <c r="P358" s="2695"/>
      <c r="Q358" s="2695"/>
      <c r="S358" s="2754"/>
      <c r="T358" s="2754"/>
    </row>
    <row r="359" spans="1:20" ht="13.5">
      <c r="A359" s="2681"/>
      <c r="B359" s="2787" t="s">
        <v>672</v>
      </c>
      <c r="C359" s="2787"/>
      <c r="D359" s="2787"/>
      <c r="E359" s="2681"/>
      <c r="F359" s="2757"/>
      <c r="G359" s="2757"/>
      <c r="H359" s="2696">
        <f>'Part III-Sources of Funds'!H23</f>
        <v>0</v>
      </c>
      <c r="I359" s="2696"/>
      <c r="J359" s="2696"/>
      <c r="K359" s="2696"/>
      <c r="L359" s="2788">
        <f>'Part III-Sources of Funds'!L23</f>
        <v>0</v>
      </c>
      <c r="M359" s="2788"/>
      <c r="N359" s="2791"/>
      <c r="O359" s="2791"/>
      <c r="P359" s="2695"/>
      <c r="Q359" s="2695"/>
      <c r="S359" s="2754"/>
      <c r="T359" s="2754"/>
    </row>
    <row r="360" spans="1:20" ht="13.5">
      <c r="A360" s="2681"/>
      <c r="B360" s="2787" t="s">
        <v>844</v>
      </c>
      <c r="C360" s="2787"/>
      <c r="D360" s="2787"/>
      <c r="E360" s="2681"/>
      <c r="F360" s="2757"/>
      <c r="G360" s="2757"/>
      <c r="H360" s="2696" t="str">
        <f>'Part III-Sources of Funds'!H24</f>
        <v>42 Equity Partners - TBD</v>
      </c>
      <c r="I360" s="2696"/>
      <c r="J360" s="2696"/>
      <c r="K360" s="2696"/>
      <c r="L360" s="2788">
        <f>'Part III-Sources of Funds'!L24</f>
        <v>3598040</v>
      </c>
      <c r="M360" s="2788"/>
      <c r="N360" s="2681"/>
      <c r="O360" s="2681"/>
      <c r="P360" s="2681"/>
      <c r="Q360" s="2681"/>
      <c r="S360" s="2754"/>
      <c r="T360" s="2754"/>
    </row>
    <row r="361" spans="1:20" ht="13.5">
      <c r="A361" s="2681"/>
      <c r="B361" s="2787" t="s">
        <v>845</v>
      </c>
      <c r="C361" s="2787"/>
      <c r="D361" s="2787"/>
      <c r="E361" s="2681"/>
      <c r="F361" s="2757"/>
      <c r="G361" s="2757"/>
      <c r="H361" s="2696" t="str">
        <f>'Part III-Sources of Funds'!H25</f>
        <v>Sugar Creek Capital - TBD (Incl. 1% Fed)</v>
      </c>
      <c r="I361" s="2696"/>
      <c r="J361" s="2696"/>
      <c r="K361" s="2696"/>
      <c r="L361" s="2788">
        <f>'Part III-Sources of Funds'!L25</f>
        <v>1834408</v>
      </c>
      <c r="M361" s="2788"/>
      <c r="N361" s="2681"/>
      <c r="O361" s="2681"/>
      <c r="P361" s="2681"/>
      <c r="Q361" s="2681"/>
      <c r="S361" s="2754">
        <f>'Part III-Sources of Funds'!S25</f>
        <v>0</v>
      </c>
      <c r="T361" s="2754"/>
    </row>
    <row r="362" spans="1:20">
      <c r="A362" s="2681"/>
      <c r="B362" s="2681" t="s">
        <v>253</v>
      </c>
      <c r="C362" s="2681"/>
      <c r="D362" s="2696">
        <f>'Part III-Sources of Funds'!D26</f>
        <v>0</v>
      </c>
      <c r="E362" s="2696"/>
      <c r="F362" s="2696"/>
      <c r="G362" s="2696"/>
      <c r="H362" s="2696">
        <f>'Part III-Sources of Funds'!H26</f>
        <v>0</v>
      </c>
      <c r="I362" s="2696"/>
      <c r="J362" s="2696"/>
      <c r="K362" s="2696"/>
      <c r="L362" s="2788">
        <f>'Part III-Sources of Funds'!L26</f>
        <v>0</v>
      </c>
      <c r="M362" s="2788"/>
      <c r="N362" s="2681"/>
      <c r="O362" s="2681"/>
      <c r="P362" s="2681"/>
      <c r="Q362" s="2681"/>
      <c r="S362" s="2754"/>
      <c r="T362" s="2754"/>
    </row>
    <row r="363" spans="1:20">
      <c r="A363" s="2681"/>
      <c r="B363" s="2681" t="s">
        <v>253</v>
      </c>
      <c r="C363" s="2681"/>
      <c r="D363" s="2696">
        <f>'Part III-Sources of Funds'!D27</f>
        <v>0</v>
      </c>
      <c r="E363" s="2696"/>
      <c r="F363" s="2696"/>
      <c r="G363" s="2696"/>
      <c r="H363" s="2696">
        <f>'Part III-Sources of Funds'!H27</f>
        <v>0</v>
      </c>
      <c r="I363" s="2696"/>
      <c r="J363" s="2696"/>
      <c r="K363" s="2696"/>
      <c r="L363" s="2788">
        <f>'Part III-Sources of Funds'!L27</f>
        <v>0</v>
      </c>
      <c r="M363" s="2788"/>
      <c r="N363" s="2681"/>
      <c r="O363" s="2681"/>
      <c r="P363" s="2681"/>
      <c r="Q363" s="2681"/>
      <c r="S363" s="2754"/>
      <c r="T363" s="2754"/>
    </row>
    <row r="364" spans="1:20">
      <c r="A364" s="2681"/>
      <c r="B364" s="2681" t="s">
        <v>253</v>
      </c>
      <c r="C364" s="2681"/>
      <c r="D364" s="2696">
        <f>'Part III-Sources of Funds'!D28</f>
        <v>0</v>
      </c>
      <c r="E364" s="2696"/>
      <c r="F364" s="2696"/>
      <c r="G364" s="2696"/>
      <c r="H364" s="2696">
        <f>'Part III-Sources of Funds'!H28</f>
        <v>0</v>
      </c>
      <c r="I364" s="2696"/>
      <c r="J364" s="2696"/>
      <c r="K364" s="2696"/>
      <c r="L364" s="2788">
        <f>'Part III-Sources of Funds'!L28</f>
        <v>0</v>
      </c>
      <c r="M364" s="2788"/>
      <c r="N364" s="2681"/>
      <c r="O364" s="2681"/>
      <c r="P364" s="2681"/>
      <c r="Q364" s="2681"/>
      <c r="S364" s="2754"/>
      <c r="T364" s="2754"/>
    </row>
    <row r="365" spans="1:20" ht="13.5">
      <c r="A365" s="2681"/>
      <c r="B365" s="2682" t="s">
        <v>1363</v>
      </c>
      <c r="C365" s="2681"/>
      <c r="D365" s="2681"/>
      <c r="E365" s="2681"/>
      <c r="F365" s="2681"/>
      <c r="G365" s="2681"/>
      <c r="H365" s="2681"/>
      <c r="I365" s="2681"/>
      <c r="J365" s="2757"/>
      <c r="K365" s="2757"/>
      <c r="L365" s="2792">
        <f>SUM(L354:L364)</f>
        <v>14510558</v>
      </c>
      <c r="M365" s="2792"/>
      <c r="N365" s="2687"/>
      <c r="O365" s="2687"/>
      <c r="P365" s="2687"/>
      <c r="Q365" s="2687"/>
      <c r="S365" s="2754"/>
      <c r="T365" s="2754"/>
    </row>
    <row r="366" spans="1:20" ht="13.5">
      <c r="A366" s="2681"/>
      <c r="B366" s="2689" t="s">
        <v>1364</v>
      </c>
      <c r="C366" s="2681"/>
      <c r="D366" s="2681"/>
      <c r="E366" s="2681"/>
      <c r="F366" s="2681"/>
      <c r="G366" s="2681"/>
      <c r="H366" s="2681"/>
      <c r="I366" s="2681"/>
      <c r="J366" s="2757"/>
      <c r="K366" s="2757"/>
      <c r="L366" s="2792">
        <f>'Part III-Sources of Funds'!L30</f>
        <v>11653951</v>
      </c>
      <c r="M366" s="2792"/>
      <c r="N366" s="2765"/>
      <c r="O366" s="2765"/>
      <c r="P366" s="2765"/>
      <c r="Q366" s="2765"/>
      <c r="S366" s="2754"/>
      <c r="T366" s="2754"/>
    </row>
    <row r="367" spans="1:20" ht="13.5">
      <c r="A367" s="2681"/>
      <c r="B367" s="2689" t="s">
        <v>2258</v>
      </c>
      <c r="C367" s="2681"/>
      <c r="D367" s="2681"/>
      <c r="E367" s="2681"/>
      <c r="F367" s="2681"/>
      <c r="G367" s="2681"/>
      <c r="H367" s="2681"/>
      <c r="I367" s="2681"/>
      <c r="J367" s="2757"/>
      <c r="K367" s="2757"/>
      <c r="L367" s="2793">
        <f>L365-L366</f>
        <v>2856607</v>
      </c>
      <c r="M367" s="2793"/>
      <c r="N367" s="2765"/>
      <c r="O367" s="2765"/>
      <c r="P367" s="2765"/>
      <c r="Q367" s="2765"/>
      <c r="S367" s="2754"/>
      <c r="T367" s="2754"/>
    </row>
    <row r="368" spans="1:20">
      <c r="A368" s="2727"/>
      <c r="B368" s="2682"/>
      <c r="C368" s="2687"/>
      <c r="D368" s="2687"/>
      <c r="E368" s="2687"/>
      <c r="F368" s="2687"/>
      <c r="G368" s="2687"/>
      <c r="H368" s="2687"/>
      <c r="I368" s="2687"/>
      <c r="J368" s="2687"/>
      <c r="K368" s="2687"/>
      <c r="L368" s="2687"/>
      <c r="M368" s="2685"/>
      <c r="N368" s="2685"/>
      <c r="O368" s="2687"/>
      <c r="P368" s="2684"/>
      <c r="Q368" s="2684"/>
    </row>
    <row r="369" spans="1:20" s="2781" customFormat="1" ht="9.6" customHeight="1">
      <c r="A369" s="2684" t="s">
        <v>782</v>
      </c>
      <c r="B369" s="2682" t="s">
        <v>842</v>
      </c>
      <c r="C369" s="2687"/>
      <c r="D369" s="2687"/>
      <c r="E369" s="2687"/>
      <c r="F369" s="2687"/>
      <c r="G369" s="2687"/>
      <c r="H369" s="2687"/>
      <c r="I369" s="2687"/>
      <c r="J369" s="2687"/>
      <c r="K369" s="2687"/>
      <c r="L369" s="2687"/>
      <c r="M369" s="2685"/>
      <c r="N369" s="2685"/>
      <c r="O369" s="2687"/>
      <c r="S369" s="2752" t="str">
        <f>B369</f>
        <v>PERMANENT FINANCING</v>
      </c>
    </row>
    <row r="370" spans="1:20" s="2757" customFormat="1" ht="13.15" customHeight="1">
      <c r="A370" s="2681"/>
      <c r="B370" s="2681"/>
      <c r="C370" s="2681"/>
      <c r="D370" s="2681"/>
      <c r="E370" s="2681"/>
      <c r="F370" s="2685"/>
      <c r="G370" s="2685"/>
      <c r="H370" s="2681"/>
      <c r="I370" s="2681"/>
      <c r="K370" s="2694" t="s">
        <v>2200</v>
      </c>
      <c r="L370" s="2685" t="s">
        <v>1360</v>
      </c>
      <c r="M370" s="2685" t="s">
        <v>1365</v>
      </c>
      <c r="N370" s="2794" t="s">
        <v>36</v>
      </c>
      <c r="O370" s="2794"/>
      <c r="P370" s="2685"/>
      <c r="Q370" s="2684"/>
      <c r="S370" s="2752"/>
    </row>
    <row r="371" spans="1:20" s="2757" customFormat="1" ht="13.15" customHeight="1">
      <c r="A371" s="2681"/>
      <c r="B371" s="2689" t="s">
        <v>1965</v>
      </c>
      <c r="C371" s="2681"/>
      <c r="D371" s="2681"/>
      <c r="E371" s="2696" t="s">
        <v>1362</v>
      </c>
      <c r="F371" s="2696"/>
      <c r="G371" s="2696"/>
      <c r="H371" s="2696"/>
      <c r="I371" s="2695" t="s">
        <v>510</v>
      </c>
      <c r="J371" s="2695"/>
      <c r="K371" s="2685" t="s">
        <v>1897</v>
      </c>
      <c r="L371" s="2685" t="s">
        <v>2320</v>
      </c>
      <c r="M371" s="2685" t="s">
        <v>2320</v>
      </c>
      <c r="N371" s="2794"/>
      <c r="O371" s="2794"/>
      <c r="P371" s="2695" t="s">
        <v>76</v>
      </c>
      <c r="Q371" s="2695"/>
      <c r="S371" s="2782" t="s">
        <v>2826</v>
      </c>
      <c r="T371" s="2782"/>
    </row>
    <row r="372" spans="1:20" s="2757" customFormat="1" ht="13.15" customHeight="1">
      <c r="A372" s="2681"/>
      <c r="B372" s="2787" t="s">
        <v>2742</v>
      </c>
      <c r="C372" s="2787"/>
      <c r="D372" s="2787"/>
      <c r="E372" s="2696" t="str">
        <f>'Part III-Sources of Funds'!E36</f>
        <v>C&amp;S Bank - TBD</v>
      </c>
      <c r="F372" s="2696"/>
      <c r="G372" s="2696"/>
      <c r="H372" s="2696"/>
      <c r="I372" s="2795">
        <f>'Part III-Sources of Funds'!I36</f>
        <v>787492</v>
      </c>
      <c r="J372" s="2787"/>
      <c r="K372" s="2796">
        <f>'Part III-Sources of Funds'!K36</f>
        <v>0.06</v>
      </c>
      <c r="L372" s="2685">
        <f>'Part III-Sources of Funds'!L36</f>
        <v>10</v>
      </c>
      <c r="M372" s="2685">
        <f>'Part III-Sources of Funds'!M36</f>
        <v>10</v>
      </c>
      <c r="N372" s="2797">
        <f>'Part III-Sources of Funds'!N36</f>
        <v>104913.30853804009</v>
      </c>
      <c r="O372" s="2797"/>
      <c r="P372" s="2695" t="str">
        <f>'Part III-Sources of Funds'!P36</f>
        <v>Amortizing</v>
      </c>
      <c r="Q372" s="2695"/>
      <c r="S372" s="2754">
        <f>'Part III-Sources of Funds'!S36</f>
        <v>0</v>
      </c>
      <c r="T372" s="2754"/>
    </row>
    <row r="373" spans="1:20" s="2757" customFormat="1" ht="13.15" customHeight="1">
      <c r="A373" s="2681"/>
      <c r="B373" s="2787" t="s">
        <v>2743</v>
      </c>
      <c r="C373" s="2787"/>
      <c r="D373" s="2787"/>
      <c r="E373" s="2696">
        <f>'Part III-Sources of Funds'!E37</f>
        <v>0</v>
      </c>
      <c r="F373" s="2696"/>
      <c r="G373" s="2696"/>
      <c r="H373" s="2696"/>
      <c r="I373" s="2795">
        <f>'Part III-Sources of Funds'!I37</f>
        <v>0</v>
      </c>
      <c r="J373" s="2787"/>
      <c r="K373" s="2796">
        <f>'Part III-Sources of Funds'!K37</f>
        <v>0</v>
      </c>
      <c r="L373" s="2685">
        <f>'Part III-Sources of Funds'!L37</f>
        <v>0</v>
      </c>
      <c r="M373" s="2685">
        <f>'Part III-Sources of Funds'!M37</f>
        <v>0</v>
      </c>
      <c r="N373" s="2797" t="str">
        <f>'Part III-Sources of Funds'!N37</f>
        <v/>
      </c>
      <c r="O373" s="2797"/>
      <c r="P373" s="2695">
        <f>'Part III-Sources of Funds'!P37</f>
        <v>0</v>
      </c>
      <c r="Q373" s="2695"/>
      <c r="S373" s="2754"/>
      <c r="T373" s="2754"/>
    </row>
    <row r="374" spans="1:20" s="2757" customFormat="1" ht="13.15" customHeight="1">
      <c r="A374" s="2681"/>
      <c r="B374" s="2787" t="s">
        <v>2744</v>
      </c>
      <c r="C374" s="2787"/>
      <c r="D374" s="2787"/>
      <c r="E374" s="2696">
        <f>'Part III-Sources of Funds'!E38</f>
        <v>0</v>
      </c>
      <c r="F374" s="2696"/>
      <c r="G374" s="2696"/>
      <c r="H374" s="2696"/>
      <c r="I374" s="2795">
        <f>'Part III-Sources of Funds'!I38</f>
        <v>0</v>
      </c>
      <c r="J374" s="2787"/>
      <c r="K374" s="2796">
        <f>'Part III-Sources of Funds'!K38</f>
        <v>0</v>
      </c>
      <c r="L374" s="2685">
        <f>'Part III-Sources of Funds'!L38</f>
        <v>0</v>
      </c>
      <c r="M374" s="2685">
        <f>'Part III-Sources of Funds'!M38</f>
        <v>0</v>
      </c>
      <c r="N374" s="2797" t="str">
        <f>'Part III-Sources of Funds'!N38</f>
        <v/>
      </c>
      <c r="O374" s="2797"/>
      <c r="P374" s="2695">
        <f>'Part III-Sources of Funds'!P38</f>
        <v>0</v>
      </c>
      <c r="Q374" s="2695"/>
      <c r="S374" s="2754"/>
      <c r="T374" s="2754"/>
    </row>
    <row r="375" spans="1:20" s="2757" customFormat="1" ht="13.15" customHeight="1">
      <c r="A375" s="2681"/>
      <c r="B375" s="2681" t="s">
        <v>781</v>
      </c>
      <c r="C375" s="2696">
        <f>'Part III-Sources of Funds'!C39</f>
        <v>0</v>
      </c>
      <c r="D375" s="2696"/>
      <c r="E375" s="2696">
        <f>'Part III-Sources of Funds'!E39</f>
        <v>0</v>
      </c>
      <c r="F375" s="2696"/>
      <c r="G375" s="2696"/>
      <c r="H375" s="2696"/>
      <c r="I375" s="2795">
        <f>'Part III-Sources of Funds'!I39</f>
        <v>0</v>
      </c>
      <c r="J375" s="2787"/>
      <c r="K375" s="2796">
        <f>'Part III-Sources of Funds'!K39</f>
        <v>0</v>
      </c>
      <c r="L375" s="2685">
        <f>'Part III-Sources of Funds'!L39</f>
        <v>0</v>
      </c>
      <c r="M375" s="2685">
        <f>'Part III-Sources of Funds'!M39</f>
        <v>0</v>
      </c>
      <c r="N375" s="2797" t="str">
        <f>'Part III-Sources of Funds'!N39</f>
        <v/>
      </c>
      <c r="O375" s="2797"/>
      <c r="P375" s="2695">
        <f>'Part III-Sources of Funds'!P39</f>
        <v>0</v>
      </c>
      <c r="Q375" s="2695"/>
      <c r="S375" s="2754"/>
      <c r="T375" s="2754"/>
    </row>
    <row r="376" spans="1:20" s="2757" customFormat="1" ht="13.15" customHeight="1">
      <c r="A376" s="2681"/>
      <c r="B376" s="2681" t="s">
        <v>2938</v>
      </c>
      <c r="C376" s="2681"/>
      <c r="D376" s="2681"/>
      <c r="E376" s="2696">
        <f>'Part III-Sources of Funds'!E40</f>
        <v>0</v>
      </c>
      <c r="F376" s="2696"/>
      <c r="G376" s="2696"/>
      <c r="H376" s="2696"/>
      <c r="I376" s="2795">
        <f>'Part III-Sources of Funds'!I40</f>
        <v>0</v>
      </c>
      <c r="J376" s="2787"/>
      <c r="K376" s="2796"/>
      <c r="L376" s="2685"/>
      <c r="M376" s="2685"/>
      <c r="N376" s="2797" t="str">
        <f>IF(OR(I376&lt;=0,I376=""),"",IF(P376="Amortizing",-PMT(K376/12,M376*12,I376,0,0)*12,""))</f>
        <v/>
      </c>
      <c r="O376" s="2797"/>
      <c r="P376" s="2695"/>
      <c r="Q376" s="2695"/>
      <c r="S376" s="2754"/>
      <c r="T376" s="2754"/>
    </row>
    <row r="377" spans="1:20" s="2757" customFormat="1" ht="13.15" customHeight="1">
      <c r="A377" s="2681"/>
      <c r="B377" s="2681" t="s">
        <v>237</v>
      </c>
      <c r="C377" s="2681"/>
      <c r="D377" s="2798" t="str">
        <f>'Part III-Sources of Funds'!D41</f>
        <v/>
      </c>
      <c r="E377" s="2696">
        <f>'Part III-Sources of Funds'!E41</f>
        <v>0</v>
      </c>
      <c r="F377" s="2696"/>
      <c r="G377" s="2696"/>
      <c r="H377" s="2696"/>
      <c r="I377" s="2795">
        <f>'Part III-Sources of Funds'!I41</f>
        <v>0</v>
      </c>
      <c r="J377" s="2787"/>
      <c r="K377" s="2796">
        <f>'Part III-Sources of Funds'!K41</f>
        <v>0</v>
      </c>
      <c r="L377" s="2685">
        <f>'Part III-Sources of Funds'!L41</f>
        <v>0</v>
      </c>
      <c r="M377" s="2685">
        <f>'Part III-Sources of Funds'!M41</f>
        <v>0</v>
      </c>
      <c r="N377" s="2797" t="str">
        <f>'Part III-Sources of Funds'!N41</f>
        <v/>
      </c>
      <c r="O377" s="2797"/>
      <c r="P377" s="2695">
        <f>'Part III-Sources of Funds'!P41</f>
        <v>0</v>
      </c>
      <c r="Q377" s="2695"/>
      <c r="S377" s="2754"/>
      <c r="T377" s="2754"/>
    </row>
    <row r="378" spans="1:20" s="2757" customFormat="1" ht="13.15" customHeight="1">
      <c r="A378" s="2681"/>
      <c r="B378" s="2787" t="s">
        <v>2321</v>
      </c>
      <c r="C378" s="2787"/>
      <c r="D378" s="2787"/>
      <c r="E378" s="2696">
        <f>'Part III-Sources of Funds'!E42</f>
        <v>0</v>
      </c>
      <c r="F378" s="2696"/>
      <c r="G378" s="2696"/>
      <c r="H378" s="2696"/>
      <c r="I378" s="2795">
        <f>'Part III-Sources of Funds'!I42</f>
        <v>0</v>
      </c>
      <c r="J378" s="2787"/>
      <c r="K378" s="2681"/>
      <c r="L378" s="2681"/>
      <c r="M378" s="2681"/>
      <c r="N378" s="2681"/>
      <c r="O378" s="2681"/>
      <c r="P378" s="2681"/>
      <c r="Q378" s="2681"/>
      <c r="S378" s="2754">
        <f>'Part III-Sources of Funds'!S42</f>
        <v>0</v>
      </c>
      <c r="T378" s="2754"/>
    </row>
    <row r="379" spans="1:20" s="2757" customFormat="1" ht="13.15" customHeight="1">
      <c r="A379" s="2681"/>
      <c r="B379" s="2787" t="s">
        <v>843</v>
      </c>
      <c r="C379" s="2787"/>
      <c r="D379" s="2787"/>
      <c r="E379" s="2696">
        <f>'Part III-Sources of Funds'!E43</f>
        <v>0</v>
      </c>
      <c r="F379" s="2696"/>
      <c r="G379" s="2696"/>
      <c r="H379" s="2696"/>
      <c r="I379" s="2795">
        <f>'Part III-Sources of Funds'!I43</f>
        <v>0</v>
      </c>
      <c r="J379" s="2787"/>
      <c r="L379" s="2799" t="s">
        <v>541</v>
      </c>
      <c r="M379" s="2799"/>
      <c r="N379" s="2800" t="s">
        <v>542</v>
      </c>
      <c r="O379" s="2800"/>
      <c r="P379" s="2685" t="s">
        <v>540</v>
      </c>
      <c r="Q379" s="2681"/>
      <c r="S379" s="2754"/>
      <c r="T379" s="2754"/>
    </row>
    <row r="380" spans="1:20" s="2757" customFormat="1" ht="13.15" customHeight="1">
      <c r="A380" s="2681"/>
      <c r="B380" s="2787" t="s">
        <v>844</v>
      </c>
      <c r="C380" s="2787"/>
      <c r="D380" s="2787"/>
      <c r="E380" s="2696" t="str">
        <f>'Part III-Sources of Funds'!E44</f>
        <v>42 Equity Partners - TBD</v>
      </c>
      <c r="F380" s="2696"/>
      <c r="G380" s="2696"/>
      <c r="H380" s="2696"/>
      <c r="I380" s="2795">
        <f>'Part III-Sources of Funds'!I44</f>
        <v>8995101</v>
      </c>
      <c r="J380" s="2787"/>
      <c r="L380" s="2801">
        <f>'Part III-Sources of Funds'!L44</f>
        <v>9085956.75</v>
      </c>
      <c r="M380" s="2801"/>
      <c r="N380" s="2802">
        <f>I380-L380</f>
        <v>-90855.75</v>
      </c>
      <c r="O380" s="2802"/>
      <c r="P380" s="2803" t="s">
        <v>2688</v>
      </c>
      <c r="Q380" s="2681"/>
      <c r="S380" s="2754"/>
      <c r="T380" s="2754"/>
    </row>
    <row r="381" spans="1:20" s="2757" customFormat="1" ht="13.15" customHeight="1">
      <c r="A381" s="2681"/>
      <c r="B381" s="2787" t="s">
        <v>845</v>
      </c>
      <c r="C381" s="2787"/>
      <c r="D381" s="2787"/>
      <c r="E381" s="2696" t="str">
        <f>'Part III-Sources of Funds'!E45</f>
        <v>Sugar Creek Capital - TBD (Incl. 1% Fed)</v>
      </c>
      <c r="F381" s="2696"/>
      <c r="G381" s="2696"/>
      <c r="H381" s="2696"/>
      <c r="I381" s="2795">
        <f>'Part III-Sources of Funds'!I45</f>
        <v>4586020</v>
      </c>
      <c r="J381" s="2787"/>
      <c r="L381" s="2801">
        <f>'Part III-Sources of Funds'!L45</f>
        <v>4495157.55</v>
      </c>
      <c r="M381" s="2801"/>
      <c r="N381" s="2802">
        <f>I381-L381</f>
        <v>90862.450000000186</v>
      </c>
      <c r="O381" s="2802"/>
      <c r="P381" s="2804">
        <f>I380/I390</f>
        <v>0.6260243072870012</v>
      </c>
      <c r="Q381" s="2681"/>
      <c r="S381" s="2754"/>
      <c r="T381" s="2754"/>
    </row>
    <row r="382" spans="1:20" s="2757" customFormat="1" ht="13.15" customHeight="1">
      <c r="A382" s="2681"/>
      <c r="B382" s="2787" t="s">
        <v>1481</v>
      </c>
      <c r="C382" s="2787"/>
      <c r="D382" s="2787"/>
      <c r="E382" s="2696">
        <f>'Part III-Sources of Funds'!E46</f>
        <v>0</v>
      </c>
      <c r="F382" s="2696"/>
      <c r="G382" s="2696"/>
      <c r="H382" s="2696"/>
      <c r="I382" s="2795">
        <f>'Part III-Sources of Funds'!I46</f>
        <v>0</v>
      </c>
      <c r="J382" s="2787"/>
      <c r="P382" s="2804">
        <f>I381/I390</f>
        <v>0.31916928933920063</v>
      </c>
      <c r="Q382" s="2681"/>
      <c r="S382" s="2754"/>
      <c r="T382" s="2754"/>
    </row>
    <row r="383" spans="1:20" s="2757" customFormat="1" ht="13.15" customHeight="1">
      <c r="A383" s="2681"/>
      <c r="B383" s="2681" t="s">
        <v>555</v>
      </c>
      <c r="C383" s="2681"/>
      <c r="D383" s="2681"/>
      <c r="E383" s="2696">
        <f>'Part III-Sources of Funds'!E47</f>
        <v>0</v>
      </c>
      <c r="F383" s="2696"/>
      <c r="G383" s="2696"/>
      <c r="H383" s="2696"/>
      <c r="I383" s="2795">
        <f>'Part III-Sources of Funds'!I47</f>
        <v>0</v>
      </c>
      <c r="J383" s="2787"/>
      <c r="K383" s="2681"/>
      <c r="P383" s="2804">
        <f>SUM(P381:P382)</f>
        <v>0.94519359662620184</v>
      </c>
      <c r="Q383" s="2681"/>
      <c r="S383" s="2754">
        <f>'Part III-Sources of Funds'!S47</f>
        <v>0</v>
      </c>
      <c r="T383" s="2754"/>
    </row>
    <row r="384" spans="1:20" s="2757" customFormat="1" ht="13.15" customHeight="1">
      <c r="A384" s="2681"/>
      <c r="B384" s="2681" t="s">
        <v>1963</v>
      </c>
      <c r="C384" s="2681"/>
      <c r="D384" s="2681"/>
      <c r="E384" s="2696">
        <f>'Part III-Sources of Funds'!E48</f>
        <v>0</v>
      </c>
      <c r="F384" s="2696"/>
      <c r="G384" s="2696"/>
      <c r="H384" s="2696"/>
      <c r="I384" s="2795">
        <f>'Part III-Sources of Funds'!I48</f>
        <v>0</v>
      </c>
      <c r="J384" s="2787"/>
      <c r="N384" s="2805"/>
      <c r="O384" s="2805"/>
      <c r="P384" s="2805"/>
      <c r="Q384" s="2681"/>
      <c r="S384" s="2754"/>
      <c r="T384" s="2754"/>
    </row>
    <row r="385" spans="1:24" s="2757" customFormat="1" ht="13.15" customHeight="1">
      <c r="A385" s="2681"/>
      <c r="B385" s="2681" t="s">
        <v>1964</v>
      </c>
      <c r="C385" s="2681"/>
      <c r="D385" s="2681"/>
      <c r="E385" s="2696">
        <f>'Part III-Sources of Funds'!E49</f>
        <v>0</v>
      </c>
      <c r="F385" s="2696"/>
      <c r="G385" s="2696"/>
      <c r="H385" s="2696"/>
      <c r="I385" s="2795">
        <f>'Part III-Sources of Funds'!I49</f>
        <v>0</v>
      </c>
      <c r="J385" s="2787"/>
      <c r="M385" s="2805"/>
      <c r="N385" s="2805"/>
      <c r="O385" s="2805"/>
      <c r="P385" s="2805"/>
      <c r="Q385" s="2681"/>
      <c r="S385" s="2754"/>
      <c r="T385" s="2754"/>
    </row>
    <row r="386" spans="1:24" s="2757" customFormat="1" ht="13.15" customHeight="1">
      <c r="A386" s="2681"/>
      <c r="B386" s="2681" t="s">
        <v>781</v>
      </c>
      <c r="C386" s="2696">
        <f>'Part III-Sources of Funds'!C50</f>
        <v>0</v>
      </c>
      <c r="D386" s="2696"/>
      <c r="E386" s="2696">
        <f>'Part III-Sources of Funds'!E50</f>
        <v>0</v>
      </c>
      <c r="F386" s="2696"/>
      <c r="G386" s="2696"/>
      <c r="H386" s="2696"/>
      <c r="I386" s="2795">
        <f>'Part III-Sources of Funds'!I50</f>
        <v>0</v>
      </c>
      <c r="J386" s="2787"/>
      <c r="M386" s="2805"/>
      <c r="N386" s="2805"/>
      <c r="O386" s="2805"/>
      <c r="P386" s="2805"/>
      <c r="Q386" s="2681"/>
      <c r="S386" s="2754"/>
      <c r="T386" s="2754"/>
    </row>
    <row r="387" spans="1:24" s="2757" customFormat="1" ht="13.15" customHeight="1">
      <c r="A387" s="2681"/>
      <c r="B387" s="2681" t="s">
        <v>781</v>
      </c>
      <c r="C387" s="2696">
        <f>'Part III-Sources of Funds'!C51</f>
        <v>0</v>
      </c>
      <c r="D387" s="2696"/>
      <c r="E387" s="2696">
        <f>'Part III-Sources of Funds'!E51</f>
        <v>0</v>
      </c>
      <c r="F387" s="2696"/>
      <c r="G387" s="2696"/>
      <c r="H387" s="2696"/>
      <c r="I387" s="2795">
        <f>'Part III-Sources of Funds'!I51</f>
        <v>0</v>
      </c>
      <c r="J387" s="2787"/>
      <c r="K387" s="2681"/>
      <c r="L387" s="2685"/>
      <c r="M387" s="2805"/>
      <c r="N387" s="2805"/>
      <c r="O387" s="2805"/>
      <c r="P387" s="2805"/>
      <c r="Q387" s="2681"/>
      <c r="S387" s="2754"/>
      <c r="T387" s="2754"/>
    </row>
    <row r="388" spans="1:24" s="2757" customFormat="1" ht="13.15" customHeight="1">
      <c r="A388" s="2681"/>
      <c r="B388" s="2681" t="s">
        <v>781</v>
      </c>
      <c r="C388" s="2696">
        <f>'Part III-Sources of Funds'!C52</f>
        <v>0</v>
      </c>
      <c r="D388" s="2696"/>
      <c r="E388" s="2696">
        <f>'Part III-Sources of Funds'!E52</f>
        <v>0</v>
      </c>
      <c r="F388" s="2696"/>
      <c r="G388" s="2696"/>
      <c r="H388" s="2696"/>
      <c r="I388" s="2795">
        <f>'Part III-Sources of Funds'!I52</f>
        <v>0</v>
      </c>
      <c r="J388" s="2787"/>
      <c r="K388" s="2681"/>
      <c r="L388" s="2685"/>
      <c r="M388" s="2805"/>
      <c r="N388" s="2805"/>
      <c r="O388" s="2805"/>
      <c r="P388" s="2805"/>
      <c r="Q388" s="2681"/>
      <c r="S388" s="2754"/>
      <c r="T388" s="2754"/>
    </row>
    <row r="389" spans="1:24" s="2757" customFormat="1" ht="13.15" customHeight="1">
      <c r="A389" s="2681"/>
      <c r="B389" s="2689" t="s">
        <v>2322</v>
      </c>
      <c r="C389" s="2681"/>
      <c r="D389" s="2681"/>
      <c r="E389" s="2681"/>
      <c r="F389" s="2681"/>
      <c r="G389" s="2681"/>
      <c r="I389" s="2806">
        <f>SUM(I372:J388)</f>
        <v>14368613</v>
      </c>
      <c r="J389" s="2806"/>
      <c r="K389" s="2681"/>
      <c r="L389" s="2685"/>
      <c r="M389" s="2805"/>
      <c r="N389" s="2805"/>
      <c r="O389" s="2805"/>
      <c r="P389" s="2805"/>
      <c r="Q389" s="2681"/>
      <c r="S389" s="2754"/>
      <c r="T389" s="2754"/>
    </row>
    <row r="390" spans="1:24" s="2757" customFormat="1" ht="13.15" customHeight="1">
      <c r="A390" s="2681"/>
      <c r="B390" s="2689" t="s">
        <v>2323</v>
      </c>
      <c r="C390" s="2681"/>
      <c r="D390" s="2681"/>
      <c r="E390" s="2681"/>
      <c r="F390" s="2681"/>
      <c r="G390" s="2681"/>
      <c r="I390" s="2806">
        <f>'Part IV-Uses of Funds'!$G$130</f>
        <v>14368613</v>
      </c>
      <c r="J390" s="2806"/>
      <c r="K390" s="2681"/>
      <c r="L390" s="2685"/>
      <c r="M390" s="2805"/>
      <c r="N390" s="2805"/>
      <c r="O390" s="2805"/>
      <c r="P390" s="2805"/>
      <c r="Q390" s="2681"/>
      <c r="S390" s="2754"/>
      <c r="T390" s="2754"/>
    </row>
    <row r="391" spans="1:24" s="2757" customFormat="1" ht="13.15" customHeight="1">
      <c r="A391" s="2681"/>
      <c r="B391" s="2689" t="s">
        <v>1601</v>
      </c>
      <c r="C391" s="2681"/>
      <c r="D391" s="2681"/>
      <c r="E391" s="2681"/>
      <c r="F391" s="2681"/>
      <c r="G391" s="2681"/>
      <c r="I391" s="2807">
        <f>I389-I390</f>
        <v>0</v>
      </c>
      <c r="J391" s="2807"/>
      <c r="K391" s="2681"/>
      <c r="L391" s="2685"/>
      <c r="M391" s="2805"/>
      <c r="N391" s="2805"/>
      <c r="O391" s="2805"/>
      <c r="P391" s="2805"/>
      <c r="Q391" s="2681"/>
      <c r="S391" s="2754"/>
      <c r="T391" s="2754"/>
    </row>
    <row r="392" spans="1:24" s="2757" customFormat="1" ht="13.15" customHeight="1">
      <c r="A392" s="2681" t="s">
        <v>4170</v>
      </c>
      <c r="B392" s="2689"/>
      <c r="C392" s="2681"/>
      <c r="D392" s="2681"/>
      <c r="E392" s="2681"/>
      <c r="F392" s="2681"/>
      <c r="G392" s="2681"/>
      <c r="H392" s="2808"/>
      <c r="I392" s="2808"/>
      <c r="J392" s="2687"/>
      <c r="K392" s="2681"/>
      <c r="L392" s="2685"/>
      <c r="M392" s="2805"/>
      <c r="N392" s="2805"/>
      <c r="O392" s="2805"/>
      <c r="P392" s="2805"/>
      <c r="Q392" s="2681"/>
    </row>
    <row r="393" spans="1:24">
      <c r="A393" s="2687"/>
      <c r="B393" s="2687"/>
      <c r="C393" s="2687"/>
      <c r="D393" s="2687"/>
      <c r="E393" s="2687"/>
      <c r="F393" s="2687"/>
      <c r="G393" s="2687"/>
      <c r="H393" s="2687"/>
      <c r="I393" s="2687"/>
      <c r="J393" s="2687"/>
      <c r="K393" s="2687"/>
      <c r="L393" s="2687"/>
      <c r="M393" s="2687"/>
      <c r="N393" s="2687"/>
      <c r="O393" s="2687"/>
      <c r="P393" s="2687"/>
      <c r="Q393" s="2687"/>
    </row>
    <row r="394" spans="1:24">
      <c r="A394" s="2684" t="s">
        <v>1880</v>
      </c>
      <c r="B394" s="2684" t="s">
        <v>599</v>
      </c>
      <c r="C394" s="2687"/>
      <c r="D394" s="2687"/>
      <c r="E394" s="2687"/>
      <c r="F394" s="2687"/>
      <c r="G394" s="2687"/>
      <c r="H394" s="2687"/>
      <c r="I394" s="2687"/>
      <c r="J394" s="2687"/>
      <c r="K394" s="2684" t="s">
        <v>1880</v>
      </c>
      <c r="L394" s="2684" t="s">
        <v>81</v>
      </c>
      <c r="M394" s="2687"/>
      <c r="N394" s="2687"/>
      <c r="O394" s="2687"/>
      <c r="P394" s="2687"/>
      <c r="Q394" s="2687"/>
    </row>
    <row r="395" spans="1:24" ht="13.5">
      <c r="A395" s="2781"/>
      <c r="B395" s="2809"/>
      <c r="C395" s="2781"/>
      <c r="D395" s="2781"/>
      <c r="E395" s="2781"/>
      <c r="F395" s="2781"/>
      <c r="G395" s="2781"/>
      <c r="H395" s="2781"/>
      <c r="I395" s="2781"/>
      <c r="J395" s="2781"/>
      <c r="K395" s="2781"/>
      <c r="L395" s="2781"/>
      <c r="M395" s="2781"/>
      <c r="N395" s="2781"/>
      <c r="O395" s="2781"/>
      <c r="P395" s="2781"/>
      <c r="Q395" s="2781"/>
    </row>
    <row r="396" spans="1:24">
      <c r="A396" s="2754" t="str">
        <f>'Part III-Sources of Funds'!A60</f>
        <v>Commitment letters from all sources listed above are listed in the application, Tab 1, Feasibility.</v>
      </c>
      <c r="B396" s="2810"/>
      <c r="C396" s="2810"/>
      <c r="D396" s="2810"/>
      <c r="E396" s="2810"/>
      <c r="F396" s="2810"/>
      <c r="G396" s="2810"/>
      <c r="H396" s="2810"/>
      <c r="I396" s="2810"/>
      <c r="J396" s="2810"/>
      <c r="K396" s="2754">
        <f>'Part III-Sources of Funds'!K60</f>
        <v>0</v>
      </c>
      <c r="L396" s="2810"/>
      <c r="M396" s="2810"/>
      <c r="N396" s="2810"/>
      <c r="O396" s="2810"/>
      <c r="P396" s="2810"/>
      <c r="Q396" s="2810"/>
    </row>
    <row r="399" spans="1:24">
      <c r="A399" s="2679" t="str">
        <f>'Part IV-Uses of Funds'!A1</f>
        <v>PART FOUR -  USES OF FUNDS  -  2015-009 The Cove at York, Centerville, Houston County</v>
      </c>
      <c r="B399" s="2679"/>
      <c r="C399" s="2679"/>
      <c r="D399" s="2679"/>
      <c r="E399" s="2679"/>
      <c r="F399" s="2679"/>
      <c r="G399" s="2679"/>
      <c r="H399" s="2679"/>
      <c r="I399" s="2679"/>
      <c r="J399" s="2679"/>
      <c r="K399" s="2679"/>
      <c r="L399" s="2679"/>
      <c r="M399" s="2679"/>
      <c r="N399" s="2679"/>
      <c r="O399" s="2679"/>
      <c r="P399" s="2679"/>
      <c r="Q399" s="2679"/>
      <c r="R399" s="2679"/>
      <c r="S399" s="2679"/>
      <c r="T399" s="2679"/>
      <c r="U399" s="2681"/>
      <c r="V399" s="2681"/>
      <c r="W399" s="2679" t="str">
        <f>A399</f>
        <v>PART FOUR -  USES OF FUNDS  -  2015-009 The Cove at York, Centerville, Houston County</v>
      </c>
      <c r="X399" s="2679"/>
    </row>
    <row r="400" spans="1:24">
      <c r="A400" s="2687"/>
      <c r="B400" s="2687"/>
      <c r="C400" s="2687"/>
      <c r="D400" s="2687"/>
      <c r="E400" s="2687"/>
      <c r="F400" s="2687"/>
      <c r="G400" s="2687"/>
      <c r="H400" s="2687"/>
      <c r="I400" s="2687"/>
      <c r="J400" s="2687"/>
      <c r="K400" s="2687"/>
      <c r="L400" s="2687"/>
      <c r="M400" s="2687"/>
      <c r="N400" s="2687"/>
      <c r="O400" s="2687"/>
      <c r="P400" s="2687"/>
      <c r="Q400" s="2687"/>
      <c r="R400" s="2687"/>
      <c r="S400" s="2687"/>
      <c r="T400" s="2687"/>
      <c r="U400" s="2687"/>
      <c r="V400" s="2687"/>
      <c r="W400" s="2687"/>
      <c r="X400" s="2687"/>
    </row>
    <row r="401" spans="1:24">
      <c r="A401" s="2684"/>
      <c r="B401" s="2684"/>
      <c r="C401" s="2684"/>
      <c r="D401" s="2684"/>
      <c r="E401" s="2684"/>
      <c r="F401" s="2684"/>
      <c r="G401" s="2684"/>
      <c r="H401" s="2684"/>
      <c r="I401" s="2684"/>
      <c r="J401" s="2684"/>
      <c r="K401" s="2684"/>
      <c r="L401" s="2684"/>
      <c r="M401" s="2684"/>
      <c r="N401" s="2684"/>
      <c r="O401" s="2684"/>
      <c r="P401" s="2684"/>
      <c r="Q401" s="2684"/>
      <c r="R401" s="2684"/>
      <c r="S401" s="2684"/>
      <c r="T401" s="2684"/>
      <c r="U401" s="2681"/>
      <c r="V401" s="2681"/>
      <c r="W401" s="2681"/>
      <c r="X401" s="2681"/>
    </row>
    <row r="402" spans="1:24" ht="16.5">
      <c r="A402" s="2680"/>
      <c r="B402" s="2680"/>
      <c r="C402" s="2680"/>
      <c r="D402" s="2811"/>
      <c r="E402" s="2811"/>
      <c r="F402" s="2811"/>
      <c r="G402" s="2811"/>
      <c r="H402" s="2811"/>
      <c r="I402" s="2684"/>
      <c r="J402" s="2680"/>
      <c r="K402" s="2680"/>
      <c r="L402" s="2680"/>
      <c r="M402" s="2680"/>
      <c r="N402" s="2680"/>
      <c r="O402" s="2680"/>
      <c r="P402" s="2680"/>
      <c r="Q402" s="2680"/>
      <c r="R402" s="2680"/>
      <c r="S402" s="2680"/>
      <c r="T402" s="2680"/>
      <c r="U402" s="2681"/>
      <c r="V402" s="2681"/>
      <c r="W402" s="2681"/>
      <c r="X402" s="2681"/>
    </row>
    <row r="403" spans="1:24" ht="16.5">
      <c r="A403" s="2811" t="s">
        <v>647</v>
      </c>
      <c r="B403" s="2811" t="s">
        <v>944</v>
      </c>
      <c r="C403" s="2681"/>
      <c r="D403" s="2811"/>
      <c r="E403" s="2811"/>
      <c r="F403" s="2811"/>
      <c r="G403" s="2811"/>
      <c r="H403" s="2811"/>
      <c r="I403" s="2811"/>
      <c r="J403" s="2812" t="s">
        <v>283</v>
      </c>
      <c r="K403" s="2812"/>
      <c r="L403" s="2708"/>
      <c r="M403" s="2813" t="s">
        <v>511</v>
      </c>
      <c r="N403" s="2813"/>
      <c r="O403" s="2681"/>
      <c r="P403" s="2812" t="s">
        <v>284</v>
      </c>
      <c r="Q403" s="2812"/>
      <c r="R403" s="2681"/>
      <c r="S403" s="2812" t="s">
        <v>285</v>
      </c>
      <c r="T403" s="2812"/>
      <c r="U403" s="2681"/>
      <c r="V403" s="2681"/>
      <c r="W403" s="2814" t="str">
        <f>B403</f>
        <v>DEVELOPMENT BUDGET</v>
      </c>
      <c r="X403" s="2681"/>
    </row>
    <row r="404" spans="1:24">
      <c r="A404" s="2681"/>
      <c r="B404" s="2681"/>
      <c r="C404" s="2681"/>
      <c r="D404" s="2681"/>
      <c r="E404" s="2681"/>
      <c r="F404" s="2681"/>
      <c r="G404" s="2679" t="s">
        <v>103</v>
      </c>
      <c r="H404" s="2679"/>
      <c r="I404" s="2681"/>
      <c r="J404" s="2812"/>
      <c r="K404" s="2812"/>
      <c r="L404" s="2708"/>
      <c r="M404" s="2813"/>
      <c r="N404" s="2813"/>
      <c r="O404" s="2681"/>
      <c r="P404" s="2812"/>
      <c r="Q404" s="2812"/>
      <c r="R404" s="2681"/>
      <c r="S404" s="2812"/>
      <c r="T404" s="2812"/>
      <c r="U404" s="2681"/>
      <c r="V404" s="2681"/>
      <c r="W404" s="2747" t="s">
        <v>2826</v>
      </c>
      <c r="X404" s="2747"/>
    </row>
    <row r="405" spans="1:24">
      <c r="A405" s="2681"/>
      <c r="B405" s="2684" t="s">
        <v>104</v>
      </c>
      <c r="C405" s="2681"/>
      <c r="D405" s="2681"/>
      <c r="E405" s="2681"/>
      <c r="F405" s="2681"/>
      <c r="G405" s="2681"/>
      <c r="H405" s="2681"/>
      <c r="I405" s="2681"/>
      <c r="J405" s="2681"/>
      <c r="K405" s="2681"/>
      <c r="L405" s="2681"/>
      <c r="M405" s="2681"/>
      <c r="N405" s="2681"/>
      <c r="O405" s="2680" t="str">
        <f>B405</f>
        <v>PRE-DEVELOPMENT COSTS</v>
      </c>
      <c r="P405" s="2681"/>
      <c r="Q405" s="2681"/>
      <c r="R405" s="2681"/>
      <c r="S405" s="2681"/>
      <c r="T405" s="2681"/>
      <c r="U405" s="2681"/>
      <c r="V405" s="2681"/>
      <c r="W405" s="2681" t="str">
        <f>B405</f>
        <v>PRE-DEVELOPMENT COSTS</v>
      </c>
      <c r="X405" s="2681"/>
    </row>
    <row r="406" spans="1:24">
      <c r="A406" s="2681"/>
      <c r="B406" s="2681" t="s">
        <v>2099</v>
      </c>
      <c r="C406" s="2681"/>
      <c r="D406" s="2681"/>
      <c r="E406" s="2681"/>
      <c r="F406" s="2681"/>
      <c r="G406" s="2788">
        <f>'Part IV-Uses of Funds'!G8</f>
        <v>8000</v>
      </c>
      <c r="H406" s="2788"/>
      <c r="I406" s="2681"/>
      <c r="J406" s="2788">
        <f>'Part IV-Uses of Funds'!J8</f>
        <v>8000</v>
      </c>
      <c r="K406" s="2788"/>
      <c r="L406" s="2709"/>
      <c r="M406" s="2788">
        <f>'Part IV-Uses of Funds'!M8</f>
        <v>0</v>
      </c>
      <c r="N406" s="2788"/>
      <c r="O406" s="2681"/>
      <c r="P406" s="2788">
        <f>'Part IV-Uses of Funds'!P8</f>
        <v>0</v>
      </c>
      <c r="Q406" s="2788"/>
      <c r="R406" s="2681"/>
      <c r="S406" s="2788">
        <f>'Part IV-Uses of Funds'!S8</f>
        <v>0</v>
      </c>
      <c r="T406" s="2788"/>
      <c r="U406" s="2681"/>
      <c r="V406" s="2815">
        <f>'Part IV-Uses of Funds'!V8</f>
        <v>0</v>
      </c>
      <c r="W406" s="2816">
        <f>'Part IV-Uses of Funds'!W8</f>
        <v>0</v>
      </c>
      <c r="X406" s="2816"/>
    </row>
    <row r="407" spans="1:24">
      <c r="A407" s="2681"/>
      <c r="B407" s="2681" t="s">
        <v>476</v>
      </c>
      <c r="C407" s="2681"/>
      <c r="D407" s="2681"/>
      <c r="E407" s="2681"/>
      <c r="F407" s="2681"/>
      <c r="G407" s="2788">
        <f>'Part IV-Uses of Funds'!G9</f>
        <v>7500</v>
      </c>
      <c r="H407" s="2788"/>
      <c r="I407" s="2681"/>
      <c r="J407" s="2788">
        <f>'Part IV-Uses of Funds'!J9</f>
        <v>7500</v>
      </c>
      <c r="K407" s="2788"/>
      <c r="L407" s="2709"/>
      <c r="M407" s="2788">
        <f>'Part IV-Uses of Funds'!M9</f>
        <v>0</v>
      </c>
      <c r="N407" s="2788"/>
      <c r="O407" s="2681"/>
      <c r="P407" s="2788">
        <f>'Part IV-Uses of Funds'!P9</f>
        <v>0</v>
      </c>
      <c r="Q407" s="2788"/>
      <c r="R407" s="2681"/>
      <c r="S407" s="2788">
        <f>'Part IV-Uses of Funds'!S9</f>
        <v>0</v>
      </c>
      <c r="T407" s="2788"/>
      <c r="U407" s="2681"/>
      <c r="V407" s="2815">
        <f>'Part IV-Uses of Funds'!V9</f>
        <v>0</v>
      </c>
      <c r="W407" s="2816"/>
      <c r="X407" s="2816"/>
    </row>
    <row r="408" spans="1:24">
      <c r="A408" s="2681"/>
      <c r="B408" s="2681" t="s">
        <v>508</v>
      </c>
      <c r="C408" s="2681"/>
      <c r="D408" s="2681"/>
      <c r="E408" s="2681"/>
      <c r="F408" s="2681"/>
      <c r="G408" s="2788">
        <f>'Part IV-Uses of Funds'!G10</f>
        <v>10500</v>
      </c>
      <c r="H408" s="2788"/>
      <c r="I408" s="2681"/>
      <c r="J408" s="2788">
        <f>'Part IV-Uses of Funds'!J10</f>
        <v>10500</v>
      </c>
      <c r="K408" s="2788"/>
      <c r="L408" s="2709"/>
      <c r="M408" s="2788">
        <f>'Part IV-Uses of Funds'!M10</f>
        <v>0</v>
      </c>
      <c r="N408" s="2788"/>
      <c r="O408" s="2681"/>
      <c r="P408" s="2788">
        <f>'Part IV-Uses of Funds'!P10</f>
        <v>0</v>
      </c>
      <c r="Q408" s="2788"/>
      <c r="R408" s="2681"/>
      <c r="S408" s="2788">
        <f>'Part IV-Uses of Funds'!S10</f>
        <v>0</v>
      </c>
      <c r="T408" s="2788"/>
      <c r="U408" s="2681"/>
      <c r="V408" s="2815">
        <f>'Part IV-Uses of Funds'!V10</f>
        <v>0</v>
      </c>
      <c r="W408" s="2816"/>
      <c r="X408" s="2816"/>
    </row>
    <row r="409" spans="1:24">
      <c r="A409" s="2681"/>
      <c r="B409" s="2681" t="s">
        <v>509</v>
      </c>
      <c r="C409" s="2681"/>
      <c r="D409" s="2681"/>
      <c r="E409" s="2681"/>
      <c r="F409" s="2681"/>
      <c r="G409" s="2788">
        <f>'Part IV-Uses of Funds'!G11</f>
        <v>10000</v>
      </c>
      <c r="H409" s="2788"/>
      <c r="I409" s="2681"/>
      <c r="J409" s="2788">
        <f>'Part IV-Uses of Funds'!J11</f>
        <v>10000</v>
      </c>
      <c r="K409" s="2788"/>
      <c r="L409" s="2709"/>
      <c r="M409" s="2788">
        <f>'Part IV-Uses of Funds'!M11</f>
        <v>0</v>
      </c>
      <c r="N409" s="2788"/>
      <c r="O409" s="2681"/>
      <c r="P409" s="2788">
        <f>'Part IV-Uses of Funds'!P11</f>
        <v>0</v>
      </c>
      <c r="Q409" s="2788"/>
      <c r="R409" s="2681"/>
      <c r="S409" s="2788">
        <f>'Part IV-Uses of Funds'!S11</f>
        <v>0</v>
      </c>
      <c r="T409" s="2788"/>
      <c r="U409" s="2681"/>
      <c r="V409" s="2815">
        <f>'Part IV-Uses of Funds'!V11</f>
        <v>0</v>
      </c>
      <c r="W409" s="2816"/>
      <c r="X409" s="2816"/>
    </row>
    <row r="410" spans="1:24">
      <c r="A410" s="2681"/>
      <c r="B410" s="2681" t="s">
        <v>2623</v>
      </c>
      <c r="C410" s="2681"/>
      <c r="D410" s="2681"/>
      <c r="E410" s="2681"/>
      <c r="F410" s="2681"/>
      <c r="G410" s="2788">
        <f>'Part IV-Uses of Funds'!G12</f>
        <v>12000</v>
      </c>
      <c r="H410" s="2788"/>
      <c r="I410" s="2681"/>
      <c r="J410" s="2788">
        <f>'Part IV-Uses of Funds'!J12</f>
        <v>12000</v>
      </c>
      <c r="K410" s="2788"/>
      <c r="L410" s="2709"/>
      <c r="M410" s="2788">
        <f>'Part IV-Uses of Funds'!M12</f>
        <v>0</v>
      </c>
      <c r="N410" s="2788"/>
      <c r="O410" s="2681"/>
      <c r="P410" s="2788">
        <f>'Part IV-Uses of Funds'!P12</f>
        <v>0</v>
      </c>
      <c r="Q410" s="2788"/>
      <c r="R410" s="2681"/>
      <c r="S410" s="2788">
        <f>'Part IV-Uses of Funds'!S12</f>
        <v>0</v>
      </c>
      <c r="T410" s="2788"/>
      <c r="U410" s="2681"/>
      <c r="V410" s="2815">
        <f>'Part IV-Uses of Funds'!V12</f>
        <v>0</v>
      </c>
      <c r="W410" s="2816"/>
      <c r="X410" s="2816"/>
    </row>
    <row r="411" spans="1:24">
      <c r="A411" s="2681"/>
      <c r="B411" s="2681" t="s">
        <v>196</v>
      </c>
      <c r="C411" s="2681"/>
      <c r="D411" s="2681"/>
      <c r="E411" s="2681"/>
      <c r="F411" s="2681"/>
      <c r="G411" s="2788">
        <f>'Part IV-Uses of Funds'!G13</f>
        <v>500</v>
      </c>
      <c r="H411" s="2788"/>
      <c r="I411" s="2681"/>
      <c r="J411" s="2788">
        <f>'Part IV-Uses of Funds'!J13</f>
        <v>500</v>
      </c>
      <c r="K411" s="2788"/>
      <c r="L411" s="2709"/>
      <c r="M411" s="2788">
        <f>'Part IV-Uses of Funds'!M13</f>
        <v>0</v>
      </c>
      <c r="N411" s="2788"/>
      <c r="O411" s="2681"/>
      <c r="P411" s="2788">
        <f>'Part IV-Uses of Funds'!P13</f>
        <v>0</v>
      </c>
      <c r="Q411" s="2788"/>
      <c r="R411" s="2681"/>
      <c r="S411" s="2788">
        <f>'Part IV-Uses of Funds'!S13</f>
        <v>0</v>
      </c>
      <c r="T411" s="2788"/>
      <c r="U411" s="2681"/>
      <c r="V411" s="2815">
        <f>'Part IV-Uses of Funds'!V13</f>
        <v>0</v>
      </c>
      <c r="W411" s="2816"/>
      <c r="X411" s="2816"/>
    </row>
    <row r="412" spans="1:24" ht="15.75">
      <c r="A412" s="2817" t="str">
        <f>IF(AND(G412&gt;0,OR(C412="",C412="&lt;Enter detailed description here; use Comments section if needed&gt;")),"X","")</f>
        <v/>
      </c>
      <c r="B412" s="2681" t="s">
        <v>781</v>
      </c>
      <c r="C412" s="2696" t="str">
        <f>'Part IV-Uses of Funds'!C14</f>
        <v>Local Licenses</v>
      </c>
      <c r="D412" s="2696"/>
      <c r="E412" s="2696"/>
      <c r="F412" s="2696"/>
      <c r="G412" s="2788">
        <f>'Part IV-Uses of Funds'!G14</f>
        <v>2500</v>
      </c>
      <c r="H412" s="2788"/>
      <c r="I412" s="2681"/>
      <c r="J412" s="2788">
        <f>'Part IV-Uses of Funds'!J14</f>
        <v>2500</v>
      </c>
      <c r="K412" s="2788"/>
      <c r="L412" s="2709"/>
      <c r="M412" s="2788">
        <f>'Part IV-Uses of Funds'!M14</f>
        <v>0</v>
      </c>
      <c r="N412" s="2788"/>
      <c r="O412" s="2681"/>
      <c r="P412" s="2788">
        <f>'Part IV-Uses of Funds'!P14</f>
        <v>0</v>
      </c>
      <c r="Q412" s="2788"/>
      <c r="R412" s="2681"/>
      <c r="S412" s="2788">
        <f>'Part IV-Uses of Funds'!S14</f>
        <v>0</v>
      </c>
      <c r="T412" s="2788"/>
      <c r="U412" s="2682" t="str">
        <f>IF(AND(G412&gt;0,OR(C412="",C412="&lt;Enter detailed description here; use Comments section if needed&gt;")),"NO DESCRIPTION PROVIDED - please enter detailed description in Other box at left; use Comments section below if needed.","")</f>
        <v/>
      </c>
      <c r="V412" s="2815">
        <f>'Part IV-Uses of Funds'!V14</f>
        <v>0</v>
      </c>
      <c r="W412" s="2816"/>
      <c r="X412" s="2816"/>
    </row>
    <row r="413" spans="1:24" ht="15.75">
      <c r="A413" s="2817" t="str">
        <f>IF(AND(G413&gt;0,OR(C413="",C413="&lt;Enter detailed description here; use Comments section if needed&gt;")),"X","")</f>
        <v/>
      </c>
      <c r="B413" s="2681" t="s">
        <v>781</v>
      </c>
      <c r="C413" s="2696" t="str">
        <f>'Part IV-Uses of Funds'!C15</f>
        <v>&lt;Enter detailed description here; use Comments section if needed&gt;</v>
      </c>
      <c r="D413" s="2696"/>
      <c r="E413" s="2696"/>
      <c r="F413" s="2696"/>
      <c r="G413" s="2788">
        <f>'Part IV-Uses of Funds'!G15</f>
        <v>0</v>
      </c>
      <c r="H413" s="2788"/>
      <c r="I413" s="2681"/>
      <c r="J413" s="2788">
        <f>'Part IV-Uses of Funds'!J15</f>
        <v>0</v>
      </c>
      <c r="K413" s="2788"/>
      <c r="L413" s="2709"/>
      <c r="M413" s="2788">
        <f>'Part IV-Uses of Funds'!M15</f>
        <v>0</v>
      </c>
      <c r="N413" s="2788"/>
      <c r="O413" s="2681"/>
      <c r="P413" s="2788">
        <f>'Part IV-Uses of Funds'!P15</f>
        <v>0</v>
      </c>
      <c r="Q413" s="2788"/>
      <c r="R413" s="2681"/>
      <c r="S413" s="2788">
        <f>'Part IV-Uses of Funds'!S15</f>
        <v>0</v>
      </c>
      <c r="T413" s="2788"/>
      <c r="U413" s="2682" t="str">
        <f>IF(AND(G413&gt;0,OR(C413="",C413="&lt;Enter detailed description here; use Comments section if needed&gt;")),"NO DESCRIPTION PROVIDED - please enter detailed description in Other box at left; use Comments section below if needed.","")</f>
        <v/>
      </c>
      <c r="V413" s="2815">
        <f>'Part IV-Uses of Funds'!V15</f>
        <v>0</v>
      </c>
      <c r="W413" s="2816"/>
      <c r="X413" s="2816"/>
    </row>
    <row r="414" spans="1:24" ht="15.75">
      <c r="A414" s="2817" t="str">
        <f>IF(AND(G414&gt;0,OR(C414="",C414="&lt;Enter detailed description here; use Comments section if needed&gt;")),"X","")</f>
        <v/>
      </c>
      <c r="B414" s="2681" t="s">
        <v>781</v>
      </c>
      <c r="C414" s="2696" t="str">
        <f>'Part IV-Uses of Funds'!C16</f>
        <v>&lt;Enter detailed description here; use Comments section if needed&gt;</v>
      </c>
      <c r="D414" s="2696"/>
      <c r="E414" s="2696"/>
      <c r="F414" s="2696"/>
      <c r="G414" s="2788">
        <f>'Part IV-Uses of Funds'!G16</f>
        <v>0</v>
      </c>
      <c r="H414" s="2788"/>
      <c r="I414" s="2681"/>
      <c r="J414" s="2788">
        <f>'Part IV-Uses of Funds'!J16</f>
        <v>0</v>
      </c>
      <c r="K414" s="2788"/>
      <c r="L414" s="2709"/>
      <c r="M414" s="2788">
        <f>'Part IV-Uses of Funds'!M16</f>
        <v>0</v>
      </c>
      <c r="N414" s="2788"/>
      <c r="O414" s="2681"/>
      <c r="P414" s="2788">
        <f>'Part IV-Uses of Funds'!P16</f>
        <v>0</v>
      </c>
      <c r="Q414" s="2788"/>
      <c r="R414" s="2681"/>
      <c r="S414" s="2788">
        <f>'Part IV-Uses of Funds'!S16</f>
        <v>0</v>
      </c>
      <c r="T414" s="2788"/>
      <c r="U414" s="2682" t="str">
        <f>IF(AND(G414&gt;0,OR(C414="",C414="&lt;Enter detailed description here; use Comments section if needed&gt;")),"NO DESCRIPTION PROVIDED - please enter detailed description in Other box at left; use Comments section below if needed.","")</f>
        <v/>
      </c>
      <c r="V414" s="2815">
        <f>'Part IV-Uses of Funds'!V16</f>
        <v>0</v>
      </c>
      <c r="W414" s="2816"/>
      <c r="X414" s="2816"/>
    </row>
    <row r="415" spans="1:24">
      <c r="A415" s="2681"/>
      <c r="B415" s="2681"/>
      <c r="C415" s="2681"/>
      <c r="D415" s="2681"/>
      <c r="E415" s="2681"/>
      <c r="F415" s="2818" t="s">
        <v>197</v>
      </c>
      <c r="G415" s="2788">
        <f>SUM(G406:H414)</f>
        <v>51000</v>
      </c>
      <c r="H415" s="2788"/>
      <c r="I415" s="2681"/>
      <c r="J415" s="2788">
        <f>SUM(J406:K414)</f>
        <v>51000</v>
      </c>
      <c r="K415" s="2739"/>
      <c r="L415" s="2709"/>
      <c r="M415" s="2788">
        <f>SUM(M406:N414)</f>
        <v>0</v>
      </c>
      <c r="N415" s="2788"/>
      <c r="O415" s="2681"/>
      <c r="P415" s="2788">
        <f>SUM(P406:Q414)</f>
        <v>0</v>
      </c>
      <c r="Q415" s="2788"/>
      <c r="R415" s="2681"/>
      <c r="S415" s="2788">
        <f>SUM(S406:T414)</f>
        <v>0</v>
      </c>
      <c r="T415" s="2788"/>
      <c r="U415" s="2681"/>
      <c r="V415" s="2815">
        <f>SUM(V406:V414)</f>
        <v>0</v>
      </c>
      <c r="W415" s="2816"/>
      <c r="X415" s="2816"/>
    </row>
    <row r="416" spans="1:24">
      <c r="A416" s="2681"/>
      <c r="B416" s="2684" t="s">
        <v>2300</v>
      </c>
      <c r="C416" s="2681"/>
      <c r="D416" s="2681"/>
      <c r="E416" s="2681"/>
      <c r="F416" s="2681"/>
      <c r="G416" s="2681"/>
      <c r="H416" s="2681"/>
      <c r="I416" s="2681"/>
      <c r="J416" s="2708"/>
      <c r="K416" s="2708"/>
      <c r="L416" s="2681"/>
      <c r="M416" s="2708"/>
      <c r="N416" s="2708"/>
      <c r="O416" s="2819" t="str">
        <f>B416</f>
        <v>ACQUISITION</v>
      </c>
      <c r="P416" s="2708"/>
      <c r="Q416" s="2708"/>
      <c r="R416" s="2681"/>
      <c r="S416" s="2708"/>
      <c r="T416" s="2708"/>
      <c r="U416" s="2681"/>
      <c r="V416" s="2681"/>
      <c r="W416" s="2689" t="str">
        <f>B416</f>
        <v>ACQUISITION</v>
      </c>
      <c r="X416" s="2689"/>
    </row>
    <row r="417" spans="1:24">
      <c r="A417" s="2681"/>
      <c r="B417" s="2681" t="s">
        <v>2301</v>
      </c>
      <c r="C417" s="2681"/>
      <c r="D417" s="2681"/>
      <c r="E417" s="2681"/>
      <c r="F417" s="2681"/>
      <c r="G417" s="2788">
        <f>'Part IV-Uses of Funds'!G19</f>
        <v>796455</v>
      </c>
      <c r="H417" s="2788"/>
      <c r="I417" s="2681"/>
      <c r="J417" s="2709"/>
      <c r="K417" s="2708"/>
      <c r="L417" s="2709"/>
      <c r="M417" s="2709"/>
      <c r="N417" s="2708"/>
      <c r="O417" s="2681"/>
      <c r="P417" s="2709"/>
      <c r="Q417" s="2708"/>
      <c r="R417" s="2681"/>
      <c r="S417" s="2788">
        <f>'Part IV-Uses of Funds'!S19</f>
        <v>0</v>
      </c>
      <c r="T417" s="2788"/>
      <c r="U417" s="2681"/>
      <c r="V417" s="2815">
        <f>'Part IV-Uses of Funds'!V19</f>
        <v>0</v>
      </c>
      <c r="W417" s="2816">
        <f>'Part IV-Uses of Funds'!W19</f>
        <v>0</v>
      </c>
      <c r="X417" s="2816"/>
    </row>
    <row r="418" spans="1:24">
      <c r="A418" s="2681"/>
      <c r="B418" s="2681" t="s">
        <v>1170</v>
      </c>
      <c r="C418" s="2681"/>
      <c r="D418" s="2681"/>
      <c r="E418" s="2681"/>
      <c r="F418" s="2681"/>
      <c r="G418" s="2788">
        <f>'Part IV-Uses of Funds'!G20</f>
        <v>0</v>
      </c>
      <c r="H418" s="2788"/>
      <c r="I418" s="2681"/>
      <c r="J418" s="2709"/>
      <c r="K418" s="2708"/>
      <c r="L418" s="2709"/>
      <c r="M418" s="2709"/>
      <c r="N418" s="2708"/>
      <c r="O418" s="2681"/>
      <c r="P418" s="2709"/>
      <c r="Q418" s="2708"/>
      <c r="R418" s="2681"/>
      <c r="S418" s="2788">
        <f>'Part IV-Uses of Funds'!S20</f>
        <v>0</v>
      </c>
      <c r="T418" s="2788"/>
      <c r="U418" s="2681"/>
      <c r="V418" s="2815">
        <f>'Part IV-Uses of Funds'!V20</f>
        <v>0</v>
      </c>
      <c r="W418" s="2816"/>
      <c r="X418" s="2816"/>
    </row>
    <row r="419" spans="1:24">
      <c r="A419" s="2681"/>
      <c r="B419" s="2681" t="s">
        <v>477</v>
      </c>
      <c r="C419" s="2681"/>
      <c r="D419" s="2681"/>
      <c r="E419" s="2681"/>
      <c r="F419" s="2681"/>
      <c r="G419" s="2788">
        <f>'Part IV-Uses of Funds'!G21</f>
        <v>0</v>
      </c>
      <c r="H419" s="2788"/>
      <c r="I419" s="2681"/>
      <c r="J419" s="2709"/>
      <c r="K419" s="2708"/>
      <c r="L419" s="2709"/>
      <c r="M419" s="2788">
        <f>'Part IV-Uses of Funds'!M21</f>
        <v>0</v>
      </c>
      <c r="N419" s="2788"/>
      <c r="O419" s="2681"/>
      <c r="P419" s="2709"/>
      <c r="Q419" s="2708"/>
      <c r="R419" s="2681"/>
      <c r="S419" s="2788">
        <f>'Part IV-Uses of Funds'!S21</f>
        <v>0</v>
      </c>
      <c r="T419" s="2788"/>
      <c r="U419" s="2681"/>
      <c r="V419" s="2815">
        <f>'Part IV-Uses of Funds'!V21</f>
        <v>0</v>
      </c>
      <c r="W419" s="2816"/>
      <c r="X419" s="2816"/>
    </row>
    <row r="420" spans="1:24">
      <c r="A420" s="2681"/>
      <c r="B420" s="2681" t="s">
        <v>446</v>
      </c>
      <c r="C420" s="2681"/>
      <c r="D420" s="2681"/>
      <c r="E420" s="2681"/>
      <c r="F420" s="2681"/>
      <c r="G420" s="2788">
        <f>'Part IV-Uses of Funds'!G22</f>
        <v>0</v>
      </c>
      <c r="H420" s="2788"/>
      <c r="I420" s="2681"/>
      <c r="J420" s="2709"/>
      <c r="K420" s="2708"/>
      <c r="L420" s="2709"/>
      <c r="M420" s="2788">
        <f>'Part IV-Uses of Funds'!M22</f>
        <v>0</v>
      </c>
      <c r="N420" s="2788"/>
      <c r="O420" s="2681"/>
      <c r="P420" s="2709"/>
      <c r="Q420" s="2708"/>
      <c r="R420" s="2681"/>
      <c r="S420" s="2788">
        <f>'Part IV-Uses of Funds'!S22</f>
        <v>0</v>
      </c>
      <c r="T420" s="2788"/>
      <c r="U420" s="2681"/>
      <c r="V420" s="2815">
        <f>'Part IV-Uses of Funds'!V22</f>
        <v>0</v>
      </c>
      <c r="W420" s="2816"/>
      <c r="X420" s="2816"/>
    </row>
    <row r="421" spans="1:24">
      <c r="A421" s="2681"/>
      <c r="B421" s="2681"/>
      <c r="C421" s="2681"/>
      <c r="D421" s="2681"/>
      <c r="E421" s="2681"/>
      <c r="F421" s="2818" t="s">
        <v>197</v>
      </c>
      <c r="G421" s="2788">
        <f>SUM(G417:H420)</f>
        <v>796455</v>
      </c>
      <c r="H421" s="2788"/>
      <c r="I421" s="2681"/>
      <c r="J421" s="2709"/>
      <c r="K421" s="2708"/>
      <c r="L421" s="2709"/>
      <c r="M421" s="2788">
        <f>SUM(M419:N420)</f>
        <v>0</v>
      </c>
      <c r="N421" s="2788"/>
      <c r="O421" s="2681"/>
      <c r="P421" s="2709"/>
      <c r="Q421" s="2708"/>
      <c r="R421" s="2681"/>
      <c r="S421" s="2788">
        <f>SUM(S417:T420)</f>
        <v>0</v>
      </c>
      <c r="T421" s="2788"/>
      <c r="U421" s="2681"/>
      <c r="V421" s="2815">
        <f>SUM(V417:V420)</f>
        <v>0</v>
      </c>
      <c r="W421" s="2816"/>
      <c r="X421" s="2816"/>
    </row>
    <row r="422" spans="1:24">
      <c r="A422" s="2681"/>
      <c r="B422" s="2684" t="s">
        <v>1171</v>
      </c>
      <c r="C422" s="2681"/>
      <c r="D422" s="2681"/>
      <c r="E422" s="2681"/>
      <c r="F422" s="2681"/>
      <c r="G422" s="2681"/>
      <c r="H422" s="2681"/>
      <c r="I422" s="2681"/>
      <c r="J422" s="2709"/>
      <c r="K422" s="2708"/>
      <c r="L422" s="2681"/>
      <c r="M422" s="2709"/>
      <c r="N422" s="2708"/>
      <c r="O422" s="2819" t="str">
        <f>B422</f>
        <v>LAND IMPROVEMENTS</v>
      </c>
      <c r="P422" s="2709"/>
      <c r="Q422" s="2708"/>
      <c r="R422" s="2681"/>
      <c r="S422" s="2709"/>
      <c r="T422" s="2708"/>
      <c r="U422" s="2681"/>
      <c r="V422" s="2681"/>
      <c r="W422" s="2689" t="str">
        <f>B422</f>
        <v>LAND IMPROVEMENTS</v>
      </c>
      <c r="X422" s="2689"/>
    </row>
    <row r="423" spans="1:24">
      <c r="A423" s="2681"/>
      <c r="B423" s="2681" t="s">
        <v>1172</v>
      </c>
      <c r="C423" s="2681"/>
      <c r="D423" s="2681"/>
      <c r="E423" s="2681"/>
      <c r="F423" s="2681"/>
      <c r="G423" s="2788">
        <f>'Part IV-Uses of Funds'!G25</f>
        <v>2198400</v>
      </c>
      <c r="H423" s="2788"/>
      <c r="I423" s="2681"/>
      <c r="J423" s="2788">
        <f>'Part IV-Uses of Funds'!J25</f>
        <v>2198400</v>
      </c>
      <c r="K423" s="2788"/>
      <c r="L423" s="2709"/>
      <c r="M423" s="2788">
        <f>'Part IV-Uses of Funds'!M25</f>
        <v>0</v>
      </c>
      <c r="N423" s="2788"/>
      <c r="O423" s="2681"/>
      <c r="P423" s="2788">
        <f>'Part IV-Uses of Funds'!P25</f>
        <v>0</v>
      </c>
      <c r="Q423" s="2788"/>
      <c r="R423" s="2681"/>
      <c r="S423" s="2788">
        <f>'Part IV-Uses of Funds'!S25</f>
        <v>0</v>
      </c>
      <c r="T423" s="2788"/>
      <c r="U423" s="2681"/>
      <c r="V423" s="2815">
        <f>'Part IV-Uses of Funds'!V25</f>
        <v>0</v>
      </c>
      <c r="W423" s="2816">
        <f>'Part IV-Uses of Funds'!W25</f>
        <v>0</v>
      </c>
      <c r="X423" s="2816"/>
    </row>
    <row r="424" spans="1:24">
      <c r="A424" s="2681"/>
      <c r="B424" s="2681" t="s">
        <v>1173</v>
      </c>
      <c r="C424" s="2681"/>
      <c r="D424" s="2681"/>
      <c r="E424" s="2681"/>
      <c r="F424" s="2681"/>
      <c r="G424" s="2788">
        <f>'Part IV-Uses of Funds'!G26</f>
        <v>0</v>
      </c>
      <c r="H424" s="2788"/>
      <c r="I424" s="2681"/>
      <c r="J424" s="2788">
        <f>'Part IV-Uses of Funds'!J26</f>
        <v>0</v>
      </c>
      <c r="K424" s="2788"/>
      <c r="L424" s="2820"/>
      <c r="M424" s="2788"/>
      <c r="N424" s="2788"/>
      <c r="O424" s="2681"/>
      <c r="P424" s="2788"/>
      <c r="Q424" s="2788"/>
      <c r="R424" s="2681"/>
      <c r="S424" s="2788">
        <f>'Part IV-Uses of Funds'!S26</f>
        <v>0</v>
      </c>
      <c r="T424" s="2788"/>
      <c r="U424" s="2681"/>
      <c r="V424" s="2815">
        <f>'Part IV-Uses of Funds'!V26</f>
        <v>0</v>
      </c>
      <c r="W424" s="2816"/>
      <c r="X424" s="2816"/>
    </row>
    <row r="425" spans="1:24">
      <c r="A425" s="2681"/>
      <c r="B425" s="2681"/>
      <c r="C425" s="2681"/>
      <c r="D425" s="2681"/>
      <c r="E425" s="2681"/>
      <c r="F425" s="2818" t="s">
        <v>197</v>
      </c>
      <c r="G425" s="2788">
        <f>SUM(G423:H424)</f>
        <v>2198400</v>
      </c>
      <c r="H425" s="2788"/>
      <c r="I425" s="2681"/>
      <c r="J425" s="2788">
        <f>SUM(J423:K424)</f>
        <v>2198400</v>
      </c>
      <c r="K425" s="2788"/>
      <c r="L425" s="2709"/>
      <c r="M425" s="2788">
        <f>M423</f>
        <v>0</v>
      </c>
      <c r="N425" s="2788"/>
      <c r="O425" s="2681"/>
      <c r="P425" s="2788">
        <f>P423</f>
        <v>0</v>
      </c>
      <c r="Q425" s="2788"/>
      <c r="R425" s="2681"/>
      <c r="S425" s="2788">
        <f>SUM(S423:T424)</f>
        <v>0</v>
      </c>
      <c r="T425" s="2788"/>
      <c r="U425" s="2681"/>
      <c r="V425" s="2815">
        <f>SUM(V423:V424)</f>
        <v>0</v>
      </c>
      <c r="W425" s="2816"/>
      <c r="X425" s="2816"/>
    </row>
    <row r="426" spans="1:24">
      <c r="A426" s="2681"/>
      <c r="B426" s="2684" t="s">
        <v>1174</v>
      </c>
      <c r="C426" s="2681"/>
      <c r="D426" s="2681"/>
      <c r="E426" s="2681"/>
      <c r="F426" s="2681"/>
      <c r="G426" s="2681"/>
      <c r="H426" s="2681"/>
      <c r="I426" s="2681"/>
      <c r="J426" s="2709"/>
      <c r="K426" s="2708"/>
      <c r="L426" s="2681"/>
      <c r="M426" s="2709"/>
      <c r="N426" s="2708"/>
      <c r="O426" s="2819" t="str">
        <f>B426</f>
        <v>STRUCTURES</v>
      </c>
      <c r="P426" s="2709"/>
      <c r="Q426" s="2708"/>
      <c r="R426" s="2681"/>
      <c r="S426" s="2709"/>
      <c r="T426" s="2708"/>
      <c r="U426" s="2681"/>
      <c r="V426" s="2681"/>
      <c r="W426" s="2689" t="str">
        <f>B426</f>
        <v>STRUCTURES</v>
      </c>
      <c r="X426" s="2689"/>
    </row>
    <row r="427" spans="1:24">
      <c r="A427" s="2681"/>
      <c r="B427" s="2681" t="s">
        <v>1175</v>
      </c>
      <c r="C427" s="2681"/>
      <c r="D427" s="2681"/>
      <c r="E427" s="2681"/>
      <c r="F427" s="2681"/>
      <c r="G427" s="2788">
        <f>'Part IV-Uses of Funds'!G29</f>
        <v>6344380</v>
      </c>
      <c r="H427" s="2788"/>
      <c r="I427" s="2681"/>
      <c r="J427" s="2788">
        <f>'Part IV-Uses of Funds'!J29</f>
        <v>6344380</v>
      </c>
      <c r="K427" s="2788"/>
      <c r="L427" s="2709"/>
      <c r="M427" s="2788">
        <f>'Part IV-Uses of Funds'!M29</f>
        <v>0</v>
      </c>
      <c r="N427" s="2788"/>
      <c r="O427" s="2681"/>
      <c r="P427" s="2788">
        <f>'Part IV-Uses of Funds'!P29</f>
        <v>0</v>
      </c>
      <c r="Q427" s="2788"/>
      <c r="R427" s="2681"/>
      <c r="S427" s="2788">
        <f>'Part IV-Uses of Funds'!S29</f>
        <v>0</v>
      </c>
      <c r="T427" s="2788"/>
      <c r="U427" s="2681"/>
      <c r="V427" s="2815">
        <f>'Part IV-Uses of Funds'!V29</f>
        <v>0</v>
      </c>
      <c r="W427" s="2816">
        <f>'Part IV-Uses of Funds'!W29</f>
        <v>0</v>
      </c>
      <c r="X427" s="2816"/>
    </row>
    <row r="428" spans="1:24">
      <c r="A428" s="2681"/>
      <c r="B428" s="2681" t="s">
        <v>1176</v>
      </c>
      <c r="C428" s="2681"/>
      <c r="D428" s="2681"/>
      <c r="E428" s="2681"/>
      <c r="F428" s="2681"/>
      <c r="G428" s="2788">
        <f>'Part IV-Uses of Funds'!G30</f>
        <v>0</v>
      </c>
      <c r="H428" s="2788"/>
      <c r="I428" s="2681"/>
      <c r="J428" s="2788">
        <f>'Part IV-Uses of Funds'!J30</f>
        <v>0</v>
      </c>
      <c r="K428" s="2788"/>
      <c r="L428" s="2709"/>
      <c r="M428" s="2788">
        <f>'Part IV-Uses of Funds'!M30</f>
        <v>0</v>
      </c>
      <c r="N428" s="2788"/>
      <c r="O428" s="2681"/>
      <c r="P428" s="2788">
        <f>'Part IV-Uses of Funds'!P30</f>
        <v>0</v>
      </c>
      <c r="Q428" s="2788"/>
      <c r="R428" s="2681"/>
      <c r="S428" s="2788">
        <f>'Part IV-Uses of Funds'!S30</f>
        <v>0</v>
      </c>
      <c r="T428" s="2788"/>
      <c r="U428" s="2681"/>
      <c r="V428" s="2815">
        <f>'Part IV-Uses of Funds'!V30</f>
        <v>0</v>
      </c>
      <c r="W428" s="2816"/>
      <c r="X428" s="2816"/>
    </row>
    <row r="429" spans="1:24">
      <c r="A429" s="2681"/>
      <c r="B429" s="2681" t="s">
        <v>3087</v>
      </c>
      <c r="C429" s="2681"/>
      <c r="D429" s="2681"/>
      <c r="E429" s="2681"/>
      <c r="F429" s="2681"/>
      <c r="G429" s="2788">
        <f>'Part IV-Uses of Funds'!G31</f>
        <v>152530</v>
      </c>
      <c r="H429" s="2788"/>
      <c r="I429" s="2681"/>
      <c r="J429" s="2788">
        <f>'Part IV-Uses of Funds'!J31</f>
        <v>152530</v>
      </c>
      <c r="K429" s="2788"/>
      <c r="L429" s="2709"/>
      <c r="M429" s="2788">
        <f>'Part IV-Uses of Funds'!M31</f>
        <v>0</v>
      </c>
      <c r="N429" s="2788"/>
      <c r="O429" s="2681"/>
      <c r="P429" s="2788">
        <f>'Part IV-Uses of Funds'!P31</f>
        <v>0</v>
      </c>
      <c r="Q429" s="2788"/>
      <c r="R429" s="2681"/>
      <c r="S429" s="2788">
        <f>'Part IV-Uses of Funds'!S31</f>
        <v>0</v>
      </c>
      <c r="T429" s="2788"/>
      <c r="U429" s="2681"/>
      <c r="V429" s="2815">
        <f>'Part IV-Uses of Funds'!V31</f>
        <v>0</v>
      </c>
      <c r="W429" s="2816"/>
      <c r="X429" s="2816"/>
    </row>
    <row r="430" spans="1:24">
      <c r="A430" s="2687"/>
      <c r="B430" s="2681" t="s">
        <v>3086</v>
      </c>
      <c r="C430" s="2687"/>
      <c r="D430" s="2687"/>
      <c r="E430" s="2687"/>
      <c r="F430" s="2687"/>
      <c r="G430" s="2788">
        <f>'Part IV-Uses of Funds'!G32</f>
        <v>0</v>
      </c>
      <c r="H430" s="2788"/>
      <c r="I430" s="2681"/>
      <c r="J430" s="2788">
        <f>'Part IV-Uses of Funds'!J32</f>
        <v>0</v>
      </c>
      <c r="K430" s="2788"/>
      <c r="L430" s="2709"/>
      <c r="M430" s="2788">
        <f>'Part IV-Uses of Funds'!M32</f>
        <v>0</v>
      </c>
      <c r="N430" s="2788"/>
      <c r="O430" s="2681"/>
      <c r="P430" s="2788">
        <f>'Part IV-Uses of Funds'!P32</f>
        <v>0</v>
      </c>
      <c r="Q430" s="2788"/>
      <c r="R430" s="2681"/>
      <c r="S430" s="2788">
        <f>'Part IV-Uses of Funds'!S32</f>
        <v>0</v>
      </c>
      <c r="T430" s="2788"/>
      <c r="U430" s="2687"/>
      <c r="V430" s="2815">
        <f>'Part IV-Uses of Funds'!V32</f>
        <v>0</v>
      </c>
      <c r="W430" s="2816"/>
      <c r="X430" s="2816"/>
    </row>
    <row r="431" spans="1:24">
      <c r="A431" s="2681"/>
      <c r="B431" s="2681"/>
      <c r="C431" s="2821"/>
      <c r="D431" s="2821"/>
      <c r="E431" s="2822"/>
      <c r="F431" s="2818" t="s">
        <v>197</v>
      </c>
      <c r="G431" s="2788">
        <f>SUM(G427:H430)</f>
        <v>6496910</v>
      </c>
      <c r="H431" s="2788"/>
      <c r="I431" s="2681"/>
      <c r="J431" s="2788">
        <f>SUM(J427:K430)</f>
        <v>6496910</v>
      </c>
      <c r="K431" s="2788"/>
      <c r="L431" s="2709"/>
      <c r="M431" s="2788">
        <f>SUM(M427:N430)</f>
        <v>0</v>
      </c>
      <c r="N431" s="2788"/>
      <c r="O431" s="2681"/>
      <c r="P431" s="2788">
        <f>SUM(P427:Q430)</f>
        <v>0</v>
      </c>
      <c r="Q431" s="2788"/>
      <c r="R431" s="2681"/>
      <c r="S431" s="2788">
        <f>SUM(S427:T430)</f>
        <v>0</v>
      </c>
      <c r="T431" s="2788"/>
      <c r="U431" s="2681"/>
      <c r="V431" s="2815">
        <f>SUM(V427:V430)</f>
        <v>0</v>
      </c>
      <c r="W431" s="2816"/>
      <c r="X431" s="2816"/>
    </row>
    <row r="432" spans="1:24">
      <c r="A432" s="2681"/>
      <c r="B432" s="2684" t="s">
        <v>2453</v>
      </c>
      <c r="C432" s="2681"/>
      <c r="D432" s="2681"/>
      <c r="E432" s="2823">
        <f>SUM(E433:E435)</f>
        <v>0.14000000000000001</v>
      </c>
      <c r="F432" s="2681"/>
      <c r="G432" s="2684"/>
      <c r="H432" s="2687"/>
      <c r="I432" s="2687"/>
      <c r="J432" s="2709"/>
      <c r="K432" s="2708"/>
      <c r="L432" s="2681"/>
      <c r="M432" s="2709"/>
      <c r="N432" s="2708"/>
      <c r="O432" s="2819" t="str">
        <f>B432</f>
        <v>CONTRACTOR SERVICES</v>
      </c>
      <c r="P432" s="2709"/>
      <c r="Q432" s="2708"/>
      <c r="R432" s="2681"/>
      <c r="S432" s="2709"/>
      <c r="T432" s="2708"/>
      <c r="U432" s="2681"/>
      <c r="V432" s="2681"/>
      <c r="W432" s="2689" t="str">
        <f>B432</f>
        <v>CONTRACTOR SERVICES</v>
      </c>
      <c r="X432" s="2689"/>
    </row>
    <row r="433" spans="1:24">
      <c r="A433" s="2681"/>
      <c r="B433" s="2681" t="s">
        <v>2454</v>
      </c>
      <c r="C433" s="2681"/>
      <c r="D433" s="2681"/>
      <c r="E433" s="2824">
        <f>'DCA Underwriting Assumptions'!$R$71</f>
        <v>0.06</v>
      </c>
      <c r="F433" s="2825">
        <f>'Part IV-Uses of Funds'!F35</f>
        <v>521718.6</v>
      </c>
      <c r="G433" s="2788">
        <f>'Part IV-Uses of Funds'!G35</f>
        <v>521710</v>
      </c>
      <c r="H433" s="2788"/>
      <c r="I433" s="2687"/>
      <c r="J433" s="2788">
        <f>'Part IV-Uses of Funds'!J35</f>
        <v>521710</v>
      </c>
      <c r="K433" s="2788"/>
      <c r="L433" s="2709"/>
      <c r="M433" s="2788">
        <f>'Part IV-Uses of Funds'!M35</f>
        <v>0</v>
      </c>
      <c r="N433" s="2788"/>
      <c r="O433" s="2681"/>
      <c r="P433" s="2788">
        <f>'Part IV-Uses of Funds'!P35</f>
        <v>0</v>
      </c>
      <c r="Q433" s="2788"/>
      <c r="R433" s="2681"/>
      <c r="S433" s="2788">
        <f>'Part IV-Uses of Funds'!S35</f>
        <v>0</v>
      </c>
      <c r="T433" s="2788"/>
      <c r="U433" s="2681"/>
      <c r="V433" s="2815">
        <f>'Part IV-Uses of Funds'!V35</f>
        <v>0</v>
      </c>
      <c r="W433" s="2816">
        <f>'Part IV-Uses of Funds'!W35</f>
        <v>0</v>
      </c>
      <c r="X433" s="2816"/>
    </row>
    <row r="434" spans="1:24">
      <c r="A434" s="2681"/>
      <c r="B434" s="2681" t="s">
        <v>2924</v>
      </c>
      <c r="C434" s="2681"/>
      <c r="D434" s="2681"/>
      <c r="E434" s="2824">
        <f>'DCA Underwriting Assumptions'!$R$72</f>
        <v>0.02</v>
      </c>
      <c r="F434" s="2825">
        <f>'Part IV-Uses of Funds'!F36</f>
        <v>173906.2</v>
      </c>
      <c r="G434" s="2788">
        <f>'Part IV-Uses of Funds'!G36</f>
        <v>173900</v>
      </c>
      <c r="H434" s="2788"/>
      <c r="I434" s="2687"/>
      <c r="J434" s="2788">
        <f>'Part IV-Uses of Funds'!J36</f>
        <v>173900</v>
      </c>
      <c r="K434" s="2788"/>
      <c r="L434" s="2709"/>
      <c r="M434" s="2788">
        <f>'Part IV-Uses of Funds'!M36</f>
        <v>0</v>
      </c>
      <c r="N434" s="2788"/>
      <c r="O434" s="2681"/>
      <c r="P434" s="2788">
        <f>'Part IV-Uses of Funds'!P36</f>
        <v>0</v>
      </c>
      <c r="Q434" s="2788"/>
      <c r="R434" s="2681"/>
      <c r="S434" s="2788">
        <f>'Part IV-Uses of Funds'!S36</f>
        <v>0</v>
      </c>
      <c r="T434" s="2788"/>
      <c r="U434" s="2681"/>
      <c r="V434" s="2815">
        <f>'Part IV-Uses of Funds'!V36</f>
        <v>0</v>
      </c>
      <c r="W434" s="2816"/>
      <c r="X434" s="2816"/>
    </row>
    <row r="435" spans="1:24">
      <c r="A435" s="2681"/>
      <c r="B435" s="2681" t="s">
        <v>2925</v>
      </c>
      <c r="C435" s="2681"/>
      <c r="D435" s="2681"/>
      <c r="E435" s="2824">
        <f>'DCA Underwriting Assumptions'!$R$73</f>
        <v>0.06</v>
      </c>
      <c r="F435" s="2825">
        <f>'Part IV-Uses of Funds'!F37</f>
        <v>521718.6</v>
      </c>
      <c r="G435" s="2788">
        <f>'Part IV-Uses of Funds'!G37</f>
        <v>521710</v>
      </c>
      <c r="H435" s="2788"/>
      <c r="I435" s="2687"/>
      <c r="J435" s="2788">
        <f>'Part IV-Uses of Funds'!J37</f>
        <v>521710</v>
      </c>
      <c r="K435" s="2788"/>
      <c r="L435" s="2709"/>
      <c r="M435" s="2788">
        <f>'Part IV-Uses of Funds'!M37</f>
        <v>0</v>
      </c>
      <c r="N435" s="2788"/>
      <c r="O435" s="2681"/>
      <c r="P435" s="2788">
        <f>'Part IV-Uses of Funds'!P37</f>
        <v>0</v>
      </c>
      <c r="Q435" s="2788"/>
      <c r="R435" s="2681"/>
      <c r="S435" s="2788">
        <f>'Part IV-Uses of Funds'!S37</f>
        <v>0</v>
      </c>
      <c r="T435" s="2788"/>
      <c r="U435" s="2681"/>
      <c r="V435" s="2815">
        <f>'Part IV-Uses of Funds'!V37</f>
        <v>0</v>
      </c>
      <c r="W435" s="2816"/>
      <c r="X435" s="2816"/>
    </row>
    <row r="436" spans="1:24">
      <c r="A436" s="2681"/>
      <c r="B436" s="2681" t="s">
        <v>2140</v>
      </c>
      <c r="C436" s="2681"/>
      <c r="D436" s="2826"/>
      <c r="E436" s="2681"/>
      <c r="F436" s="2818" t="s">
        <v>197</v>
      </c>
      <c r="G436" s="2788">
        <f>SUM(G433:H435)</f>
        <v>1217320</v>
      </c>
      <c r="H436" s="2788"/>
      <c r="I436" s="2681"/>
      <c r="J436" s="2788">
        <f>SUM(J433:K435)</f>
        <v>1217320</v>
      </c>
      <c r="K436" s="2788"/>
      <c r="L436" s="2709"/>
      <c r="M436" s="2788">
        <f>SUM(M433:N435)</f>
        <v>0</v>
      </c>
      <c r="N436" s="2788"/>
      <c r="O436" s="2681"/>
      <c r="P436" s="2788">
        <f>SUM(P433:Q435)</f>
        <v>0</v>
      </c>
      <c r="Q436" s="2788"/>
      <c r="R436" s="2681"/>
      <c r="S436" s="2788">
        <f>SUM(S433:T435)</f>
        <v>0</v>
      </c>
      <c r="T436" s="2788"/>
      <c r="U436" s="2681"/>
      <c r="V436" s="2815">
        <f>SUM(V433:V435)</f>
        <v>0</v>
      </c>
      <c r="W436" s="2816"/>
      <c r="X436" s="2816"/>
    </row>
    <row r="437" spans="1:24">
      <c r="A437" s="2680"/>
      <c r="B437" s="2680"/>
      <c r="C437" s="2680"/>
      <c r="D437" s="2680"/>
      <c r="E437" s="2680"/>
      <c r="F437" s="2680"/>
      <c r="G437" s="2680"/>
      <c r="H437" s="2680"/>
      <c r="I437" s="2680"/>
      <c r="J437" s="2680"/>
      <c r="K437" s="2680"/>
      <c r="L437" s="2680"/>
      <c r="M437" s="2680"/>
      <c r="N437" s="2680"/>
      <c r="O437" s="2680"/>
      <c r="P437" s="2680"/>
      <c r="Q437" s="2680"/>
      <c r="R437" s="2680"/>
      <c r="S437" s="2680"/>
      <c r="T437" s="2680"/>
      <c r="U437" s="2681"/>
      <c r="V437" s="2681"/>
      <c r="W437" s="2689"/>
      <c r="X437" s="2689"/>
    </row>
    <row r="438" spans="1:24">
      <c r="A438" s="2681"/>
      <c r="B438" s="2684" t="s">
        <v>4564</v>
      </c>
      <c r="C438" s="2681"/>
      <c r="D438" s="2681"/>
      <c r="E438" s="2681"/>
      <c r="F438" s="2681"/>
      <c r="G438" s="2681"/>
      <c r="H438" s="2681"/>
      <c r="I438" s="2681"/>
      <c r="J438" s="2709"/>
      <c r="K438" s="2708"/>
      <c r="L438" s="2681"/>
      <c r="M438" s="2709"/>
      <c r="N438" s="2708"/>
      <c r="O438" s="2819" t="str">
        <f>B438</f>
        <v>OTHER CONSTRUCTION HARD COSTS (Non-GC work scope items done by Owner)</v>
      </c>
      <c r="P438" s="2709"/>
      <c r="Q438" s="2708"/>
      <c r="R438" s="2681"/>
      <c r="S438" s="2709"/>
      <c r="T438" s="2708"/>
      <c r="U438" s="2681"/>
      <c r="V438" s="2681"/>
      <c r="W438" s="2689" t="str">
        <f>B438</f>
        <v>OTHER CONSTRUCTION HARD COSTS (Non-GC work scope items done by Owner)</v>
      </c>
      <c r="X438" s="2689"/>
    </row>
    <row r="439" spans="1:24">
      <c r="A439" s="2687"/>
      <c r="B439" s="2681" t="s">
        <v>781</v>
      </c>
      <c r="C439" s="2696" t="str">
        <f>'Part IV-Uses of Funds'!C41</f>
        <v>&lt;Enter detailed description here; use Comments section if needed&gt;</v>
      </c>
      <c r="D439" s="2696"/>
      <c r="E439" s="2696"/>
      <c r="F439" s="2696"/>
      <c r="G439" s="2788">
        <f>'Part IV-Uses of Funds'!G41</f>
        <v>0</v>
      </c>
      <c r="H439" s="2788"/>
      <c r="I439" s="2681"/>
      <c r="J439" s="2788">
        <f>'Part IV-Uses of Funds'!J41</f>
        <v>0</v>
      </c>
      <c r="K439" s="2788"/>
      <c r="L439" s="2709"/>
      <c r="M439" s="2788">
        <f>'Part IV-Uses of Funds'!M41</f>
        <v>0</v>
      </c>
      <c r="N439" s="2788"/>
      <c r="O439" s="2681"/>
      <c r="P439" s="2788">
        <f>'Part IV-Uses of Funds'!P41</f>
        <v>0</v>
      </c>
      <c r="Q439" s="2788"/>
      <c r="R439" s="2681"/>
      <c r="S439" s="2788">
        <f>'Part IV-Uses of Funds'!S41</f>
        <v>0</v>
      </c>
      <c r="T439" s="2788"/>
      <c r="U439" s="2687"/>
      <c r="V439" s="2815">
        <f>'Part IV-Uses of Funds'!V41</f>
        <v>0</v>
      </c>
      <c r="W439" s="2816">
        <f>'Part IV-Uses of Funds'!W41</f>
        <v>0</v>
      </c>
      <c r="X439" s="2816"/>
    </row>
    <row r="440" spans="1:24">
      <c r="A440" s="2680"/>
      <c r="B440" s="2680"/>
      <c r="C440" s="2680"/>
      <c r="D440" s="2680"/>
      <c r="E440" s="2680"/>
      <c r="F440" s="2680"/>
      <c r="G440" s="2680"/>
      <c r="H440" s="2680"/>
      <c r="I440" s="2680"/>
      <c r="J440" s="2680"/>
      <c r="K440" s="2680"/>
      <c r="L440" s="2680"/>
      <c r="M440" s="2680"/>
      <c r="N440" s="2680"/>
      <c r="O440" s="2680"/>
      <c r="P440" s="2680"/>
      <c r="Q440" s="2680"/>
      <c r="R440" s="2680"/>
      <c r="S440" s="2680"/>
      <c r="T440" s="2680"/>
      <c r="U440" s="2681"/>
      <c r="V440" s="2681"/>
      <c r="W440" s="2816"/>
      <c r="X440" s="2816"/>
    </row>
    <row r="441" spans="1:24">
      <c r="A441" s="2681"/>
      <c r="B441" s="2827" t="s">
        <v>4565</v>
      </c>
      <c r="C441" s="2828"/>
      <c r="D441" s="2681"/>
      <c r="E441" s="2812" t="s">
        <v>2933</v>
      </c>
      <c r="F441" s="2829">
        <f>B442/'Part VI-Revenues &amp; Expenses'!$M$60</f>
        <v>103256.5625</v>
      </c>
      <c r="G441" s="2830" t="s">
        <v>4566</v>
      </c>
      <c r="H441" s="2681"/>
      <c r="I441" s="2681"/>
      <c r="J441" s="2831">
        <f>B442/'Part VI-Revenues &amp; Expenses'!$M$62</f>
        <v>103256.5625</v>
      </c>
      <c r="K441" s="2831"/>
      <c r="L441" s="2681"/>
      <c r="M441" s="2832" t="s">
        <v>1471</v>
      </c>
      <c r="N441" s="2832"/>
      <c r="O441" s="2681"/>
      <c r="P441" s="2831">
        <f>B442/'Part I-Project Information'!$P$60</f>
        <v>93.126180209126005</v>
      </c>
      <c r="Q441" s="2831"/>
      <c r="R441" s="2681"/>
      <c r="S441" s="2833" t="s">
        <v>3085</v>
      </c>
      <c r="T441" s="2833"/>
      <c r="U441" s="2681"/>
      <c r="V441" s="2681"/>
      <c r="W441" s="2816"/>
      <c r="X441" s="2816"/>
    </row>
    <row r="442" spans="1:24">
      <c r="A442" s="2681"/>
      <c r="B442" s="2834">
        <f>G425+G431+G436+G439</f>
        <v>9912630</v>
      </c>
      <c r="C442" s="2834"/>
      <c r="D442" s="2681"/>
      <c r="E442" s="2812"/>
      <c r="F442" s="2829">
        <f>B442/'Part VI-Revenues &amp; Expenses'!$M$118</f>
        <v>95.365100438697766</v>
      </c>
      <c r="G442" s="2719" t="s">
        <v>4567</v>
      </c>
      <c r="H442" s="2681"/>
      <c r="I442" s="2681"/>
      <c r="J442" s="2831">
        <f>B442/'Part VI-Revenues &amp; Expenses'!$M$120</f>
        <v>95.365100438697766</v>
      </c>
      <c r="K442" s="2831"/>
      <c r="L442" s="2681"/>
      <c r="M442" s="2833" t="s">
        <v>3084</v>
      </c>
      <c r="N442" s="2833"/>
      <c r="O442" s="2681"/>
      <c r="P442" s="2681"/>
      <c r="Q442" s="2681"/>
      <c r="R442" s="2681"/>
      <c r="S442" s="2681"/>
      <c r="T442" s="2681"/>
      <c r="U442" s="2681"/>
      <c r="V442" s="2681"/>
      <c r="W442" s="2816"/>
      <c r="X442" s="2816"/>
    </row>
    <row r="443" spans="1:24">
      <c r="A443" s="2680"/>
      <c r="B443" s="2680"/>
      <c r="C443" s="2680"/>
      <c r="D443" s="2680"/>
      <c r="E443" s="2680"/>
      <c r="F443" s="2680"/>
      <c r="G443" s="2680"/>
      <c r="H443" s="2680"/>
      <c r="I443" s="2680"/>
      <c r="J443" s="2680"/>
      <c r="K443" s="2680"/>
      <c r="L443" s="2680"/>
      <c r="M443" s="2680"/>
      <c r="N443" s="2680"/>
      <c r="O443" s="2680"/>
      <c r="P443" s="2680"/>
      <c r="Q443" s="2680"/>
      <c r="R443" s="2680"/>
      <c r="S443" s="2680"/>
      <c r="T443" s="2680"/>
      <c r="U443" s="2681"/>
      <c r="V443" s="2681"/>
      <c r="W443" s="2689"/>
      <c r="X443" s="2689"/>
    </row>
    <row r="444" spans="1:24">
      <c r="A444" s="2681"/>
      <c r="B444" s="2684" t="s">
        <v>1177</v>
      </c>
      <c r="C444" s="2681"/>
      <c r="D444" s="2681"/>
      <c r="E444" s="2681"/>
      <c r="F444" s="2681"/>
      <c r="G444" s="2681"/>
      <c r="H444" s="2681"/>
      <c r="I444" s="2681"/>
      <c r="J444" s="2709"/>
      <c r="K444" s="2708"/>
      <c r="L444" s="2681"/>
      <c r="M444" s="2709"/>
      <c r="N444" s="2708"/>
      <c r="O444" s="2819" t="str">
        <f>B444</f>
        <v>CONSTRUCTION CONTINGENCY</v>
      </c>
      <c r="P444" s="2709"/>
      <c r="Q444" s="2708"/>
      <c r="R444" s="2681"/>
      <c r="S444" s="2709"/>
      <c r="T444" s="2708"/>
      <c r="U444" s="2681"/>
      <c r="V444" s="2681"/>
      <c r="W444" s="2689" t="str">
        <f>B444</f>
        <v>CONSTRUCTION CONTINGENCY</v>
      </c>
      <c r="X444" s="2689"/>
    </row>
    <row r="445" spans="1:24">
      <c r="A445" s="2687"/>
      <c r="B445" s="2681" t="s">
        <v>2059</v>
      </c>
      <c r="C445" s="2687"/>
      <c r="D445" s="2687"/>
      <c r="E445" s="2687"/>
      <c r="F445" s="2835">
        <f>G445/B442</f>
        <v>4.9999848677898799E-2</v>
      </c>
      <c r="G445" s="2788">
        <f>'Part IV-Uses of Funds'!G47</f>
        <v>495630</v>
      </c>
      <c r="H445" s="2788"/>
      <c r="I445" s="2681"/>
      <c r="J445" s="2788">
        <f>'Part IV-Uses of Funds'!J47</f>
        <v>495630</v>
      </c>
      <c r="K445" s="2788"/>
      <c r="L445" s="2709"/>
      <c r="M445" s="2788">
        <f>'Part IV-Uses of Funds'!M47</f>
        <v>0</v>
      </c>
      <c r="N445" s="2788"/>
      <c r="O445" s="2681"/>
      <c r="P445" s="2788">
        <f>'Part IV-Uses of Funds'!P47</f>
        <v>0</v>
      </c>
      <c r="Q445" s="2788"/>
      <c r="R445" s="2681"/>
      <c r="S445" s="2788">
        <f>'Part IV-Uses of Funds'!S47</f>
        <v>0</v>
      </c>
      <c r="T445" s="2788"/>
      <c r="U445" s="2687"/>
      <c r="V445" s="2815">
        <f>'Part IV-Uses of Funds'!V47</f>
        <v>0</v>
      </c>
      <c r="W445" s="2816">
        <f>'Part IV-Uses of Funds'!W47</f>
        <v>0</v>
      </c>
      <c r="X445" s="2816"/>
    </row>
    <row r="446" spans="1:24">
      <c r="A446" s="2680"/>
      <c r="B446" s="2680"/>
      <c r="C446" s="2680"/>
      <c r="D446" s="2680"/>
      <c r="E446" s="2680"/>
      <c r="F446" s="2680"/>
      <c r="G446" s="2680"/>
      <c r="H446" s="2680"/>
      <c r="I446" s="2680"/>
      <c r="J446" s="2680"/>
      <c r="K446" s="2680"/>
      <c r="L446" s="2680"/>
      <c r="M446" s="2680"/>
      <c r="N446" s="2680"/>
      <c r="O446" s="2680"/>
      <c r="P446" s="2680"/>
      <c r="Q446" s="2680"/>
      <c r="R446" s="2680"/>
      <c r="S446" s="2680"/>
      <c r="T446" s="2680"/>
      <c r="U446" s="2681"/>
      <c r="V446" s="2681"/>
      <c r="W446" s="2689"/>
      <c r="X446" s="2689"/>
    </row>
    <row r="447" spans="1:24">
      <c r="A447" s="2680"/>
      <c r="B447" s="2680"/>
      <c r="C447" s="2680"/>
      <c r="D447" s="2680"/>
      <c r="E447" s="2680"/>
      <c r="F447" s="2680"/>
      <c r="G447" s="2680"/>
      <c r="H447" s="2680"/>
      <c r="I447" s="2680"/>
      <c r="J447" s="2680"/>
      <c r="K447" s="2680"/>
      <c r="L447" s="2680"/>
      <c r="M447" s="2680"/>
      <c r="N447" s="2680"/>
      <c r="O447" s="2680"/>
      <c r="P447" s="2680"/>
      <c r="Q447" s="2680"/>
      <c r="R447" s="2680"/>
      <c r="S447" s="2680"/>
      <c r="T447" s="2680"/>
      <c r="U447" s="2681"/>
      <c r="V447" s="2681"/>
      <c r="W447" s="2689"/>
      <c r="X447" s="2689"/>
    </row>
    <row r="448" spans="1:24" ht="16.5">
      <c r="A448" s="2811" t="s">
        <v>647</v>
      </c>
      <c r="B448" s="2811" t="s">
        <v>4568</v>
      </c>
      <c r="C448" s="2681"/>
      <c r="D448" s="2681"/>
      <c r="E448" s="2681"/>
      <c r="F448" s="2681"/>
      <c r="G448" s="2681"/>
      <c r="H448" s="2681"/>
      <c r="I448" s="2681"/>
      <c r="J448" s="2812" t="s">
        <v>283</v>
      </c>
      <c r="K448" s="2812"/>
      <c r="L448" s="2708"/>
      <c r="M448" s="2813" t="s">
        <v>511</v>
      </c>
      <c r="N448" s="2813"/>
      <c r="O448" s="2681"/>
      <c r="P448" s="2812" t="s">
        <v>284</v>
      </c>
      <c r="Q448" s="2812"/>
      <c r="R448" s="2681"/>
      <c r="S448" s="2812" t="s">
        <v>285</v>
      </c>
      <c r="T448" s="2812"/>
      <c r="U448" s="2681"/>
      <c r="V448" s="2681"/>
      <c r="W448" s="2836" t="str">
        <f>B448</f>
        <v>DEVELOPMENT BUDGET (cont'd)</v>
      </c>
      <c r="X448" s="2689"/>
    </row>
    <row r="449" spans="1:24">
      <c r="A449" s="2681"/>
      <c r="B449" s="2681"/>
      <c r="C449" s="2681"/>
      <c r="D449" s="2681"/>
      <c r="E449" s="2681"/>
      <c r="F449" s="2681"/>
      <c r="G449" s="2679" t="s">
        <v>103</v>
      </c>
      <c r="H449" s="2679"/>
      <c r="I449" s="2681"/>
      <c r="J449" s="2812"/>
      <c r="K449" s="2812"/>
      <c r="L449" s="2708"/>
      <c r="M449" s="2813"/>
      <c r="N449" s="2813"/>
      <c r="O449" s="2681"/>
      <c r="P449" s="2812"/>
      <c r="Q449" s="2812"/>
      <c r="R449" s="2681"/>
      <c r="S449" s="2812"/>
      <c r="T449" s="2812"/>
      <c r="U449" s="2681"/>
      <c r="V449" s="2681"/>
      <c r="W449" s="2731" t="s">
        <v>2826</v>
      </c>
      <c r="X449" s="2731"/>
    </row>
    <row r="450" spans="1:24">
      <c r="A450" s="2681"/>
      <c r="B450" s="2684" t="s">
        <v>762</v>
      </c>
      <c r="C450" s="2681"/>
      <c r="D450" s="2681"/>
      <c r="E450" s="2681"/>
      <c r="F450" s="2681"/>
      <c r="G450" s="2681"/>
      <c r="H450" s="2681"/>
      <c r="I450" s="2681"/>
      <c r="J450" s="2709"/>
      <c r="K450" s="2708"/>
      <c r="L450" s="2681"/>
      <c r="M450" s="2709"/>
      <c r="N450" s="2708"/>
      <c r="O450" s="2819" t="str">
        <f>B450</f>
        <v>CONSTRUCTION PERIOD FINANCING</v>
      </c>
      <c r="P450" s="2709"/>
      <c r="Q450" s="2708"/>
      <c r="R450" s="2681"/>
      <c r="S450" s="2709"/>
      <c r="T450" s="2708"/>
      <c r="U450" s="2681"/>
      <c r="V450" s="2681"/>
      <c r="W450" s="2689" t="str">
        <f>B450</f>
        <v>CONSTRUCTION PERIOD FINANCING</v>
      </c>
      <c r="X450" s="2689"/>
    </row>
    <row r="451" spans="1:24">
      <c r="A451" s="2681"/>
      <c r="B451" s="2681" t="s">
        <v>292</v>
      </c>
      <c r="C451" s="2681"/>
      <c r="D451" s="2681"/>
      <c r="E451" s="2681"/>
      <c r="F451" s="2681"/>
      <c r="G451" s="2788">
        <f>'Part IV-Uses of Funds'!G53</f>
        <v>0</v>
      </c>
      <c r="H451" s="2788"/>
      <c r="I451" s="2681"/>
      <c r="J451" s="2788">
        <f>'Part IV-Uses of Funds'!J53</f>
        <v>0</v>
      </c>
      <c r="K451" s="2788"/>
      <c r="L451" s="2709"/>
      <c r="M451" s="2788">
        <f>'Part IV-Uses of Funds'!M53</f>
        <v>0</v>
      </c>
      <c r="N451" s="2788"/>
      <c r="O451" s="2681"/>
      <c r="P451" s="2788">
        <f>'Part IV-Uses of Funds'!P53</f>
        <v>0</v>
      </c>
      <c r="Q451" s="2788"/>
      <c r="R451" s="2681"/>
      <c r="S451" s="2788">
        <f>'Part IV-Uses of Funds'!S53</f>
        <v>0</v>
      </c>
      <c r="T451" s="2788"/>
      <c r="U451" s="2681"/>
      <c r="V451" s="2681"/>
      <c r="W451" s="2689"/>
      <c r="X451" s="2689"/>
    </row>
    <row r="452" spans="1:24">
      <c r="A452" s="2681"/>
      <c r="B452" s="2681" t="s">
        <v>2456</v>
      </c>
      <c r="C452" s="2681"/>
      <c r="D452" s="2681"/>
      <c r="E452" s="2681"/>
      <c r="F452" s="2681"/>
      <c r="G452" s="2788">
        <f>'Part IV-Uses of Funds'!G54</f>
        <v>89136</v>
      </c>
      <c r="H452" s="2788"/>
      <c r="I452" s="2681"/>
      <c r="J452" s="2788">
        <f>'Part IV-Uses of Funds'!J54</f>
        <v>89136</v>
      </c>
      <c r="K452" s="2788"/>
      <c r="L452" s="2709"/>
      <c r="M452" s="2788">
        <f>'Part IV-Uses of Funds'!M54</f>
        <v>0</v>
      </c>
      <c r="N452" s="2788"/>
      <c r="O452" s="2681"/>
      <c r="P452" s="2788">
        <f>'Part IV-Uses of Funds'!P54</f>
        <v>0</v>
      </c>
      <c r="Q452" s="2788"/>
      <c r="R452" s="2681"/>
      <c r="S452" s="2788">
        <f>'Part IV-Uses of Funds'!S54</f>
        <v>0</v>
      </c>
      <c r="T452" s="2788"/>
      <c r="U452" s="2681"/>
      <c r="V452" s="2815">
        <f>'Part IV-Uses of Funds'!V54</f>
        <v>0</v>
      </c>
      <c r="W452" s="2816">
        <f>'Part IV-Uses of Funds'!W54</f>
        <v>0</v>
      </c>
      <c r="X452" s="2816"/>
    </row>
    <row r="453" spans="1:24">
      <c r="A453" s="2681"/>
      <c r="B453" s="2681" t="s">
        <v>2457</v>
      </c>
      <c r="C453" s="2681"/>
      <c r="D453" s="2681"/>
      <c r="E453" s="2681"/>
      <c r="F453" s="2681"/>
      <c r="G453" s="2788">
        <f>'Part IV-Uses of Funds'!G55</f>
        <v>149033</v>
      </c>
      <c r="H453" s="2788"/>
      <c r="I453" s="2681"/>
      <c r="J453" s="2788">
        <f>'Part IV-Uses of Funds'!J55</f>
        <v>149033</v>
      </c>
      <c r="K453" s="2788"/>
      <c r="L453" s="2709"/>
      <c r="M453" s="2788">
        <f>'Part IV-Uses of Funds'!M55</f>
        <v>0</v>
      </c>
      <c r="N453" s="2788"/>
      <c r="O453" s="2681"/>
      <c r="P453" s="2788">
        <f>'Part IV-Uses of Funds'!P55</f>
        <v>0</v>
      </c>
      <c r="Q453" s="2788"/>
      <c r="R453" s="2681"/>
      <c r="S453" s="2788">
        <f>'Part IV-Uses of Funds'!S55</f>
        <v>0</v>
      </c>
      <c r="T453" s="2788"/>
      <c r="U453" s="2681"/>
      <c r="V453" s="2815">
        <f>'Part IV-Uses of Funds'!V55</f>
        <v>0</v>
      </c>
      <c r="W453" s="2816"/>
      <c r="X453" s="2816"/>
    </row>
    <row r="454" spans="1:24">
      <c r="A454" s="2681"/>
      <c r="B454" s="2681" t="s">
        <v>2458</v>
      </c>
      <c r="C454" s="2681"/>
      <c r="D454" s="2681"/>
      <c r="E454" s="2681"/>
      <c r="F454" s="2681"/>
      <c r="G454" s="2788">
        <f>'Part IV-Uses of Funds'!G56</f>
        <v>25000</v>
      </c>
      <c r="H454" s="2788"/>
      <c r="I454" s="2681"/>
      <c r="J454" s="2788">
        <f>'Part IV-Uses of Funds'!J56</f>
        <v>25000</v>
      </c>
      <c r="K454" s="2788"/>
      <c r="L454" s="2709"/>
      <c r="M454" s="2788">
        <f>'Part IV-Uses of Funds'!M56</f>
        <v>0</v>
      </c>
      <c r="N454" s="2788"/>
      <c r="O454" s="2681"/>
      <c r="P454" s="2788">
        <f>'Part IV-Uses of Funds'!P56</f>
        <v>0</v>
      </c>
      <c r="Q454" s="2788"/>
      <c r="R454" s="2681"/>
      <c r="S454" s="2788">
        <f>'Part IV-Uses of Funds'!S56</f>
        <v>0</v>
      </c>
      <c r="T454" s="2788"/>
      <c r="U454" s="2681"/>
      <c r="V454" s="2815">
        <f>'Part IV-Uses of Funds'!V56</f>
        <v>0</v>
      </c>
      <c r="W454" s="2816"/>
      <c r="X454" s="2816"/>
    </row>
    <row r="455" spans="1:24">
      <c r="A455" s="2681"/>
      <c r="B455" s="2681" t="s">
        <v>2844</v>
      </c>
      <c r="C455" s="2681"/>
      <c r="D455" s="2681"/>
      <c r="E455" s="2681"/>
      <c r="F455" s="2681"/>
      <c r="G455" s="2788">
        <f>'Part IV-Uses of Funds'!G57</f>
        <v>12000</v>
      </c>
      <c r="H455" s="2788"/>
      <c r="I455" s="2681"/>
      <c r="J455" s="2788">
        <f>'Part IV-Uses of Funds'!J57</f>
        <v>12000</v>
      </c>
      <c r="K455" s="2788"/>
      <c r="L455" s="2709"/>
      <c r="M455" s="2788">
        <f>'Part IV-Uses of Funds'!M57</f>
        <v>0</v>
      </c>
      <c r="N455" s="2788"/>
      <c r="O455" s="2681"/>
      <c r="P455" s="2788">
        <f>'Part IV-Uses of Funds'!P57</f>
        <v>0</v>
      </c>
      <c r="Q455" s="2788"/>
      <c r="R455" s="2681"/>
      <c r="S455" s="2788">
        <f>'Part IV-Uses of Funds'!S57</f>
        <v>0</v>
      </c>
      <c r="T455" s="2788"/>
      <c r="U455" s="2681"/>
      <c r="V455" s="2815">
        <f>'Part IV-Uses of Funds'!V57</f>
        <v>0</v>
      </c>
      <c r="W455" s="2816"/>
      <c r="X455" s="2816"/>
    </row>
    <row r="456" spans="1:24">
      <c r="A456" s="2681"/>
      <c r="B456" s="2681" t="s">
        <v>763</v>
      </c>
      <c r="C456" s="2681"/>
      <c r="D456" s="2681"/>
      <c r="E456" s="2681"/>
      <c r="F456" s="2681"/>
      <c r="G456" s="2788">
        <f>'Part IV-Uses of Funds'!G58</f>
        <v>5000</v>
      </c>
      <c r="H456" s="2788"/>
      <c r="I456" s="2681"/>
      <c r="J456" s="2788">
        <f>'Part IV-Uses of Funds'!J58</f>
        <v>0</v>
      </c>
      <c r="K456" s="2788"/>
      <c r="L456" s="2709"/>
      <c r="M456" s="2788">
        <f>'Part IV-Uses of Funds'!M58</f>
        <v>0</v>
      </c>
      <c r="N456" s="2788"/>
      <c r="O456" s="2681"/>
      <c r="P456" s="2788">
        <f>'Part IV-Uses of Funds'!P58</f>
        <v>0</v>
      </c>
      <c r="Q456" s="2788"/>
      <c r="R456" s="2681"/>
      <c r="S456" s="2788">
        <f>'Part IV-Uses of Funds'!S58</f>
        <v>0</v>
      </c>
      <c r="T456" s="2788"/>
      <c r="U456" s="2681"/>
      <c r="V456" s="2815">
        <f>'Part IV-Uses of Funds'!V58</f>
        <v>0</v>
      </c>
      <c r="W456" s="2816"/>
      <c r="X456" s="2816"/>
    </row>
    <row r="457" spans="1:24">
      <c r="A457" s="2681"/>
      <c r="B457" s="2681" t="s">
        <v>2459</v>
      </c>
      <c r="C457" s="2681"/>
      <c r="D457" s="2681"/>
      <c r="E457" s="2681"/>
      <c r="F457" s="2681"/>
      <c r="G457" s="2788">
        <f>'Part IV-Uses of Funds'!G59</f>
        <v>32500</v>
      </c>
      <c r="H457" s="2788"/>
      <c r="I457" s="2681"/>
      <c r="J457" s="2788">
        <f>'Part IV-Uses of Funds'!J59</f>
        <v>32500</v>
      </c>
      <c r="K457" s="2788"/>
      <c r="L457" s="2709"/>
      <c r="M457" s="2788">
        <f>'Part IV-Uses of Funds'!M59</f>
        <v>0</v>
      </c>
      <c r="N457" s="2788"/>
      <c r="O457" s="2681"/>
      <c r="P457" s="2788">
        <f>'Part IV-Uses of Funds'!P59</f>
        <v>0</v>
      </c>
      <c r="Q457" s="2788"/>
      <c r="R457" s="2681"/>
      <c r="S457" s="2788">
        <f>'Part IV-Uses of Funds'!S59</f>
        <v>0</v>
      </c>
      <c r="T457" s="2788"/>
      <c r="U457" s="2681"/>
      <c r="V457" s="2815">
        <f>'Part IV-Uses of Funds'!V59</f>
        <v>0</v>
      </c>
      <c r="W457" s="2816"/>
      <c r="X457" s="2816"/>
    </row>
    <row r="458" spans="1:24">
      <c r="A458" s="2681"/>
      <c r="B458" s="2681" t="s">
        <v>1336</v>
      </c>
      <c r="C458" s="2681"/>
      <c r="D458" s="2681"/>
      <c r="E458" s="2681"/>
      <c r="F458" s="2681"/>
      <c r="G458" s="2788">
        <f>'Part IV-Uses of Funds'!G60</f>
        <v>25000</v>
      </c>
      <c r="H458" s="2788"/>
      <c r="I458" s="2681"/>
      <c r="J458" s="2788">
        <f>'Part IV-Uses of Funds'!J60</f>
        <v>25000</v>
      </c>
      <c r="K458" s="2788"/>
      <c r="L458" s="2709"/>
      <c r="M458" s="2788">
        <f>'Part IV-Uses of Funds'!M60</f>
        <v>0</v>
      </c>
      <c r="N458" s="2788"/>
      <c r="O458" s="2681"/>
      <c r="P458" s="2788">
        <f>'Part IV-Uses of Funds'!P60</f>
        <v>0</v>
      </c>
      <c r="Q458" s="2788"/>
      <c r="R458" s="2681"/>
      <c r="S458" s="2788">
        <f>'Part IV-Uses of Funds'!S60</f>
        <v>0</v>
      </c>
      <c r="T458" s="2788"/>
      <c r="U458" s="2681"/>
      <c r="V458" s="2815">
        <f>'Part IV-Uses of Funds'!V60</f>
        <v>0</v>
      </c>
      <c r="W458" s="2816"/>
      <c r="X458" s="2816"/>
    </row>
    <row r="459" spans="1:24">
      <c r="A459" s="2681"/>
      <c r="B459" s="2826" t="s">
        <v>1208</v>
      </c>
      <c r="C459" s="2681"/>
      <c r="D459" s="2824"/>
      <c r="E459" s="2824"/>
      <c r="F459" s="2825"/>
      <c r="G459" s="2788">
        <f>'Part IV-Uses of Funds'!G61</f>
        <v>78812</v>
      </c>
      <c r="H459" s="2788"/>
      <c r="I459" s="2687"/>
      <c r="J459" s="2788">
        <f>'Part IV-Uses of Funds'!J61</f>
        <v>78812</v>
      </c>
      <c r="K459" s="2788"/>
      <c r="L459" s="2709"/>
      <c r="M459" s="2788">
        <f>'Part IV-Uses of Funds'!M61</f>
        <v>0</v>
      </c>
      <c r="N459" s="2788"/>
      <c r="O459" s="2681"/>
      <c r="P459" s="2788">
        <f>'Part IV-Uses of Funds'!P61</f>
        <v>0</v>
      </c>
      <c r="Q459" s="2788"/>
      <c r="R459" s="2681"/>
      <c r="S459" s="2788">
        <f>'Part IV-Uses of Funds'!S61</f>
        <v>0</v>
      </c>
      <c r="T459" s="2788"/>
      <c r="U459" s="2681"/>
      <c r="V459" s="2815">
        <f>'Part IV-Uses of Funds'!V61</f>
        <v>0</v>
      </c>
      <c r="W459" s="2816"/>
      <c r="X459" s="2816"/>
    </row>
    <row r="460" spans="1:24" ht="15.75">
      <c r="A460" s="2817" t="str">
        <f>IF(AND(G460&gt;0,OR(C460="",C460="&lt;Enter detailed description here; use Comments section if needed&gt;")),"X","")</f>
        <v/>
      </c>
      <c r="B460" s="2681" t="s">
        <v>781</v>
      </c>
      <c r="C460" s="2696" t="str">
        <f>'Part IV-Uses of Funds'!C62</f>
        <v>&lt;Enter detailed description here; use Comments section if needed&gt;</v>
      </c>
      <c r="D460" s="2696"/>
      <c r="E460" s="2696"/>
      <c r="F460" s="2696"/>
      <c r="G460" s="2788">
        <f>'Part IV-Uses of Funds'!G62</f>
        <v>0</v>
      </c>
      <c r="H460" s="2788"/>
      <c r="I460" s="2681"/>
      <c r="J460" s="2788">
        <f>'Part IV-Uses of Funds'!J62</f>
        <v>0</v>
      </c>
      <c r="K460" s="2788"/>
      <c r="L460" s="2709"/>
      <c r="M460" s="2788">
        <f>'Part IV-Uses of Funds'!M62</f>
        <v>0</v>
      </c>
      <c r="N460" s="2788"/>
      <c r="O460" s="2681"/>
      <c r="P460" s="2788">
        <f>'Part IV-Uses of Funds'!P62</f>
        <v>0</v>
      </c>
      <c r="Q460" s="2788"/>
      <c r="R460" s="2681"/>
      <c r="S460" s="2788">
        <f>'Part IV-Uses of Funds'!S62</f>
        <v>0</v>
      </c>
      <c r="T460" s="2788"/>
      <c r="U460" s="2682" t="str">
        <f>IF(AND(G460&gt;0,OR(C460="",C460="&lt;Enter detailed description here; use Comments section if needed&gt;")),"NO DESCRIPTION PROVIDED - please enter detailed description in Other box at left; use Comments section below if needed.","")</f>
        <v/>
      </c>
      <c r="V460" s="2815">
        <f>'Part IV-Uses of Funds'!V62</f>
        <v>0</v>
      </c>
      <c r="W460" s="2816"/>
      <c r="X460" s="2816"/>
    </row>
    <row r="461" spans="1:24" ht="15.75">
      <c r="A461" s="2817" t="str">
        <f>IF(AND(G461&gt;0,OR(C461="",C461="&lt;Enter detailed description here; use Comments section if needed&gt;")),"X","")</f>
        <v/>
      </c>
      <c r="B461" s="2681" t="s">
        <v>781</v>
      </c>
      <c r="C461" s="2696" t="str">
        <f>'Part IV-Uses of Funds'!C63</f>
        <v>&lt;Enter detailed description here; use Comments section if needed&gt;</v>
      </c>
      <c r="D461" s="2696"/>
      <c r="E461" s="2696"/>
      <c r="F461" s="2696"/>
      <c r="G461" s="2788">
        <f>'Part IV-Uses of Funds'!G63</f>
        <v>0</v>
      </c>
      <c r="H461" s="2788"/>
      <c r="I461" s="2681"/>
      <c r="J461" s="2788">
        <f>'Part IV-Uses of Funds'!J63</f>
        <v>0</v>
      </c>
      <c r="K461" s="2788"/>
      <c r="L461" s="2709"/>
      <c r="M461" s="2788">
        <f>'Part IV-Uses of Funds'!M63</f>
        <v>0</v>
      </c>
      <c r="N461" s="2788"/>
      <c r="O461" s="2681"/>
      <c r="P461" s="2788">
        <f>'Part IV-Uses of Funds'!P63</f>
        <v>0</v>
      </c>
      <c r="Q461" s="2788"/>
      <c r="R461" s="2681"/>
      <c r="S461" s="2788">
        <f>'Part IV-Uses of Funds'!S63</f>
        <v>0</v>
      </c>
      <c r="T461" s="2788"/>
      <c r="U461" s="2682" t="str">
        <f>IF(AND(G461&gt;0,OR(C461="",C461="&lt;Enter detailed description here; use Comments section if needed&gt;")),"NO DESCRIPTION PROVIDED - please enter detailed description in Other box at left; use Comments section below if needed.","")</f>
        <v/>
      </c>
      <c r="V461" s="2815">
        <f>'Part IV-Uses of Funds'!V63</f>
        <v>0</v>
      </c>
      <c r="W461" s="2816"/>
      <c r="X461" s="2816"/>
    </row>
    <row r="462" spans="1:24">
      <c r="A462" s="2681"/>
      <c r="B462" s="2681"/>
      <c r="C462" s="2681"/>
      <c r="D462" s="2681"/>
      <c r="E462" s="2681"/>
      <c r="F462" s="2818" t="s">
        <v>197</v>
      </c>
      <c r="G462" s="2788">
        <f>SUM(G451:H461)</f>
        <v>416481</v>
      </c>
      <c r="H462" s="2788"/>
      <c r="I462" s="2681"/>
      <c r="J462" s="2788">
        <f>SUM(J451:K461)</f>
        <v>411481</v>
      </c>
      <c r="K462" s="2788"/>
      <c r="L462" s="2709"/>
      <c r="M462" s="2788">
        <f>SUM(M451:N461)</f>
        <v>0</v>
      </c>
      <c r="N462" s="2788"/>
      <c r="O462" s="2681"/>
      <c r="P462" s="2788">
        <f>SUM(P451:Q461)</f>
        <v>0</v>
      </c>
      <c r="Q462" s="2788"/>
      <c r="R462" s="2681"/>
      <c r="S462" s="2788">
        <f>SUM(S451:T461)</f>
        <v>0</v>
      </c>
      <c r="T462" s="2788"/>
      <c r="U462" s="2681"/>
      <c r="V462" s="2815">
        <f>SUM(V452:V461)</f>
        <v>0</v>
      </c>
      <c r="W462" s="2816"/>
      <c r="X462" s="2816"/>
    </row>
    <row r="463" spans="1:24">
      <c r="A463" s="2681"/>
      <c r="B463" s="2684" t="s">
        <v>497</v>
      </c>
      <c r="C463" s="2681"/>
      <c r="D463" s="2681"/>
      <c r="E463" s="2681"/>
      <c r="F463" s="2681"/>
      <c r="G463" s="2708"/>
      <c r="H463" s="2708"/>
      <c r="I463" s="2681"/>
      <c r="J463" s="2708"/>
      <c r="K463" s="2708"/>
      <c r="L463" s="2681"/>
      <c r="M463" s="2708"/>
      <c r="N463" s="2708"/>
      <c r="O463" s="2819" t="str">
        <f>B463</f>
        <v>PROFESSIONAL SERVICES</v>
      </c>
      <c r="P463" s="2708"/>
      <c r="Q463" s="2708"/>
      <c r="R463" s="2681"/>
      <c r="S463" s="2708"/>
      <c r="T463" s="2708"/>
      <c r="U463" s="2681"/>
      <c r="V463" s="2681"/>
      <c r="W463" s="2689" t="str">
        <f>B463</f>
        <v>PROFESSIONAL SERVICES</v>
      </c>
      <c r="X463" s="2689"/>
    </row>
    <row r="464" spans="1:24">
      <c r="A464" s="2681"/>
      <c r="B464" s="2681" t="s">
        <v>498</v>
      </c>
      <c r="C464" s="2681"/>
      <c r="D464" s="2681"/>
      <c r="E464" s="2681"/>
      <c r="F464" s="2681"/>
      <c r="G464" s="2788">
        <f>'Part IV-Uses of Funds'!G66</f>
        <v>153600</v>
      </c>
      <c r="H464" s="2788"/>
      <c r="I464" s="2681"/>
      <c r="J464" s="2788">
        <f>'Part IV-Uses of Funds'!J66</f>
        <v>153600</v>
      </c>
      <c r="K464" s="2788"/>
      <c r="L464" s="2709"/>
      <c r="M464" s="2788">
        <f>'Part IV-Uses of Funds'!M66</f>
        <v>0</v>
      </c>
      <c r="N464" s="2788"/>
      <c r="O464" s="2681"/>
      <c r="P464" s="2788">
        <f>'Part IV-Uses of Funds'!P66</f>
        <v>0</v>
      </c>
      <c r="Q464" s="2788"/>
      <c r="R464" s="2681"/>
      <c r="S464" s="2788">
        <f>'Part IV-Uses of Funds'!S66</f>
        <v>0</v>
      </c>
      <c r="T464" s="2788"/>
      <c r="U464" s="2681"/>
      <c r="V464" s="2815">
        <f>'Part IV-Uses of Funds'!V66</f>
        <v>0</v>
      </c>
      <c r="W464" s="2816">
        <f>'Part IV-Uses of Funds'!W66</f>
        <v>0</v>
      </c>
      <c r="X464" s="2816"/>
    </row>
    <row r="465" spans="1:24">
      <c r="A465" s="2681"/>
      <c r="B465" s="2681" t="s">
        <v>499</v>
      </c>
      <c r="C465" s="2681"/>
      <c r="D465" s="2681"/>
      <c r="E465" s="2681"/>
      <c r="F465" s="2681"/>
      <c r="G465" s="2788">
        <f>'Part IV-Uses of Funds'!G67</f>
        <v>9000</v>
      </c>
      <c r="H465" s="2788"/>
      <c r="I465" s="2681"/>
      <c r="J465" s="2788">
        <f>'Part IV-Uses of Funds'!J67</f>
        <v>9000</v>
      </c>
      <c r="K465" s="2788"/>
      <c r="L465" s="2709"/>
      <c r="M465" s="2788">
        <f>'Part IV-Uses of Funds'!M67</f>
        <v>0</v>
      </c>
      <c r="N465" s="2788"/>
      <c r="O465" s="2681"/>
      <c r="P465" s="2788">
        <f>'Part IV-Uses of Funds'!P67</f>
        <v>0</v>
      </c>
      <c r="Q465" s="2788"/>
      <c r="R465" s="2681"/>
      <c r="S465" s="2788">
        <f>'Part IV-Uses of Funds'!S67</f>
        <v>0</v>
      </c>
      <c r="T465" s="2788"/>
      <c r="U465" s="2681"/>
      <c r="V465" s="2815">
        <f>'Part IV-Uses of Funds'!V67</f>
        <v>0</v>
      </c>
      <c r="W465" s="2816"/>
      <c r="X465" s="2816"/>
    </row>
    <row r="466" spans="1:24">
      <c r="A466" s="2681"/>
      <c r="B466" s="2681" t="s">
        <v>1179</v>
      </c>
      <c r="C466" s="2681"/>
      <c r="D466" s="2681"/>
      <c r="E466" s="2681"/>
      <c r="F466" s="2681" t="s">
        <v>3030</v>
      </c>
      <c r="G466" s="2788">
        <f>'Part IV-Uses of Funds'!G68</f>
        <v>0</v>
      </c>
      <c r="H466" s="2788"/>
      <c r="I466" s="2681"/>
      <c r="J466" s="2788">
        <f>'Part IV-Uses of Funds'!J68</f>
        <v>0</v>
      </c>
      <c r="K466" s="2788"/>
      <c r="L466" s="2709"/>
      <c r="M466" s="2788">
        <f>'Part IV-Uses of Funds'!M68</f>
        <v>0</v>
      </c>
      <c r="N466" s="2788"/>
      <c r="O466" s="2681"/>
      <c r="P466" s="2788">
        <f>'Part IV-Uses of Funds'!P68</f>
        <v>0</v>
      </c>
      <c r="Q466" s="2788"/>
      <c r="R466" s="2681"/>
      <c r="S466" s="2788">
        <f>'Part IV-Uses of Funds'!S68</f>
        <v>0</v>
      </c>
      <c r="T466" s="2788"/>
      <c r="U466" s="2681"/>
      <c r="V466" s="2815">
        <f>'Part IV-Uses of Funds'!V68</f>
        <v>0</v>
      </c>
      <c r="W466" s="2816"/>
      <c r="X466" s="2816"/>
    </row>
    <row r="467" spans="1:24">
      <c r="A467" s="2681"/>
      <c r="B467" s="2681" t="s">
        <v>1180</v>
      </c>
      <c r="C467" s="2681"/>
      <c r="D467" s="2681"/>
      <c r="E467" s="2681"/>
      <c r="F467" s="2681"/>
      <c r="G467" s="2788">
        <f>'Part IV-Uses of Funds'!G69</f>
        <v>34180</v>
      </c>
      <c r="H467" s="2788"/>
      <c r="I467" s="2681"/>
      <c r="J467" s="2788">
        <f>'Part IV-Uses of Funds'!J69</f>
        <v>34180</v>
      </c>
      <c r="K467" s="2788"/>
      <c r="L467" s="2709"/>
      <c r="M467" s="2788">
        <f>'Part IV-Uses of Funds'!M69</f>
        <v>0</v>
      </c>
      <c r="N467" s="2788"/>
      <c r="O467" s="2681"/>
      <c r="P467" s="2788">
        <f>'Part IV-Uses of Funds'!P69</f>
        <v>0</v>
      </c>
      <c r="Q467" s="2788"/>
      <c r="R467" s="2681"/>
      <c r="S467" s="2788">
        <f>'Part IV-Uses of Funds'!S69</f>
        <v>0</v>
      </c>
      <c r="T467" s="2788"/>
      <c r="U467" s="2681"/>
      <c r="V467" s="2815">
        <f>'Part IV-Uses of Funds'!V69</f>
        <v>0</v>
      </c>
      <c r="W467" s="2816"/>
      <c r="X467" s="2816"/>
    </row>
    <row r="468" spans="1:24">
      <c r="A468" s="2681"/>
      <c r="B468" s="2681" t="s">
        <v>1181</v>
      </c>
      <c r="C468" s="2681"/>
      <c r="D468" s="2681"/>
      <c r="E468" s="2681"/>
      <c r="F468" s="2681"/>
      <c r="G468" s="2788">
        <f>'Part IV-Uses of Funds'!G70</f>
        <v>10000</v>
      </c>
      <c r="H468" s="2788"/>
      <c r="I468" s="2681"/>
      <c r="J468" s="2788">
        <f>'Part IV-Uses of Funds'!J70</f>
        <v>10000</v>
      </c>
      <c r="K468" s="2788"/>
      <c r="L468" s="2709"/>
      <c r="M468" s="2788">
        <f>'Part IV-Uses of Funds'!M70</f>
        <v>0</v>
      </c>
      <c r="N468" s="2788"/>
      <c r="O468" s="2681"/>
      <c r="P468" s="2788">
        <f>'Part IV-Uses of Funds'!P70</f>
        <v>0</v>
      </c>
      <c r="Q468" s="2788"/>
      <c r="R468" s="2681"/>
      <c r="S468" s="2788">
        <f>'Part IV-Uses of Funds'!S70</f>
        <v>0</v>
      </c>
      <c r="T468" s="2788"/>
      <c r="U468" s="2681"/>
      <c r="V468" s="2815">
        <f>'Part IV-Uses of Funds'!V70</f>
        <v>0</v>
      </c>
      <c r="W468" s="2816"/>
      <c r="X468" s="2816"/>
    </row>
    <row r="469" spans="1:24">
      <c r="A469" s="2681"/>
      <c r="B469" s="2681" t="s">
        <v>1182</v>
      </c>
      <c r="C469" s="2681"/>
      <c r="D469" s="2681"/>
      <c r="E469" s="2681"/>
      <c r="F469" s="2681"/>
      <c r="G469" s="2788">
        <f>'Part IV-Uses of Funds'!G71</f>
        <v>0</v>
      </c>
      <c r="H469" s="2788"/>
      <c r="I469" s="2681"/>
      <c r="J469" s="2788">
        <f>'Part IV-Uses of Funds'!J71</f>
        <v>0</v>
      </c>
      <c r="K469" s="2788"/>
      <c r="L469" s="2709"/>
      <c r="M469" s="2788">
        <f>'Part IV-Uses of Funds'!M71</f>
        <v>0</v>
      </c>
      <c r="N469" s="2788"/>
      <c r="O469" s="2681"/>
      <c r="P469" s="2788">
        <f>'Part IV-Uses of Funds'!P71</f>
        <v>0</v>
      </c>
      <c r="Q469" s="2788"/>
      <c r="R469" s="2681"/>
      <c r="S469" s="2788">
        <f>'Part IV-Uses of Funds'!S71</f>
        <v>0</v>
      </c>
      <c r="T469" s="2788"/>
      <c r="U469" s="2681"/>
      <c r="V469" s="2815">
        <f>'Part IV-Uses of Funds'!V71</f>
        <v>0</v>
      </c>
      <c r="W469" s="2816"/>
      <c r="X469" s="2816"/>
    </row>
    <row r="470" spans="1:24">
      <c r="A470" s="2681"/>
      <c r="B470" s="2681" t="s">
        <v>500</v>
      </c>
      <c r="C470" s="2681"/>
      <c r="D470" s="2681"/>
      <c r="E470" s="2681"/>
      <c r="F470" s="2681"/>
      <c r="G470" s="2788">
        <f>'Part IV-Uses of Funds'!G72</f>
        <v>45000</v>
      </c>
      <c r="H470" s="2788"/>
      <c r="I470" s="2681"/>
      <c r="J470" s="2788">
        <f>'Part IV-Uses of Funds'!J72</f>
        <v>45000</v>
      </c>
      <c r="K470" s="2788"/>
      <c r="L470" s="2709"/>
      <c r="M470" s="2788">
        <f>'Part IV-Uses of Funds'!M72</f>
        <v>0</v>
      </c>
      <c r="N470" s="2788"/>
      <c r="O470" s="2681"/>
      <c r="P470" s="2788">
        <f>'Part IV-Uses of Funds'!P72</f>
        <v>0</v>
      </c>
      <c r="Q470" s="2788"/>
      <c r="R470" s="2681"/>
      <c r="S470" s="2788">
        <f>'Part IV-Uses of Funds'!S72</f>
        <v>0</v>
      </c>
      <c r="T470" s="2788"/>
      <c r="U470" s="2681"/>
      <c r="V470" s="2815">
        <f>'Part IV-Uses of Funds'!V72</f>
        <v>0</v>
      </c>
      <c r="W470" s="2816"/>
      <c r="X470" s="2816"/>
    </row>
    <row r="471" spans="1:24">
      <c r="A471" s="2681"/>
      <c r="B471" s="2681" t="s">
        <v>501</v>
      </c>
      <c r="C471" s="2681"/>
      <c r="D471" s="2681"/>
      <c r="E471" s="2681"/>
      <c r="F471" s="2681"/>
      <c r="G471" s="2788">
        <f>'Part IV-Uses of Funds'!G73</f>
        <v>40000</v>
      </c>
      <c r="H471" s="2788"/>
      <c r="I471" s="2681"/>
      <c r="J471" s="2788">
        <f>'Part IV-Uses of Funds'!J73</f>
        <v>36000</v>
      </c>
      <c r="K471" s="2788"/>
      <c r="L471" s="2709"/>
      <c r="M471" s="2788">
        <f>'Part IV-Uses of Funds'!M73</f>
        <v>0</v>
      </c>
      <c r="N471" s="2788"/>
      <c r="O471" s="2681"/>
      <c r="P471" s="2788">
        <f>'Part IV-Uses of Funds'!P73</f>
        <v>0</v>
      </c>
      <c r="Q471" s="2788"/>
      <c r="R471" s="2681"/>
      <c r="S471" s="2788">
        <f>'Part IV-Uses of Funds'!S73</f>
        <v>0</v>
      </c>
      <c r="T471" s="2788"/>
      <c r="U471" s="2681"/>
      <c r="V471" s="2815">
        <f>'Part IV-Uses of Funds'!V73</f>
        <v>0</v>
      </c>
      <c r="W471" s="2816"/>
      <c r="X471" s="2816"/>
    </row>
    <row r="472" spans="1:24">
      <c r="A472" s="2681"/>
      <c r="B472" s="2681" t="s">
        <v>2150</v>
      </c>
      <c r="C472" s="2681"/>
      <c r="D472" s="2681"/>
      <c r="E472" s="2681"/>
      <c r="F472" s="2681"/>
      <c r="G472" s="2788">
        <f>'Part IV-Uses of Funds'!G74</f>
        <v>20000</v>
      </c>
      <c r="H472" s="2788"/>
      <c r="I472" s="2681"/>
      <c r="J472" s="2788">
        <f>'Part IV-Uses of Funds'!J74</f>
        <v>18000</v>
      </c>
      <c r="K472" s="2788"/>
      <c r="L472" s="2709"/>
      <c r="M472" s="2788">
        <f>'Part IV-Uses of Funds'!M74</f>
        <v>0</v>
      </c>
      <c r="N472" s="2788"/>
      <c r="O472" s="2681"/>
      <c r="P472" s="2788">
        <f>'Part IV-Uses of Funds'!P74</f>
        <v>0</v>
      </c>
      <c r="Q472" s="2788"/>
      <c r="R472" s="2681"/>
      <c r="S472" s="2788">
        <f>'Part IV-Uses of Funds'!S74</f>
        <v>0</v>
      </c>
      <c r="T472" s="2788"/>
      <c r="U472" s="2681"/>
      <c r="V472" s="2815">
        <f>'Part IV-Uses of Funds'!V74</f>
        <v>0</v>
      </c>
      <c r="W472" s="2816"/>
      <c r="X472" s="2816"/>
    </row>
    <row r="473" spans="1:24">
      <c r="A473" s="2681"/>
      <c r="B473" s="2681" t="s">
        <v>1337</v>
      </c>
      <c r="C473" s="2681"/>
      <c r="D473" s="2681"/>
      <c r="E473" s="2681"/>
      <c r="F473" s="2681"/>
      <c r="G473" s="2788">
        <f>'Part IV-Uses of Funds'!G75</f>
        <v>8000</v>
      </c>
      <c r="H473" s="2788"/>
      <c r="I473" s="2681"/>
      <c r="J473" s="2788">
        <f>'Part IV-Uses of Funds'!J75</f>
        <v>8000</v>
      </c>
      <c r="K473" s="2788"/>
      <c r="L473" s="2709"/>
      <c r="M473" s="2788">
        <f>'Part IV-Uses of Funds'!M75</f>
        <v>0</v>
      </c>
      <c r="N473" s="2788"/>
      <c r="O473" s="2681"/>
      <c r="P473" s="2788">
        <f>'Part IV-Uses of Funds'!P75</f>
        <v>0</v>
      </c>
      <c r="Q473" s="2788"/>
      <c r="R473" s="2681"/>
      <c r="S473" s="2788">
        <f>'Part IV-Uses of Funds'!S75</f>
        <v>0</v>
      </c>
      <c r="T473" s="2788"/>
      <c r="U473" s="2681"/>
      <c r="V473" s="2815">
        <f>'Part IV-Uses of Funds'!V75</f>
        <v>0</v>
      </c>
      <c r="W473" s="2816"/>
      <c r="X473" s="2816"/>
    </row>
    <row r="474" spans="1:24" ht="12.75" customHeight="1">
      <c r="A474" s="2817" t="str">
        <f>IF(AND(G474&gt;0,OR(C474="",C474="&lt;Enter detailed description here; use Comments section if needed&gt;")),"X","")</f>
        <v/>
      </c>
      <c r="B474" s="2681" t="s">
        <v>781</v>
      </c>
      <c r="C474" s="2696" t="str">
        <f>'Part IV-Uses of Funds'!C76</f>
        <v>&lt;Enter detailed description here; use Comments section if needed&gt;</v>
      </c>
      <c r="D474" s="2696"/>
      <c r="E474" s="2696"/>
      <c r="F474" s="2696"/>
      <c r="G474" s="2788">
        <f>'Part IV-Uses of Funds'!G76</f>
        <v>0</v>
      </c>
      <c r="H474" s="2788"/>
      <c r="I474" s="2681"/>
      <c r="J474" s="2788">
        <f>'Part IV-Uses of Funds'!J76</f>
        <v>0</v>
      </c>
      <c r="K474" s="2788"/>
      <c r="L474" s="2709"/>
      <c r="M474" s="2788">
        <f>'Part IV-Uses of Funds'!M76</f>
        <v>0</v>
      </c>
      <c r="N474" s="2788"/>
      <c r="O474" s="2681"/>
      <c r="P474" s="2788">
        <f>'Part IV-Uses of Funds'!P76</f>
        <v>0</v>
      </c>
      <c r="Q474" s="2788"/>
      <c r="R474" s="2681"/>
      <c r="S474" s="2788">
        <f>'Part IV-Uses of Funds'!S76</f>
        <v>0</v>
      </c>
      <c r="T474" s="2788"/>
      <c r="U474" s="2682" t="str">
        <f>IF(AND(G474&gt;0,OR(C474="",C474="&lt;Enter detailed description here; use Comments section if needed&gt;")),"NO DESCRIPTION PROVIDED - please enter detailed description in Other box at left; use Comments section below if needed.","")</f>
        <v/>
      </c>
      <c r="V474" s="2815">
        <f>'Part IV-Uses of Funds'!V76</f>
        <v>0</v>
      </c>
      <c r="W474" s="2816"/>
      <c r="X474" s="2816"/>
    </row>
    <row r="475" spans="1:24">
      <c r="A475" s="2681"/>
      <c r="B475" s="2681"/>
      <c r="C475" s="2681"/>
      <c r="D475" s="2681"/>
      <c r="E475" s="2681"/>
      <c r="F475" s="2818" t="s">
        <v>197</v>
      </c>
      <c r="G475" s="2788">
        <f>SUM(G464:H474)</f>
        <v>319780</v>
      </c>
      <c r="H475" s="2788"/>
      <c r="I475" s="2681"/>
      <c r="J475" s="2788">
        <f>SUM(J464:K474)</f>
        <v>313780</v>
      </c>
      <c r="K475" s="2788"/>
      <c r="L475" s="2709"/>
      <c r="M475" s="2788">
        <f>SUM(M464:N474)</f>
        <v>0</v>
      </c>
      <c r="N475" s="2788"/>
      <c r="O475" s="2681"/>
      <c r="P475" s="2788">
        <f>SUM(P464:Q474)</f>
        <v>0</v>
      </c>
      <c r="Q475" s="2788"/>
      <c r="R475" s="2681"/>
      <c r="S475" s="2788">
        <f>SUM(S464:T474)</f>
        <v>0</v>
      </c>
      <c r="T475" s="2788"/>
      <c r="U475" s="2681"/>
      <c r="V475" s="2815">
        <f>SUM(V464:V474)</f>
        <v>0</v>
      </c>
      <c r="W475" s="2816"/>
      <c r="X475" s="2816"/>
    </row>
    <row r="476" spans="1:24">
      <c r="A476" s="2681"/>
      <c r="B476" s="2684" t="s">
        <v>1329</v>
      </c>
      <c r="C476" s="2681"/>
      <c r="D476" s="2681"/>
      <c r="E476" s="2681"/>
      <c r="F476" s="2681"/>
      <c r="G476" s="2681"/>
      <c r="H476" s="2681"/>
      <c r="I476" s="2681"/>
      <c r="J476" s="2709"/>
      <c r="K476" s="2709"/>
      <c r="L476" s="2687"/>
      <c r="M476" s="2709"/>
      <c r="N476" s="2709"/>
      <c r="O476" s="2819" t="str">
        <f>B476</f>
        <v>LOCAL GOVERNMENT FEES</v>
      </c>
      <c r="P476" s="2709"/>
      <c r="Q476" s="2709"/>
      <c r="R476" s="2687"/>
      <c r="S476" s="2709"/>
      <c r="T476" s="2709"/>
      <c r="U476" s="2687"/>
      <c r="V476" s="2687"/>
      <c r="W476" s="2689" t="str">
        <f>B476</f>
        <v>LOCAL GOVERNMENT FEES</v>
      </c>
      <c r="X476" s="2698"/>
    </row>
    <row r="477" spans="1:24">
      <c r="A477" s="2681"/>
      <c r="B477" s="2681" t="s">
        <v>1330</v>
      </c>
      <c r="C477" s="2681"/>
      <c r="D477" s="2681"/>
      <c r="E477" s="2681"/>
      <c r="F477" s="2681"/>
      <c r="G477" s="2788">
        <f>'Part IV-Uses of Funds'!G79</f>
        <v>8667</v>
      </c>
      <c r="H477" s="2788"/>
      <c r="I477" s="2681"/>
      <c r="J477" s="2788">
        <f>'Part IV-Uses of Funds'!J79</f>
        <v>8667</v>
      </c>
      <c r="K477" s="2788"/>
      <c r="L477" s="2709"/>
      <c r="M477" s="2788">
        <f>'Part IV-Uses of Funds'!M79</f>
        <v>0</v>
      </c>
      <c r="N477" s="2788"/>
      <c r="O477" s="2681"/>
      <c r="P477" s="2788">
        <f>'Part IV-Uses of Funds'!P79</f>
        <v>0</v>
      </c>
      <c r="Q477" s="2788"/>
      <c r="R477" s="2681"/>
      <c r="S477" s="2788">
        <f>'Part IV-Uses of Funds'!S79</f>
        <v>0</v>
      </c>
      <c r="T477" s="2788"/>
      <c r="U477" s="2681"/>
      <c r="V477" s="2815">
        <f>'Part IV-Uses of Funds'!V79</f>
        <v>0</v>
      </c>
      <c r="W477" s="2816">
        <f>'Part IV-Uses of Funds'!W79</f>
        <v>0</v>
      </c>
      <c r="X477" s="2837"/>
    </row>
    <row r="478" spans="1:24">
      <c r="A478" s="2681"/>
      <c r="B478" s="2681" t="s">
        <v>1331</v>
      </c>
      <c r="C478" s="2681"/>
      <c r="D478" s="2681"/>
      <c r="E478" s="2681"/>
      <c r="F478" s="2681"/>
      <c r="G478" s="2788">
        <f>'Part IV-Uses of Funds'!G80</f>
        <v>0</v>
      </c>
      <c r="H478" s="2788"/>
      <c r="I478" s="2681"/>
      <c r="J478" s="2788">
        <f>'Part IV-Uses of Funds'!J80</f>
        <v>0</v>
      </c>
      <c r="K478" s="2788"/>
      <c r="L478" s="2709"/>
      <c r="M478" s="2788">
        <f>'Part IV-Uses of Funds'!M80</f>
        <v>0</v>
      </c>
      <c r="N478" s="2788"/>
      <c r="O478" s="2681"/>
      <c r="P478" s="2788">
        <f>'Part IV-Uses of Funds'!P80</f>
        <v>0</v>
      </c>
      <c r="Q478" s="2788"/>
      <c r="R478" s="2681"/>
      <c r="S478" s="2788">
        <f>'Part IV-Uses of Funds'!S80</f>
        <v>0</v>
      </c>
      <c r="T478" s="2788"/>
      <c r="U478" s="2681"/>
      <c r="V478" s="2815">
        <f>'Part IV-Uses of Funds'!V80</f>
        <v>0</v>
      </c>
      <c r="W478" s="2837"/>
      <c r="X478" s="2837"/>
    </row>
    <row r="479" spans="1:24">
      <c r="A479" s="2681"/>
      <c r="B479" s="2681" t="s">
        <v>1332</v>
      </c>
      <c r="C479" s="2681"/>
      <c r="D479" s="2838" t="s">
        <v>1472</v>
      </c>
      <c r="E479" s="2839" t="str">
        <f>'Part IV-Uses of Funds'!E81</f>
        <v>No</v>
      </c>
      <c r="F479" s="2681"/>
      <c r="G479" s="2788">
        <f>'Part IV-Uses of Funds'!G81</f>
        <v>12300</v>
      </c>
      <c r="H479" s="2788"/>
      <c r="I479" s="2687"/>
      <c r="J479" s="2788">
        <f>'Part IV-Uses of Funds'!J81</f>
        <v>12300</v>
      </c>
      <c r="K479" s="2788"/>
      <c r="L479" s="2709"/>
      <c r="M479" s="2788">
        <f>'Part IV-Uses of Funds'!M81</f>
        <v>0</v>
      </c>
      <c r="N479" s="2788"/>
      <c r="O479" s="2681"/>
      <c r="P479" s="2788">
        <f>'Part IV-Uses of Funds'!P81</f>
        <v>0</v>
      </c>
      <c r="Q479" s="2788"/>
      <c r="R479" s="2681"/>
      <c r="S479" s="2788">
        <f>'Part IV-Uses of Funds'!S81</f>
        <v>0</v>
      </c>
      <c r="T479" s="2788"/>
      <c r="U479" s="2681"/>
      <c r="V479" s="2815">
        <f>'Part IV-Uses of Funds'!V81</f>
        <v>0</v>
      </c>
      <c r="W479" s="2837"/>
      <c r="X479" s="2837"/>
    </row>
    <row r="480" spans="1:24">
      <c r="A480" s="2681"/>
      <c r="B480" s="2681" t="s">
        <v>1333</v>
      </c>
      <c r="C480" s="2681"/>
      <c r="D480" s="2838" t="s">
        <v>1472</v>
      </c>
      <c r="E480" s="2839" t="str">
        <f>'Part IV-Uses of Funds'!E82</f>
        <v>No</v>
      </c>
      <c r="F480" s="2681"/>
      <c r="G480" s="2788">
        <f>'Part IV-Uses of Funds'!G82</f>
        <v>3625</v>
      </c>
      <c r="H480" s="2788"/>
      <c r="I480" s="2687"/>
      <c r="J480" s="2788">
        <f>'Part IV-Uses of Funds'!J82</f>
        <v>3625</v>
      </c>
      <c r="K480" s="2788"/>
      <c r="L480" s="2709"/>
      <c r="M480" s="2788">
        <f>'Part IV-Uses of Funds'!M82</f>
        <v>0</v>
      </c>
      <c r="N480" s="2788"/>
      <c r="O480" s="2681"/>
      <c r="P480" s="2788">
        <f>'Part IV-Uses of Funds'!P82</f>
        <v>0</v>
      </c>
      <c r="Q480" s="2788"/>
      <c r="R480" s="2681"/>
      <c r="S480" s="2788">
        <f>'Part IV-Uses of Funds'!S82</f>
        <v>0</v>
      </c>
      <c r="T480" s="2788"/>
      <c r="U480" s="2681"/>
      <c r="V480" s="2815">
        <f>'Part IV-Uses of Funds'!V82</f>
        <v>0</v>
      </c>
      <c r="W480" s="2837"/>
      <c r="X480" s="2837"/>
    </row>
    <row r="481" spans="1:24">
      <c r="A481" s="2681"/>
      <c r="B481" s="2681"/>
      <c r="C481" s="2681"/>
      <c r="D481" s="2681"/>
      <c r="E481" s="2681"/>
      <c r="F481" s="2818" t="s">
        <v>197</v>
      </c>
      <c r="G481" s="2788">
        <f>SUM(G477:H480)</f>
        <v>24592</v>
      </c>
      <c r="H481" s="2788"/>
      <c r="I481" s="2681"/>
      <c r="J481" s="2788">
        <f>SUM(J477:K480)</f>
        <v>24592</v>
      </c>
      <c r="K481" s="2788"/>
      <c r="L481" s="2709"/>
      <c r="M481" s="2788">
        <f>SUM(M477:N480)</f>
        <v>0</v>
      </c>
      <c r="N481" s="2788"/>
      <c r="O481" s="2681"/>
      <c r="P481" s="2788">
        <f>SUM(P477:Q480)</f>
        <v>0</v>
      </c>
      <c r="Q481" s="2788"/>
      <c r="R481" s="2681"/>
      <c r="S481" s="2788">
        <f>SUM(S477:T480)</f>
        <v>0</v>
      </c>
      <c r="T481" s="2788"/>
      <c r="U481" s="2681"/>
      <c r="V481" s="2815">
        <f>SUM(V477:V480)</f>
        <v>0</v>
      </c>
      <c r="W481" s="2837"/>
      <c r="X481" s="2837"/>
    </row>
    <row r="482" spans="1:24">
      <c r="A482" s="2681"/>
      <c r="B482" s="2684" t="s">
        <v>764</v>
      </c>
      <c r="C482" s="2681"/>
      <c r="D482" s="2681"/>
      <c r="E482" s="2681"/>
      <c r="F482" s="2681"/>
      <c r="G482" s="2681"/>
      <c r="H482" s="2681"/>
      <c r="I482" s="2681"/>
      <c r="J482" s="2709"/>
      <c r="K482" s="2709"/>
      <c r="L482" s="2681"/>
      <c r="M482" s="2709"/>
      <c r="N482" s="2709"/>
      <c r="O482" s="2819" t="str">
        <f>B482</f>
        <v>PERMANENT FINANCING FEES</v>
      </c>
      <c r="P482" s="2709"/>
      <c r="Q482" s="2709"/>
      <c r="R482" s="2681"/>
      <c r="S482" s="2709"/>
      <c r="T482" s="2709"/>
      <c r="U482" s="2681"/>
      <c r="V482" s="2681"/>
      <c r="W482" s="2689" t="str">
        <f>B482</f>
        <v>PERMANENT FINANCING FEES</v>
      </c>
      <c r="X482" s="2689"/>
    </row>
    <row r="483" spans="1:24">
      <c r="A483" s="2681"/>
      <c r="B483" s="2681" t="s">
        <v>1334</v>
      </c>
      <c r="C483" s="2681"/>
      <c r="D483" s="2681"/>
      <c r="E483" s="2681"/>
      <c r="F483" s="2681"/>
      <c r="G483" s="2788">
        <f>'Part IV-Uses of Funds'!G85</f>
        <v>11813</v>
      </c>
      <c r="H483" s="2788"/>
      <c r="I483" s="2681"/>
      <c r="J483" s="2840"/>
      <c r="K483" s="2840"/>
      <c r="L483" s="2709"/>
      <c r="M483" s="2840"/>
      <c r="N483" s="2840"/>
      <c r="O483" s="2681"/>
      <c r="P483" s="2840"/>
      <c r="Q483" s="2840"/>
      <c r="R483" s="2681"/>
      <c r="S483" s="2788">
        <f>'Part IV-Uses of Funds'!S85</f>
        <v>0</v>
      </c>
      <c r="T483" s="2788"/>
      <c r="U483" s="2681"/>
      <c r="V483" s="2815">
        <f>'Part IV-Uses of Funds'!V85</f>
        <v>0</v>
      </c>
      <c r="W483" s="2816">
        <f>'Part IV-Uses of Funds'!W85</f>
        <v>0</v>
      </c>
      <c r="X483" s="2837"/>
    </row>
    <row r="484" spans="1:24">
      <c r="A484" s="2681"/>
      <c r="B484" s="2681" t="s">
        <v>1335</v>
      </c>
      <c r="C484" s="2681"/>
      <c r="D484" s="2681"/>
      <c r="E484" s="2681"/>
      <c r="F484" s="2681"/>
      <c r="G484" s="2788">
        <f>'Part IV-Uses of Funds'!G86</f>
        <v>5000</v>
      </c>
      <c r="H484" s="2788"/>
      <c r="I484" s="2681"/>
      <c r="J484" s="2840"/>
      <c r="K484" s="2840"/>
      <c r="L484" s="2709"/>
      <c r="M484" s="2840"/>
      <c r="N484" s="2840"/>
      <c r="O484" s="2681"/>
      <c r="P484" s="2840"/>
      <c r="Q484" s="2840"/>
      <c r="R484" s="2681"/>
      <c r="S484" s="2788">
        <f>'Part IV-Uses of Funds'!S86</f>
        <v>0</v>
      </c>
      <c r="T484" s="2788"/>
      <c r="U484" s="2681"/>
      <c r="V484" s="2815">
        <f>'Part IV-Uses of Funds'!V86</f>
        <v>0</v>
      </c>
      <c r="W484" s="2837"/>
      <c r="X484" s="2837"/>
    </row>
    <row r="485" spans="1:24">
      <c r="A485" s="2681"/>
      <c r="B485" s="2681" t="s">
        <v>1336</v>
      </c>
      <c r="C485" s="2681"/>
      <c r="D485" s="2681"/>
      <c r="E485" s="2681"/>
      <c r="F485" s="2681"/>
      <c r="G485" s="2788">
        <f>'Part IV-Uses of Funds'!G87</f>
        <v>5000</v>
      </c>
      <c r="H485" s="2788"/>
      <c r="I485" s="2681"/>
      <c r="J485" s="2840"/>
      <c r="K485" s="2840"/>
      <c r="L485" s="2709"/>
      <c r="M485" s="2840"/>
      <c r="N485" s="2840"/>
      <c r="O485" s="2681"/>
      <c r="P485" s="2840"/>
      <c r="Q485" s="2840"/>
      <c r="R485" s="2681"/>
      <c r="S485" s="2788">
        <f>'Part IV-Uses of Funds'!S87</f>
        <v>0</v>
      </c>
      <c r="T485" s="2788"/>
      <c r="U485" s="2681"/>
      <c r="V485" s="2815">
        <f>'Part IV-Uses of Funds'!V87</f>
        <v>0</v>
      </c>
      <c r="W485" s="2837"/>
      <c r="X485" s="2837"/>
    </row>
    <row r="486" spans="1:24">
      <c r="A486" s="2681"/>
      <c r="B486" s="2681" t="s">
        <v>1338</v>
      </c>
      <c r="C486" s="2681"/>
      <c r="D486" s="2681"/>
      <c r="E486" s="2681"/>
      <c r="F486" s="2681"/>
      <c r="G486" s="2788">
        <f>'Part IV-Uses of Funds'!G88</f>
        <v>0</v>
      </c>
      <c r="H486" s="2788"/>
      <c r="I486" s="2681"/>
      <c r="J486" s="2840"/>
      <c r="K486" s="2840"/>
      <c r="L486" s="2709"/>
      <c r="M486" s="2840"/>
      <c r="N486" s="2840"/>
      <c r="O486" s="2681"/>
      <c r="P486" s="2840"/>
      <c r="Q486" s="2840"/>
      <c r="R486" s="2681"/>
      <c r="S486" s="2788">
        <f>'Part IV-Uses of Funds'!S88</f>
        <v>0</v>
      </c>
      <c r="T486" s="2788"/>
      <c r="U486" s="2681"/>
      <c r="V486" s="2815">
        <f>'Part IV-Uses of Funds'!V88</f>
        <v>0</v>
      </c>
      <c r="W486" s="2837"/>
      <c r="X486" s="2837"/>
    </row>
    <row r="487" spans="1:24">
      <c r="A487" s="2681"/>
      <c r="B487" s="2681" t="s">
        <v>2407</v>
      </c>
      <c r="C487" s="2681"/>
      <c r="D487" s="2681"/>
      <c r="E487" s="2681"/>
      <c r="F487" s="2681"/>
      <c r="G487" s="2788">
        <f>'Part IV-Uses of Funds'!G89</f>
        <v>0</v>
      </c>
      <c r="H487" s="2788"/>
      <c r="I487" s="2681"/>
      <c r="J487" s="2840"/>
      <c r="K487" s="2840"/>
      <c r="L487" s="2709"/>
      <c r="M487" s="2840"/>
      <c r="N487" s="2840"/>
      <c r="O487" s="2681"/>
      <c r="P487" s="2840"/>
      <c r="Q487" s="2840"/>
      <c r="R487" s="2681"/>
      <c r="S487" s="2788">
        <f>'Part IV-Uses of Funds'!S89</f>
        <v>0</v>
      </c>
      <c r="T487" s="2788"/>
      <c r="U487" s="2681"/>
      <c r="V487" s="2815">
        <f>'Part IV-Uses of Funds'!V89</f>
        <v>0</v>
      </c>
      <c r="W487" s="2837"/>
      <c r="X487" s="2837"/>
    </row>
    <row r="488" spans="1:24" ht="15.75">
      <c r="A488" s="2817" t="str">
        <f>IF(AND(G488&gt;0,OR(C488="",C488="&lt;Enter detailed description here; use Comments section if needed&gt;")),"X","")</f>
        <v/>
      </c>
      <c r="B488" s="2681" t="s">
        <v>781</v>
      </c>
      <c r="C488" s="2696" t="str">
        <f>'Part IV-Uses of Funds'!C90</f>
        <v>&lt;Yr 1 operational insurance premium paid up front&gt;</v>
      </c>
      <c r="D488" s="2696"/>
      <c r="E488" s="2696"/>
      <c r="F488" s="2696"/>
      <c r="G488" s="2788">
        <f>'Part IV-Uses of Funds'!G90</f>
        <v>22500</v>
      </c>
      <c r="H488" s="2788"/>
      <c r="I488" s="2681"/>
      <c r="J488" s="2840"/>
      <c r="K488" s="2840"/>
      <c r="L488" s="2709"/>
      <c r="M488" s="2840"/>
      <c r="N488" s="2840"/>
      <c r="O488" s="2681"/>
      <c r="P488" s="2840"/>
      <c r="Q488" s="2840"/>
      <c r="R488" s="2681"/>
      <c r="S488" s="2788">
        <f>'Part IV-Uses of Funds'!S90</f>
        <v>0</v>
      </c>
      <c r="T488" s="2788"/>
      <c r="U488" s="2682" t="str">
        <f>IF(AND(G488&gt;0,OR(C488="",C488="&lt;Enter detailed description here; use Comments section if needed&gt;")),"NO DESCRIPTION PROVIDED - please enter detailed description in Other box at left; use Comments section below if needed.","")</f>
        <v/>
      </c>
      <c r="V488" s="2815">
        <f>'Part IV-Uses of Funds'!V90</f>
        <v>0</v>
      </c>
      <c r="W488" s="2837"/>
      <c r="X488" s="2837"/>
    </row>
    <row r="489" spans="1:24">
      <c r="A489" s="2681"/>
      <c r="B489" s="2681"/>
      <c r="C489" s="2681"/>
      <c r="D489" s="2681"/>
      <c r="E489" s="2681"/>
      <c r="F489" s="2818" t="s">
        <v>197</v>
      </c>
      <c r="G489" s="2788">
        <f>SUM(G483:H488)</f>
        <v>44313</v>
      </c>
      <c r="H489" s="2788"/>
      <c r="I489" s="2681"/>
      <c r="J489" s="2840"/>
      <c r="K489" s="2840"/>
      <c r="L489" s="2709"/>
      <c r="M489" s="2840"/>
      <c r="N489" s="2840"/>
      <c r="O489" s="2681"/>
      <c r="P489" s="2840"/>
      <c r="Q489" s="2840"/>
      <c r="R489" s="2681"/>
      <c r="S489" s="2788">
        <f>SUM(S483:T488)</f>
        <v>0</v>
      </c>
      <c r="T489" s="2788"/>
      <c r="U489" s="2681"/>
      <c r="V489" s="2815">
        <f>SUM(V483:V488)</f>
        <v>0</v>
      </c>
      <c r="W489" s="2837"/>
      <c r="X489" s="2837"/>
    </row>
    <row r="490" spans="1:24">
      <c r="A490" s="2680"/>
      <c r="B490" s="2680"/>
      <c r="C490" s="2680"/>
      <c r="D490" s="2680"/>
      <c r="E490" s="2680"/>
      <c r="F490" s="2680"/>
      <c r="G490" s="2680"/>
      <c r="H490" s="2680"/>
      <c r="I490" s="2680"/>
      <c r="J490" s="2680"/>
      <c r="K490" s="2680"/>
      <c r="L490" s="2680"/>
      <c r="M490" s="2680"/>
      <c r="N490" s="2680"/>
      <c r="O490" s="2680"/>
      <c r="P490" s="2680"/>
      <c r="Q490" s="2680"/>
      <c r="R490" s="2680"/>
      <c r="S490" s="2680"/>
      <c r="T490" s="2680"/>
      <c r="U490" s="2681"/>
      <c r="V490" s="2681"/>
      <c r="W490" s="2689"/>
      <c r="X490" s="2689"/>
    </row>
    <row r="491" spans="1:24" ht="16.5">
      <c r="A491" s="2811" t="s">
        <v>647</v>
      </c>
      <c r="B491" s="2811" t="s">
        <v>4569</v>
      </c>
      <c r="C491" s="2681"/>
      <c r="D491" s="2681"/>
      <c r="E491" s="2681"/>
      <c r="F491" s="2681"/>
      <c r="G491" s="2681"/>
      <c r="H491" s="2681"/>
      <c r="I491" s="2681"/>
      <c r="J491" s="2812" t="s">
        <v>283</v>
      </c>
      <c r="K491" s="2812"/>
      <c r="L491" s="2708"/>
      <c r="M491" s="2813" t="s">
        <v>511</v>
      </c>
      <c r="N491" s="2813"/>
      <c r="O491" s="2681"/>
      <c r="P491" s="2812" t="s">
        <v>284</v>
      </c>
      <c r="Q491" s="2812"/>
      <c r="R491" s="2681"/>
      <c r="S491" s="2812" t="s">
        <v>285</v>
      </c>
      <c r="T491" s="2812"/>
      <c r="U491" s="2681"/>
      <c r="V491" s="2681"/>
      <c r="W491" s="2836" t="str">
        <f>B491</f>
        <v>DEVELOPMENT BUDGET  (cont'd)</v>
      </c>
      <c r="X491" s="2689"/>
    </row>
    <row r="492" spans="1:24">
      <c r="A492" s="2681"/>
      <c r="B492" s="2681"/>
      <c r="C492" s="2681"/>
      <c r="D492" s="2681"/>
      <c r="E492" s="2681"/>
      <c r="F492" s="2681"/>
      <c r="G492" s="2679" t="s">
        <v>103</v>
      </c>
      <c r="H492" s="2679"/>
      <c r="I492" s="2681"/>
      <c r="J492" s="2812"/>
      <c r="K492" s="2812"/>
      <c r="L492" s="2708"/>
      <c r="M492" s="2813"/>
      <c r="N492" s="2813"/>
      <c r="O492" s="2681"/>
      <c r="P492" s="2812"/>
      <c r="Q492" s="2812"/>
      <c r="R492" s="2681"/>
      <c r="S492" s="2812"/>
      <c r="T492" s="2812"/>
      <c r="U492" s="2681"/>
      <c r="V492" s="2681"/>
      <c r="W492" s="2731" t="s">
        <v>2826</v>
      </c>
      <c r="X492" s="2731"/>
    </row>
    <row r="493" spans="1:24">
      <c r="A493" s="2681"/>
      <c r="B493" s="2684" t="s">
        <v>765</v>
      </c>
      <c r="C493" s="2681"/>
      <c r="D493" s="2681"/>
      <c r="E493" s="2681"/>
      <c r="F493" s="2681"/>
      <c r="G493" s="2681"/>
      <c r="H493" s="2681"/>
      <c r="I493" s="2681"/>
      <c r="J493" s="2709"/>
      <c r="K493" s="2709"/>
      <c r="L493" s="2681"/>
      <c r="M493" s="2709"/>
      <c r="N493" s="2709"/>
      <c r="O493" s="2819" t="str">
        <f>B493</f>
        <v>DCA-RELATED COSTS</v>
      </c>
      <c r="P493" s="2709"/>
      <c r="Q493" s="2709"/>
      <c r="R493" s="2681"/>
      <c r="S493" s="2709"/>
      <c r="T493" s="2709"/>
      <c r="U493" s="2681"/>
      <c r="V493" s="2681"/>
      <c r="W493" s="2689" t="str">
        <f>B493</f>
        <v>DCA-RELATED COSTS</v>
      </c>
      <c r="X493" s="2689"/>
    </row>
    <row r="494" spans="1:24">
      <c r="A494" s="2681"/>
      <c r="B494" s="2681" t="str">
        <f>CONCATENATE("DCA HOME Loan Pre-Application Fee ($",'DCA Underwriting Assumptions'!$Q$62, " FP/JV, $",'DCA Underwriting Assumptions'!$Q$63, " NP)")</f>
        <v>DCA HOME Loan Pre-Application Fee ($1000 FP/JV, $500 NP)</v>
      </c>
      <c r="C494" s="2681"/>
      <c r="D494" s="2681"/>
      <c r="E494" s="2681"/>
      <c r="F494" s="2681"/>
      <c r="G494" s="2788">
        <f>'Part IV-Uses of Funds'!G96</f>
        <v>0</v>
      </c>
      <c r="H494" s="2788"/>
      <c r="I494" s="2681"/>
      <c r="J494" s="2709"/>
      <c r="K494" s="2709"/>
      <c r="L494" s="2709"/>
      <c r="M494" s="2709"/>
      <c r="N494" s="2709"/>
      <c r="O494" s="2681"/>
      <c r="P494" s="2709"/>
      <c r="Q494" s="2709"/>
      <c r="R494" s="2681"/>
      <c r="S494" s="2788">
        <f>'Part IV-Uses of Funds'!S96</f>
        <v>0</v>
      </c>
      <c r="T494" s="2788"/>
      <c r="U494" s="2681"/>
      <c r="V494" s="2815">
        <f>'Part IV-Uses of Funds'!V96</f>
        <v>0</v>
      </c>
      <c r="W494" s="2816">
        <f>'Part IV-Uses of Funds'!W96</f>
        <v>0</v>
      </c>
      <c r="X494" s="2837"/>
    </row>
    <row r="495" spans="1:24">
      <c r="A495" s="2681"/>
      <c r="B495" s="2681" t="str">
        <f>CONCATENATE("Tax Credit Application Fee ($",'DCA Underwriting Assumptions'!$Q$59, " ForProf/JntVent, $",'DCA Underwriting Assumptions'!$Q$60, " NonProf)")</f>
        <v>Tax Credit Application Fee ($6500 ForProf/JntVent, $5500 NonProf)</v>
      </c>
      <c r="C495" s="2681"/>
      <c r="D495" s="2681"/>
      <c r="E495" s="2681"/>
      <c r="F495" s="2681"/>
      <c r="G495" s="2788">
        <f>'Part IV-Uses of Funds'!G97</f>
        <v>5500</v>
      </c>
      <c r="H495" s="2788"/>
      <c r="I495" s="2681"/>
      <c r="J495" s="2709"/>
      <c r="K495" s="2709"/>
      <c r="L495" s="2841"/>
      <c r="M495" s="2709"/>
      <c r="N495" s="2709"/>
      <c r="O495" s="2681"/>
      <c r="P495" s="2709"/>
      <c r="Q495" s="2709"/>
      <c r="R495" s="2681"/>
      <c r="S495" s="2788">
        <f>'Part IV-Uses of Funds'!S97</f>
        <v>0</v>
      </c>
      <c r="T495" s="2788"/>
      <c r="U495" s="2681"/>
      <c r="V495" s="2815">
        <f>'Part IV-Uses of Funds'!V97</f>
        <v>0</v>
      </c>
      <c r="W495" s="2837"/>
      <c r="X495" s="2837"/>
    </row>
    <row r="496" spans="1:24">
      <c r="A496" s="2681"/>
      <c r="B496" s="2681" t="s">
        <v>2848</v>
      </c>
      <c r="C496" s="2681"/>
      <c r="D496" s="2681"/>
      <c r="E496" s="2681"/>
      <c r="F496" s="2681"/>
      <c r="G496" s="2788">
        <f>'Part IV-Uses of Funds'!G98</f>
        <v>0</v>
      </c>
      <c r="H496" s="2788"/>
      <c r="I496" s="2681"/>
      <c r="J496" s="2709"/>
      <c r="K496" s="2709"/>
      <c r="L496" s="2841"/>
      <c r="M496" s="2709"/>
      <c r="N496" s="2709"/>
      <c r="O496" s="2681"/>
      <c r="P496" s="2709"/>
      <c r="Q496" s="2709"/>
      <c r="R496" s="2681"/>
      <c r="S496" s="2788">
        <f>'Part IV-Uses of Funds'!S98</f>
        <v>0</v>
      </c>
      <c r="T496" s="2788"/>
      <c r="U496" s="2681"/>
      <c r="V496" s="2815">
        <f>'Part IV-Uses of Funds'!V98</f>
        <v>0</v>
      </c>
      <c r="W496" s="2837"/>
      <c r="X496" s="2837"/>
    </row>
    <row r="497" spans="1:24">
      <c r="A497" s="2681"/>
      <c r="B497" s="2681" t="s">
        <v>543</v>
      </c>
      <c r="C497" s="2681"/>
      <c r="D497" s="2681"/>
      <c r="E497" s="2842">
        <f>'DCA Underwriting Assumptions'!$Q$74*J571</f>
        <v>76513.320000000007</v>
      </c>
      <c r="F497" s="2842"/>
      <c r="G497" s="2788">
        <f>'Part IV-Uses of Funds'!G99</f>
        <v>76513</v>
      </c>
      <c r="H497" s="2788"/>
      <c r="I497" s="2681"/>
      <c r="J497" s="2709"/>
      <c r="K497" s="2709"/>
      <c r="L497" s="2709"/>
      <c r="M497" s="2709"/>
      <c r="N497" s="2709"/>
      <c r="O497" s="2681"/>
      <c r="P497" s="2709"/>
      <c r="Q497" s="2709"/>
      <c r="R497" s="2681"/>
      <c r="S497" s="2788">
        <f>'Part IV-Uses of Funds'!S99</f>
        <v>0</v>
      </c>
      <c r="T497" s="2788"/>
      <c r="U497" s="2681"/>
      <c r="V497" s="2815">
        <f>'Part IV-Uses of Funds'!V99</f>
        <v>0</v>
      </c>
      <c r="W497" s="2837"/>
      <c r="X497" s="2837"/>
    </row>
    <row r="498" spans="1:24">
      <c r="A498" s="2681"/>
      <c r="B498" s="2681" t="s">
        <v>793</v>
      </c>
      <c r="C498" s="2681"/>
      <c r="D498" s="2681"/>
      <c r="E498" s="284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76800</v>
      </c>
      <c r="F498" s="2842"/>
      <c r="G498" s="2788">
        <f>'Part IV-Uses of Funds'!G100</f>
        <v>76800</v>
      </c>
      <c r="H498" s="2788"/>
      <c r="I498" s="2681"/>
      <c r="J498" s="2687"/>
      <c r="K498" s="2687"/>
      <c r="L498" s="2687"/>
      <c r="M498" s="2687"/>
      <c r="N498" s="2687"/>
      <c r="O498" s="2687"/>
      <c r="P498" s="2687"/>
      <c r="Q498" s="2687"/>
      <c r="R498" s="2681"/>
      <c r="S498" s="2788">
        <f>'Part IV-Uses of Funds'!S100</f>
        <v>0</v>
      </c>
      <c r="T498" s="2788"/>
      <c r="U498" s="2681"/>
      <c r="V498" s="2815">
        <f>'Part IV-Uses of Funds'!V100</f>
        <v>0</v>
      </c>
      <c r="W498" s="2837"/>
      <c r="X498" s="2837"/>
    </row>
    <row r="499" spans="1:24">
      <c r="A499" s="2681"/>
      <c r="B499" s="2681" t="str">
        <f>CONCATENATE("DCA HOME Front End Analysis Fee (when ID of Interest; $",'DCA Underwriting Assumptions'!$Q$76,")")</f>
        <v>DCA HOME Front End Analysis Fee (when ID of Interest; $2700)</v>
      </c>
      <c r="C499" s="2681"/>
      <c r="D499" s="2681"/>
      <c r="E499" s="2681"/>
      <c r="F499" s="2681"/>
      <c r="G499" s="2788">
        <f>'Part IV-Uses of Funds'!G101</f>
        <v>0</v>
      </c>
      <c r="H499" s="2788"/>
      <c r="I499" s="2681"/>
      <c r="J499" s="2687"/>
      <c r="K499" s="2687"/>
      <c r="L499" s="2687"/>
      <c r="M499" s="2687"/>
      <c r="N499" s="2687"/>
      <c r="O499" s="2687"/>
      <c r="P499" s="2687"/>
      <c r="Q499" s="2687"/>
      <c r="R499" s="2681"/>
      <c r="S499" s="2788">
        <f>'Part IV-Uses of Funds'!S101</f>
        <v>0</v>
      </c>
      <c r="T499" s="2788"/>
      <c r="U499" s="2681"/>
      <c r="V499" s="2815">
        <f>'Part IV-Uses of Funds'!V101</f>
        <v>0</v>
      </c>
      <c r="W499" s="2837"/>
      <c r="X499" s="2837"/>
    </row>
    <row r="500" spans="1:24">
      <c r="A500" s="2681"/>
      <c r="B500" s="2681" t="str">
        <f>CONCATENATE("DCA Final Inspection Fee (Tax Credit only - no HOME; $",'DCA Underwriting Assumptions'!$Q$97,")")</f>
        <v>DCA Final Inspection Fee (Tax Credit only - no HOME; $3000)</v>
      </c>
      <c r="C500" s="2681"/>
      <c r="D500" s="2681"/>
      <c r="E500" s="2681"/>
      <c r="F500" s="2681"/>
      <c r="G500" s="2788">
        <f>'Part IV-Uses of Funds'!G102</f>
        <v>3000</v>
      </c>
      <c r="H500" s="2788"/>
      <c r="I500" s="2681"/>
      <c r="J500" s="2687"/>
      <c r="K500" s="2687"/>
      <c r="L500" s="2687"/>
      <c r="M500" s="2687"/>
      <c r="N500" s="2687"/>
      <c r="O500" s="2687"/>
      <c r="P500" s="2687"/>
      <c r="Q500" s="2687"/>
      <c r="R500" s="2681"/>
      <c r="S500" s="2788">
        <f>'Part IV-Uses of Funds'!S102</f>
        <v>0</v>
      </c>
      <c r="T500" s="2788"/>
      <c r="U500" s="2681"/>
      <c r="V500" s="2815">
        <f>'Part IV-Uses of Funds'!V102</f>
        <v>0</v>
      </c>
      <c r="W500" s="2837"/>
      <c r="X500" s="2837"/>
    </row>
    <row r="501" spans="1:24" ht="12.75" customHeight="1">
      <c r="A501" s="2817" t="str">
        <f>IF(AND(G501&gt;0,OR(C501="",C501="&lt;Enter detailed description here; use Comments section if needed&gt;")),"X","")</f>
        <v/>
      </c>
      <c r="B501" s="2681" t="s">
        <v>781</v>
      </c>
      <c r="C501" s="2696" t="str">
        <f>'Part IV-Uses of Funds'!C103</f>
        <v>&lt;Enter detailed description here; use Comments section if needed&gt;</v>
      </c>
      <c r="D501" s="2696"/>
      <c r="E501" s="2696"/>
      <c r="F501" s="2696"/>
      <c r="G501" s="2788">
        <f>'Part IV-Uses of Funds'!G103</f>
        <v>0</v>
      </c>
      <c r="H501" s="2788"/>
      <c r="I501" s="2681"/>
      <c r="J501" s="2687"/>
      <c r="K501" s="2687"/>
      <c r="L501" s="2687"/>
      <c r="M501" s="2687"/>
      <c r="N501" s="2687"/>
      <c r="O501" s="2687"/>
      <c r="P501" s="2687"/>
      <c r="Q501" s="2687"/>
      <c r="R501" s="2681"/>
      <c r="S501" s="2788">
        <f>'Part IV-Uses of Funds'!S103</f>
        <v>0</v>
      </c>
      <c r="T501" s="2788"/>
      <c r="U501" s="2682" t="str">
        <f>IF(AND(G501&gt;0,OR(C501="",C501="&lt;Enter detailed description here; use Comments section if needed&gt;")),"NO DESCRIPTION PROVIDED - please enter detailed description in Other box at left; use Comments section below if needed.","")</f>
        <v/>
      </c>
      <c r="V501" s="2815">
        <f>'Part IV-Uses of Funds'!V103</f>
        <v>0</v>
      </c>
      <c r="W501" s="2837"/>
      <c r="X501" s="2837"/>
    </row>
    <row r="502" spans="1:24" ht="12.75" customHeight="1">
      <c r="A502" s="2817" t="str">
        <f>IF(AND(G502&gt;0,OR(C502="",C502="&lt;Enter detailed description here; use Comments section if needed&gt;")),"X","")</f>
        <v/>
      </c>
      <c r="B502" s="2681" t="s">
        <v>781</v>
      </c>
      <c r="C502" s="2696" t="str">
        <f>'Part IV-Uses of Funds'!C104</f>
        <v>&lt;Enter detailed description here; use Comments section if needed&gt;</v>
      </c>
      <c r="D502" s="2696"/>
      <c r="E502" s="2696"/>
      <c r="F502" s="2696"/>
      <c r="G502" s="2788">
        <f>'Part IV-Uses of Funds'!G104</f>
        <v>0</v>
      </c>
      <c r="H502" s="2788"/>
      <c r="I502" s="2681"/>
      <c r="J502" s="2687"/>
      <c r="K502" s="2687"/>
      <c r="L502" s="2687"/>
      <c r="M502" s="2687"/>
      <c r="N502" s="2687"/>
      <c r="O502" s="2687"/>
      <c r="P502" s="2687"/>
      <c r="Q502" s="2687"/>
      <c r="R502" s="2681"/>
      <c r="S502" s="2788">
        <f>'Part IV-Uses of Funds'!S104</f>
        <v>0</v>
      </c>
      <c r="T502" s="2788"/>
      <c r="U502" s="2682" t="str">
        <f>IF(AND(G502&gt;0,OR(C502="",C502="&lt;Enter detailed description here; use Comments section if needed&gt;")),"NO DESCRIPTION PROVIDED - please enter detailed description in Other box at left; use Comments section below if needed.","")</f>
        <v/>
      </c>
      <c r="V502" s="2815">
        <f>'Part IV-Uses of Funds'!V104</f>
        <v>0</v>
      </c>
      <c r="W502" s="2837"/>
      <c r="X502" s="2837"/>
    </row>
    <row r="503" spans="1:24">
      <c r="A503" s="2681"/>
      <c r="B503" s="2681"/>
      <c r="C503" s="2681"/>
      <c r="D503" s="2681"/>
      <c r="E503" s="2681"/>
      <c r="F503" s="2818" t="s">
        <v>197</v>
      </c>
      <c r="G503" s="2788">
        <f>SUM(G494:H502)</f>
        <v>161813</v>
      </c>
      <c r="H503" s="2788"/>
      <c r="I503" s="2681"/>
      <c r="J503" s="2709"/>
      <c r="K503" s="2709"/>
      <c r="L503" s="2709"/>
      <c r="M503" s="2709"/>
      <c r="N503" s="2709"/>
      <c r="O503" s="2681"/>
      <c r="P503" s="2709"/>
      <c r="Q503" s="2709"/>
      <c r="R503" s="2681"/>
      <c r="S503" s="2788">
        <f>SUM(S494:T502)</f>
        <v>0</v>
      </c>
      <c r="T503" s="2788"/>
      <c r="U503" s="2681"/>
      <c r="V503" s="2815">
        <f>SUM(V494:V502)</f>
        <v>0</v>
      </c>
      <c r="W503" s="2837"/>
      <c r="X503" s="2837"/>
    </row>
    <row r="504" spans="1:24">
      <c r="A504" s="2681"/>
      <c r="B504" s="2684" t="s">
        <v>2408</v>
      </c>
      <c r="C504" s="2681"/>
      <c r="D504" s="2681"/>
      <c r="E504" s="2681"/>
      <c r="F504" s="2681"/>
      <c r="G504" s="2681"/>
      <c r="H504" s="2681"/>
      <c r="I504" s="2681"/>
      <c r="J504" s="2709"/>
      <c r="K504" s="2709"/>
      <c r="L504" s="2681"/>
      <c r="M504" s="2709"/>
      <c r="N504" s="2709"/>
      <c r="O504" s="2819" t="str">
        <f>B504</f>
        <v>EQUITY COSTS</v>
      </c>
      <c r="P504" s="2709"/>
      <c r="Q504" s="2709"/>
      <c r="R504" s="2681"/>
      <c r="S504" s="2709"/>
      <c r="T504" s="2709"/>
      <c r="U504" s="2681"/>
      <c r="V504" s="2681"/>
      <c r="W504" s="2689" t="str">
        <f>B504</f>
        <v>EQUITY COSTS</v>
      </c>
      <c r="X504" s="2689"/>
    </row>
    <row r="505" spans="1:24">
      <c r="A505" s="2681"/>
      <c r="B505" s="2681" t="s">
        <v>291</v>
      </c>
      <c r="C505" s="2681"/>
      <c r="D505" s="2681"/>
      <c r="E505" s="2681"/>
      <c r="F505" s="2681"/>
      <c r="G505" s="2788">
        <f>'Part IV-Uses of Funds'!G107</f>
        <v>2500</v>
      </c>
      <c r="H505" s="2788"/>
      <c r="I505" s="2681"/>
      <c r="J505" s="2840"/>
      <c r="K505" s="2840"/>
      <c r="L505" s="2709"/>
      <c r="M505" s="2840"/>
      <c r="N505" s="2840"/>
      <c r="O505" s="2681"/>
      <c r="P505" s="2840"/>
      <c r="Q505" s="2840"/>
      <c r="R505" s="2681"/>
      <c r="S505" s="2788">
        <f>'Part IV-Uses of Funds'!S107</f>
        <v>0</v>
      </c>
      <c r="T505" s="2788"/>
      <c r="U505" s="2681"/>
      <c r="V505" s="2815">
        <f>'Part IV-Uses of Funds'!V107</f>
        <v>0</v>
      </c>
      <c r="W505" s="2816">
        <f>'Part IV-Uses of Funds'!W107</f>
        <v>0</v>
      </c>
      <c r="X505" s="2837"/>
    </row>
    <row r="506" spans="1:24">
      <c r="A506" s="2681"/>
      <c r="B506" s="2681" t="s">
        <v>293</v>
      </c>
      <c r="C506" s="2681"/>
      <c r="D506" s="2681"/>
      <c r="E506" s="2681"/>
      <c r="F506" s="2681"/>
      <c r="G506" s="2788">
        <f>'Part IV-Uses of Funds'!G108</f>
        <v>2500</v>
      </c>
      <c r="H506" s="2788"/>
      <c r="I506" s="2681"/>
      <c r="J506" s="2840"/>
      <c r="K506" s="2840"/>
      <c r="L506" s="2709"/>
      <c r="M506" s="2840"/>
      <c r="N506" s="2840"/>
      <c r="O506" s="2681"/>
      <c r="P506" s="2840"/>
      <c r="Q506" s="2840"/>
      <c r="R506" s="2681"/>
      <c r="S506" s="2788">
        <f>'Part IV-Uses of Funds'!S108</f>
        <v>0</v>
      </c>
      <c r="T506" s="2788"/>
      <c r="U506" s="2681"/>
      <c r="V506" s="2815">
        <f>'Part IV-Uses of Funds'!V108</f>
        <v>0</v>
      </c>
      <c r="W506" s="2837"/>
      <c r="X506" s="2837"/>
    </row>
    <row r="507" spans="1:24">
      <c r="A507" s="2681"/>
      <c r="B507" s="2681" t="s">
        <v>2500</v>
      </c>
      <c r="C507" s="2681"/>
      <c r="D507" s="2681"/>
      <c r="E507" s="2681"/>
      <c r="F507" s="2681"/>
      <c r="G507" s="2788">
        <f>'Part IV-Uses of Funds'!G109</f>
        <v>0</v>
      </c>
      <c r="H507" s="2788"/>
      <c r="I507" s="2681"/>
      <c r="J507" s="2840"/>
      <c r="K507" s="2840"/>
      <c r="L507" s="2709"/>
      <c r="M507" s="2840"/>
      <c r="N507" s="2840"/>
      <c r="O507" s="2681"/>
      <c r="P507" s="2840"/>
      <c r="Q507" s="2840"/>
      <c r="R507" s="2681"/>
      <c r="S507" s="2788">
        <f>'Part IV-Uses of Funds'!S109</f>
        <v>0</v>
      </c>
      <c r="T507" s="2788"/>
      <c r="U507" s="2681"/>
      <c r="V507" s="2815">
        <f>'Part IV-Uses of Funds'!V109</f>
        <v>0</v>
      </c>
      <c r="W507" s="2837"/>
      <c r="X507" s="2837"/>
    </row>
    <row r="508" spans="1:24" ht="12.75" customHeight="1">
      <c r="A508" s="2817" t="str">
        <f>IF(AND(G508&gt;0,OR(C508="",C508="&lt;Enter detailed description here; use Comments section if needed&gt;")),"X","")</f>
        <v/>
      </c>
      <c r="B508" s="2681" t="s">
        <v>781</v>
      </c>
      <c r="C508" s="2696" t="str">
        <f>'Part IV-Uses of Funds'!C110</f>
        <v>&lt;Enter detailed description here; use Comments section if needed&gt;</v>
      </c>
      <c r="D508" s="2696"/>
      <c r="E508" s="2696"/>
      <c r="F508" s="2696"/>
      <c r="G508" s="2788">
        <f>'Part IV-Uses of Funds'!G110</f>
        <v>0</v>
      </c>
      <c r="H508" s="2788"/>
      <c r="I508" s="2681"/>
      <c r="J508" s="2840"/>
      <c r="K508" s="2840"/>
      <c r="L508" s="2709"/>
      <c r="M508" s="2840"/>
      <c r="N508" s="2840"/>
      <c r="O508" s="2681"/>
      <c r="P508" s="2840"/>
      <c r="Q508" s="2840"/>
      <c r="R508" s="2681"/>
      <c r="S508" s="2788">
        <f>'Part IV-Uses of Funds'!S110</f>
        <v>0</v>
      </c>
      <c r="T508" s="2788"/>
      <c r="U508" s="2682" t="str">
        <f>IF(AND(G508&gt;0,OR(C508="",C508="&lt;Enter detailed description here; use Comments section if needed&gt;")),"NO DESCRIPTION PROVIDED - please enter detailed description in Other box at left; use Comments section below if needed.","")</f>
        <v/>
      </c>
      <c r="V508" s="2815">
        <f>'Part IV-Uses of Funds'!V110</f>
        <v>0</v>
      </c>
      <c r="W508" s="2837"/>
      <c r="X508" s="2837"/>
    </row>
    <row r="509" spans="1:24">
      <c r="A509" s="2681"/>
      <c r="B509" s="2681"/>
      <c r="C509" s="2681"/>
      <c r="D509" s="2681"/>
      <c r="E509" s="2681"/>
      <c r="F509" s="2818" t="s">
        <v>197</v>
      </c>
      <c r="G509" s="2788">
        <f>SUM(G505:H508)</f>
        <v>5000</v>
      </c>
      <c r="H509" s="2788"/>
      <c r="I509" s="2681"/>
      <c r="J509" s="2840"/>
      <c r="K509" s="2840"/>
      <c r="L509" s="2709"/>
      <c r="M509" s="2840"/>
      <c r="N509" s="2840"/>
      <c r="O509" s="2681"/>
      <c r="P509" s="2840"/>
      <c r="Q509" s="2840"/>
      <c r="R509" s="2681"/>
      <c r="S509" s="2788">
        <f>SUM(S505:T508)</f>
        <v>0</v>
      </c>
      <c r="T509" s="2788"/>
      <c r="U509" s="2681"/>
      <c r="V509" s="2815">
        <f>SUM(V505:V508)</f>
        <v>0</v>
      </c>
      <c r="W509" s="2837"/>
      <c r="X509" s="2837"/>
    </row>
    <row r="510" spans="1:24">
      <c r="A510" s="2681"/>
      <c r="B510" s="2684" t="s">
        <v>294</v>
      </c>
      <c r="C510" s="2681"/>
      <c r="D510" s="2681"/>
      <c r="E510" s="2681"/>
      <c r="F510" s="2681"/>
      <c r="G510" s="2681"/>
      <c r="H510" s="2681"/>
      <c r="I510" s="2681"/>
      <c r="J510" s="2709"/>
      <c r="K510" s="2708"/>
      <c r="L510" s="2681"/>
      <c r="M510" s="2709"/>
      <c r="N510" s="2708"/>
      <c r="O510" s="2819" t="str">
        <f>B510</f>
        <v>DEVELOPER'S FEE</v>
      </c>
      <c r="P510" s="2709"/>
      <c r="Q510" s="2708"/>
      <c r="R510" s="2681"/>
      <c r="S510" s="2709"/>
      <c r="T510" s="2708"/>
      <c r="U510" s="2681"/>
      <c r="V510" s="2681"/>
      <c r="W510" s="2689" t="str">
        <f>B510</f>
        <v>DEVELOPER'S FEE</v>
      </c>
      <c r="X510" s="2689"/>
    </row>
    <row r="511" spans="1:24">
      <c r="A511" s="2681"/>
      <c r="B511" s="2681" t="s">
        <v>1953</v>
      </c>
      <c r="C511" s="2681"/>
      <c r="D511" s="2681"/>
      <c r="E511" s="2681"/>
      <c r="F511" s="2796">
        <f>G511/G514</f>
        <v>0</v>
      </c>
      <c r="G511" s="2788">
        <f>'Part IV-Uses of Funds'!G113</f>
        <v>0</v>
      </c>
      <c r="H511" s="2788"/>
      <c r="I511" s="2681"/>
      <c r="J511" s="2788">
        <f>'Part IV-Uses of Funds'!J113</f>
        <v>0</v>
      </c>
      <c r="K511" s="2788"/>
      <c r="L511" s="2819"/>
      <c r="M511" s="2788">
        <f>'Part IV-Uses of Funds'!M113</f>
        <v>0</v>
      </c>
      <c r="N511" s="2788"/>
      <c r="O511" s="2681"/>
      <c r="P511" s="2788">
        <f>'Part IV-Uses of Funds'!P113</f>
        <v>0</v>
      </c>
      <c r="Q511" s="2788"/>
      <c r="R511" s="2681"/>
      <c r="S511" s="2788">
        <f>'Part IV-Uses of Funds'!S113</f>
        <v>0</v>
      </c>
      <c r="T511" s="2788"/>
      <c r="U511" s="2681"/>
      <c r="V511" s="2815">
        <f>'Part IV-Uses of Funds'!V113</f>
        <v>0</v>
      </c>
      <c r="W511" s="2816">
        <f>'Part IV-Uses of Funds'!W113</f>
        <v>0</v>
      </c>
      <c r="X511" s="2837"/>
    </row>
    <row r="512" spans="1:24">
      <c r="A512" s="2681"/>
      <c r="B512" s="2681" t="s">
        <v>1954</v>
      </c>
      <c r="C512" s="2681"/>
      <c r="D512" s="2681"/>
      <c r="E512" s="2681"/>
      <c r="F512" s="2796">
        <f>G512/G514</f>
        <v>0</v>
      </c>
      <c r="G512" s="2788">
        <f>'Part IV-Uses of Funds'!G114</f>
        <v>0</v>
      </c>
      <c r="H512" s="2788"/>
      <c r="I512" s="2681"/>
      <c r="J512" s="2788">
        <f>'Part IV-Uses of Funds'!J114</f>
        <v>0</v>
      </c>
      <c r="K512" s="2788"/>
      <c r="L512" s="2709"/>
      <c r="M512" s="2788">
        <f>'Part IV-Uses of Funds'!M114</f>
        <v>0</v>
      </c>
      <c r="N512" s="2788"/>
      <c r="O512" s="2681"/>
      <c r="P512" s="2788">
        <f>'Part IV-Uses of Funds'!P114</f>
        <v>0</v>
      </c>
      <c r="Q512" s="2788"/>
      <c r="R512" s="2681"/>
      <c r="S512" s="2788">
        <f>'Part IV-Uses of Funds'!S114</f>
        <v>0</v>
      </c>
      <c r="T512" s="2788"/>
      <c r="U512" s="2681"/>
      <c r="V512" s="2815">
        <f>'Part IV-Uses of Funds'!V114</f>
        <v>0</v>
      </c>
      <c r="W512" s="2837"/>
      <c r="X512" s="2837"/>
    </row>
    <row r="513" spans="1:24">
      <c r="A513" s="2681"/>
      <c r="B513" s="2681" t="s">
        <v>1946</v>
      </c>
      <c r="C513" s="2681"/>
      <c r="D513" s="2681"/>
      <c r="E513" s="2681"/>
      <c r="F513" s="2796">
        <f>G513/G514</f>
        <v>1</v>
      </c>
      <c r="G513" s="2788">
        <f>'Part IV-Uses of Funds'!G115</f>
        <v>1702220</v>
      </c>
      <c r="H513" s="2788"/>
      <c r="I513" s="2681"/>
      <c r="J513" s="2788">
        <f>'Part IV-Uses of Funds'!J115</f>
        <v>1702220</v>
      </c>
      <c r="K513" s="2788"/>
      <c r="L513" s="2709"/>
      <c r="M513" s="2788">
        <f>'Part IV-Uses of Funds'!M115</f>
        <v>0</v>
      </c>
      <c r="N513" s="2788"/>
      <c r="O513" s="2681"/>
      <c r="P513" s="2788">
        <f>'Part IV-Uses of Funds'!P115</f>
        <v>0</v>
      </c>
      <c r="Q513" s="2788"/>
      <c r="R513" s="2681"/>
      <c r="S513" s="2788">
        <f>'Part IV-Uses of Funds'!S115</f>
        <v>0</v>
      </c>
      <c r="T513" s="2788"/>
      <c r="U513" s="2681"/>
      <c r="V513" s="2815">
        <f>'Part IV-Uses of Funds'!V115</f>
        <v>0</v>
      </c>
      <c r="W513" s="2837"/>
      <c r="X513" s="2837"/>
    </row>
    <row r="514" spans="1:24">
      <c r="A514" s="2681"/>
      <c r="B514" s="2681"/>
      <c r="C514" s="2682" t="str">
        <f>IF(G514&lt;='DCA Underwriting Assumptions'!$Q$83,"","Developer Fee exceeds DCA Program Maximum !!!")</f>
        <v/>
      </c>
      <c r="D514" s="2681"/>
      <c r="E514" s="2681"/>
      <c r="F514" s="2818" t="s">
        <v>197</v>
      </c>
      <c r="G514" s="2788">
        <f>SUM(G511:H513)</f>
        <v>1702220</v>
      </c>
      <c r="H514" s="2788"/>
      <c r="I514" s="2681"/>
      <c r="J514" s="2788">
        <f>SUM(J511:K513)</f>
        <v>1702220</v>
      </c>
      <c r="K514" s="2788"/>
      <c r="L514" s="2709"/>
      <c r="M514" s="2788">
        <f>SUM(M511:N513)</f>
        <v>0</v>
      </c>
      <c r="N514" s="2788"/>
      <c r="O514" s="2681"/>
      <c r="P514" s="2788">
        <f>SUM(P511:Q513)</f>
        <v>0</v>
      </c>
      <c r="Q514" s="2788"/>
      <c r="R514" s="2681"/>
      <c r="S514" s="2788">
        <f>SUM(S511:T513)</f>
        <v>0</v>
      </c>
      <c r="T514" s="2788"/>
      <c r="U514" s="2681"/>
      <c r="V514" s="2815">
        <f>SUM(V511:V513)</f>
        <v>0</v>
      </c>
      <c r="W514" s="2837"/>
      <c r="X514" s="2837"/>
    </row>
    <row r="515" spans="1:24">
      <c r="A515" s="2681"/>
      <c r="B515" s="2684" t="s">
        <v>1374</v>
      </c>
      <c r="C515" s="2681"/>
      <c r="D515" s="2681"/>
      <c r="E515" s="2681"/>
      <c r="F515" s="2681"/>
      <c r="G515" s="2681"/>
      <c r="H515" s="2681"/>
      <c r="I515" s="2681"/>
      <c r="J515" s="2708"/>
      <c r="K515" s="2708"/>
      <c r="L515" s="2681"/>
      <c r="M515" s="2708"/>
      <c r="N515" s="2708"/>
      <c r="O515" s="2819" t="str">
        <f>B515</f>
        <v>START-UP AND RESERVES</v>
      </c>
      <c r="P515" s="2708"/>
      <c r="Q515" s="2708"/>
      <c r="R515" s="2681"/>
      <c r="S515" s="2708"/>
      <c r="T515" s="2708"/>
      <c r="U515" s="2681"/>
      <c r="V515" s="2681"/>
      <c r="W515" s="2689" t="str">
        <f>B515</f>
        <v>START-UP AND RESERVES</v>
      </c>
      <c r="X515" s="2689"/>
    </row>
    <row r="516" spans="1:24">
      <c r="A516" s="2681"/>
      <c r="B516" s="2681" t="s">
        <v>262</v>
      </c>
      <c r="C516" s="2681"/>
      <c r="D516" s="2681"/>
      <c r="E516" s="2681"/>
      <c r="F516" s="2681"/>
      <c r="G516" s="2788">
        <f>'Part IV-Uses of Funds'!G118</f>
        <v>48000</v>
      </c>
      <c r="H516" s="2788"/>
      <c r="I516" s="2681"/>
      <c r="J516" s="2841"/>
      <c r="K516" s="2841"/>
      <c r="L516" s="2841"/>
      <c r="M516" s="2841"/>
      <c r="N516" s="2841"/>
      <c r="O516" s="2681"/>
      <c r="P516" s="2841"/>
      <c r="Q516" s="2841"/>
      <c r="R516" s="2681"/>
      <c r="S516" s="2788">
        <f>'Part IV-Uses of Funds'!S118</f>
        <v>0</v>
      </c>
      <c r="T516" s="2788"/>
      <c r="U516" s="2681"/>
      <c r="V516" s="2815">
        <f>'Part IV-Uses of Funds'!V118</f>
        <v>0</v>
      </c>
      <c r="W516" s="2816">
        <f>'Part IV-Uses of Funds'!W118</f>
        <v>0</v>
      </c>
      <c r="X516" s="2837"/>
    </row>
    <row r="517" spans="1:24">
      <c r="A517" s="2681"/>
      <c r="B517" s="2681" t="s">
        <v>1612</v>
      </c>
      <c r="C517" s="2681"/>
      <c r="D517" s="2681"/>
      <c r="E517" s="2681"/>
      <c r="F517" s="2815">
        <f>+'Part VI-Revenues &amp; Expenses'!$P$178*('DCA Underwriting Assumptions'!$Q$96/12)</f>
        <v>106080.75</v>
      </c>
      <c r="G517" s="2788">
        <f>'Part IV-Uses of Funds'!G119</f>
        <v>106081</v>
      </c>
      <c r="H517" s="2788"/>
      <c r="I517" s="2681"/>
      <c r="J517" s="2840"/>
      <c r="K517" s="2840"/>
      <c r="L517" s="2709"/>
      <c r="M517" s="2840"/>
      <c r="N517" s="2840"/>
      <c r="O517" s="2681"/>
      <c r="P517" s="2840"/>
      <c r="Q517" s="2840"/>
      <c r="R517" s="2681"/>
      <c r="S517" s="2788">
        <f>'Part IV-Uses of Funds'!S119</f>
        <v>0</v>
      </c>
      <c r="T517" s="2788"/>
      <c r="U517" s="2681"/>
      <c r="V517" s="2815">
        <f>'Part IV-Uses of Funds'!V119</f>
        <v>0</v>
      </c>
      <c r="W517" s="2837"/>
      <c r="X517" s="2837"/>
    </row>
    <row r="518" spans="1:24">
      <c r="A518" s="2681"/>
      <c r="B518" s="2681" t="s">
        <v>714</v>
      </c>
      <c r="C518" s="2681"/>
      <c r="D518" s="2681"/>
      <c r="E518" s="2681"/>
      <c r="F518" s="2843">
        <f>'Part VI-Revenues &amp; Expenses'!$P$178*('DCA Underwriting Assumptions'!$Q$95/12)+('Part VII-Pro Forma'!$B$23+'Part VII-Pro Forma'!$B$24+'Part VII-Pro Forma'!$B$25+'Part VII-Pro Forma'!$B$26)*'DCA Underwriting Assumptions'!$Q$94/(-12)</f>
        <v>264618.15426902007</v>
      </c>
      <c r="G518" s="2788">
        <f>'Part IV-Uses of Funds'!G120</f>
        <v>264618</v>
      </c>
      <c r="H518" s="2788"/>
      <c r="I518" s="2681"/>
      <c r="J518" s="2841"/>
      <c r="K518" s="2841"/>
      <c r="L518" s="2841"/>
      <c r="M518" s="2841"/>
      <c r="N518" s="2841"/>
      <c r="O518" s="2681"/>
      <c r="P518" s="2841"/>
      <c r="Q518" s="2841"/>
      <c r="R518" s="2681"/>
      <c r="S518" s="2788">
        <f>'Part IV-Uses of Funds'!S120</f>
        <v>0</v>
      </c>
      <c r="T518" s="2788"/>
      <c r="U518" s="2681"/>
      <c r="V518" s="2815">
        <f>'Part IV-Uses of Funds'!V120</f>
        <v>0</v>
      </c>
      <c r="W518" s="2837"/>
      <c r="X518" s="2837"/>
    </row>
    <row r="519" spans="1:24">
      <c r="A519" s="2681"/>
      <c r="B519" s="2681" t="s">
        <v>1304</v>
      </c>
      <c r="C519" s="2681"/>
      <c r="D519" s="2681"/>
      <c r="E519" s="2681"/>
      <c r="F519" s="2681"/>
      <c r="G519" s="2788">
        <f>'Part IV-Uses of Funds'!G121</f>
        <v>0</v>
      </c>
      <c r="H519" s="2788"/>
      <c r="I519" s="2681"/>
      <c r="J519" s="2841"/>
      <c r="K519" s="2841"/>
      <c r="L519" s="2841"/>
      <c r="M519" s="2841"/>
      <c r="N519" s="2841"/>
      <c r="O519" s="2681"/>
      <c r="P519" s="2841"/>
      <c r="Q519" s="2841"/>
      <c r="R519" s="2681"/>
      <c r="S519" s="2788">
        <f>'Part IV-Uses of Funds'!S121</f>
        <v>0</v>
      </c>
      <c r="T519" s="2788"/>
      <c r="U519" s="2681"/>
      <c r="V519" s="2815">
        <f>'Part IV-Uses of Funds'!V121</f>
        <v>0</v>
      </c>
      <c r="W519" s="2837"/>
      <c r="X519" s="2837"/>
    </row>
    <row r="520" spans="1:24">
      <c r="A520" s="2681"/>
      <c r="B520" s="2681" t="s">
        <v>1305</v>
      </c>
      <c r="C520" s="2681"/>
      <c r="D520" s="2681"/>
      <c r="E520" s="2844" t="s">
        <v>4365</v>
      </c>
      <c r="F520" s="2845">
        <f>G520/'Part VI-Revenues &amp; Expenses'!$M$62</f>
        <v>208.33333333333334</v>
      </c>
      <c r="G520" s="2788">
        <f>'Part IV-Uses of Funds'!G122</f>
        <v>20000</v>
      </c>
      <c r="H520" s="2788"/>
      <c r="I520" s="2681"/>
      <c r="J520" s="2788">
        <f>'Part IV-Uses of Funds'!J122</f>
        <v>20000</v>
      </c>
      <c r="K520" s="2788"/>
      <c r="L520" s="2709"/>
      <c r="M520" s="2788">
        <f>'Part IV-Uses of Funds'!M122</f>
        <v>0</v>
      </c>
      <c r="N520" s="2788"/>
      <c r="O520" s="2681"/>
      <c r="P520" s="2788">
        <f>'Part IV-Uses of Funds'!P122</f>
        <v>0</v>
      </c>
      <c r="Q520" s="2788"/>
      <c r="R520" s="2681"/>
      <c r="S520" s="2788">
        <f>'Part IV-Uses of Funds'!S122</f>
        <v>0</v>
      </c>
      <c r="T520" s="2788"/>
      <c r="U520" s="2681"/>
      <c r="V520" s="2815">
        <f>'Part IV-Uses of Funds'!V122</f>
        <v>0</v>
      </c>
      <c r="W520" s="2837"/>
      <c r="X520" s="2837"/>
    </row>
    <row r="521" spans="1:24" ht="12.75" customHeight="1">
      <c r="A521" s="2817" t="str">
        <f>IF(AND(G521&gt;0,OR(C521="",C521="&lt;Enter detailed description here; use Comments section if needed&gt;")),"X","")</f>
        <v/>
      </c>
      <c r="B521" s="2681" t="s">
        <v>781</v>
      </c>
      <c r="C521" s="2696" t="str">
        <f>'Part IV-Uses of Funds'!C123</f>
        <v>&lt;Enter detailed description here; use Comments section if needed&gt;</v>
      </c>
      <c r="D521" s="2696"/>
      <c r="E521" s="2696"/>
      <c r="F521" s="2696"/>
      <c r="G521" s="2788">
        <f>'Part IV-Uses of Funds'!G123</f>
        <v>0</v>
      </c>
      <c r="H521" s="2788"/>
      <c r="I521" s="2681"/>
      <c r="J521" s="2788">
        <f>'Part IV-Uses of Funds'!J123</f>
        <v>0</v>
      </c>
      <c r="K521" s="2788"/>
      <c r="L521" s="2709"/>
      <c r="M521" s="2788">
        <f>'Part IV-Uses of Funds'!M123</f>
        <v>0</v>
      </c>
      <c r="N521" s="2788"/>
      <c r="O521" s="2681"/>
      <c r="P521" s="2788">
        <f>'Part IV-Uses of Funds'!P123</f>
        <v>0</v>
      </c>
      <c r="Q521" s="2788"/>
      <c r="R521" s="2681"/>
      <c r="S521" s="2788">
        <f>'Part IV-Uses of Funds'!S123</f>
        <v>0</v>
      </c>
      <c r="T521" s="2788"/>
      <c r="U521" s="2682" t="str">
        <f>IF(AND(G521&gt;0,OR(C521="",C521="&lt;Enter detailed description here; use Comments section if needed&gt;")),"NO DESCRIPTION PROVIDED - please enter detailed description in Other box at left; use Comments section below if needed.","")</f>
        <v/>
      </c>
      <c r="V521" s="2815">
        <f>'Part IV-Uses of Funds'!V123</f>
        <v>0</v>
      </c>
      <c r="W521" s="2837"/>
      <c r="X521" s="2837"/>
    </row>
    <row r="522" spans="1:24">
      <c r="A522" s="2681"/>
      <c r="B522" s="2846"/>
      <c r="C522" s="2681"/>
      <c r="D522" s="2681"/>
      <c r="E522" s="2681"/>
      <c r="F522" s="2818" t="s">
        <v>197</v>
      </c>
      <c r="G522" s="2788">
        <f>SUM(G516:H521)</f>
        <v>438699</v>
      </c>
      <c r="H522" s="2788"/>
      <c r="I522" s="2681"/>
      <c r="J522" s="2788">
        <f>SUM(J520:K521)</f>
        <v>20000</v>
      </c>
      <c r="K522" s="2788"/>
      <c r="L522" s="2709"/>
      <c r="M522" s="2788">
        <f>SUM(M520:N521)</f>
        <v>0</v>
      </c>
      <c r="N522" s="2788"/>
      <c r="O522" s="2681"/>
      <c r="P522" s="2788">
        <f>SUM(P520:Q521)</f>
        <v>0</v>
      </c>
      <c r="Q522" s="2788"/>
      <c r="R522" s="2681"/>
      <c r="S522" s="2788">
        <f>SUM(S516:T521)</f>
        <v>0</v>
      </c>
      <c r="T522" s="2788"/>
      <c r="U522" s="2681"/>
      <c r="V522" s="2815">
        <f>SUM(V516:V521)</f>
        <v>0</v>
      </c>
      <c r="W522" s="2837"/>
      <c r="X522" s="2837"/>
    </row>
    <row r="523" spans="1:24">
      <c r="A523" s="2681"/>
      <c r="B523" s="2684" t="s">
        <v>641</v>
      </c>
      <c r="C523" s="2689"/>
      <c r="D523" s="2681"/>
      <c r="E523" s="2681"/>
      <c r="F523" s="2681"/>
      <c r="G523" s="2681"/>
      <c r="H523" s="2847"/>
      <c r="I523" s="2847"/>
      <c r="J523" s="2708"/>
      <c r="K523" s="2708"/>
      <c r="L523" s="2681"/>
      <c r="M523" s="2708"/>
      <c r="N523" s="2708"/>
      <c r="O523" s="2819" t="str">
        <f>B523</f>
        <v>OTHER COSTS</v>
      </c>
      <c r="P523" s="2708"/>
      <c r="Q523" s="2708"/>
      <c r="R523" s="2681"/>
      <c r="S523" s="2708"/>
      <c r="T523" s="2708"/>
      <c r="U523" s="2681"/>
      <c r="V523" s="2681"/>
      <c r="W523" s="2689" t="str">
        <f>B523</f>
        <v>OTHER COSTS</v>
      </c>
      <c r="X523" s="2689"/>
    </row>
    <row r="524" spans="1:24">
      <c r="A524" s="2681"/>
      <c r="B524" s="2681" t="s">
        <v>642</v>
      </c>
      <c r="C524" s="2689"/>
      <c r="D524" s="2681"/>
      <c r="E524" s="2681"/>
      <c r="F524" s="2681"/>
      <c r="G524" s="2788">
        <f>'Part IV-Uses of Funds'!G126</f>
        <v>0</v>
      </c>
      <c r="H524" s="2788"/>
      <c r="I524" s="2681"/>
      <c r="J524" s="2788">
        <f>'Part IV-Uses of Funds'!J126</f>
        <v>0</v>
      </c>
      <c r="K524" s="2788"/>
      <c r="L524" s="2819"/>
      <c r="M524" s="2788">
        <f>'Part IV-Uses of Funds'!M126</f>
        <v>0</v>
      </c>
      <c r="N524" s="2788"/>
      <c r="O524" s="2681"/>
      <c r="P524" s="2788">
        <f>'Part IV-Uses of Funds'!P126</f>
        <v>0</v>
      </c>
      <c r="Q524" s="2788"/>
      <c r="R524" s="2681"/>
      <c r="S524" s="2788">
        <f>'Part IV-Uses of Funds'!S126</f>
        <v>0</v>
      </c>
      <c r="T524" s="2788"/>
      <c r="U524" s="2681"/>
      <c r="V524" s="2815">
        <f>'Part IV-Uses of Funds'!V126</f>
        <v>0</v>
      </c>
      <c r="W524" s="2816">
        <f>'Part IV-Uses of Funds'!W126</f>
        <v>0</v>
      </c>
      <c r="X524" s="2837"/>
    </row>
    <row r="525" spans="1:24" ht="12.75" customHeight="1">
      <c r="A525" s="2817" t="str">
        <f>IF(AND(G525&gt;0,OR(C525="",C525="&lt;Enter detailed description here; use Comments section if needed&gt;")),"X","")</f>
        <v/>
      </c>
      <c r="B525" s="2681" t="s">
        <v>781</v>
      </c>
      <c r="C525" s="2696" t="str">
        <f>'Part IV-Uses of Funds'!C127</f>
        <v>&lt;Enter detailed description here; use Comments section if needed&gt;</v>
      </c>
      <c r="D525" s="2696"/>
      <c r="E525" s="2696"/>
      <c r="F525" s="2696"/>
      <c r="G525" s="2788">
        <f>'Part IV-Uses of Funds'!G127</f>
        <v>0</v>
      </c>
      <c r="H525" s="2788"/>
      <c r="I525" s="2681"/>
      <c r="J525" s="2788">
        <f>'Part IV-Uses of Funds'!J127</f>
        <v>0</v>
      </c>
      <c r="K525" s="2788"/>
      <c r="L525" s="2709"/>
      <c r="M525" s="2788">
        <f>'Part IV-Uses of Funds'!M127</f>
        <v>0</v>
      </c>
      <c r="N525" s="2788"/>
      <c r="O525" s="2681"/>
      <c r="P525" s="2788">
        <f>'Part IV-Uses of Funds'!P127</f>
        <v>0</v>
      </c>
      <c r="Q525" s="2788"/>
      <c r="R525" s="2681"/>
      <c r="S525" s="2788">
        <f>'Part IV-Uses of Funds'!S127</f>
        <v>0</v>
      </c>
      <c r="T525" s="2788"/>
      <c r="U525" s="2682" t="str">
        <f>IF(AND(G525&gt;0,OR(C525="",C525="&lt;Enter detailed description here; use Comments section if needed&gt;")),"NO DESCRIPTION PROVIDED - please enter detailed description in Other box at left; use Comments section below if needed.","")</f>
        <v/>
      </c>
      <c r="V525" s="2815">
        <f>'Part IV-Uses of Funds'!V127</f>
        <v>0</v>
      </c>
      <c r="W525" s="2837"/>
      <c r="X525" s="2837"/>
    </row>
    <row r="526" spans="1:24">
      <c r="A526" s="2681"/>
      <c r="B526" s="2681"/>
      <c r="C526" s="2689"/>
      <c r="D526" s="2681"/>
      <c r="E526" s="2681"/>
      <c r="F526" s="2818" t="s">
        <v>197</v>
      </c>
      <c r="G526" s="2788">
        <f>SUM(G524:H525)</f>
        <v>0</v>
      </c>
      <c r="H526" s="2788"/>
      <c r="I526" s="2681"/>
      <c r="J526" s="2788">
        <f>SUM(J524:K525)</f>
        <v>0</v>
      </c>
      <c r="K526" s="2788"/>
      <c r="L526" s="2709"/>
      <c r="M526" s="2788">
        <f>SUM(M524:N525)</f>
        <v>0</v>
      </c>
      <c r="N526" s="2788"/>
      <c r="O526" s="2681"/>
      <c r="P526" s="2788">
        <f>SUM(P524:Q525)</f>
        <v>0</v>
      </c>
      <c r="Q526" s="2788"/>
      <c r="R526" s="2681"/>
      <c r="S526" s="2788">
        <f>SUM(S524:T525)</f>
        <v>0</v>
      </c>
      <c r="T526" s="2788"/>
      <c r="U526" s="2681"/>
      <c r="V526" s="2815">
        <f>SUM(V524:V525)</f>
        <v>0</v>
      </c>
      <c r="W526" s="2837"/>
      <c r="X526" s="2837"/>
    </row>
    <row r="527" spans="1:24">
      <c r="A527" s="2681"/>
      <c r="B527" s="2681"/>
      <c r="C527" s="2689"/>
      <c r="D527" s="2681"/>
      <c r="E527" s="2681"/>
      <c r="F527" s="2681"/>
      <c r="G527" s="2681"/>
      <c r="H527" s="2847"/>
      <c r="I527" s="2847"/>
      <c r="J527" s="2681"/>
      <c r="K527" s="2681"/>
      <c r="L527" s="2681"/>
      <c r="M527" s="2681"/>
      <c r="N527" s="2681"/>
      <c r="O527" s="2681"/>
      <c r="P527" s="2681"/>
      <c r="Q527" s="2681"/>
      <c r="R527" s="2681"/>
      <c r="S527" s="2681"/>
      <c r="T527" s="2681"/>
      <c r="U527" s="2681"/>
      <c r="V527" s="2681"/>
      <c r="W527" s="2837"/>
      <c r="X527" s="2837"/>
    </row>
    <row r="528" spans="1:24">
      <c r="A528" s="2681"/>
      <c r="B528" s="2682" t="s">
        <v>4570</v>
      </c>
      <c r="C528" s="2681"/>
      <c r="D528" s="2681"/>
      <c r="E528" s="2681"/>
      <c r="F528" s="2681"/>
      <c r="G528" s="2848">
        <f>G415+G421+G425+G431+G436+G439+G445+G462+G475+G481+G489+G503+G509+G514+G522+G526</f>
        <v>14368613</v>
      </c>
      <c r="H528" s="2848"/>
      <c r="I528" s="2681"/>
      <c r="J528" s="2848">
        <f>J415+J421+J425+J431+J436+J439+J445+J462+J475+J481+J489+J503+J509+J514+J522+J526</f>
        <v>12931333</v>
      </c>
      <c r="K528" s="2848"/>
      <c r="L528" s="2681"/>
      <c r="M528" s="2848">
        <f>M415+M421+M425+M431+M436+M439+M445+M462+M475+M481+M489+M503+M509+M514+M522+M526</f>
        <v>0</v>
      </c>
      <c r="N528" s="2848"/>
      <c r="O528" s="2681"/>
      <c r="P528" s="2848">
        <f>P415+P421+P425+P431+P436+P439+P445+P462+P475+P481+P489+P503+P509+P514+P522+P526</f>
        <v>0</v>
      </c>
      <c r="Q528" s="2848"/>
      <c r="R528" s="2681"/>
      <c r="S528" s="2848">
        <f>S415+S421+S425+S431+S436+S439+S445+S462+S475+S481+S489+S503+S509+S514+S522+S526</f>
        <v>0</v>
      </c>
      <c r="T528" s="2848"/>
      <c r="U528" s="2681"/>
      <c r="V528" s="2815">
        <f>V415+V421+V425+V431+V436+V439+V445+V462+V475+V481+V489+V503+V509+V514+V522+V526</f>
        <v>0</v>
      </c>
      <c r="W528" s="2837"/>
      <c r="X528" s="2837"/>
    </row>
    <row r="529" spans="1:24">
      <c r="A529" s="2681"/>
      <c r="B529" s="2681"/>
      <c r="C529" s="2689"/>
      <c r="D529" s="2681"/>
      <c r="E529" s="2681"/>
      <c r="F529" s="2681"/>
      <c r="G529" s="2681"/>
      <c r="H529" s="2847"/>
      <c r="I529" s="2847"/>
      <c r="J529" s="2681"/>
      <c r="K529" s="2681"/>
      <c r="L529" s="2681"/>
      <c r="M529" s="2681"/>
      <c r="N529" s="2681"/>
      <c r="O529" s="2681"/>
      <c r="P529" s="2681"/>
      <c r="Q529" s="2681"/>
      <c r="R529" s="2681"/>
      <c r="S529" s="2681"/>
      <c r="T529" s="2681"/>
      <c r="U529" s="2681"/>
      <c r="V529" s="2681"/>
      <c r="W529" s="2689"/>
      <c r="X529" s="2689"/>
    </row>
    <row r="530" spans="1:24">
      <c r="A530" s="2681"/>
      <c r="B530" s="2849" t="s">
        <v>4571</v>
      </c>
      <c r="C530" s="2828"/>
      <c r="D530" s="2850">
        <f>G528/'Part VI-Revenues &amp; Expenses'!$M$62</f>
        <v>149673.05208333334</v>
      </c>
      <c r="E530" s="2850"/>
      <c r="F530" s="2839" t="s">
        <v>3036</v>
      </c>
      <c r="G530" s="2850">
        <f>G528/'Part VI-Revenues &amp; Expenses'!$M$120</f>
        <v>138.23417417070729</v>
      </c>
      <c r="H530" s="2850"/>
      <c r="I530" s="2851"/>
      <c r="J530" s="2681"/>
      <c r="K530" s="2681"/>
      <c r="L530" s="2681"/>
      <c r="M530" s="2681"/>
      <c r="N530" s="2681"/>
      <c r="O530" s="2681"/>
      <c r="P530" s="2681"/>
      <c r="Q530" s="2681"/>
      <c r="R530" s="2681"/>
      <c r="S530" s="2681"/>
      <c r="T530" s="2681"/>
      <c r="U530" s="2681"/>
      <c r="V530" s="2681"/>
      <c r="W530" s="2689"/>
      <c r="X530" s="2689"/>
    </row>
    <row r="531" spans="1:24">
      <c r="A531" s="2681"/>
      <c r="B531" s="2681"/>
      <c r="C531" s="2681"/>
      <c r="D531" s="2681"/>
      <c r="E531" s="2681"/>
      <c r="F531" s="2681"/>
      <c r="G531" s="2681"/>
      <c r="H531" s="2681"/>
      <c r="I531" s="2851"/>
      <c r="J531" s="2681"/>
      <c r="K531" s="2681"/>
      <c r="L531" s="2851"/>
      <c r="M531" s="2681"/>
      <c r="N531" s="2681"/>
      <c r="O531" s="2681"/>
      <c r="P531" s="2681"/>
      <c r="Q531" s="2681"/>
      <c r="R531" s="2681"/>
      <c r="S531" s="2681"/>
      <c r="T531" s="2681"/>
      <c r="U531" s="2681"/>
      <c r="V531" s="2681"/>
      <c r="W531" s="2689"/>
      <c r="X531" s="2689"/>
    </row>
    <row r="532" spans="1:24">
      <c r="A532" s="2681"/>
      <c r="B532" s="2681"/>
      <c r="C532" s="2681"/>
      <c r="D532" s="2689"/>
      <c r="E532" s="2689"/>
      <c r="F532" s="2681"/>
      <c r="G532" s="2681"/>
      <c r="H532" s="2681"/>
      <c r="I532" s="2847"/>
      <c r="J532" s="2847"/>
      <c r="K532" s="2852"/>
      <c r="L532" s="2689"/>
      <c r="M532" s="2681"/>
      <c r="N532" s="2681"/>
      <c r="O532" s="2681"/>
      <c r="P532" s="2681"/>
      <c r="Q532" s="2681"/>
      <c r="R532" s="2681"/>
      <c r="S532" s="2681"/>
      <c r="T532" s="2681"/>
      <c r="U532" s="2681"/>
      <c r="V532" s="2681"/>
      <c r="W532" s="2689"/>
      <c r="X532" s="2689"/>
    </row>
    <row r="533" spans="1:24" ht="16.5">
      <c r="A533" s="2811" t="s">
        <v>780</v>
      </c>
      <c r="B533" s="2853" t="s">
        <v>1498</v>
      </c>
      <c r="C533" s="2680"/>
      <c r="D533" s="2709"/>
      <c r="E533" s="2709"/>
      <c r="F533" s="2709"/>
      <c r="G533" s="2681"/>
      <c r="H533" s="2681"/>
      <c r="I533" s="2854"/>
      <c r="J533" s="2812" t="s">
        <v>283</v>
      </c>
      <c r="K533" s="2812"/>
      <c r="L533" s="2681"/>
      <c r="M533" s="2812" t="s">
        <v>102</v>
      </c>
      <c r="N533" s="2812"/>
      <c r="O533" s="2681"/>
      <c r="P533" s="2812" t="s">
        <v>284</v>
      </c>
      <c r="Q533" s="2812"/>
      <c r="R533" s="2681"/>
      <c r="S533" s="2681"/>
      <c r="T533" s="2681"/>
      <c r="U533" s="2681"/>
      <c r="V533" s="2681"/>
      <c r="W533" s="2836" t="str">
        <f>B533</f>
        <v>TAX CREDIT CALCULATION - BASIS METHOD</v>
      </c>
      <c r="X533" s="2689"/>
    </row>
    <row r="534" spans="1:24">
      <c r="A534" s="2681"/>
      <c r="B534" s="2682" t="s">
        <v>2145</v>
      </c>
      <c r="C534" s="2681"/>
      <c r="D534" s="2709"/>
      <c r="E534" s="2709"/>
      <c r="F534" s="2681"/>
      <c r="G534" s="2681"/>
      <c r="H534" s="2681"/>
      <c r="I534" s="2854"/>
      <c r="J534" s="2812"/>
      <c r="K534" s="2812"/>
      <c r="L534" s="2680"/>
      <c r="M534" s="2812"/>
      <c r="N534" s="2812"/>
      <c r="O534" s="2681"/>
      <c r="P534" s="2812"/>
      <c r="Q534" s="2812"/>
      <c r="R534" s="2681"/>
      <c r="S534" s="2681"/>
      <c r="T534" s="2681"/>
      <c r="U534" s="2681"/>
      <c r="V534" s="2681"/>
      <c r="W534" s="2689" t="str">
        <f>B534</f>
        <v>Subtractions From Eligible Basis</v>
      </c>
      <c r="X534" s="2731"/>
    </row>
    <row r="535" spans="1:24">
      <c r="A535" s="2681"/>
      <c r="B535" s="2681"/>
      <c r="C535" s="2681"/>
      <c r="D535" s="2689"/>
      <c r="E535" s="2689"/>
      <c r="F535" s="2681"/>
      <c r="G535" s="2681"/>
      <c r="H535" s="2681"/>
      <c r="I535" s="2847"/>
      <c r="J535" s="2847"/>
      <c r="K535" s="2852"/>
      <c r="L535" s="2689"/>
      <c r="M535" s="2681"/>
      <c r="N535" s="2681"/>
      <c r="O535" s="2681"/>
      <c r="P535" s="2681"/>
      <c r="Q535" s="2681"/>
      <c r="R535" s="2681"/>
      <c r="S535" s="2681"/>
      <c r="T535" s="2681"/>
      <c r="U535" s="2681"/>
      <c r="V535" s="2681"/>
      <c r="W535" s="2689"/>
      <c r="X535" s="2689"/>
    </row>
    <row r="536" spans="1:24">
      <c r="A536" s="2681"/>
      <c r="B536" s="2689" t="s">
        <v>146</v>
      </c>
      <c r="C536" s="2681"/>
      <c r="D536" s="2681"/>
      <c r="E536" s="2681"/>
      <c r="F536" s="2681"/>
      <c r="G536" s="2681"/>
      <c r="H536" s="2681"/>
      <c r="I536" s="2854"/>
      <c r="J536" s="2788">
        <f>'Part IV-Uses of Funds'!J138</f>
        <v>0</v>
      </c>
      <c r="K536" s="2788"/>
      <c r="L536" s="2681"/>
      <c r="M536" s="2681"/>
      <c r="N536" s="2681"/>
      <c r="O536" s="2681"/>
      <c r="P536" s="2788">
        <f>'Part IV-Uses of Funds'!P138</f>
        <v>0</v>
      </c>
      <c r="Q536" s="2788"/>
      <c r="R536" s="2681"/>
      <c r="S536" s="2681"/>
      <c r="T536" s="2681"/>
      <c r="U536" s="2681"/>
      <c r="V536" s="2815">
        <f>'Part IV-Uses of Funds'!V138</f>
        <v>0</v>
      </c>
      <c r="W536" s="2816">
        <f>'Part IV-Uses of Funds'!W138</f>
        <v>0</v>
      </c>
      <c r="X536" s="2837"/>
    </row>
    <row r="537" spans="1:24">
      <c r="A537" s="2681"/>
      <c r="B537" s="2681" t="s">
        <v>2253</v>
      </c>
      <c r="C537" s="2681"/>
      <c r="D537" s="2681"/>
      <c r="E537" s="2681"/>
      <c r="F537" s="2681"/>
      <c r="G537" s="2681"/>
      <c r="H537" s="2681"/>
      <c r="I537" s="2854"/>
      <c r="J537" s="2788">
        <f>'Part IV-Uses of Funds'!J139</f>
        <v>0</v>
      </c>
      <c r="K537" s="2788"/>
      <c r="L537" s="2681"/>
      <c r="M537" s="2681"/>
      <c r="N537" s="2681"/>
      <c r="O537" s="2681"/>
      <c r="P537" s="2788">
        <f>'Part IV-Uses of Funds'!P139</f>
        <v>0</v>
      </c>
      <c r="Q537" s="2788"/>
      <c r="R537" s="2681"/>
      <c r="S537" s="2681"/>
      <c r="T537" s="2681"/>
      <c r="U537" s="2681"/>
      <c r="V537" s="2815">
        <f>'Part IV-Uses of Funds'!V139</f>
        <v>0</v>
      </c>
      <c r="W537" s="2837"/>
      <c r="X537" s="2837"/>
    </row>
    <row r="538" spans="1:24">
      <c r="A538" s="2681"/>
      <c r="B538" s="2681" t="s">
        <v>1956</v>
      </c>
      <c r="C538" s="2681"/>
      <c r="D538" s="2681"/>
      <c r="E538" s="2681"/>
      <c r="F538" s="2681"/>
      <c r="G538" s="2681"/>
      <c r="H538" s="2681"/>
      <c r="I538" s="2854"/>
      <c r="J538" s="2788">
        <f>'Part IV-Uses of Funds'!J140</f>
        <v>0</v>
      </c>
      <c r="K538" s="2788"/>
      <c r="L538" s="2681"/>
      <c r="M538" s="2681"/>
      <c r="N538" s="2681"/>
      <c r="O538" s="2681"/>
      <c r="P538" s="2788">
        <f>'Part IV-Uses of Funds'!P140</f>
        <v>0</v>
      </c>
      <c r="Q538" s="2788"/>
      <c r="R538" s="2681"/>
      <c r="S538" s="2681"/>
      <c r="T538" s="2681"/>
      <c r="U538" s="2681"/>
      <c r="V538" s="2815">
        <f>'Part IV-Uses of Funds'!V140</f>
        <v>0</v>
      </c>
      <c r="W538" s="2837"/>
      <c r="X538" s="2837"/>
    </row>
    <row r="539" spans="1:24">
      <c r="A539" s="2681"/>
      <c r="B539" s="2681" t="s">
        <v>1957</v>
      </c>
      <c r="C539" s="2681"/>
      <c r="D539" s="2681"/>
      <c r="E539" s="2681"/>
      <c r="F539" s="2681"/>
      <c r="G539" s="2681"/>
      <c r="H539" s="2681"/>
      <c r="I539" s="2854"/>
      <c r="J539" s="2788">
        <f>'Part IV-Uses of Funds'!J141</f>
        <v>0</v>
      </c>
      <c r="K539" s="2788"/>
      <c r="L539" s="2681"/>
      <c r="M539" s="2681"/>
      <c r="N539" s="2681"/>
      <c r="O539" s="2681"/>
      <c r="P539" s="2788">
        <f>'Part IV-Uses of Funds'!P141</f>
        <v>0</v>
      </c>
      <c r="Q539" s="2788"/>
      <c r="R539" s="2681"/>
      <c r="S539" s="2681"/>
      <c r="T539" s="2681"/>
      <c r="U539" s="2681"/>
      <c r="V539" s="2815">
        <f>'Part IV-Uses of Funds'!V141</f>
        <v>0</v>
      </c>
      <c r="W539" s="2837"/>
      <c r="X539" s="2837"/>
    </row>
    <row r="540" spans="1:24">
      <c r="A540" s="2681"/>
      <c r="B540" s="2681" t="s">
        <v>265</v>
      </c>
      <c r="C540" s="2681"/>
      <c r="D540" s="2681"/>
      <c r="E540" s="2681"/>
      <c r="F540" s="2681"/>
      <c r="G540" s="2681"/>
      <c r="H540" s="2681"/>
      <c r="I540" s="2854"/>
      <c r="J540" s="2788">
        <f>'Part IV-Uses of Funds'!J142</f>
        <v>0</v>
      </c>
      <c r="K540" s="2788"/>
      <c r="L540" s="2681"/>
      <c r="M540" s="2681"/>
      <c r="N540" s="2681"/>
      <c r="O540" s="2681"/>
      <c r="P540" s="2788">
        <f>'Part IV-Uses of Funds'!P142</f>
        <v>0</v>
      </c>
      <c r="Q540" s="2788"/>
      <c r="R540" s="2681"/>
      <c r="S540" s="2681"/>
      <c r="T540" s="2681"/>
      <c r="U540" s="2681"/>
      <c r="V540" s="2815">
        <f>'Part IV-Uses of Funds'!V142</f>
        <v>0</v>
      </c>
      <c r="W540" s="2837"/>
      <c r="X540" s="2837"/>
    </row>
    <row r="541" spans="1:24">
      <c r="A541" s="2681"/>
      <c r="B541" s="2681" t="s">
        <v>1679</v>
      </c>
      <c r="C541" s="2696" t="str">
        <f>'Part IV-Uses of Funds'!C143</f>
        <v>&lt;Enter detailed description here; use Comments section if needed&gt;</v>
      </c>
      <c r="D541" s="2696"/>
      <c r="E541" s="2696"/>
      <c r="F541" s="2696"/>
      <c r="G541" s="2696"/>
      <c r="H541" s="2696"/>
      <c r="I541" s="2696"/>
      <c r="J541" s="2788">
        <f>'Part IV-Uses of Funds'!J143</f>
        <v>0</v>
      </c>
      <c r="K541" s="2788"/>
      <c r="L541" s="2681"/>
      <c r="M541" s="2681"/>
      <c r="N541" s="2681"/>
      <c r="O541" s="2681"/>
      <c r="P541" s="2788">
        <f>'Part IV-Uses of Funds'!P143</f>
        <v>0</v>
      </c>
      <c r="Q541" s="2788"/>
      <c r="R541" s="2681"/>
      <c r="S541" s="2681"/>
      <c r="T541" s="2681"/>
      <c r="U541" s="2681"/>
      <c r="V541" s="2815">
        <f>'Part IV-Uses of Funds'!V143</f>
        <v>0</v>
      </c>
      <c r="W541" s="2837"/>
      <c r="X541" s="2837"/>
    </row>
    <row r="542" spans="1:24">
      <c r="A542" s="2681"/>
      <c r="B542" s="2684" t="s">
        <v>1958</v>
      </c>
      <c r="C542" s="2707"/>
      <c r="D542" s="2681"/>
      <c r="E542" s="2681"/>
      <c r="F542" s="2681"/>
      <c r="G542" s="2681"/>
      <c r="H542" s="2681"/>
      <c r="I542" s="2681"/>
      <c r="J542" s="2807">
        <f>SUM(J536:K541)</f>
        <v>0</v>
      </c>
      <c r="K542" s="2807"/>
      <c r="L542" s="2681"/>
      <c r="M542" s="2681"/>
      <c r="N542" s="2681"/>
      <c r="O542" s="2681"/>
      <c r="P542" s="2807">
        <f>SUM(P536:Q541)</f>
        <v>0</v>
      </c>
      <c r="Q542" s="2807"/>
      <c r="R542" s="2681"/>
      <c r="S542" s="2681"/>
      <c r="T542" s="2681"/>
      <c r="U542" s="2681"/>
      <c r="V542" s="2815">
        <f>SUM(V536:V541)</f>
        <v>0</v>
      </c>
      <c r="W542" s="2837"/>
      <c r="X542" s="2837"/>
    </row>
    <row r="543" spans="1:24">
      <c r="A543" s="2681"/>
      <c r="B543" s="2681"/>
      <c r="C543" s="2681"/>
      <c r="D543" s="2681"/>
      <c r="E543" s="2681"/>
      <c r="F543" s="2681"/>
      <c r="G543" s="2681"/>
      <c r="H543" s="2681"/>
      <c r="I543" s="2681"/>
      <c r="J543" s="2681"/>
      <c r="K543" s="2681"/>
      <c r="L543" s="2681"/>
      <c r="M543" s="2681"/>
      <c r="N543" s="2681"/>
      <c r="O543" s="2681"/>
      <c r="P543" s="2681"/>
      <c r="Q543" s="2681"/>
      <c r="R543" s="2681"/>
      <c r="S543" s="2681"/>
      <c r="T543" s="2681"/>
      <c r="U543" s="2681"/>
      <c r="V543" s="2681"/>
      <c r="W543" s="2689"/>
      <c r="X543" s="2689"/>
    </row>
    <row r="544" spans="1:24">
      <c r="A544" s="2681"/>
      <c r="B544" s="2684" t="s">
        <v>2450</v>
      </c>
      <c r="C544" s="2681"/>
      <c r="D544" s="2681"/>
      <c r="E544" s="2681"/>
      <c r="F544" s="2681"/>
      <c r="G544" s="2681"/>
      <c r="H544" s="2681"/>
      <c r="I544" s="2681"/>
      <c r="J544" s="2681"/>
      <c r="K544" s="2681"/>
      <c r="L544" s="2681"/>
      <c r="M544" s="2681"/>
      <c r="N544" s="2681"/>
      <c r="O544" s="2681"/>
      <c r="P544" s="2681"/>
      <c r="Q544" s="2681"/>
      <c r="R544" s="2681"/>
      <c r="S544" s="2681"/>
      <c r="T544" s="2681"/>
      <c r="U544" s="2681"/>
      <c r="V544" s="2681"/>
      <c r="W544" s="2689" t="str">
        <f>B544</f>
        <v>Eligible Basis Calculation</v>
      </c>
      <c r="X544" s="2689"/>
    </row>
    <row r="545" spans="1:24">
      <c r="A545" s="2681"/>
      <c r="B545" s="2681" t="s">
        <v>1878</v>
      </c>
      <c r="C545" s="2681"/>
      <c r="D545" s="2681"/>
      <c r="E545" s="2681"/>
      <c r="F545" s="2681"/>
      <c r="G545" s="2681"/>
      <c r="H545" s="2681"/>
      <c r="I545" s="2681"/>
      <c r="J545" s="2855">
        <f>J528</f>
        <v>12931333</v>
      </c>
      <c r="K545" s="2855"/>
      <c r="L545" s="2681"/>
      <c r="M545" s="2855">
        <f>M528</f>
        <v>0</v>
      </c>
      <c r="N545" s="2855"/>
      <c r="O545" s="2681"/>
      <c r="P545" s="2855">
        <f>P528</f>
        <v>0</v>
      </c>
      <c r="Q545" s="2855"/>
      <c r="R545" s="2681"/>
      <c r="S545" s="2681"/>
      <c r="T545" s="2681"/>
      <c r="U545" s="2681"/>
      <c r="V545" s="2815"/>
      <c r="W545" s="2816">
        <f>'Part IV-Uses of Funds'!W147</f>
        <v>0</v>
      </c>
      <c r="X545" s="2837"/>
    </row>
    <row r="546" spans="1:24">
      <c r="A546" s="2681"/>
      <c r="B546" s="2681" t="s">
        <v>2327</v>
      </c>
      <c r="C546" s="2681"/>
      <c r="D546" s="2681"/>
      <c r="E546" s="2681"/>
      <c r="F546" s="2681"/>
      <c r="G546" s="2681"/>
      <c r="H546" s="2681"/>
      <c r="I546" s="2681"/>
      <c r="J546" s="2855">
        <f>J542</f>
        <v>0</v>
      </c>
      <c r="K546" s="2855"/>
      <c r="L546" s="2681"/>
      <c r="M546" s="2855"/>
      <c r="N546" s="2855"/>
      <c r="O546" s="2681"/>
      <c r="P546" s="2855">
        <f>P542</f>
        <v>0</v>
      </c>
      <c r="Q546" s="2855"/>
      <c r="R546" s="2681"/>
      <c r="S546" s="2681"/>
      <c r="T546" s="2681"/>
      <c r="U546" s="2681"/>
      <c r="V546" s="2815"/>
      <c r="W546" s="2837"/>
      <c r="X546" s="2837"/>
    </row>
    <row r="547" spans="1:24">
      <c r="A547" s="2681"/>
      <c r="B547" s="2681" t="s">
        <v>2328</v>
      </c>
      <c r="C547" s="2681"/>
      <c r="D547" s="2681"/>
      <c r="E547" s="2681"/>
      <c r="F547" s="2681"/>
      <c r="G547" s="2681"/>
      <c r="H547" s="2681"/>
      <c r="I547" s="2681"/>
      <c r="J547" s="2855">
        <f>J545-J546</f>
        <v>12931333</v>
      </c>
      <c r="K547" s="2855"/>
      <c r="L547" s="2681"/>
      <c r="M547" s="2855">
        <f>M545</f>
        <v>0</v>
      </c>
      <c r="N547" s="2855"/>
      <c r="O547" s="2681"/>
      <c r="P547" s="2855">
        <f>P545-P546</f>
        <v>0</v>
      </c>
      <c r="Q547" s="2855"/>
      <c r="R547" s="2681"/>
      <c r="S547" s="2681"/>
      <c r="T547" s="2681"/>
      <c r="U547" s="2681"/>
      <c r="V547" s="2815"/>
      <c r="W547" s="2837"/>
      <c r="X547" s="2837"/>
    </row>
    <row r="548" spans="1:24">
      <c r="A548" s="2681"/>
      <c r="B548" s="2681" t="s">
        <v>1561</v>
      </c>
      <c r="C548" s="2681"/>
      <c r="D548" s="2681"/>
      <c r="E548" s="2681"/>
      <c r="F548" s="2681"/>
      <c r="G548" s="2685" t="s">
        <v>1799</v>
      </c>
      <c r="H548" s="2695" t="str">
        <f>'Part IV-Uses of Funds'!H150</f>
        <v>State Boost</v>
      </c>
      <c r="I548" s="2695"/>
      <c r="J548" s="2856">
        <f>'Part IV-Uses of Funds'!J150</f>
        <v>1.3</v>
      </c>
      <c r="K548" s="2856"/>
      <c r="L548" s="2681"/>
      <c r="M548" s="2856"/>
      <c r="N548" s="2856"/>
      <c r="O548" s="2681"/>
      <c r="P548" s="2856">
        <f>'Part IV-Uses of Funds'!P150</f>
        <v>0</v>
      </c>
      <c r="Q548" s="2856"/>
      <c r="R548" s="2681"/>
      <c r="S548" s="2681"/>
      <c r="T548" s="2681"/>
      <c r="U548" s="2681"/>
      <c r="V548" s="2815"/>
      <c r="W548" s="2837"/>
      <c r="X548" s="2837"/>
    </row>
    <row r="549" spans="1:24">
      <c r="A549" s="2681"/>
      <c r="B549" s="2681" t="s">
        <v>2155</v>
      </c>
      <c r="C549" s="2681"/>
      <c r="D549" s="2681"/>
      <c r="E549" s="2681"/>
      <c r="F549" s="2681"/>
      <c r="G549" s="2681"/>
      <c r="H549" s="2681"/>
      <c r="I549" s="2681"/>
      <c r="J549" s="2855">
        <f>J547*J548</f>
        <v>16810732.900000002</v>
      </c>
      <c r="K549" s="2855"/>
      <c r="L549" s="2681"/>
      <c r="M549" s="2855">
        <f>+M547</f>
        <v>0</v>
      </c>
      <c r="N549" s="2855"/>
      <c r="O549" s="2681"/>
      <c r="P549" s="2855">
        <f>P547*P548</f>
        <v>0</v>
      </c>
      <c r="Q549" s="2855"/>
      <c r="R549" s="2681"/>
      <c r="S549" s="2681"/>
      <c r="T549" s="2681"/>
      <c r="U549" s="2681"/>
      <c r="V549" s="2815"/>
      <c r="W549" s="2837"/>
      <c r="X549" s="2837"/>
    </row>
    <row r="550" spans="1:24">
      <c r="A550" s="2681"/>
      <c r="B550" s="2681" t="s">
        <v>2669</v>
      </c>
      <c r="C550" s="2681"/>
      <c r="D550" s="2681"/>
      <c r="E550" s="2681"/>
      <c r="F550" s="2681"/>
      <c r="G550" s="2681"/>
      <c r="H550" s="2681"/>
      <c r="I550" s="2681"/>
      <c r="J550" s="2857">
        <f>MIN('Part VI-Revenues &amp; Expenses'!$M$58/'Part VI-Revenues &amp; Expenses'!$M$60,'Part VI-Revenues &amp; Expenses'!$M$116/'Part VI-Revenues &amp; Expenses'!$M$118)</f>
        <v>1</v>
      </c>
      <c r="K550" s="2857"/>
      <c r="L550" s="2681"/>
      <c r="M550" s="2857">
        <f>MIN('Part VI-Revenues &amp; Expenses'!$M$58/'Part VI-Revenues &amp; Expenses'!$M$60,'Part VI-Revenues &amp; Expenses'!$M$116/'Part VI-Revenues &amp; Expenses'!$M$118)</f>
        <v>1</v>
      </c>
      <c r="N550" s="2857"/>
      <c r="O550" s="2681"/>
      <c r="P550" s="2857">
        <f>MIN('Part VI-Revenues &amp; Expenses'!$M$58/'Part VI-Revenues &amp; Expenses'!$M$60,'Part VI-Revenues &amp; Expenses'!$M$116/'Part VI-Revenues &amp; Expenses'!$M$118)</f>
        <v>1</v>
      </c>
      <c r="Q550" s="2857"/>
      <c r="R550" s="2681"/>
      <c r="S550" s="2681"/>
      <c r="T550" s="2681"/>
      <c r="U550" s="2681"/>
      <c r="V550" s="2815"/>
      <c r="W550" s="2837"/>
      <c r="X550" s="2837"/>
    </row>
    <row r="551" spans="1:24">
      <c r="A551" s="2681"/>
      <c r="B551" s="2681" t="s">
        <v>2146</v>
      </c>
      <c r="C551" s="2681"/>
      <c r="D551" s="2681"/>
      <c r="E551" s="2681"/>
      <c r="F551" s="2681"/>
      <c r="G551" s="2681"/>
      <c r="H551" s="2681"/>
      <c r="I551" s="2681"/>
      <c r="J551" s="2855">
        <f>J549*J550</f>
        <v>16810732.900000002</v>
      </c>
      <c r="K551" s="2855"/>
      <c r="L551" s="2681"/>
      <c r="M551" s="2855">
        <f>M549*M550</f>
        <v>0</v>
      </c>
      <c r="N551" s="2855"/>
      <c r="O551" s="2681"/>
      <c r="P551" s="2855">
        <f>P549*P550</f>
        <v>0</v>
      </c>
      <c r="Q551" s="2855"/>
      <c r="R551" s="2681"/>
      <c r="S551" s="2681"/>
      <c r="T551" s="2681"/>
      <c r="U551" s="2681"/>
      <c r="V551" s="2815"/>
      <c r="W551" s="2837"/>
      <c r="X551" s="2837"/>
    </row>
    <row r="552" spans="1:24">
      <c r="A552" s="2681"/>
      <c r="B552" s="2681" t="s">
        <v>2147</v>
      </c>
      <c r="C552" s="2681"/>
      <c r="D552" s="2681"/>
      <c r="E552" s="2681"/>
      <c r="F552" s="2681"/>
      <c r="G552" s="2681"/>
      <c r="H552" s="2681"/>
      <c r="I552" s="2681"/>
      <c r="J552" s="2856">
        <f>'Part IV-Uses of Funds'!J154</f>
        <v>7.4399999999999994E-2</v>
      </c>
      <c r="K552" s="2856"/>
      <c r="L552" s="2681"/>
      <c r="M552" s="2856">
        <f>'Part IV-Uses of Funds'!M154</f>
        <v>0</v>
      </c>
      <c r="N552" s="2856"/>
      <c r="O552" s="2681"/>
      <c r="P552" s="2856">
        <f>'Part IV-Uses of Funds'!P154</f>
        <v>0</v>
      </c>
      <c r="Q552" s="2856"/>
      <c r="R552" s="2681"/>
      <c r="S552" s="2681"/>
      <c r="T552" s="2681"/>
      <c r="U552" s="2681"/>
      <c r="V552" s="2815"/>
      <c r="W552" s="2837"/>
      <c r="X552" s="2837"/>
    </row>
    <row r="553" spans="1:24">
      <c r="A553" s="2681"/>
      <c r="B553" s="2681" t="s">
        <v>2670</v>
      </c>
      <c r="C553" s="2681"/>
      <c r="D553" s="2681"/>
      <c r="E553" s="2681"/>
      <c r="F553" s="2681"/>
      <c r="G553" s="2681"/>
      <c r="H553" s="2681"/>
      <c r="I553" s="2681"/>
      <c r="J553" s="2855">
        <f>J551*J552</f>
        <v>1250718.52776</v>
      </c>
      <c r="K553" s="2855"/>
      <c r="L553" s="2681"/>
      <c r="M553" s="2855">
        <f>M551*M552</f>
        <v>0</v>
      </c>
      <c r="N553" s="2855"/>
      <c r="O553" s="2681"/>
      <c r="P553" s="2855">
        <f>P551*P552</f>
        <v>0</v>
      </c>
      <c r="Q553" s="2855"/>
      <c r="R553" s="2681"/>
      <c r="S553" s="2681"/>
      <c r="T553" s="2681"/>
      <c r="U553" s="2681"/>
      <c r="V553" s="2815"/>
      <c r="W553" s="2837"/>
      <c r="X553" s="2837"/>
    </row>
    <row r="554" spans="1:24">
      <c r="A554" s="2681"/>
      <c r="B554" s="2684" t="s">
        <v>1496</v>
      </c>
      <c r="C554" s="2681"/>
      <c r="D554" s="2681"/>
      <c r="E554" s="2681"/>
      <c r="F554" s="2681"/>
      <c r="G554" s="2681"/>
      <c r="H554" s="2681"/>
      <c r="I554" s="2681"/>
      <c r="J554" s="2807">
        <f>J553+M553+P553</f>
        <v>1250718.52776</v>
      </c>
      <c r="K554" s="2807"/>
      <c r="L554" s="2807"/>
      <c r="M554" s="2807"/>
      <c r="N554" s="2807"/>
      <c r="O554" s="2807"/>
      <c r="P554" s="2807"/>
      <c r="Q554" s="2807"/>
      <c r="R554" s="2681"/>
      <c r="S554" s="2681"/>
      <c r="T554" s="2681"/>
      <c r="U554" s="2681"/>
      <c r="V554" s="2815"/>
      <c r="W554" s="2837"/>
      <c r="X554" s="2837"/>
    </row>
    <row r="555" spans="1:24">
      <c r="A555" s="2681"/>
      <c r="B555" s="2858"/>
      <c r="C555" s="2681"/>
      <c r="D555" s="2681"/>
      <c r="E555" s="2681"/>
      <c r="F555" s="2681"/>
      <c r="G555" s="2681"/>
      <c r="H555" s="2681"/>
      <c r="I555" s="2681"/>
      <c r="J555" s="2681"/>
      <c r="K555" s="2681"/>
      <c r="L555" s="2808"/>
      <c r="M555" s="2808"/>
      <c r="N555" s="2808"/>
      <c r="O555" s="2808"/>
      <c r="P555" s="2681"/>
      <c r="Q555" s="2681"/>
      <c r="R555" s="2681"/>
      <c r="S555" s="2681"/>
      <c r="T555" s="2681"/>
      <c r="U555" s="2681"/>
      <c r="V555" s="2681"/>
      <c r="W555" s="2689"/>
      <c r="X555" s="2689"/>
    </row>
    <row r="556" spans="1:24" ht="16.5">
      <c r="A556" s="2814" t="s">
        <v>782</v>
      </c>
      <c r="B556" s="2814" t="s">
        <v>1499</v>
      </c>
      <c r="C556" s="2681"/>
      <c r="D556" s="2681"/>
      <c r="E556" s="2681"/>
      <c r="F556" s="2681"/>
      <c r="G556" s="2681"/>
      <c r="H556" s="2847"/>
      <c r="I556" s="2847"/>
      <c r="J556" s="2681"/>
      <c r="K556" s="2681"/>
      <c r="L556" s="2681"/>
      <c r="M556" s="2859"/>
      <c r="N556" s="2681"/>
      <c r="O556" s="2681"/>
      <c r="P556" s="2681"/>
      <c r="Q556" s="2681"/>
      <c r="R556" s="2681"/>
      <c r="S556" s="2681"/>
      <c r="T556" s="2681"/>
      <c r="U556" s="2681"/>
      <c r="V556" s="2681"/>
      <c r="W556" s="2689"/>
      <c r="X556" s="2689"/>
    </row>
    <row r="557" spans="1:24" ht="16.5">
      <c r="A557" s="2681"/>
      <c r="B557" s="2684" t="s">
        <v>179</v>
      </c>
      <c r="C557" s="2681"/>
      <c r="D557" s="2681"/>
      <c r="E557" s="2681"/>
      <c r="F557" s="2681"/>
      <c r="G557" s="2681"/>
      <c r="H557" s="2757"/>
      <c r="I557" s="2681"/>
      <c r="J557" s="2681"/>
      <c r="K557" s="2681"/>
      <c r="L557" s="2681"/>
      <c r="M557" s="2859"/>
      <c r="N557" s="2681"/>
      <c r="O557" s="2681"/>
      <c r="P557" s="2681"/>
      <c r="Q557" s="2681"/>
      <c r="R557" s="2681"/>
      <c r="S557" s="2681"/>
      <c r="T557" s="2681"/>
      <c r="U557" s="2681"/>
      <c r="V557" s="2681"/>
      <c r="W557" s="2836" t="str">
        <f>B556</f>
        <v>TAX CREDIT CALCULATION - GAP METHOD</v>
      </c>
      <c r="X557" s="2689"/>
    </row>
    <row r="558" spans="1:24" ht="13.5">
      <c r="A558" s="2681"/>
      <c r="B558" s="2683" t="s">
        <v>4572</v>
      </c>
      <c r="C558" s="2681"/>
      <c r="D558" s="2681"/>
      <c r="E558" s="2681"/>
      <c r="F558" s="2681"/>
      <c r="G558" s="2860" t="str">
        <f>IF(J559&gt;J558,"TDC exceeds QAP PUCL!","")</f>
        <v/>
      </c>
      <c r="H558" s="2860"/>
      <c r="I558" s="2860"/>
      <c r="J558" s="2790">
        <f>'Part VIII-Threshold Criteria'!$P$60</f>
        <v>17206590</v>
      </c>
      <c r="K558" s="2790"/>
      <c r="L558" s="2790"/>
      <c r="M558" s="2861" t="s">
        <v>2935</v>
      </c>
      <c r="N558" s="2861"/>
      <c r="O558" s="2861"/>
      <c r="P558" s="2861"/>
      <c r="Q558" s="2861"/>
      <c r="R558" s="2861"/>
      <c r="S558" s="2862" t="s">
        <v>2896</v>
      </c>
      <c r="T558" s="2862"/>
      <c r="U558" s="2681"/>
      <c r="V558" s="2815"/>
      <c r="W558" s="2816">
        <f>'Part IV-Uses of Funds'!W160</f>
        <v>0</v>
      </c>
      <c r="X558" s="2837"/>
    </row>
    <row r="559" spans="1:24">
      <c r="A559" s="2681"/>
      <c r="B559" s="2681" t="s">
        <v>4573</v>
      </c>
      <c r="C559" s="2681"/>
      <c r="D559" s="2681"/>
      <c r="E559" s="2681"/>
      <c r="F559" s="2681"/>
      <c r="G559" s="2681"/>
      <c r="H559" s="2681"/>
      <c r="I559" s="2681"/>
      <c r="J559" s="2855">
        <f>'Part IV-Uses of Funds'!J161</f>
        <v>14368613</v>
      </c>
      <c r="K559" s="2855"/>
      <c r="L559" s="2855"/>
      <c r="M559" s="2861"/>
      <c r="N559" s="2861"/>
      <c r="O559" s="2861"/>
      <c r="P559" s="2861"/>
      <c r="Q559" s="2861"/>
      <c r="R559" s="2861"/>
      <c r="S559" s="2862"/>
      <c r="T559" s="2862"/>
      <c r="U559" s="2681"/>
      <c r="V559" s="2815"/>
      <c r="W559" s="2837"/>
      <c r="X559" s="2837"/>
    </row>
    <row r="560" spans="1:24">
      <c r="A560" s="2681"/>
      <c r="B560" s="2681" t="s">
        <v>275</v>
      </c>
      <c r="C560" s="2681"/>
      <c r="D560" s="2681"/>
      <c r="E560" s="2681"/>
      <c r="F560" s="2681"/>
      <c r="G560" s="2681"/>
      <c r="H560" s="2681"/>
      <c r="I560" s="2681"/>
      <c r="J560" s="2855">
        <f>'Part III-Sources of Funds'!$I$53-'Part III-Sources of Funds'!$I$40-'Part III-Sources of Funds'!$I$41-'Part III-Sources of Funds'!$I$44-'Part III-Sources of Funds'!$I$45</f>
        <v>787492</v>
      </c>
      <c r="K560" s="2855"/>
      <c r="L560" s="2855"/>
      <c r="M560" s="2861"/>
      <c r="N560" s="2861"/>
      <c r="O560" s="2861"/>
      <c r="P560" s="2861"/>
      <c r="Q560" s="2861"/>
      <c r="R560" s="2861"/>
      <c r="S560" s="2862"/>
      <c r="T560" s="2862"/>
      <c r="U560" s="2681"/>
      <c r="V560" s="2815"/>
      <c r="W560" s="2837"/>
      <c r="X560" s="2837"/>
    </row>
    <row r="561" spans="1:24" ht="13.5">
      <c r="A561" s="2681"/>
      <c r="B561" s="2681" t="s">
        <v>2339</v>
      </c>
      <c r="C561" s="2681"/>
      <c r="D561" s="2681"/>
      <c r="E561" s="2681"/>
      <c r="F561" s="2681"/>
      <c r="G561" s="2681"/>
      <c r="H561" s="2681"/>
      <c r="I561" s="2681"/>
      <c r="J561" s="2855">
        <f>+J559-J560</f>
        <v>13581121</v>
      </c>
      <c r="K561" s="2855"/>
      <c r="L561" s="2855"/>
      <c r="M561" s="2863" t="s">
        <v>2936</v>
      </c>
      <c r="N561" s="2863"/>
      <c r="O561" s="2864">
        <f>'Part IV-Uses of Funds'!O163</f>
        <v>0</v>
      </c>
      <c r="P561" s="2864"/>
      <c r="Q561" s="2864"/>
      <c r="R561" s="2864"/>
      <c r="S561" s="2865" t="s">
        <v>1742</v>
      </c>
      <c r="T561" s="2866" t="str">
        <f>'Part IV-Uses of Funds'!T163</f>
        <v>No</v>
      </c>
      <c r="U561" s="2681"/>
      <c r="V561" s="2815"/>
      <c r="W561" s="2837"/>
      <c r="X561" s="2837"/>
    </row>
    <row r="562" spans="1:24" ht="13.5">
      <c r="A562" s="2681"/>
      <c r="B562" s="2681" t="s">
        <v>1351</v>
      </c>
      <c r="C562" s="2681"/>
      <c r="D562" s="2681"/>
      <c r="E562" s="2681"/>
      <c r="F562" s="2681"/>
      <c r="G562" s="2681"/>
      <c r="H562" s="2681"/>
      <c r="I562" s="2681"/>
      <c r="J562" s="2695" t="str">
        <f>"/ 10"</f>
        <v>/ 10</v>
      </c>
      <c r="K562" s="2695"/>
      <c r="L562" s="2695"/>
      <c r="M562" s="2681"/>
      <c r="N562" s="2867"/>
      <c r="O562" s="2867"/>
      <c r="P562" s="2867"/>
      <c r="Q562" s="2867"/>
      <c r="R562" s="2867"/>
      <c r="S562" s="2681"/>
      <c r="T562" s="2681"/>
      <c r="U562" s="2681"/>
      <c r="V562" s="2681"/>
      <c r="W562" s="2837"/>
      <c r="X562" s="2837"/>
    </row>
    <row r="563" spans="1:24">
      <c r="A563" s="2681"/>
      <c r="B563" s="2681" t="s">
        <v>1352</v>
      </c>
      <c r="C563" s="2681"/>
      <c r="D563" s="2681"/>
      <c r="E563" s="2681"/>
      <c r="F563" s="2681"/>
      <c r="G563" s="2681"/>
      <c r="H563" s="2681"/>
      <c r="I563" s="2681"/>
      <c r="J563" s="2855">
        <f>J561/10</f>
        <v>1358112.1</v>
      </c>
      <c r="K563" s="2855"/>
      <c r="L563" s="2855"/>
      <c r="M563" s="2687"/>
      <c r="N563" s="2695" t="s">
        <v>1353</v>
      </c>
      <c r="O563" s="2695"/>
      <c r="P563" s="2681"/>
      <c r="Q563" s="2695" t="s">
        <v>1887</v>
      </c>
      <c r="R563" s="2695"/>
      <c r="S563" s="2681"/>
      <c r="T563" s="2681"/>
      <c r="U563" s="2681"/>
      <c r="V563" s="2815"/>
      <c r="W563" s="2837"/>
      <c r="X563" s="2837"/>
    </row>
    <row r="564" spans="1:24">
      <c r="A564" s="2681"/>
      <c r="B564" s="2681" t="s">
        <v>4574</v>
      </c>
      <c r="C564" s="2681"/>
      <c r="D564" s="2681"/>
      <c r="E564" s="2681"/>
      <c r="F564" s="2681"/>
      <c r="G564" s="2681"/>
      <c r="H564" s="2681"/>
      <c r="I564" s="2681"/>
      <c r="J564" s="2868">
        <f>N564+Q564</f>
        <v>1.42</v>
      </c>
      <c r="K564" s="2868"/>
      <c r="L564" s="2868"/>
      <c r="M564" s="2685" t="s">
        <v>1354</v>
      </c>
      <c r="N564" s="2869">
        <f>'Part IV-Uses of Funds'!N166</f>
        <v>0.95</v>
      </c>
      <c r="O564" s="2869"/>
      <c r="P564" s="2685" t="s">
        <v>643</v>
      </c>
      <c r="Q564" s="2869">
        <f>'Part IV-Uses of Funds'!Q166</f>
        <v>0.47</v>
      </c>
      <c r="R564" s="2869"/>
      <c r="S564" s="2681"/>
      <c r="T564" s="2681"/>
      <c r="U564" s="2681"/>
      <c r="V564" s="2815"/>
      <c r="W564" s="2837"/>
      <c r="X564" s="2837"/>
    </row>
    <row r="565" spans="1:24">
      <c r="A565" s="2681"/>
      <c r="B565" s="2684" t="s">
        <v>1497</v>
      </c>
      <c r="C565" s="2681"/>
      <c r="D565" s="2681"/>
      <c r="E565" s="2681"/>
      <c r="F565" s="2681"/>
      <c r="G565" s="2681"/>
      <c r="H565" s="2681"/>
      <c r="I565" s="2681"/>
      <c r="J565" s="2807">
        <f>IF(J564=0,"",J563/J564)</f>
        <v>956416.97183098597</v>
      </c>
      <c r="K565" s="2807"/>
      <c r="L565" s="2807"/>
      <c r="M565" s="2687"/>
      <c r="N565" s="2681"/>
      <c r="O565" s="2681"/>
      <c r="P565" s="2681"/>
      <c r="Q565" s="2681"/>
      <c r="R565" s="2681"/>
      <c r="S565" s="2681"/>
      <c r="T565" s="2681"/>
      <c r="U565" s="2681"/>
      <c r="V565" s="2815"/>
      <c r="W565" s="2837"/>
      <c r="X565" s="2837"/>
    </row>
    <row r="566" spans="1:24">
      <c r="A566" s="2681"/>
      <c r="B566" s="2681"/>
      <c r="C566" s="2681"/>
      <c r="D566" s="2681"/>
      <c r="E566" s="2681"/>
      <c r="F566" s="2681"/>
      <c r="G566" s="2681"/>
      <c r="H566" s="2681"/>
      <c r="I566" s="2681"/>
      <c r="J566" s="2870"/>
      <c r="K566" s="2870"/>
      <c r="L566" s="2870"/>
      <c r="M566" s="2687"/>
      <c r="N566" s="2685"/>
      <c r="O566" s="2685"/>
      <c r="P566" s="2681"/>
      <c r="Q566" s="2681"/>
      <c r="R566" s="2681"/>
      <c r="S566" s="2681"/>
      <c r="T566" s="2681"/>
      <c r="U566" s="2681"/>
      <c r="V566" s="2681"/>
      <c r="W566" s="2837"/>
      <c r="X566" s="2837"/>
    </row>
    <row r="567" spans="1:24">
      <c r="A567" s="2681"/>
      <c r="B567" s="2684" t="s">
        <v>4575</v>
      </c>
      <c r="C567" s="2681"/>
      <c r="D567" s="2681"/>
      <c r="E567" s="2681"/>
      <c r="F567" s="2681"/>
      <c r="G567" s="2681"/>
      <c r="H567" s="2681"/>
      <c r="I567" s="2681"/>
      <c r="J567" s="2807">
        <f>IF('Part I-Project Information'!$I$166 = "Yes",+MIN(J554,J565,'Part I-Project Information'!$O$166,'DCA Underwriting Assumptions'!$R$7),+MIN(J554,J565,'DCA Underwriting Assumptions'!$R$6))</f>
        <v>956416.97183098597</v>
      </c>
      <c r="K567" s="2807"/>
      <c r="L567" s="2807"/>
      <c r="M567" s="2687"/>
      <c r="N567" s="2685"/>
      <c r="O567" s="2685"/>
      <c r="P567" s="2681"/>
      <c r="Q567" s="2681"/>
      <c r="R567" s="2681"/>
      <c r="S567" s="2681"/>
      <c r="T567" s="2681"/>
      <c r="U567" s="2681"/>
      <c r="V567" s="2815"/>
      <c r="W567" s="2837"/>
      <c r="X567" s="2837"/>
    </row>
    <row r="568" spans="1:24">
      <c r="A568" s="2681"/>
      <c r="B568" s="2681"/>
      <c r="C568" s="2681"/>
      <c r="D568" s="2681"/>
      <c r="E568" s="2681"/>
      <c r="F568" s="2681"/>
      <c r="G568" s="2681"/>
      <c r="H568" s="2681"/>
      <c r="I568" s="2681"/>
      <c r="J568" s="2870"/>
      <c r="K568" s="2870"/>
      <c r="L568" s="2870"/>
      <c r="M568" s="2687"/>
      <c r="N568" s="2685"/>
      <c r="O568" s="2685"/>
      <c r="P568" s="2681"/>
      <c r="Q568" s="2681"/>
      <c r="R568" s="2681"/>
      <c r="S568" s="2681"/>
      <c r="T568" s="2681"/>
      <c r="U568" s="2681"/>
      <c r="V568" s="2681"/>
      <c r="W568" s="2837"/>
      <c r="X568" s="2837"/>
    </row>
    <row r="569" spans="1:24">
      <c r="A569" s="2681"/>
      <c r="B569" s="2684" t="s">
        <v>4576</v>
      </c>
      <c r="C569" s="2681"/>
      <c r="D569" s="2681"/>
      <c r="E569" s="2681"/>
      <c r="F569" s="2681"/>
      <c r="G569" s="2681"/>
      <c r="H569" s="2681"/>
      <c r="I569" s="2681"/>
      <c r="J569" s="2807">
        <f>'Part IV-Uses of Funds'!J171</f>
        <v>956416.5</v>
      </c>
      <c r="K569" s="2807"/>
      <c r="L569" s="2807"/>
      <c r="M569" s="2682" t="str">
        <f>IF(J567=0,"",IF(J569&gt;J567,"ALLOCATION CANNOT EXCEED MAXIMUM - REVISE REQUEST!",""))</f>
        <v/>
      </c>
      <c r="N569" s="2685"/>
      <c r="O569" s="2685"/>
      <c r="P569" s="2681"/>
      <c r="Q569" s="2681"/>
      <c r="R569" s="2681"/>
      <c r="S569" s="2681"/>
      <c r="T569" s="2681"/>
      <c r="U569" s="2681"/>
      <c r="V569" s="2815"/>
      <c r="W569" s="2837"/>
      <c r="X569" s="2837"/>
    </row>
    <row r="570" spans="1:24">
      <c r="A570" s="2681"/>
      <c r="B570" s="2681"/>
      <c r="C570" s="2681"/>
      <c r="D570" s="2681"/>
      <c r="E570" s="2681"/>
      <c r="F570" s="2681"/>
      <c r="G570" s="2681"/>
      <c r="H570" s="2681"/>
      <c r="I570" s="2681"/>
      <c r="J570" s="2870"/>
      <c r="K570" s="2870"/>
      <c r="L570" s="2870"/>
      <c r="M570" s="2687"/>
      <c r="N570" s="2685"/>
      <c r="O570" s="2685"/>
      <c r="P570" s="2681"/>
      <c r="Q570" s="2681"/>
      <c r="R570" s="2681"/>
      <c r="S570" s="2681"/>
      <c r="T570" s="2681"/>
      <c r="U570" s="2681"/>
      <c r="V570" s="2681"/>
      <c r="W570" s="2837"/>
      <c r="X570" s="2837"/>
    </row>
    <row r="571" spans="1:24" ht="16.5">
      <c r="A571" s="2814" t="s">
        <v>1880</v>
      </c>
      <c r="B571" s="2814" t="s">
        <v>4577</v>
      </c>
      <c r="C571" s="2681"/>
      <c r="D571" s="2687"/>
      <c r="E571" s="2687"/>
      <c r="F571" s="2689"/>
      <c r="G571" s="2681"/>
      <c r="H571" s="2681"/>
      <c r="I571" s="2681"/>
      <c r="J571" s="2807">
        <f>IF(J569="",0,+MIN(J567,J569))</f>
        <v>956416.5</v>
      </c>
      <c r="K571" s="2807"/>
      <c r="L571" s="2807"/>
      <c r="M571" s="2681"/>
      <c r="N571" s="2729"/>
      <c r="O571" s="2729"/>
      <c r="P571" s="2729"/>
      <c r="Q571" s="2729"/>
      <c r="R571" s="2729"/>
      <c r="S571" s="2729"/>
      <c r="T571" s="2729"/>
      <c r="U571" s="2681"/>
      <c r="V571" s="2815"/>
      <c r="W571" s="2837"/>
      <c r="X571" s="2837"/>
    </row>
    <row r="572" spans="1:24">
      <c r="A572" s="2687"/>
      <c r="B572" s="2687"/>
      <c r="C572" s="2687"/>
      <c r="D572" s="2687"/>
      <c r="E572" s="2687"/>
      <c r="F572" s="2687"/>
      <c r="G572" s="2687"/>
      <c r="H572" s="2687"/>
      <c r="I572" s="2687"/>
      <c r="J572" s="2687"/>
      <c r="K572" s="2687"/>
      <c r="L572" s="2687"/>
      <c r="M572" s="2687"/>
      <c r="N572" s="2687"/>
      <c r="O572" s="2687"/>
      <c r="P572" s="2687"/>
      <c r="Q572" s="2687"/>
      <c r="R572" s="2687"/>
      <c r="S572" s="2687"/>
      <c r="T572" s="2687"/>
      <c r="U572" s="2687"/>
      <c r="V572" s="2687"/>
      <c r="W572" s="2687"/>
      <c r="X572" s="2687"/>
    </row>
    <row r="573" spans="1:24">
      <c r="A573" s="2687"/>
      <c r="B573" s="2687"/>
      <c r="C573" s="2687"/>
      <c r="D573" s="2687"/>
      <c r="E573" s="2687"/>
      <c r="F573" s="2687"/>
      <c r="G573" s="2687"/>
      <c r="H573" s="2687"/>
      <c r="I573" s="2687"/>
      <c r="J573" s="2687"/>
      <c r="K573" s="2687"/>
      <c r="L573" s="2687"/>
      <c r="M573" s="2687"/>
      <c r="N573" s="2687"/>
      <c r="O573" s="2687"/>
      <c r="P573" s="2687"/>
      <c r="Q573" s="2687"/>
      <c r="R573" s="2687"/>
      <c r="S573" s="2687"/>
      <c r="T573" s="2687"/>
      <c r="U573" s="2687"/>
      <c r="V573" s="2687"/>
      <c r="W573" s="2687"/>
      <c r="X573" s="2687"/>
    </row>
    <row r="574" spans="1:24">
      <c r="A574" s="2684" t="s">
        <v>1882</v>
      </c>
      <c r="B574" s="2727" t="s">
        <v>599</v>
      </c>
      <c r="C574" s="2687"/>
      <c r="D574" s="2687"/>
      <c r="E574" s="2687"/>
      <c r="F574" s="2687"/>
      <c r="G574" s="2687"/>
      <c r="H574" s="2687"/>
      <c r="I574" s="2687"/>
      <c r="J574" s="2687"/>
      <c r="K574" s="2684" t="s">
        <v>554</v>
      </c>
      <c r="L574" s="2684" t="s">
        <v>81</v>
      </c>
      <c r="M574" s="2687"/>
      <c r="N574" s="2687"/>
      <c r="O574" s="2687"/>
      <c r="P574" s="2687"/>
      <c r="Q574" s="2687"/>
      <c r="R574" s="2687"/>
      <c r="S574" s="2687"/>
      <c r="T574" s="2687"/>
      <c r="U574" s="2687"/>
      <c r="V574" s="2687"/>
      <c r="W574" s="2687"/>
      <c r="X574" s="2687"/>
    </row>
    <row r="575" spans="1:24" ht="15.75">
      <c r="A575" s="2871" t="str">
        <f>'Part IV-Uses of Funds'!A177</f>
        <v>Construction hard costs were provided to us by our General Contractor. They were derived by considering the specificis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43: Additional Documentation.</v>
      </c>
      <c r="B575" s="2871"/>
      <c r="C575" s="2871"/>
      <c r="D575" s="2871"/>
      <c r="E575" s="2871"/>
      <c r="F575" s="2871"/>
      <c r="G575" s="2871"/>
      <c r="H575" s="2871"/>
      <c r="I575" s="2871"/>
      <c r="J575" s="2871"/>
      <c r="K575" s="2871">
        <f>'Part IV-Uses of Funds'!K177</f>
        <v>0</v>
      </c>
      <c r="L575" s="2871"/>
      <c r="M575" s="2871"/>
      <c r="N575" s="2871"/>
      <c r="O575" s="2871"/>
      <c r="P575" s="2871"/>
      <c r="Q575" s="2871"/>
      <c r="R575" s="2871"/>
      <c r="S575" s="2871"/>
      <c r="T575" s="2871"/>
      <c r="U575" s="2687"/>
      <c r="V575" s="2687"/>
      <c r="W575" s="2872" t="s">
        <v>2854</v>
      </c>
      <c r="X575" s="2872"/>
    </row>
    <row r="578" spans="1:13">
      <c r="A578" s="2873" t="str">
        <f>'Part V-Utility Allowances'!A1</f>
        <v>PART FIVE - UTILITY ALLOWANCES  -  2015-009 The Cove at York, Centerville, Houston County</v>
      </c>
      <c r="B578" s="2873"/>
      <c r="C578" s="2873"/>
      <c r="D578" s="2873"/>
      <c r="E578" s="2873"/>
      <c r="F578" s="2873"/>
      <c r="G578" s="2873"/>
      <c r="H578" s="2873"/>
      <c r="I578" s="2873"/>
      <c r="J578" s="2873"/>
      <c r="K578" s="2873"/>
      <c r="L578" s="2873"/>
      <c r="M578" s="2873"/>
    </row>
    <row r="580" spans="1:13">
      <c r="F580" s="526" t="s">
        <v>539</v>
      </c>
      <c r="I580" s="2874" t="str">
        <f>VLOOKUP('Part I-Project Information'!$J$29,'DCA Underwriting Assumptions'!$G$127:$H$286,2)</f>
        <v>Middle</v>
      </c>
    </row>
    <row r="582" spans="1:13">
      <c r="A582" s="2875" t="s">
        <v>647</v>
      </c>
      <c r="B582" s="2875" t="s">
        <v>2334</v>
      </c>
      <c r="F582" s="1247" t="s">
        <v>2645</v>
      </c>
      <c r="I582" s="2785" t="str">
        <f>'Part V-Utility Allowances'!I5</f>
        <v>2014 DCA Middle Region</v>
      </c>
      <c r="J582" s="2785"/>
      <c r="K582" s="2785"/>
      <c r="L582" s="2785"/>
      <c r="M582" s="2785"/>
    </row>
    <row r="583" spans="1:13">
      <c r="A583" s="2875"/>
      <c r="F583" s="1247" t="s">
        <v>667</v>
      </c>
      <c r="I583" s="2876">
        <f>'Part V-Utility Allowances'!I6</f>
        <v>41821</v>
      </c>
      <c r="J583" s="2876"/>
      <c r="K583" s="2877" t="s">
        <v>564</v>
      </c>
      <c r="L583" s="2785" t="str">
        <f>'Part V-Utility Allowances'!L6</f>
        <v>3+ Story</v>
      </c>
      <c r="M583" s="2785"/>
    </row>
    <row r="584" spans="1:13">
      <c r="A584" s="2875"/>
    </row>
    <row r="585" spans="1:13">
      <c r="A585" s="2875"/>
      <c r="B585" s="2875"/>
      <c r="C585" s="2875"/>
      <c r="D585" s="2875"/>
      <c r="E585" s="2875"/>
      <c r="F585" s="2878" t="s">
        <v>640</v>
      </c>
      <c r="G585" s="2878"/>
      <c r="H585" s="2875"/>
      <c r="I585" s="2878" t="s">
        <v>206</v>
      </c>
      <c r="J585" s="2878"/>
      <c r="K585" s="2878"/>
      <c r="L585" s="2878"/>
      <c r="M585" s="2878"/>
    </row>
    <row r="586" spans="1:13">
      <c r="A586" s="2875"/>
      <c r="B586" s="2875" t="s">
        <v>840</v>
      </c>
      <c r="C586" s="2875"/>
      <c r="D586" s="2875" t="s">
        <v>1677</v>
      </c>
      <c r="E586" s="2875"/>
      <c r="F586" s="2879" t="s">
        <v>673</v>
      </c>
      <c r="G586" s="2879" t="s">
        <v>1943</v>
      </c>
      <c r="H586" s="2875"/>
      <c r="I586" s="2879" t="s">
        <v>592</v>
      </c>
      <c r="J586" s="2879">
        <v>1</v>
      </c>
      <c r="K586" s="2879">
        <v>2</v>
      </c>
      <c r="L586" s="2879">
        <v>3</v>
      </c>
      <c r="M586" s="2879">
        <v>4</v>
      </c>
    </row>
    <row r="587" spans="1:13">
      <c r="B587" s="1247" t="s">
        <v>1945</v>
      </c>
      <c r="D587" s="2785" t="str">
        <f>'Part V-Utility Allowances'!D10</f>
        <v>Electric Heat Pump</v>
      </c>
      <c r="E587" s="2785"/>
      <c r="F587" s="2880" t="str">
        <f>'Part V-Utility Allowances'!F10</f>
        <v>X</v>
      </c>
      <c r="G587" s="2880">
        <f>'Part V-Utility Allowances'!G10</f>
        <v>0</v>
      </c>
      <c r="I587" s="2877">
        <f>'Part V-Utility Allowances'!I10</f>
        <v>0</v>
      </c>
      <c r="J587" s="2877">
        <f>'Part V-Utility Allowances'!J10</f>
        <v>7</v>
      </c>
      <c r="K587" s="2877">
        <f>'Part V-Utility Allowances'!K10</f>
        <v>9</v>
      </c>
      <c r="L587" s="2877">
        <f>'Part V-Utility Allowances'!L10</f>
        <v>13</v>
      </c>
      <c r="M587" s="2877">
        <f>'Part V-Utility Allowances'!M10</f>
        <v>0</v>
      </c>
    </row>
    <row r="588" spans="1:13">
      <c r="B588" s="1247" t="s">
        <v>486</v>
      </c>
      <c r="D588" s="1247" t="s">
        <v>1673</v>
      </c>
      <c r="F588" s="2880" t="str">
        <f>'Part V-Utility Allowances'!F11</f>
        <v>X</v>
      </c>
      <c r="G588" s="2880">
        <f>'Part V-Utility Allowances'!G11</f>
        <v>0</v>
      </c>
      <c r="I588" s="2877">
        <f>'Part V-Utility Allowances'!I11</f>
        <v>0</v>
      </c>
      <c r="J588" s="2877">
        <f>'Part V-Utility Allowances'!J11</f>
        <v>30</v>
      </c>
      <c r="K588" s="2877">
        <f>'Part V-Utility Allowances'!K11</f>
        <v>39</v>
      </c>
      <c r="L588" s="2877">
        <f>'Part V-Utility Allowances'!L11</f>
        <v>48</v>
      </c>
      <c r="M588" s="2877">
        <f>'Part V-Utility Allowances'!M11</f>
        <v>0</v>
      </c>
    </row>
    <row r="589" spans="1:13">
      <c r="B589" s="1247" t="s">
        <v>1674</v>
      </c>
      <c r="D589" s="2785" t="str">
        <f>'Part V-Utility Allowances'!D12</f>
        <v>Electric</v>
      </c>
      <c r="E589" s="2785"/>
      <c r="F589" s="2880" t="str">
        <f>'Part V-Utility Allowances'!F12</f>
        <v>X</v>
      </c>
      <c r="G589" s="2880">
        <f>'Part V-Utility Allowances'!G12</f>
        <v>0</v>
      </c>
      <c r="I589" s="2877">
        <f>'Part V-Utility Allowances'!I12</f>
        <v>0</v>
      </c>
      <c r="J589" s="2877">
        <f>'Part V-Utility Allowances'!J12</f>
        <v>9</v>
      </c>
      <c r="K589" s="2877">
        <f>'Part V-Utility Allowances'!K12</f>
        <v>11</v>
      </c>
      <c r="L589" s="2877">
        <f>'Part V-Utility Allowances'!L12</f>
        <v>14</v>
      </c>
      <c r="M589" s="2877">
        <f>'Part V-Utility Allowances'!M12</f>
        <v>0</v>
      </c>
    </row>
    <row r="590" spans="1:13">
      <c r="B590" s="1247" t="s">
        <v>1675</v>
      </c>
      <c r="D590" s="2785" t="str">
        <f>'Part V-Utility Allowances'!D13</f>
        <v>Electric</v>
      </c>
      <c r="E590" s="2785"/>
      <c r="F590" s="2880" t="str">
        <f>'Part V-Utility Allowances'!F13</f>
        <v>X</v>
      </c>
      <c r="G590" s="2880">
        <f>'Part V-Utility Allowances'!G13</f>
        <v>0</v>
      </c>
      <c r="I590" s="2877">
        <f>'Part V-Utility Allowances'!I13</f>
        <v>0</v>
      </c>
      <c r="J590" s="2877">
        <f>'Part V-Utility Allowances'!J13</f>
        <v>27</v>
      </c>
      <c r="K590" s="2877">
        <f>'Part V-Utility Allowances'!K13</f>
        <v>34</v>
      </c>
      <c r="L590" s="2877">
        <f>'Part V-Utility Allowances'!L13</f>
        <v>42</v>
      </c>
      <c r="M590" s="2877">
        <f>'Part V-Utility Allowances'!M13</f>
        <v>0</v>
      </c>
    </row>
    <row r="591" spans="1:13">
      <c r="B591" s="1247" t="s">
        <v>1676</v>
      </c>
      <c r="D591" s="1247" t="s">
        <v>1673</v>
      </c>
      <c r="F591" s="2880" t="str">
        <f>'Part V-Utility Allowances'!F14</f>
        <v>X</v>
      </c>
      <c r="G591" s="2880">
        <f>'Part V-Utility Allowances'!G14</f>
        <v>0</v>
      </c>
      <c r="I591" s="2877">
        <f>'Part V-Utility Allowances'!I14</f>
        <v>0</v>
      </c>
      <c r="J591" s="2877">
        <f>'Part V-Utility Allowances'!J14</f>
        <v>25</v>
      </c>
      <c r="K591" s="2877">
        <f>'Part V-Utility Allowances'!K14</f>
        <v>32</v>
      </c>
      <c r="L591" s="2877">
        <f>'Part V-Utility Allowances'!L14</f>
        <v>39</v>
      </c>
      <c r="M591" s="2877">
        <f>'Part V-Utility Allowances'!M14</f>
        <v>0</v>
      </c>
    </row>
    <row r="592" spans="1:13">
      <c r="B592" s="1247" t="s">
        <v>1436</v>
      </c>
      <c r="D592" s="1247" t="s">
        <v>4376</v>
      </c>
      <c r="E592" s="2877" t="str">
        <f>'Part V-Utility Allowances'!E15</f>
        <v>Yes</v>
      </c>
      <c r="F592" s="2880" t="str">
        <f>'Part V-Utility Allowances'!F15</f>
        <v>X</v>
      </c>
      <c r="G592" s="2880">
        <f>'Part V-Utility Allowances'!G15</f>
        <v>0</v>
      </c>
      <c r="I592" s="2877">
        <f>'Part V-Utility Allowances'!I15</f>
        <v>0</v>
      </c>
      <c r="J592" s="2877">
        <f>'Part V-Utility Allowances'!J15</f>
        <v>63</v>
      </c>
      <c r="K592" s="2877">
        <f>'Part V-Utility Allowances'!K15</f>
        <v>80</v>
      </c>
      <c r="L592" s="2877">
        <f>'Part V-Utility Allowances'!L15</f>
        <v>99</v>
      </c>
      <c r="M592" s="2877">
        <f>'Part V-Utility Allowances'!M15</f>
        <v>0</v>
      </c>
    </row>
    <row r="593" spans="1:13">
      <c r="B593" s="1247" t="s">
        <v>1944</v>
      </c>
      <c r="F593" s="2880">
        <f>'Part V-Utility Allowances'!F16</f>
        <v>0</v>
      </c>
      <c r="G593" s="2880" t="str">
        <f>'Part V-Utility Allowances'!G16</f>
        <v>X</v>
      </c>
      <c r="I593" s="2877">
        <f>'Part V-Utility Allowances'!I16</f>
        <v>0</v>
      </c>
      <c r="J593" s="2877">
        <f>'Part V-Utility Allowances'!J16</f>
        <v>0</v>
      </c>
      <c r="K593" s="2877">
        <f>'Part V-Utility Allowances'!K16</f>
        <v>0</v>
      </c>
      <c r="L593" s="2877">
        <f>'Part V-Utility Allowances'!L16</f>
        <v>0</v>
      </c>
      <c r="M593" s="2877">
        <f>'Part V-Utility Allowances'!M16</f>
        <v>0</v>
      </c>
    </row>
    <row r="594" spans="1:13">
      <c r="B594" s="2875" t="s">
        <v>1070</v>
      </c>
      <c r="F594" s="2877"/>
      <c r="G594" s="2877"/>
      <c r="I594" s="2879">
        <f>'Part V-Utility Allowances'!I17</f>
        <v>0</v>
      </c>
      <c r="J594" s="2879">
        <f>'Part V-Utility Allowances'!J17</f>
        <v>161</v>
      </c>
      <c r="K594" s="2879">
        <f>'Part V-Utility Allowances'!K17</f>
        <v>205</v>
      </c>
      <c r="L594" s="2879">
        <f>'Part V-Utility Allowances'!L17</f>
        <v>255</v>
      </c>
      <c r="M594" s="2879">
        <f>'Part V-Utility Allowances'!M17</f>
        <v>0</v>
      </c>
    </row>
    <row r="595" spans="1:13">
      <c r="B595" s="507" t="s">
        <v>4377</v>
      </c>
      <c r="F595" s="2877"/>
      <c r="G595" s="2877"/>
      <c r="I595" s="2879"/>
      <c r="J595" s="2879"/>
      <c r="K595" s="2879"/>
      <c r="L595" s="2879"/>
      <c r="M595" s="2879"/>
    </row>
    <row r="597" spans="1:13">
      <c r="A597" s="2875" t="s">
        <v>780</v>
      </c>
      <c r="B597" s="2875" t="s">
        <v>2335</v>
      </c>
      <c r="F597" s="1247" t="s">
        <v>2645</v>
      </c>
      <c r="I597" s="2785">
        <f>'Part V-Utility Allowances'!I20</f>
        <v>0</v>
      </c>
      <c r="J597" s="2785"/>
      <c r="K597" s="2785"/>
      <c r="L597" s="2785"/>
      <c r="M597" s="2785"/>
    </row>
    <row r="598" spans="1:13">
      <c r="A598" s="2875"/>
      <c r="B598" s="2875"/>
      <c r="F598" s="1247" t="s">
        <v>667</v>
      </c>
      <c r="I598" s="2876">
        <f>'Part V-Utility Allowances'!I21</f>
        <v>0</v>
      </c>
      <c r="J598" s="2876"/>
      <c r="K598" s="2877" t="s">
        <v>564</v>
      </c>
      <c r="L598" s="2785">
        <f>'Part V-Utility Allowances'!L21</f>
        <v>0</v>
      </c>
      <c r="M598" s="2785"/>
    </row>
    <row r="599" spans="1:13">
      <c r="A599" s="2875"/>
    </row>
    <row r="600" spans="1:13">
      <c r="A600" s="2875"/>
      <c r="B600" s="2875"/>
      <c r="C600" s="2875"/>
      <c r="D600" s="2875"/>
      <c r="E600" s="2875"/>
      <c r="F600" s="2878" t="s">
        <v>640</v>
      </c>
      <c r="G600" s="2878"/>
      <c r="H600" s="2875"/>
      <c r="I600" s="2878" t="s">
        <v>206</v>
      </c>
      <c r="J600" s="2878"/>
      <c r="K600" s="2878"/>
      <c r="L600" s="2878"/>
      <c r="M600" s="2878"/>
    </row>
    <row r="601" spans="1:13">
      <c r="A601" s="2875"/>
      <c r="B601" s="2875" t="s">
        <v>840</v>
      </c>
      <c r="C601" s="2875"/>
      <c r="D601" s="2875" t="s">
        <v>1677</v>
      </c>
      <c r="E601" s="2875"/>
      <c r="F601" s="2879" t="s">
        <v>673</v>
      </c>
      <c r="G601" s="2879" t="s">
        <v>1943</v>
      </c>
      <c r="H601" s="2875"/>
      <c r="I601" s="2879" t="s">
        <v>592</v>
      </c>
      <c r="J601" s="2879">
        <v>1</v>
      </c>
      <c r="K601" s="2879">
        <v>2</v>
      </c>
      <c r="L601" s="2879">
        <v>3</v>
      </c>
      <c r="M601" s="2879">
        <v>4</v>
      </c>
    </row>
    <row r="602" spans="1:13">
      <c r="B602" s="1247" t="s">
        <v>1945</v>
      </c>
      <c r="D602" s="2785" t="str">
        <f>'Part V-Utility Allowances'!D25</f>
        <v>&lt;&lt;Select Fuel &gt;&gt;</v>
      </c>
      <c r="E602" s="2785"/>
      <c r="F602" s="2880">
        <f>'Part V-Utility Allowances'!F25</f>
        <v>0</v>
      </c>
      <c r="G602" s="2880">
        <f>'Part V-Utility Allowances'!G25</f>
        <v>0</v>
      </c>
      <c r="I602" s="2877">
        <f>'Part V-Utility Allowances'!I25</f>
        <v>0</v>
      </c>
      <c r="J602" s="2877">
        <f>'Part V-Utility Allowances'!J25</f>
        <v>0</v>
      </c>
      <c r="K602" s="2877">
        <f>'Part V-Utility Allowances'!K25</f>
        <v>0</v>
      </c>
      <c r="L602" s="2877">
        <f>'Part V-Utility Allowances'!L25</f>
        <v>0</v>
      </c>
      <c r="M602" s="2877">
        <f>'Part V-Utility Allowances'!M25</f>
        <v>0</v>
      </c>
    </row>
    <row r="603" spans="1:13">
      <c r="B603" s="1247" t="s">
        <v>486</v>
      </c>
      <c r="D603" s="1247" t="s">
        <v>1673</v>
      </c>
      <c r="F603" s="2880">
        <f>'Part V-Utility Allowances'!F26</f>
        <v>0</v>
      </c>
      <c r="G603" s="2880">
        <f>'Part V-Utility Allowances'!G26</f>
        <v>0</v>
      </c>
      <c r="I603" s="2877">
        <f>'Part V-Utility Allowances'!I26</f>
        <v>0</v>
      </c>
      <c r="J603" s="2877">
        <f>'Part V-Utility Allowances'!J26</f>
        <v>0</v>
      </c>
      <c r="K603" s="2877">
        <f>'Part V-Utility Allowances'!K26</f>
        <v>0</v>
      </c>
      <c r="L603" s="2877">
        <f>'Part V-Utility Allowances'!L26</f>
        <v>0</v>
      </c>
      <c r="M603" s="2877">
        <f>'Part V-Utility Allowances'!M26</f>
        <v>0</v>
      </c>
    </row>
    <row r="604" spans="1:13">
      <c r="B604" s="1247" t="s">
        <v>1674</v>
      </c>
      <c r="D604" s="2785" t="str">
        <f>'Part V-Utility Allowances'!D27</f>
        <v>&lt;&lt;Select Fuel &gt;&gt;</v>
      </c>
      <c r="E604" s="2785"/>
      <c r="F604" s="2880">
        <f>'Part V-Utility Allowances'!F27</f>
        <v>0</v>
      </c>
      <c r="G604" s="2880">
        <f>'Part V-Utility Allowances'!G27</f>
        <v>0</v>
      </c>
      <c r="I604" s="2877">
        <f>'Part V-Utility Allowances'!I27</f>
        <v>0</v>
      </c>
      <c r="J604" s="2877">
        <f>'Part V-Utility Allowances'!J27</f>
        <v>0</v>
      </c>
      <c r="K604" s="2877">
        <f>'Part V-Utility Allowances'!K27</f>
        <v>0</v>
      </c>
      <c r="L604" s="2877">
        <f>'Part V-Utility Allowances'!L27</f>
        <v>0</v>
      </c>
      <c r="M604" s="2877">
        <f>'Part V-Utility Allowances'!M27</f>
        <v>0</v>
      </c>
    </row>
    <row r="605" spans="1:13">
      <c r="B605" s="1247" t="s">
        <v>1675</v>
      </c>
      <c r="D605" s="2785" t="str">
        <f>'Part V-Utility Allowances'!D28</f>
        <v>&lt;&lt;Select Fuel &gt;&gt;</v>
      </c>
      <c r="E605" s="2785"/>
      <c r="F605" s="2880">
        <f>'Part V-Utility Allowances'!F28</f>
        <v>0</v>
      </c>
      <c r="G605" s="2880">
        <f>'Part V-Utility Allowances'!G28</f>
        <v>0</v>
      </c>
      <c r="I605" s="2877">
        <f>'Part V-Utility Allowances'!I28</f>
        <v>0</v>
      </c>
      <c r="J605" s="2877">
        <f>'Part V-Utility Allowances'!J28</f>
        <v>0</v>
      </c>
      <c r="K605" s="2877">
        <f>'Part V-Utility Allowances'!K28</f>
        <v>0</v>
      </c>
      <c r="L605" s="2877">
        <f>'Part V-Utility Allowances'!L28</f>
        <v>0</v>
      </c>
      <c r="M605" s="2877">
        <f>'Part V-Utility Allowances'!M28</f>
        <v>0</v>
      </c>
    </row>
    <row r="606" spans="1:13">
      <c r="B606" s="1247" t="s">
        <v>1676</v>
      </c>
      <c r="D606" s="1247" t="s">
        <v>1673</v>
      </c>
      <c r="F606" s="2880">
        <f>'Part V-Utility Allowances'!F29</f>
        <v>0</v>
      </c>
      <c r="G606" s="2880">
        <f>'Part V-Utility Allowances'!G29</f>
        <v>0</v>
      </c>
      <c r="I606" s="2877">
        <f>'Part V-Utility Allowances'!I29</f>
        <v>0</v>
      </c>
      <c r="J606" s="2877">
        <f>'Part V-Utility Allowances'!J29</f>
        <v>0</v>
      </c>
      <c r="K606" s="2877">
        <f>'Part V-Utility Allowances'!K29</f>
        <v>0</v>
      </c>
      <c r="L606" s="2877">
        <f>'Part V-Utility Allowances'!L29</f>
        <v>0</v>
      </c>
      <c r="M606" s="2877">
        <f>'Part V-Utility Allowances'!M29</f>
        <v>0</v>
      </c>
    </row>
    <row r="607" spans="1:13">
      <c r="B607" s="1247" t="s">
        <v>1436</v>
      </c>
      <c r="D607" s="1247" t="s">
        <v>4376</v>
      </c>
      <c r="E607" s="2877" t="str">
        <f>'Part V-Utility Allowances'!E30</f>
        <v>&lt;Select&gt;</v>
      </c>
      <c r="F607" s="2880">
        <f>'Part V-Utility Allowances'!F30</f>
        <v>0</v>
      </c>
      <c r="G607" s="2880">
        <f>'Part V-Utility Allowances'!G30</f>
        <v>0</v>
      </c>
      <c r="I607" s="2877">
        <f>'Part V-Utility Allowances'!I30</f>
        <v>0</v>
      </c>
      <c r="J607" s="2877">
        <f>'Part V-Utility Allowances'!J30</f>
        <v>0</v>
      </c>
      <c r="K607" s="2877">
        <f>'Part V-Utility Allowances'!K30</f>
        <v>0</v>
      </c>
      <c r="L607" s="2877">
        <f>'Part V-Utility Allowances'!L30</f>
        <v>0</v>
      </c>
      <c r="M607" s="2877">
        <f>'Part V-Utility Allowances'!M30</f>
        <v>0</v>
      </c>
    </row>
    <row r="608" spans="1:13">
      <c r="B608" s="1247" t="s">
        <v>1944</v>
      </c>
      <c r="F608" s="2880">
        <f>'Part V-Utility Allowances'!F31</f>
        <v>0</v>
      </c>
      <c r="G608" s="2880">
        <f>'Part V-Utility Allowances'!G31</f>
        <v>0</v>
      </c>
      <c r="I608" s="2877">
        <f>'Part V-Utility Allowances'!I31</f>
        <v>0</v>
      </c>
      <c r="J608" s="2877">
        <f>'Part V-Utility Allowances'!J31</f>
        <v>0</v>
      </c>
      <c r="K608" s="2877">
        <f>'Part V-Utility Allowances'!K31</f>
        <v>0</v>
      </c>
      <c r="L608" s="2877">
        <f>'Part V-Utility Allowances'!L31</f>
        <v>0</v>
      </c>
      <c r="M608" s="2877">
        <f>'Part V-Utility Allowances'!M31</f>
        <v>0</v>
      </c>
    </row>
    <row r="609" spans="1:266">
      <c r="B609" s="2875" t="s">
        <v>1070</v>
      </c>
      <c r="F609" s="2877"/>
      <c r="G609" s="2877"/>
      <c r="I609" s="2879">
        <f>'Part V-Utility Allowances'!I32</f>
        <v>0</v>
      </c>
      <c r="J609" s="2879">
        <f>'Part V-Utility Allowances'!J32</f>
        <v>0</v>
      </c>
      <c r="K609" s="2879">
        <f>'Part V-Utility Allowances'!K32</f>
        <v>0</v>
      </c>
      <c r="L609" s="2879">
        <f>'Part V-Utility Allowances'!L32</f>
        <v>0</v>
      </c>
      <c r="M609" s="2879">
        <f>'Part V-Utility Allowances'!M32</f>
        <v>0</v>
      </c>
    </row>
    <row r="610" spans="1:266">
      <c r="B610" s="507" t="s">
        <v>4377</v>
      </c>
      <c r="F610" s="2877"/>
      <c r="G610" s="2877"/>
      <c r="I610" s="2879"/>
      <c r="J610" s="2879"/>
      <c r="K610" s="2879"/>
      <c r="L610" s="2879"/>
      <c r="M610" s="2879"/>
    </row>
    <row r="612" spans="1:266">
      <c r="B612" s="2881" t="s">
        <v>1896</v>
      </c>
    </row>
    <row r="614" spans="1:266">
      <c r="A614" s="2875"/>
      <c r="B614" s="2875" t="s">
        <v>599</v>
      </c>
    </row>
    <row r="615" spans="1:266">
      <c r="B615" s="2882" t="str">
        <f>'Part V-Utility Allowances'!B38</f>
        <v xml:space="preserve">The owner has agreed to pay trash; therefore, it is not listed in the allowance schedule above. </v>
      </c>
      <c r="C615" s="2882"/>
      <c r="D615" s="2882"/>
      <c r="E615" s="2882"/>
      <c r="F615" s="2882"/>
      <c r="G615" s="2882"/>
      <c r="H615" s="2882"/>
      <c r="I615" s="2882"/>
      <c r="J615" s="2882"/>
      <c r="K615" s="2882"/>
      <c r="L615" s="2882"/>
      <c r="M615" s="2882"/>
    </row>
    <row r="617" spans="1:266">
      <c r="A617" s="2875"/>
      <c r="B617" s="2875" t="s">
        <v>1938</v>
      </c>
    </row>
    <row r="618" spans="1:266">
      <c r="B618" s="2882">
        <f>'Part V-Utility Allowances'!B41</f>
        <v>0</v>
      </c>
      <c r="C618" s="2882"/>
      <c r="D618" s="2882"/>
      <c r="E618" s="2882"/>
      <c r="F618" s="2882"/>
      <c r="G618" s="2882"/>
      <c r="H618" s="2882"/>
      <c r="I618" s="2882"/>
      <c r="J618" s="2882"/>
      <c r="K618" s="2882"/>
      <c r="L618" s="2882"/>
      <c r="M618" s="2882"/>
    </row>
    <row r="621" spans="1:266" s="523" customFormat="1" ht="13.9" customHeight="1">
      <c r="A621" s="2873" t="str">
        <f>'Part VI-Revenues &amp; Expenses'!A1</f>
        <v>PART SIX - PROJECTED REVENUES &amp; EXPENSES  -  2015-009 The Cove at York, Centerville, Houston County</v>
      </c>
      <c r="B621" s="2873"/>
      <c r="C621" s="2873"/>
      <c r="D621" s="2873"/>
      <c r="E621" s="2873"/>
      <c r="F621" s="2873"/>
      <c r="G621" s="2873"/>
      <c r="H621" s="2873"/>
      <c r="I621" s="2873"/>
      <c r="J621" s="2873"/>
      <c r="K621" s="2873"/>
      <c r="L621" s="2873"/>
      <c r="M621" s="2873"/>
      <c r="N621" s="2873"/>
      <c r="O621" s="2873"/>
      <c r="P621" s="2873"/>
      <c r="T621" s="2873" t="str">
        <f>A621</f>
        <v>PART SIX - PROJECTED REVENUES &amp; EXPENSES  -  2015-009 The Cove at York, Centerville, Houston County</v>
      </c>
      <c r="U621" s="2873"/>
      <c r="ET621" s="2883"/>
      <c r="EU621" s="2883"/>
      <c r="EV621" s="2883"/>
      <c r="EW621" s="2883"/>
      <c r="EX621" s="2883"/>
      <c r="EY621" s="2883"/>
      <c r="EZ621" s="2883"/>
      <c r="FA621" s="2883"/>
      <c r="FB621" s="2883"/>
      <c r="FC621" s="2883"/>
      <c r="FD621" s="2883"/>
      <c r="FE621" s="2883"/>
      <c r="FF621" s="2883"/>
      <c r="FG621" s="2883"/>
      <c r="FH621" s="2883"/>
      <c r="FI621" s="2883"/>
      <c r="FJ621" s="2883"/>
      <c r="FK621" s="2883"/>
      <c r="FL621" s="2883"/>
      <c r="FM621" s="2883"/>
      <c r="FN621" s="2883"/>
      <c r="FO621" s="2883"/>
      <c r="FP621" s="2883"/>
      <c r="FQ621" s="2883"/>
      <c r="FR621" s="2883"/>
      <c r="FS621" s="2883"/>
      <c r="FT621" s="2883"/>
      <c r="FU621" s="2883"/>
      <c r="FV621" s="2883"/>
      <c r="FW621" s="2883"/>
      <c r="FX621" s="2883"/>
      <c r="FY621" s="2883"/>
      <c r="FZ621" s="2883"/>
      <c r="GA621" s="2883"/>
      <c r="GB621" s="2883"/>
      <c r="GC621" s="2883"/>
      <c r="GD621" s="2883"/>
      <c r="GE621" s="2883"/>
      <c r="GF621" s="2883"/>
      <c r="GG621" s="2883"/>
      <c r="GH621" s="2883"/>
      <c r="GI621" s="2883"/>
      <c r="GJ621" s="2883"/>
      <c r="GK621" s="2883"/>
      <c r="GL621" s="2883"/>
      <c r="GM621" s="2883"/>
      <c r="GN621" s="2883"/>
      <c r="GO621" s="2883"/>
      <c r="GP621" s="2883"/>
      <c r="GQ621" s="2883"/>
      <c r="GR621" s="2883"/>
      <c r="GS621" s="2883"/>
      <c r="GT621" s="2883"/>
      <c r="GU621" s="2883"/>
      <c r="GV621" s="2883"/>
      <c r="GW621" s="2883"/>
      <c r="GX621" s="2883"/>
      <c r="GY621" s="2883"/>
      <c r="GZ621" s="2883"/>
      <c r="HA621" s="2883"/>
      <c r="HB621" s="2883"/>
      <c r="HC621" s="2883"/>
      <c r="HD621" s="2883"/>
      <c r="HE621" s="2883"/>
      <c r="HF621" s="2883"/>
      <c r="HG621" s="2883"/>
      <c r="HH621" s="2883"/>
      <c r="HI621" s="2883"/>
      <c r="HJ621" s="2883"/>
      <c r="HK621" s="2883"/>
      <c r="HN621" s="2883"/>
      <c r="HO621" s="2883"/>
      <c r="HP621" s="2883"/>
      <c r="HU621" s="526"/>
      <c r="HZ621" s="526"/>
    </row>
    <row r="622" spans="1:266" ht="9" customHeight="1">
      <c r="V622" s="2884"/>
      <c r="W622" s="2884"/>
      <c r="X622" s="2884"/>
      <c r="Y622" s="2884"/>
      <c r="Z622" s="2884"/>
      <c r="AA622" s="2884"/>
      <c r="AB622" s="2884"/>
      <c r="AC622" s="2884"/>
      <c r="AD622" s="2884"/>
      <c r="AE622" s="2884"/>
      <c r="AF622" s="2884"/>
      <c r="AG622" s="2884"/>
      <c r="AH622" s="2884"/>
      <c r="AI622" s="2884"/>
      <c r="AJ622" s="2884"/>
      <c r="AK622" s="2884"/>
      <c r="AL622" s="2884"/>
      <c r="AM622" s="2884"/>
      <c r="AN622" s="2884"/>
      <c r="AO622" s="2884"/>
      <c r="AP622" s="2884"/>
      <c r="AQ622" s="2884"/>
      <c r="AR622" s="2884"/>
      <c r="AS622" s="2884"/>
      <c r="AT622" s="2884"/>
      <c r="AU622" s="2884"/>
      <c r="AV622" s="2884"/>
      <c r="AW622" s="2884"/>
      <c r="AX622" s="2884"/>
      <c r="AY622" s="2884"/>
      <c r="AZ622" s="2884"/>
      <c r="BA622" s="2884"/>
      <c r="BB622" s="2884"/>
      <c r="BC622" s="2884"/>
      <c r="BD622" s="2884"/>
      <c r="BE622" s="2884"/>
      <c r="BF622" s="2884"/>
      <c r="BG622" s="2884"/>
      <c r="BH622" s="2884"/>
      <c r="BI622" s="2884"/>
      <c r="BJ622" s="2884"/>
      <c r="BK622" s="2884"/>
      <c r="BL622" s="2884"/>
      <c r="BM622" s="2884"/>
      <c r="BN622" s="2884"/>
      <c r="BO622" s="2884"/>
      <c r="BP622" s="2884"/>
      <c r="BQ622" s="2884"/>
      <c r="BR622" s="2884"/>
      <c r="BS622" s="2884"/>
      <c r="BT622" s="2884"/>
      <c r="BU622" s="2884"/>
      <c r="BV622" s="2884"/>
      <c r="BW622" s="2884"/>
      <c r="BX622" s="2884"/>
      <c r="BY622" s="2884"/>
      <c r="BZ622" s="2884"/>
      <c r="CA622" s="2884"/>
      <c r="CB622" s="2884"/>
      <c r="CC622" s="2884"/>
      <c r="CD622" s="2884"/>
      <c r="CE622" s="2884"/>
      <c r="CF622" s="2884"/>
      <c r="CG622" s="2884"/>
      <c r="CH622" s="2884"/>
      <c r="CI622" s="2884"/>
      <c r="CJ622" s="2884"/>
      <c r="CK622" s="2884"/>
      <c r="CL622" s="2884"/>
      <c r="CM622" s="2884"/>
      <c r="CN622" s="2884"/>
      <c r="CO622" s="2884"/>
      <c r="CP622" s="2884"/>
      <c r="CQ622" s="2884"/>
      <c r="CR622" s="2884"/>
      <c r="CS622" s="2884"/>
      <c r="CT622" s="2884"/>
      <c r="CU622" s="2884"/>
      <c r="CV622" s="2884"/>
      <c r="CW622" s="2884"/>
      <c r="CX622" s="2884"/>
      <c r="CY622" s="2884"/>
      <c r="CZ622" s="2884"/>
      <c r="DA622" s="2884"/>
      <c r="DB622" s="2884"/>
      <c r="DC622" s="2884"/>
      <c r="DD622" s="2884"/>
      <c r="DE622" s="2884"/>
      <c r="DF622" s="2884"/>
      <c r="DG622" s="2884"/>
      <c r="DH622" s="2884"/>
      <c r="DI622" s="2884"/>
      <c r="DJ622" s="2884"/>
      <c r="DK622" s="2884"/>
      <c r="DL622" s="2884"/>
      <c r="DM622" s="2884"/>
      <c r="DN622" s="2884"/>
      <c r="DO622" s="2884"/>
      <c r="DP622" s="2884"/>
      <c r="DQ622" s="2884"/>
      <c r="DR622" s="2884"/>
      <c r="DS622" s="2884"/>
      <c r="DT622" s="2884"/>
      <c r="DU622" s="2884"/>
      <c r="DV622" s="2884"/>
      <c r="DW622" s="2884"/>
      <c r="DX622" s="2884"/>
      <c r="DY622" s="2884"/>
      <c r="DZ622" s="2884"/>
      <c r="EA622" s="2884"/>
      <c r="EB622" s="2884"/>
      <c r="EC622" s="2884"/>
      <c r="ED622" s="2884"/>
      <c r="EE622" s="2884"/>
      <c r="EF622" s="2884"/>
      <c r="EG622" s="2884"/>
      <c r="EH622" s="2884"/>
      <c r="EI622" s="2884"/>
      <c r="EJ622" s="2884"/>
      <c r="EK622" s="2884"/>
      <c r="EL622" s="2884"/>
      <c r="EM622" s="2884"/>
      <c r="EN622" s="2884"/>
      <c r="EO622" s="2884"/>
      <c r="EP622" s="2884"/>
      <c r="EQ622" s="2884"/>
      <c r="ER622" s="2884"/>
      <c r="ES622" s="2884"/>
      <c r="ET622" s="2884"/>
      <c r="EU622" s="2884"/>
      <c r="EV622" s="2885"/>
      <c r="EW622" s="2885"/>
      <c r="EX622" s="2885"/>
      <c r="EY622" s="2885"/>
      <c r="EZ622" s="2885"/>
      <c r="FA622" s="2885"/>
      <c r="FB622" s="2885"/>
      <c r="FC622" s="2885"/>
      <c r="FD622" s="2885"/>
      <c r="FE622" s="2885"/>
      <c r="FF622" s="2885"/>
      <c r="FG622" s="2885"/>
      <c r="FH622" s="2885"/>
      <c r="FI622" s="2885"/>
      <c r="FJ622" s="2885"/>
      <c r="FK622" s="2885"/>
      <c r="FL622" s="2885"/>
      <c r="FM622" s="2885"/>
      <c r="FN622" s="2885"/>
      <c r="FO622" s="2885"/>
      <c r="FP622" s="2885"/>
      <c r="FQ622" s="2885"/>
      <c r="FR622" s="2885"/>
      <c r="FS622" s="2885"/>
      <c r="FT622" s="2885"/>
      <c r="FU622" s="2885"/>
      <c r="FV622" s="2885"/>
      <c r="FW622" s="2885"/>
      <c r="FX622" s="2885"/>
      <c r="FY622" s="2885"/>
      <c r="FZ622" s="2885"/>
      <c r="GA622" s="2885"/>
      <c r="GB622" s="2885"/>
      <c r="GC622" s="2885"/>
      <c r="GD622" s="2885"/>
      <c r="GE622" s="2885"/>
      <c r="GF622" s="2885"/>
      <c r="GG622" s="2885"/>
      <c r="GH622" s="2885"/>
      <c r="GI622" s="2885"/>
      <c r="GJ622" s="2885"/>
      <c r="GK622" s="2885"/>
      <c r="GL622" s="2885"/>
      <c r="GM622" s="2885"/>
      <c r="GN622" s="2885"/>
      <c r="GO622" s="2885"/>
      <c r="GP622" s="2885"/>
      <c r="GQ622" s="2885"/>
      <c r="GR622" s="2885"/>
      <c r="GS622" s="2885"/>
      <c r="GT622" s="2885"/>
      <c r="GU622" s="2885"/>
      <c r="GV622" s="2885"/>
      <c r="GW622" s="2885"/>
      <c r="GX622" s="2885"/>
      <c r="GY622" s="2885"/>
      <c r="GZ622" s="2885"/>
      <c r="HA622" s="2885"/>
      <c r="HB622" s="2885"/>
      <c r="HC622" s="2885"/>
      <c r="HD622" s="2885"/>
      <c r="HE622" s="2885"/>
      <c r="HF622" s="2885"/>
      <c r="HG622" s="2885"/>
      <c r="HH622" s="2885"/>
      <c r="HI622" s="2885"/>
      <c r="HJ622" s="2885"/>
      <c r="HK622" s="2885"/>
      <c r="HL622" s="2885"/>
      <c r="HM622" s="2885"/>
      <c r="HN622" s="2885"/>
      <c r="HO622" s="2885"/>
      <c r="HP622" s="2885"/>
      <c r="HQ622" s="2885"/>
      <c r="HR622" s="2885"/>
      <c r="HS622" s="2884"/>
      <c r="HT622" s="2884"/>
      <c r="HU622" s="2884"/>
      <c r="HV622" s="2884"/>
      <c r="HW622" s="2884"/>
      <c r="HX622" s="2884"/>
      <c r="HY622" s="2884"/>
      <c r="HZ622" s="2884"/>
      <c r="IA622" s="2884"/>
      <c r="IB622" s="2884"/>
      <c r="IH622" s="2884"/>
      <c r="II622" s="2884"/>
      <c r="IJ622" s="2884"/>
      <c r="IK622" s="2884"/>
      <c r="IL622" s="2884"/>
      <c r="IM622" s="2884"/>
      <c r="IN622" s="2884"/>
      <c r="IO622" s="2884"/>
      <c r="IP622" s="2884"/>
      <c r="IQ622" s="2884"/>
      <c r="IR622" s="2884"/>
      <c r="IS622" s="2884"/>
      <c r="IT622" s="2884"/>
      <c r="IU622" s="2884"/>
      <c r="IV622" s="2884"/>
      <c r="IW622" s="2884"/>
      <c r="IX622" s="2884"/>
      <c r="IY622" s="2884"/>
      <c r="IZ622" s="2884"/>
      <c r="JA622" s="2884"/>
    </row>
    <row r="623" spans="1:266" s="523" customFormat="1" ht="12.6" customHeight="1">
      <c r="A623" s="526" t="s">
        <v>647</v>
      </c>
      <c r="B623" s="526" t="s">
        <v>2478</v>
      </c>
      <c r="D623" s="527" t="s">
        <v>4578</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86"/>
      <c r="EW623" s="2886"/>
      <c r="EX623" s="2886"/>
      <c r="EY623" s="2886"/>
      <c r="EZ623" s="2886"/>
      <c r="FA623" s="2885" t="s">
        <v>507</v>
      </c>
      <c r="FB623" s="2885" t="s">
        <v>2561</v>
      </c>
      <c r="FC623" s="2885" t="s">
        <v>2562</v>
      </c>
      <c r="FD623" s="2885" t="s">
        <v>2563</v>
      </c>
      <c r="FE623" s="2885" t="s">
        <v>2564</v>
      </c>
      <c r="FF623" s="2885" t="s">
        <v>507</v>
      </c>
      <c r="FG623" s="2885" t="s">
        <v>2561</v>
      </c>
      <c r="FH623" s="2885" t="s">
        <v>2562</v>
      </c>
      <c r="FI623" s="2885" t="s">
        <v>2563</v>
      </c>
      <c r="FJ623" s="2885" t="s">
        <v>2564</v>
      </c>
      <c r="FK623" s="2886"/>
      <c r="FL623" s="2886"/>
      <c r="FM623" s="2886"/>
      <c r="FN623" s="2886"/>
      <c r="FO623" s="2886"/>
      <c r="FP623" s="2886"/>
      <c r="FQ623" s="2886"/>
      <c r="FR623" s="2886"/>
      <c r="FS623" s="2886"/>
      <c r="FT623" s="2886"/>
      <c r="FU623" s="2885" t="s">
        <v>507</v>
      </c>
      <c r="FV623" s="2885" t="s">
        <v>2561</v>
      </c>
      <c r="FW623" s="2885" t="s">
        <v>2562</v>
      </c>
      <c r="FX623" s="2885" t="s">
        <v>2563</v>
      </c>
      <c r="FY623" s="2885" t="s">
        <v>2564</v>
      </c>
      <c r="FZ623" s="2885" t="s">
        <v>507</v>
      </c>
      <c r="GA623" s="2885" t="s">
        <v>2561</v>
      </c>
      <c r="GB623" s="2885" t="s">
        <v>2562</v>
      </c>
      <c r="GC623" s="2885" t="s">
        <v>2563</v>
      </c>
      <c r="GD623" s="2885" t="s">
        <v>2564</v>
      </c>
      <c r="GE623" s="2885" t="s">
        <v>507</v>
      </c>
      <c r="GF623" s="2885" t="s">
        <v>2561</v>
      </c>
      <c r="GG623" s="2885" t="s">
        <v>2562</v>
      </c>
      <c r="GH623" s="2885" t="s">
        <v>2563</v>
      </c>
      <c r="GI623" s="2885" t="s">
        <v>2564</v>
      </c>
      <c r="GJ623" s="2885" t="s">
        <v>507</v>
      </c>
      <c r="GK623" s="2885" t="s">
        <v>2561</v>
      </c>
      <c r="GL623" s="2885" t="s">
        <v>2562</v>
      </c>
      <c r="GM623" s="2885" t="s">
        <v>2563</v>
      </c>
      <c r="GN623" s="2885" t="s">
        <v>2564</v>
      </c>
      <c r="GO623" s="2885" t="s">
        <v>507</v>
      </c>
      <c r="GP623" s="2885" t="s">
        <v>2561</v>
      </c>
      <c r="GQ623" s="2885" t="s">
        <v>2562</v>
      </c>
      <c r="GR623" s="2885" t="s">
        <v>2563</v>
      </c>
      <c r="GS623" s="2885" t="s">
        <v>2564</v>
      </c>
      <c r="GT623" s="2885" t="s">
        <v>507</v>
      </c>
      <c r="GU623" s="2885" t="s">
        <v>2561</v>
      </c>
      <c r="GV623" s="2885" t="s">
        <v>2562</v>
      </c>
      <c r="GW623" s="2885" t="s">
        <v>2563</v>
      </c>
      <c r="GX623" s="2885" t="s">
        <v>2564</v>
      </c>
      <c r="GY623" s="2885" t="s">
        <v>507</v>
      </c>
      <c r="GZ623" s="2885" t="s">
        <v>2561</v>
      </c>
      <c r="HA623" s="2885" t="s">
        <v>2562</v>
      </c>
      <c r="HB623" s="2885" t="s">
        <v>2563</v>
      </c>
      <c r="HC623" s="2885" t="s">
        <v>2564</v>
      </c>
      <c r="HD623" s="2885" t="s">
        <v>507</v>
      </c>
      <c r="HE623" s="2885" t="s">
        <v>2561</v>
      </c>
      <c r="HF623" s="2885" t="s">
        <v>2562</v>
      </c>
      <c r="HG623" s="2885" t="s">
        <v>2563</v>
      </c>
      <c r="HH623" s="2885" t="s">
        <v>2564</v>
      </c>
      <c r="HI623" s="2885" t="s">
        <v>507</v>
      </c>
      <c r="HJ623" s="2885" t="s">
        <v>2561</v>
      </c>
      <c r="HK623" s="2885" t="s">
        <v>2562</v>
      </c>
      <c r="HL623" s="2885" t="s">
        <v>2563</v>
      </c>
      <c r="HM623" s="2885" t="s">
        <v>2564</v>
      </c>
      <c r="HN623" s="2885" t="s">
        <v>507</v>
      </c>
      <c r="HO623" s="2885" t="s">
        <v>2561</v>
      </c>
      <c r="HP623" s="2885" t="s">
        <v>2562</v>
      </c>
      <c r="HQ623" s="2885" t="s">
        <v>2563</v>
      </c>
      <c r="HR623" s="2885" t="s">
        <v>2564</v>
      </c>
      <c r="HS623" s="2885" t="s">
        <v>507</v>
      </c>
      <c r="HT623" s="2885" t="s">
        <v>2561</v>
      </c>
      <c r="HU623" s="2885" t="s">
        <v>2562</v>
      </c>
      <c r="HV623" s="2885" t="s">
        <v>2563</v>
      </c>
      <c r="HW623" s="2885" t="s">
        <v>2564</v>
      </c>
      <c r="HX623" s="2885" t="s">
        <v>507</v>
      </c>
      <c r="HY623" s="2885" t="s">
        <v>2561</v>
      </c>
      <c r="HZ623" s="2885" t="s">
        <v>2562</v>
      </c>
      <c r="IA623" s="2885" t="s">
        <v>2563</v>
      </c>
      <c r="IB623" s="2885" t="s">
        <v>2564</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87" t="s">
        <v>4000</v>
      </c>
      <c r="JC623" s="2887" t="s">
        <v>4001</v>
      </c>
      <c r="JD623" s="2887" t="s">
        <v>4002</v>
      </c>
      <c r="JE623" s="2887" t="s">
        <v>4003</v>
      </c>
      <c r="JF623" s="2887" t="s">
        <v>4004</v>
      </c>
    </row>
    <row r="624" spans="1:266" s="523" customFormat="1" ht="6" customHeight="1">
      <c r="B624" s="526"/>
      <c r="D624" s="526"/>
      <c r="P624" s="2888" t="s">
        <v>4037</v>
      </c>
      <c r="Q624" s="541"/>
      <c r="R624" s="541"/>
      <c r="S624" s="541"/>
      <c r="T624" s="541"/>
      <c r="V624" s="2889" t="s">
        <v>963</v>
      </c>
      <c r="W624" s="2889" t="s">
        <v>796</v>
      </c>
      <c r="X624" s="2889" t="s">
        <v>797</v>
      </c>
      <c r="Y624" s="2889" t="s">
        <v>798</v>
      </c>
      <c r="Z624" s="2889" t="s">
        <v>799</v>
      </c>
      <c r="AA624" s="2889" t="s">
        <v>964</v>
      </c>
      <c r="AB624" s="2889" t="s">
        <v>2419</v>
      </c>
      <c r="AC624" s="2889" t="s">
        <v>2420</v>
      </c>
      <c r="AD624" s="2889" t="s">
        <v>2421</v>
      </c>
      <c r="AE624" s="2889" t="s">
        <v>2422</v>
      </c>
      <c r="AF624" s="2889" t="s">
        <v>965</v>
      </c>
      <c r="AG624" s="2889" t="s">
        <v>2423</v>
      </c>
      <c r="AH624" s="2889" t="s">
        <v>2424</v>
      </c>
      <c r="AI624" s="2889" t="s">
        <v>2425</v>
      </c>
      <c r="AJ624" s="2889" t="s">
        <v>2426</v>
      </c>
      <c r="AK624" s="2889" t="s">
        <v>131</v>
      </c>
      <c r="AL624" s="2889" t="s">
        <v>2427</v>
      </c>
      <c r="AM624" s="2889" t="s">
        <v>2428</v>
      </c>
      <c r="AN624" s="2889" t="s">
        <v>2429</v>
      </c>
      <c r="AO624" s="2889" t="s">
        <v>1203</v>
      </c>
      <c r="AP624" s="2889" t="s">
        <v>580</v>
      </c>
      <c r="AQ624" s="2889" t="s">
        <v>581</v>
      </c>
      <c r="AR624" s="2889" t="s">
        <v>605</v>
      </c>
      <c r="AS624" s="2889" t="s">
        <v>606</v>
      </c>
      <c r="AT624" s="2889" t="s">
        <v>607</v>
      </c>
      <c r="AU624" s="2889" t="s">
        <v>608</v>
      </c>
      <c r="AV624" s="2889" t="s">
        <v>609</v>
      </c>
      <c r="AW624" s="2889" t="s">
        <v>610</v>
      </c>
      <c r="AX624" s="2889" t="s">
        <v>611</v>
      </c>
      <c r="AY624" s="2889" t="s">
        <v>612</v>
      </c>
      <c r="AZ624" s="2889" t="s">
        <v>613</v>
      </c>
      <c r="BA624" s="2889" t="s">
        <v>614</v>
      </c>
      <c r="BB624" s="2889" t="s">
        <v>975</v>
      </c>
      <c r="BC624" s="2889" t="s">
        <v>976</v>
      </c>
      <c r="BD624" s="2889" t="s">
        <v>977</v>
      </c>
      <c r="BE624" s="2889" t="s">
        <v>519</v>
      </c>
      <c r="BF624" s="2889" t="s">
        <v>520</v>
      </c>
      <c r="BG624" s="2889" t="s">
        <v>521</v>
      </c>
      <c r="BH624" s="2889" t="s">
        <v>522</v>
      </c>
      <c r="BI624" s="2889" t="s">
        <v>523</v>
      </c>
      <c r="BJ624" s="2889" t="s">
        <v>923</v>
      </c>
      <c r="BK624" s="2889" t="s">
        <v>924</v>
      </c>
      <c r="BL624" s="2889" t="s">
        <v>925</v>
      </c>
      <c r="BM624" s="2889" t="s">
        <v>926</v>
      </c>
      <c r="BN624" s="2889" t="s">
        <v>927</v>
      </c>
      <c r="BO624" s="2889" t="s">
        <v>928</v>
      </c>
      <c r="BP624" s="2889" t="s">
        <v>929</v>
      </c>
      <c r="BQ624" s="2889" t="s">
        <v>930</v>
      </c>
      <c r="BR624" s="2889" t="s">
        <v>931</v>
      </c>
      <c r="BS624" s="2889" t="s">
        <v>932</v>
      </c>
      <c r="BT624" s="2889" t="s">
        <v>2551</v>
      </c>
      <c r="BU624" s="2889" t="s">
        <v>2552</v>
      </c>
      <c r="BV624" s="2889" t="s">
        <v>2553</v>
      </c>
      <c r="BW624" s="2889" t="s">
        <v>2554</v>
      </c>
      <c r="BX624" s="2889" t="s">
        <v>2555</v>
      </c>
      <c r="BY624" s="2889" t="s">
        <v>119</v>
      </c>
      <c r="BZ624" s="2889" t="s">
        <v>1206</v>
      </c>
      <c r="CA624" s="2889" t="s">
        <v>1207</v>
      </c>
      <c r="CB624" s="2889" t="s">
        <v>1272</v>
      </c>
      <c r="CC624" s="2889" t="s">
        <v>1273</v>
      </c>
      <c r="CD624" s="2887" t="s">
        <v>134</v>
      </c>
      <c r="CE624" s="2887" t="s">
        <v>1274</v>
      </c>
      <c r="CF624" s="2887" t="s">
        <v>1275</v>
      </c>
      <c r="CG624" s="2887" t="s">
        <v>1276</v>
      </c>
      <c r="CH624" s="2887" t="s">
        <v>1277</v>
      </c>
      <c r="CI624" s="2887" t="s">
        <v>133</v>
      </c>
      <c r="CJ624" s="2887" t="s">
        <v>955</v>
      </c>
      <c r="CK624" s="2887" t="s">
        <v>956</v>
      </c>
      <c r="CL624" s="2887" t="s">
        <v>957</v>
      </c>
      <c r="CM624" s="2887" t="s">
        <v>958</v>
      </c>
      <c r="CN624" s="2887" t="s">
        <v>132</v>
      </c>
      <c r="CO624" s="2887" t="s">
        <v>959</v>
      </c>
      <c r="CP624" s="2887" t="s">
        <v>960</v>
      </c>
      <c r="CQ624" s="2887" t="s">
        <v>961</v>
      </c>
      <c r="CR624" s="2887" t="s">
        <v>962</v>
      </c>
      <c r="CS624" s="2887" t="s">
        <v>851</v>
      </c>
      <c r="CT624" s="2887" t="s">
        <v>852</v>
      </c>
      <c r="CU624" s="2887" t="s">
        <v>853</v>
      </c>
      <c r="CV624" s="2887" t="s">
        <v>854</v>
      </c>
      <c r="CW624" s="2887" t="s">
        <v>855</v>
      </c>
      <c r="CX624" s="2887" t="s">
        <v>1002</v>
      </c>
      <c r="CY624" s="2887" t="s">
        <v>1003</v>
      </c>
      <c r="CZ624" s="2887" t="s">
        <v>1004</v>
      </c>
      <c r="DA624" s="2887" t="s">
        <v>1005</v>
      </c>
      <c r="DB624" s="2887" t="s">
        <v>2550</v>
      </c>
      <c r="DC624" s="2887" t="s">
        <v>1505</v>
      </c>
      <c r="DD624" s="2887" t="s">
        <v>1506</v>
      </c>
      <c r="DE624" s="2887" t="s">
        <v>1507</v>
      </c>
      <c r="DF624" s="2887" t="s">
        <v>1508</v>
      </c>
      <c r="DG624" s="2887" t="s">
        <v>1509</v>
      </c>
      <c r="DH624" s="2887" t="s">
        <v>453</v>
      </c>
      <c r="DI624" s="2887" t="s">
        <v>454</v>
      </c>
      <c r="DJ624" s="2887" t="s">
        <v>455</v>
      </c>
      <c r="DK624" s="2887" t="s">
        <v>456</v>
      </c>
      <c r="DL624" s="2887" t="s">
        <v>457</v>
      </c>
      <c r="DM624" s="2887" t="s">
        <v>18</v>
      </c>
      <c r="DN624" s="2887" t="s">
        <v>19</v>
      </c>
      <c r="DO624" s="2887" t="s">
        <v>20</v>
      </c>
      <c r="DP624" s="2887" t="s">
        <v>21</v>
      </c>
      <c r="DQ624" s="2887" t="s">
        <v>22</v>
      </c>
      <c r="DR624" s="2887" t="s">
        <v>231</v>
      </c>
      <c r="DS624" s="2887" t="s">
        <v>232</v>
      </c>
      <c r="DT624" s="2887" t="s">
        <v>233</v>
      </c>
      <c r="DU624" s="2887" t="s">
        <v>1902</v>
      </c>
      <c r="DV624" s="2887" t="s">
        <v>1903</v>
      </c>
      <c r="DW624" s="2887" t="s">
        <v>1904</v>
      </c>
      <c r="DX624" s="2887" t="s">
        <v>621</v>
      </c>
      <c r="DY624" s="2887" t="s">
        <v>622</v>
      </c>
      <c r="DZ624" s="2887" t="s">
        <v>623</v>
      </c>
      <c r="EA624" s="2887" t="s">
        <v>624</v>
      </c>
      <c r="EB624" s="2887" t="s">
        <v>23</v>
      </c>
      <c r="EC624" s="2887" t="s">
        <v>24</v>
      </c>
      <c r="ED624" s="2887" t="s">
        <v>25</v>
      </c>
      <c r="EE624" s="2887" t="s">
        <v>26</v>
      </c>
      <c r="EF624" s="2887" t="s">
        <v>27</v>
      </c>
      <c r="EG624" s="2887" t="s">
        <v>518</v>
      </c>
      <c r="EH624" s="2887" t="s">
        <v>449</v>
      </c>
      <c r="EI624" s="2887" t="s">
        <v>450</v>
      </c>
      <c r="EJ624" s="2887" t="s">
        <v>451</v>
      </c>
      <c r="EK624" s="2887" t="s">
        <v>452</v>
      </c>
      <c r="EL624" s="2887" t="s">
        <v>2313</v>
      </c>
      <c r="EM624" s="2887" t="s">
        <v>2314</v>
      </c>
      <c r="EN624" s="2887" t="s">
        <v>2315</v>
      </c>
      <c r="EO624" s="2887" t="s">
        <v>1555</v>
      </c>
      <c r="EP624" s="2887" t="s">
        <v>1556</v>
      </c>
      <c r="EQ624" s="2887" t="s">
        <v>28</v>
      </c>
      <c r="ER624" s="2887" t="s">
        <v>29</v>
      </c>
      <c r="ES624" s="2887" t="s">
        <v>30</v>
      </c>
      <c r="ET624" s="2887" t="s">
        <v>31</v>
      </c>
      <c r="EU624" s="2887" t="s">
        <v>32</v>
      </c>
      <c r="EV624" s="2883"/>
      <c r="EW624" s="2883"/>
      <c r="EX624" s="2883"/>
      <c r="EY624" s="2883"/>
      <c r="EZ624" s="2883"/>
      <c r="FA624" s="2883"/>
      <c r="FB624" s="2883"/>
      <c r="FC624" s="2883"/>
      <c r="FD624" s="2883"/>
      <c r="FE624" s="2883"/>
      <c r="FF624" s="2883"/>
      <c r="FG624" s="2883"/>
      <c r="FH624" s="2883"/>
      <c r="FI624" s="2883"/>
      <c r="FJ624" s="2883"/>
      <c r="FK624" s="2883"/>
      <c r="FL624" s="2883"/>
      <c r="FM624" s="2883"/>
      <c r="FN624" s="2883"/>
      <c r="FO624" s="2883"/>
      <c r="FP624" s="2883"/>
      <c r="FQ624" s="2883"/>
      <c r="FR624" s="2883"/>
      <c r="FS624" s="2883"/>
      <c r="FT624" s="2883"/>
      <c r="FU624" s="2883"/>
      <c r="FV624" s="2883"/>
      <c r="FW624" s="2883"/>
      <c r="FX624" s="2883"/>
      <c r="FY624" s="2883"/>
      <c r="FZ624" s="2883"/>
      <c r="GA624" s="2883"/>
      <c r="GB624" s="2883"/>
      <c r="GC624" s="2883"/>
      <c r="GD624" s="2883"/>
      <c r="GE624" s="2883"/>
      <c r="GF624" s="2883"/>
      <c r="GG624" s="2883"/>
      <c r="GH624" s="2883"/>
      <c r="GI624" s="2883"/>
      <c r="GJ624" s="2883"/>
      <c r="GK624" s="2883"/>
      <c r="GL624" s="2883"/>
      <c r="GM624" s="2883"/>
      <c r="GN624" s="2883"/>
      <c r="GO624" s="2883"/>
      <c r="GP624" s="2883"/>
      <c r="GQ624" s="2883"/>
      <c r="GR624" s="2883"/>
      <c r="GS624" s="2883"/>
      <c r="GT624" s="2883"/>
      <c r="GU624" s="2883"/>
      <c r="GV624" s="2883"/>
      <c r="GW624" s="2883"/>
      <c r="GX624" s="2883"/>
      <c r="GY624" s="2883"/>
      <c r="GZ624" s="2883"/>
      <c r="HA624" s="2883"/>
      <c r="HB624" s="2883"/>
      <c r="HC624" s="2883"/>
      <c r="HD624" s="2883"/>
      <c r="HE624" s="2883"/>
      <c r="HF624" s="2883"/>
      <c r="HG624" s="2883"/>
      <c r="HH624" s="2883"/>
      <c r="HI624" s="2883"/>
      <c r="HJ624" s="2883"/>
      <c r="HK624" s="2883"/>
      <c r="HL624" s="2883"/>
      <c r="HM624" s="2883"/>
      <c r="HN624" s="2883"/>
      <c r="HO624" s="2883"/>
      <c r="HP624" s="2883"/>
      <c r="HQ624" s="2883"/>
      <c r="HR624" s="2883"/>
      <c r="IC624" s="2887" t="s">
        <v>1703</v>
      </c>
      <c r="ID624" s="2887" t="s">
        <v>2650</v>
      </c>
      <c r="IE624" s="2887" t="s">
        <v>2651</v>
      </c>
      <c r="IF624" s="2887" t="s">
        <v>400</v>
      </c>
      <c r="IG624" s="2887" t="s">
        <v>401</v>
      </c>
      <c r="IH624" s="2887" t="s">
        <v>402</v>
      </c>
      <c r="II624" s="2887" t="s">
        <v>403</v>
      </c>
      <c r="IJ624" s="2887" t="s">
        <v>404</v>
      </c>
      <c r="IK624" s="2887" t="s">
        <v>405</v>
      </c>
      <c r="IL624" s="2887" t="s">
        <v>406</v>
      </c>
      <c r="IM624" s="2887" t="s">
        <v>208</v>
      </c>
      <c r="IN624" s="2887" t="s">
        <v>209</v>
      </c>
      <c r="IO624" s="2887" t="s">
        <v>210</v>
      </c>
      <c r="IP624" s="2887" t="s">
        <v>211</v>
      </c>
      <c r="IQ624" s="2887" t="s">
        <v>212</v>
      </c>
      <c r="IR624" s="2887" t="s">
        <v>213</v>
      </c>
      <c r="IS624" s="2887" t="s">
        <v>214</v>
      </c>
      <c r="IT624" s="2887" t="s">
        <v>215</v>
      </c>
      <c r="IU624" s="2887" t="s">
        <v>216</v>
      </c>
      <c r="IV624" s="2887" t="s">
        <v>217</v>
      </c>
      <c r="IW624" s="2887" t="s">
        <v>218</v>
      </c>
      <c r="IX624" s="2887" t="s">
        <v>219</v>
      </c>
      <c r="IY624" s="2887" t="s">
        <v>220</v>
      </c>
      <c r="IZ624" s="2887" t="s">
        <v>221</v>
      </c>
      <c r="JA624" s="2887" t="s">
        <v>222</v>
      </c>
      <c r="JB624" s="2887"/>
      <c r="JC624" s="2887"/>
      <c r="JD624" s="2887"/>
      <c r="JE624" s="2887"/>
      <c r="JF624" s="2887"/>
    </row>
    <row r="625" spans="1:276" s="523" customFormat="1" ht="13.15" customHeight="1">
      <c r="A625" s="2890" t="str">
        <f>IF(A668&gt;0,"Finish Row!","")</f>
        <v/>
      </c>
      <c r="B625" s="526" t="s">
        <v>1939</v>
      </c>
      <c r="E625" s="526"/>
      <c r="G625" s="2883">
        <f>'Part VI-Revenues &amp; Expenses'!G5</f>
        <v>0</v>
      </c>
      <c r="M625" s="2874" t="s">
        <v>604</v>
      </c>
      <c r="O625" s="2891" t="s">
        <v>1085</v>
      </c>
      <c r="P625" s="2888"/>
      <c r="V625" s="2889"/>
      <c r="W625" s="2889"/>
      <c r="X625" s="2889"/>
      <c r="Y625" s="2889"/>
      <c r="Z625" s="2889"/>
      <c r="AA625" s="2889"/>
      <c r="AB625" s="2889"/>
      <c r="AC625" s="2889"/>
      <c r="AD625" s="2889"/>
      <c r="AE625" s="2889"/>
      <c r="AF625" s="2889"/>
      <c r="AG625" s="2889"/>
      <c r="AH625" s="2889"/>
      <c r="AI625" s="2889"/>
      <c r="AJ625" s="2889"/>
      <c r="AK625" s="2889"/>
      <c r="AL625" s="2889"/>
      <c r="AM625" s="2889"/>
      <c r="AN625" s="2889"/>
      <c r="AO625" s="2889"/>
      <c r="AP625" s="2889"/>
      <c r="AQ625" s="2889"/>
      <c r="AR625" s="2889"/>
      <c r="AS625" s="2889"/>
      <c r="AT625" s="2889"/>
      <c r="AU625" s="2889"/>
      <c r="AV625" s="2889"/>
      <c r="AW625" s="2889"/>
      <c r="AX625" s="2889"/>
      <c r="AY625" s="2889"/>
      <c r="AZ625" s="2889"/>
      <c r="BA625" s="2889"/>
      <c r="BB625" s="2889"/>
      <c r="BC625" s="2889"/>
      <c r="BD625" s="2889"/>
      <c r="BE625" s="2889"/>
      <c r="BF625" s="2889"/>
      <c r="BG625" s="2889"/>
      <c r="BH625" s="2889"/>
      <c r="BI625" s="2889"/>
      <c r="BJ625" s="2889"/>
      <c r="BK625" s="2889"/>
      <c r="BL625" s="2889"/>
      <c r="BM625" s="2889"/>
      <c r="BN625" s="2889"/>
      <c r="BO625" s="2889"/>
      <c r="BP625" s="2889"/>
      <c r="BQ625" s="2889"/>
      <c r="BR625" s="2889"/>
      <c r="BS625" s="2889"/>
      <c r="BT625" s="2889"/>
      <c r="BU625" s="2889"/>
      <c r="BV625" s="2889"/>
      <c r="BW625" s="2889"/>
      <c r="BX625" s="2889"/>
      <c r="BY625" s="2889"/>
      <c r="BZ625" s="2889"/>
      <c r="CA625" s="2889"/>
      <c r="CB625" s="2889"/>
      <c r="CC625" s="2889"/>
      <c r="CD625" s="2887"/>
      <c r="CE625" s="2887"/>
      <c r="CF625" s="2887"/>
      <c r="CG625" s="2887"/>
      <c r="CH625" s="2887"/>
      <c r="CI625" s="2887"/>
      <c r="CJ625" s="2887"/>
      <c r="CK625" s="2887"/>
      <c r="CL625" s="2887"/>
      <c r="CM625" s="2887"/>
      <c r="CN625" s="2887"/>
      <c r="CO625" s="2887"/>
      <c r="CP625" s="2887"/>
      <c r="CQ625" s="2887"/>
      <c r="CR625" s="2887"/>
      <c r="CS625" s="2887"/>
      <c r="CT625" s="2887"/>
      <c r="CU625" s="2887"/>
      <c r="CV625" s="2887"/>
      <c r="CW625" s="2887"/>
      <c r="CX625" s="2887"/>
      <c r="CY625" s="2887"/>
      <c r="CZ625" s="2887"/>
      <c r="DA625" s="2887"/>
      <c r="DB625" s="2887"/>
      <c r="DC625" s="2887"/>
      <c r="DD625" s="2887"/>
      <c r="DE625" s="2887"/>
      <c r="DF625" s="2887"/>
      <c r="DG625" s="2887"/>
      <c r="DH625" s="2887"/>
      <c r="DI625" s="2887"/>
      <c r="DJ625" s="2887"/>
      <c r="DK625" s="2887"/>
      <c r="DL625" s="2887"/>
      <c r="DM625" s="2887"/>
      <c r="DN625" s="2887"/>
      <c r="DO625" s="2887"/>
      <c r="DP625" s="2887"/>
      <c r="DQ625" s="2887"/>
      <c r="DR625" s="2887"/>
      <c r="DS625" s="2887"/>
      <c r="DT625" s="2887"/>
      <c r="DU625" s="2887"/>
      <c r="DV625" s="2887"/>
      <c r="DW625" s="2887"/>
      <c r="DX625" s="2887"/>
      <c r="DY625" s="2887"/>
      <c r="DZ625" s="2887"/>
      <c r="EA625" s="2887"/>
      <c r="EB625" s="2887"/>
      <c r="EC625" s="2887"/>
      <c r="ED625" s="2887"/>
      <c r="EE625" s="2887"/>
      <c r="EF625" s="2887"/>
      <c r="EG625" s="2887"/>
      <c r="EH625" s="2887"/>
      <c r="EI625" s="2887"/>
      <c r="EJ625" s="2887"/>
      <c r="EK625" s="2887"/>
      <c r="EL625" s="2887"/>
      <c r="EM625" s="2887"/>
      <c r="EN625" s="2887"/>
      <c r="EO625" s="2887"/>
      <c r="EP625" s="2887"/>
      <c r="EQ625" s="2887"/>
      <c r="ER625" s="2887"/>
      <c r="ES625" s="2887"/>
      <c r="ET625" s="2887"/>
      <c r="EU625" s="2887"/>
      <c r="EV625" s="2883"/>
      <c r="EW625" s="2883"/>
      <c r="EX625" s="2883"/>
      <c r="EY625" s="2883"/>
      <c r="EZ625" s="2883"/>
      <c r="FA625" s="2883"/>
      <c r="FB625" s="2883"/>
      <c r="FC625" s="2883"/>
      <c r="FD625" s="2883"/>
      <c r="FE625" s="2883"/>
      <c r="FF625" s="2883"/>
      <c r="FG625" s="2883"/>
      <c r="FH625" s="2883"/>
      <c r="FI625" s="2883"/>
      <c r="FJ625" s="2883"/>
      <c r="FK625" s="2883"/>
      <c r="FL625" s="2883"/>
      <c r="FM625" s="2883"/>
      <c r="FN625" s="2883"/>
      <c r="FO625" s="2883"/>
      <c r="FP625" s="2883"/>
      <c r="FQ625" s="2883"/>
      <c r="FR625" s="2883"/>
      <c r="FS625" s="2883"/>
      <c r="FT625" s="2883"/>
      <c r="FU625" s="2883"/>
      <c r="FV625" s="2883"/>
      <c r="FW625" s="2883"/>
      <c r="FX625" s="2883"/>
      <c r="FY625" s="2883"/>
      <c r="FZ625" s="2883"/>
      <c r="GA625" s="2883"/>
      <c r="GB625" s="2883"/>
      <c r="GC625" s="2883"/>
      <c r="GD625" s="2883"/>
      <c r="GE625" s="2883"/>
      <c r="GF625" s="2883"/>
      <c r="GG625" s="2883"/>
      <c r="GH625" s="2883"/>
      <c r="GI625" s="2883"/>
      <c r="GJ625" s="2883"/>
      <c r="GK625" s="2883"/>
      <c r="GL625" s="2883"/>
      <c r="GM625" s="2883"/>
      <c r="GN625" s="2883"/>
      <c r="GO625" s="2883"/>
      <c r="GP625" s="2883"/>
      <c r="GQ625" s="2883"/>
      <c r="GR625" s="2883"/>
      <c r="GS625" s="2883"/>
      <c r="GT625" s="2883"/>
      <c r="GU625" s="2883"/>
      <c r="GV625" s="2883"/>
      <c r="GW625" s="2883"/>
      <c r="GX625" s="2883"/>
      <c r="GY625" s="2883"/>
      <c r="GZ625" s="2883"/>
      <c r="HA625" s="2883"/>
      <c r="HB625" s="2883"/>
      <c r="HC625" s="2883"/>
      <c r="HD625" s="2883"/>
      <c r="HE625" s="2883"/>
      <c r="HF625" s="2883"/>
      <c r="HG625" s="2883"/>
      <c r="HH625" s="2883"/>
      <c r="HI625" s="2883"/>
      <c r="HJ625" s="2883"/>
      <c r="HK625" s="2883"/>
      <c r="HL625" s="2883"/>
      <c r="HM625" s="2883"/>
      <c r="HN625" s="2883"/>
      <c r="HO625" s="2883"/>
      <c r="HP625" s="2883"/>
      <c r="HQ625" s="2883"/>
      <c r="HR625" s="2883"/>
      <c r="IC625" s="2887"/>
      <c r="ID625" s="2887"/>
      <c r="IE625" s="2887"/>
      <c r="IF625" s="2887"/>
      <c r="IG625" s="2887"/>
      <c r="IH625" s="2887"/>
      <c r="II625" s="2887"/>
      <c r="IJ625" s="2887"/>
      <c r="IK625" s="2887"/>
      <c r="IL625" s="2887"/>
      <c r="IM625" s="2887"/>
      <c r="IN625" s="2887"/>
      <c r="IO625" s="2887"/>
      <c r="IP625" s="2887"/>
      <c r="IQ625" s="2887"/>
      <c r="IR625" s="2887"/>
      <c r="IS625" s="2887"/>
      <c r="IT625" s="2887"/>
      <c r="IU625" s="2887"/>
      <c r="IV625" s="2887"/>
      <c r="IW625" s="2887"/>
      <c r="IX625" s="2887"/>
      <c r="IY625" s="2887"/>
      <c r="IZ625" s="2887"/>
      <c r="JA625" s="2887"/>
      <c r="JB625" s="2887"/>
      <c r="JC625" s="2887"/>
      <c r="JD625" s="2887"/>
      <c r="JE625" s="2887"/>
      <c r="JF625" s="2887"/>
      <c r="JG625" s="2892" t="s">
        <v>3995</v>
      </c>
      <c r="JH625" s="2892" t="s">
        <v>3996</v>
      </c>
      <c r="JI625" s="2892" t="s">
        <v>3997</v>
      </c>
      <c r="JJ625" s="2892" t="s">
        <v>3998</v>
      </c>
      <c r="JK625" s="2892" t="s">
        <v>3999</v>
      </c>
      <c r="JL625" s="2887" t="s">
        <v>4009</v>
      </c>
      <c r="JM625" s="2887" t="s">
        <v>4011</v>
      </c>
      <c r="JN625" s="2887" t="s">
        <v>4012</v>
      </c>
      <c r="JO625" s="2887" t="s">
        <v>4013</v>
      </c>
      <c r="JP625" s="2887" t="s">
        <v>4014</v>
      </c>
    </row>
    <row r="626" spans="1:276" s="523" customFormat="1" ht="13.15" customHeight="1">
      <c r="A626" s="2890"/>
      <c r="B626" s="2893" t="s">
        <v>1895</v>
      </c>
      <c r="E626" s="526"/>
      <c r="G626" s="2883" t="str">
        <f>'Part VI-Revenues &amp; Expenses'!G6</f>
        <v>No</v>
      </c>
      <c r="J626" s="2894" t="s">
        <v>2524</v>
      </c>
      <c r="M626" s="2895" t="str">
        <f>'Part I-Project Information'!$O$30</f>
        <v>Warner Robins</v>
      </c>
      <c r="N626" s="2895"/>
      <c r="O626" s="471">
        <f>VLOOKUP('Part I-Project Information'!$O$30,'DCA Underwriting Assumptions'!$C$127:$D$237,2)</f>
        <v>71800</v>
      </c>
      <c r="P626" s="2888"/>
      <c r="R626" s="2873" t="s">
        <v>2861</v>
      </c>
      <c r="S626" s="2873"/>
      <c r="V626" s="2889"/>
      <c r="W626" s="2889"/>
      <c r="X626" s="2889"/>
      <c r="Y626" s="2889"/>
      <c r="Z626" s="2889"/>
      <c r="AA626" s="2889"/>
      <c r="AB626" s="2889"/>
      <c r="AC626" s="2889"/>
      <c r="AD626" s="2889"/>
      <c r="AE626" s="2889"/>
      <c r="AF626" s="2889"/>
      <c r="AG626" s="2889"/>
      <c r="AH626" s="2889"/>
      <c r="AI626" s="2889"/>
      <c r="AJ626" s="2889"/>
      <c r="AK626" s="2889"/>
      <c r="AL626" s="2889"/>
      <c r="AM626" s="2889"/>
      <c r="AN626" s="2889"/>
      <c r="AO626" s="2889"/>
      <c r="AP626" s="2889"/>
      <c r="AQ626" s="2889"/>
      <c r="AR626" s="2889"/>
      <c r="AS626" s="2889"/>
      <c r="AT626" s="2889"/>
      <c r="AU626" s="2889"/>
      <c r="AV626" s="2889"/>
      <c r="AW626" s="2889"/>
      <c r="AX626" s="2889"/>
      <c r="AY626" s="2889"/>
      <c r="AZ626" s="2889"/>
      <c r="BA626" s="2889"/>
      <c r="BB626" s="2889"/>
      <c r="BC626" s="2889"/>
      <c r="BD626" s="2889"/>
      <c r="BE626" s="2889"/>
      <c r="BF626" s="2889"/>
      <c r="BG626" s="2889"/>
      <c r="BH626" s="2889"/>
      <c r="BI626" s="2889"/>
      <c r="BJ626" s="2889"/>
      <c r="BK626" s="2889"/>
      <c r="BL626" s="2889"/>
      <c r="BM626" s="2889"/>
      <c r="BN626" s="2889"/>
      <c r="BO626" s="2889"/>
      <c r="BP626" s="2889"/>
      <c r="BQ626" s="2889"/>
      <c r="BR626" s="2889"/>
      <c r="BS626" s="2889"/>
      <c r="BT626" s="2889"/>
      <c r="BU626" s="2889"/>
      <c r="BV626" s="2889"/>
      <c r="BW626" s="2889"/>
      <c r="BX626" s="2889"/>
      <c r="BY626" s="2889"/>
      <c r="BZ626" s="2889"/>
      <c r="CA626" s="2889"/>
      <c r="CB626" s="2889"/>
      <c r="CC626" s="2889"/>
      <c r="CD626" s="2887"/>
      <c r="CE626" s="2887"/>
      <c r="CF626" s="2887"/>
      <c r="CG626" s="2887"/>
      <c r="CH626" s="2887"/>
      <c r="CI626" s="2887"/>
      <c r="CJ626" s="2887"/>
      <c r="CK626" s="2887"/>
      <c r="CL626" s="2887"/>
      <c r="CM626" s="2887"/>
      <c r="CN626" s="2887"/>
      <c r="CO626" s="2887"/>
      <c r="CP626" s="2887"/>
      <c r="CQ626" s="2887"/>
      <c r="CR626" s="2887"/>
      <c r="CS626" s="2887"/>
      <c r="CT626" s="2887"/>
      <c r="CU626" s="2887"/>
      <c r="CV626" s="2887"/>
      <c r="CW626" s="2887"/>
      <c r="CX626" s="2887"/>
      <c r="CY626" s="2887"/>
      <c r="CZ626" s="2887"/>
      <c r="DA626" s="2887"/>
      <c r="DB626" s="2887"/>
      <c r="DC626" s="2887"/>
      <c r="DD626" s="2887"/>
      <c r="DE626" s="2887"/>
      <c r="DF626" s="2887"/>
      <c r="DG626" s="2887"/>
      <c r="DH626" s="2887"/>
      <c r="DI626" s="2887"/>
      <c r="DJ626" s="2887"/>
      <c r="DK626" s="2887"/>
      <c r="DL626" s="2887"/>
      <c r="DM626" s="2887"/>
      <c r="DN626" s="2887"/>
      <c r="DO626" s="2887"/>
      <c r="DP626" s="2887"/>
      <c r="DQ626" s="2887"/>
      <c r="DR626" s="2887"/>
      <c r="DS626" s="2887"/>
      <c r="DT626" s="2887"/>
      <c r="DU626" s="2887"/>
      <c r="DV626" s="2887"/>
      <c r="DW626" s="2887"/>
      <c r="DX626" s="2887"/>
      <c r="DY626" s="2887"/>
      <c r="DZ626" s="2887"/>
      <c r="EA626" s="2887"/>
      <c r="EB626" s="2887"/>
      <c r="EC626" s="2887"/>
      <c r="ED626" s="2887"/>
      <c r="EE626" s="2887"/>
      <c r="EF626" s="2887"/>
      <c r="EG626" s="2887"/>
      <c r="EH626" s="2887"/>
      <c r="EI626" s="2887"/>
      <c r="EJ626" s="2887"/>
      <c r="EK626" s="2887"/>
      <c r="EL626" s="2887"/>
      <c r="EM626" s="2887"/>
      <c r="EN626" s="2887"/>
      <c r="EO626" s="2887"/>
      <c r="EP626" s="2887"/>
      <c r="EQ626" s="2887"/>
      <c r="ER626" s="2887"/>
      <c r="ES626" s="2887"/>
      <c r="ET626" s="2887"/>
      <c r="EU626" s="2887"/>
      <c r="EV626" s="2883"/>
      <c r="EW626" s="2883"/>
      <c r="EX626" s="2883"/>
      <c r="EY626" s="2883"/>
      <c r="EZ626" s="2883"/>
      <c r="FA626" s="2883"/>
      <c r="FB626" s="2883"/>
      <c r="FC626" s="2883"/>
      <c r="FD626" s="2883"/>
      <c r="FE626" s="2883"/>
      <c r="FF626" s="2883"/>
      <c r="FG626" s="2883"/>
      <c r="FH626" s="2883"/>
      <c r="FI626" s="2883"/>
      <c r="FJ626" s="2883"/>
      <c r="FK626" s="2883"/>
      <c r="FL626" s="2883"/>
      <c r="FM626" s="2883"/>
      <c r="FN626" s="2883"/>
      <c r="FO626" s="2883"/>
      <c r="FP626" s="2883"/>
      <c r="FQ626" s="2883"/>
      <c r="FR626" s="2883"/>
      <c r="FS626" s="2883"/>
      <c r="FT626" s="2883"/>
      <c r="FU626" s="2883"/>
      <c r="FV626" s="2883"/>
      <c r="FW626" s="2883"/>
      <c r="FX626" s="2883"/>
      <c r="FY626" s="2883"/>
      <c r="FZ626" s="2883"/>
      <c r="GA626" s="2883"/>
      <c r="GB626" s="2883"/>
      <c r="GC626" s="2883"/>
      <c r="GD626" s="2883"/>
      <c r="GE626" s="2883"/>
      <c r="GF626" s="2883"/>
      <c r="GG626" s="2883"/>
      <c r="GH626" s="2883"/>
      <c r="GI626" s="2883"/>
      <c r="GJ626" s="2883"/>
      <c r="GK626" s="2883"/>
      <c r="GL626" s="2883"/>
      <c r="GM626" s="2883"/>
      <c r="GN626" s="2883"/>
      <c r="GO626" s="2883"/>
      <c r="GP626" s="2883"/>
      <c r="GQ626" s="2883"/>
      <c r="GR626" s="2883"/>
      <c r="GS626" s="2883"/>
      <c r="GT626" s="2883"/>
      <c r="GU626" s="2883"/>
      <c r="GV626" s="2883"/>
      <c r="GW626" s="2883"/>
      <c r="GX626" s="2883"/>
      <c r="GY626" s="2883"/>
      <c r="GZ626" s="2883"/>
      <c r="HA626" s="2883"/>
      <c r="HB626" s="2883"/>
      <c r="HC626" s="2883"/>
      <c r="HD626" s="2883"/>
      <c r="HE626" s="2883"/>
      <c r="HF626" s="2883"/>
      <c r="HG626" s="2883"/>
      <c r="HH626" s="2883"/>
      <c r="HI626" s="2883"/>
      <c r="HJ626" s="2883"/>
      <c r="HK626" s="2883"/>
      <c r="HL626" s="2883"/>
      <c r="HM626" s="2883"/>
      <c r="HN626" s="2883"/>
      <c r="HO626" s="2883"/>
      <c r="HP626" s="2883"/>
      <c r="HQ626" s="2883"/>
      <c r="HR626" s="2883"/>
      <c r="IC626" s="2887"/>
      <c r="ID626" s="2887"/>
      <c r="IE626" s="2887"/>
      <c r="IF626" s="2887"/>
      <c r="IG626" s="2887"/>
      <c r="IH626" s="2887"/>
      <c r="II626" s="2887"/>
      <c r="IJ626" s="2887"/>
      <c r="IK626" s="2887"/>
      <c r="IL626" s="2887"/>
      <c r="IM626" s="2887"/>
      <c r="IN626" s="2887"/>
      <c r="IO626" s="2887"/>
      <c r="IP626" s="2887"/>
      <c r="IQ626" s="2887"/>
      <c r="IR626" s="2887"/>
      <c r="IS626" s="2887"/>
      <c r="IT626" s="2887"/>
      <c r="IU626" s="2887"/>
      <c r="IV626" s="2887"/>
      <c r="IW626" s="2887"/>
      <c r="IX626" s="2887"/>
      <c r="IY626" s="2887"/>
      <c r="IZ626" s="2887"/>
      <c r="JA626" s="2887"/>
      <c r="JB626" s="2887"/>
      <c r="JC626" s="2887"/>
      <c r="JD626" s="2887"/>
      <c r="JE626" s="2887"/>
      <c r="JF626" s="2887"/>
      <c r="JG626" s="2892"/>
      <c r="JH626" s="2892"/>
      <c r="JI626" s="2892"/>
      <c r="JJ626" s="2892"/>
      <c r="JK626" s="2892"/>
      <c r="JL626" s="2887"/>
      <c r="JM626" s="2887"/>
      <c r="JN626" s="2887"/>
      <c r="JO626" s="2887"/>
      <c r="JP626" s="2887"/>
    </row>
    <row r="627" spans="1:276" s="523" customFormat="1" ht="13.9" customHeight="1">
      <c r="A627" s="2890"/>
      <c r="B627" s="526"/>
      <c r="D627" s="526"/>
      <c r="J627" s="2894" t="s">
        <v>2525</v>
      </c>
      <c r="P627" s="2888"/>
      <c r="Q627" s="541"/>
      <c r="R627" s="542"/>
      <c r="S627" s="543" t="s">
        <v>2858</v>
      </c>
      <c r="T627" s="541"/>
      <c r="V627" s="2889"/>
      <c r="W627" s="2889"/>
      <c r="X627" s="2889"/>
      <c r="Y627" s="2889"/>
      <c r="Z627" s="2889"/>
      <c r="AA627" s="2889"/>
      <c r="AB627" s="2889"/>
      <c r="AC627" s="2889"/>
      <c r="AD627" s="2889"/>
      <c r="AE627" s="2889"/>
      <c r="AF627" s="2889"/>
      <c r="AG627" s="2889"/>
      <c r="AH627" s="2889"/>
      <c r="AI627" s="2889"/>
      <c r="AJ627" s="2889"/>
      <c r="AK627" s="2889"/>
      <c r="AL627" s="2889"/>
      <c r="AM627" s="2889"/>
      <c r="AN627" s="2889"/>
      <c r="AO627" s="2889"/>
      <c r="AP627" s="2889"/>
      <c r="AQ627" s="2889"/>
      <c r="AR627" s="2889"/>
      <c r="AS627" s="2889"/>
      <c r="AT627" s="2889"/>
      <c r="AU627" s="2889"/>
      <c r="AV627" s="2889"/>
      <c r="AW627" s="2889"/>
      <c r="AX627" s="2889"/>
      <c r="AY627" s="2889"/>
      <c r="AZ627" s="2889"/>
      <c r="BA627" s="2889"/>
      <c r="BB627" s="2889"/>
      <c r="BC627" s="2889"/>
      <c r="BD627" s="2889"/>
      <c r="BE627" s="2889"/>
      <c r="BF627" s="2889"/>
      <c r="BG627" s="2889"/>
      <c r="BH627" s="2889"/>
      <c r="BI627" s="2889"/>
      <c r="BJ627" s="2889"/>
      <c r="BK627" s="2889"/>
      <c r="BL627" s="2889"/>
      <c r="BM627" s="2889"/>
      <c r="BN627" s="2889"/>
      <c r="BO627" s="2889"/>
      <c r="BP627" s="2889"/>
      <c r="BQ627" s="2889"/>
      <c r="BR627" s="2889"/>
      <c r="BS627" s="2889"/>
      <c r="BT627" s="2889"/>
      <c r="BU627" s="2889"/>
      <c r="BV627" s="2889"/>
      <c r="BW627" s="2889"/>
      <c r="BX627" s="2889"/>
      <c r="BY627" s="2889"/>
      <c r="BZ627" s="2889"/>
      <c r="CA627" s="2889"/>
      <c r="CB627" s="2889"/>
      <c r="CC627" s="2889"/>
      <c r="CD627" s="2887"/>
      <c r="CE627" s="2887"/>
      <c r="CF627" s="2887"/>
      <c r="CG627" s="2887"/>
      <c r="CH627" s="2887"/>
      <c r="CI627" s="2887"/>
      <c r="CJ627" s="2887"/>
      <c r="CK627" s="2887"/>
      <c r="CL627" s="2887"/>
      <c r="CM627" s="2887"/>
      <c r="CN627" s="2887"/>
      <c r="CO627" s="2887"/>
      <c r="CP627" s="2887"/>
      <c r="CQ627" s="2887"/>
      <c r="CR627" s="2887"/>
      <c r="CS627" s="2887"/>
      <c r="CT627" s="2887"/>
      <c r="CU627" s="2887"/>
      <c r="CV627" s="2887"/>
      <c r="CW627" s="2887"/>
      <c r="CX627" s="2887"/>
      <c r="CY627" s="2887"/>
      <c r="CZ627" s="2887"/>
      <c r="DA627" s="2887"/>
      <c r="DB627" s="2887"/>
      <c r="DC627" s="2887"/>
      <c r="DD627" s="2887"/>
      <c r="DE627" s="2887"/>
      <c r="DF627" s="2887"/>
      <c r="DG627" s="2887"/>
      <c r="DH627" s="2887"/>
      <c r="DI627" s="2887"/>
      <c r="DJ627" s="2887"/>
      <c r="DK627" s="2887"/>
      <c r="DL627" s="2887"/>
      <c r="DM627" s="2887"/>
      <c r="DN627" s="2887"/>
      <c r="DO627" s="2887"/>
      <c r="DP627" s="2887"/>
      <c r="DQ627" s="2887"/>
      <c r="DR627" s="2887"/>
      <c r="DS627" s="2887"/>
      <c r="DT627" s="2887"/>
      <c r="DU627" s="2887"/>
      <c r="DV627" s="2887"/>
      <c r="DW627" s="2887"/>
      <c r="DX627" s="2887"/>
      <c r="DY627" s="2887"/>
      <c r="DZ627" s="2887"/>
      <c r="EA627" s="2887"/>
      <c r="EB627" s="2887"/>
      <c r="EC627" s="2887"/>
      <c r="ED627" s="2887"/>
      <c r="EE627" s="2887"/>
      <c r="EF627" s="2887"/>
      <c r="EG627" s="2887"/>
      <c r="EH627" s="2887"/>
      <c r="EI627" s="2887"/>
      <c r="EJ627" s="2887"/>
      <c r="EK627" s="2887"/>
      <c r="EL627" s="2887"/>
      <c r="EM627" s="2887"/>
      <c r="EN627" s="2887"/>
      <c r="EO627" s="2887"/>
      <c r="EP627" s="2887"/>
      <c r="EQ627" s="2887"/>
      <c r="ER627" s="2887"/>
      <c r="ES627" s="2887"/>
      <c r="ET627" s="2887"/>
      <c r="EU627" s="2887"/>
      <c r="EV627" s="2883"/>
      <c r="EW627" s="2883"/>
      <c r="EX627" s="2883"/>
      <c r="EY627" s="2883"/>
      <c r="EZ627" s="2883"/>
      <c r="FA627" s="2883"/>
      <c r="FB627" s="2883"/>
      <c r="FC627" s="2883"/>
      <c r="FD627" s="2883"/>
      <c r="FE627" s="2883"/>
      <c r="FF627" s="2883"/>
      <c r="FG627" s="2883"/>
      <c r="FH627" s="2883"/>
      <c r="FI627" s="2883"/>
      <c r="FJ627" s="2883"/>
      <c r="FK627" s="2883"/>
      <c r="FL627" s="2883"/>
      <c r="FM627" s="2883"/>
      <c r="FN627" s="2883"/>
      <c r="FO627" s="2883"/>
      <c r="FP627" s="2883"/>
      <c r="FQ627" s="2883"/>
      <c r="FR627" s="2883"/>
      <c r="FS627" s="2883"/>
      <c r="FT627" s="2883"/>
      <c r="FU627" s="2877" t="s">
        <v>592</v>
      </c>
      <c r="FV627" s="2877" t="s">
        <v>2561</v>
      </c>
      <c r="FW627" s="2877" t="s">
        <v>2562</v>
      </c>
      <c r="FX627" s="2877" t="s">
        <v>2563</v>
      </c>
      <c r="FY627" s="2877" t="s">
        <v>2564</v>
      </c>
      <c r="FZ627" s="2877" t="s">
        <v>592</v>
      </c>
      <c r="GA627" s="2877" t="s">
        <v>2561</v>
      </c>
      <c r="GB627" s="2877" t="s">
        <v>2562</v>
      </c>
      <c r="GC627" s="2877" t="s">
        <v>2563</v>
      </c>
      <c r="GD627" s="2877" t="s">
        <v>2564</v>
      </c>
      <c r="GE627" s="2877" t="s">
        <v>592</v>
      </c>
      <c r="GF627" s="2877" t="s">
        <v>2561</v>
      </c>
      <c r="GG627" s="2877" t="s">
        <v>2562</v>
      </c>
      <c r="GH627" s="2877" t="s">
        <v>2563</v>
      </c>
      <c r="GI627" s="2877" t="s">
        <v>2564</v>
      </c>
      <c r="GJ627" s="2877" t="s">
        <v>592</v>
      </c>
      <c r="GK627" s="2877" t="s">
        <v>2561</v>
      </c>
      <c r="GL627" s="2877" t="s">
        <v>2562</v>
      </c>
      <c r="GM627" s="2877" t="s">
        <v>2563</v>
      </c>
      <c r="GN627" s="2877" t="s">
        <v>2564</v>
      </c>
      <c r="GO627" s="2877" t="s">
        <v>592</v>
      </c>
      <c r="GP627" s="2877" t="s">
        <v>2561</v>
      </c>
      <c r="GQ627" s="2877" t="s">
        <v>2562</v>
      </c>
      <c r="GR627" s="2877" t="s">
        <v>2563</v>
      </c>
      <c r="GS627" s="2877" t="s">
        <v>2564</v>
      </c>
      <c r="GT627" s="2877" t="s">
        <v>592</v>
      </c>
      <c r="GU627" s="2877" t="s">
        <v>2561</v>
      </c>
      <c r="GV627" s="2877" t="s">
        <v>2562</v>
      </c>
      <c r="GW627" s="2877" t="s">
        <v>2563</v>
      </c>
      <c r="GX627" s="2877" t="s">
        <v>2564</v>
      </c>
      <c r="GY627" s="2877" t="s">
        <v>592</v>
      </c>
      <c r="GZ627" s="2877" t="s">
        <v>2561</v>
      </c>
      <c r="HA627" s="2877" t="s">
        <v>2562</v>
      </c>
      <c r="HB627" s="2877" t="s">
        <v>2563</v>
      </c>
      <c r="HC627" s="2877" t="s">
        <v>2564</v>
      </c>
      <c r="HD627" s="2877" t="s">
        <v>592</v>
      </c>
      <c r="HE627" s="2877" t="s">
        <v>2561</v>
      </c>
      <c r="HF627" s="2877" t="s">
        <v>2562</v>
      </c>
      <c r="HG627" s="2877" t="s">
        <v>2563</v>
      </c>
      <c r="HH627" s="2877" t="s">
        <v>2564</v>
      </c>
      <c r="HI627" s="2877" t="s">
        <v>507</v>
      </c>
      <c r="HJ627" s="2877" t="s">
        <v>2561</v>
      </c>
      <c r="HK627" s="2877" t="s">
        <v>2562</v>
      </c>
      <c r="HL627" s="2877" t="s">
        <v>2563</v>
      </c>
      <c r="HM627" s="2877" t="s">
        <v>2564</v>
      </c>
      <c r="HN627" s="2877" t="s">
        <v>507</v>
      </c>
      <c r="HO627" s="2877" t="s">
        <v>2561</v>
      </c>
      <c r="HP627" s="2877" t="s">
        <v>2562</v>
      </c>
      <c r="HQ627" s="2877" t="s">
        <v>2563</v>
      </c>
      <c r="HR627" s="2877" t="s">
        <v>2564</v>
      </c>
      <c r="HS627" s="2877" t="s">
        <v>507</v>
      </c>
      <c r="HT627" s="2877" t="s">
        <v>2561</v>
      </c>
      <c r="HU627" s="2877" t="s">
        <v>2562</v>
      </c>
      <c r="HV627" s="2877" t="s">
        <v>2563</v>
      </c>
      <c r="HW627" s="2877" t="s">
        <v>2564</v>
      </c>
      <c r="HX627" s="2877" t="s">
        <v>507</v>
      </c>
      <c r="HY627" s="2877" t="s">
        <v>2561</v>
      </c>
      <c r="HZ627" s="2877" t="s">
        <v>2562</v>
      </c>
      <c r="IA627" s="2877" t="s">
        <v>2563</v>
      </c>
      <c r="IB627" s="2877" t="s">
        <v>2564</v>
      </c>
      <c r="IC627" s="2887"/>
      <c r="ID627" s="2887"/>
      <c r="IE627" s="2887"/>
      <c r="IF627" s="2887"/>
      <c r="IG627" s="2887"/>
      <c r="IH627" s="2887"/>
      <c r="II627" s="2887"/>
      <c r="IJ627" s="2887"/>
      <c r="IK627" s="2887"/>
      <c r="IL627" s="2887"/>
      <c r="IM627" s="2887"/>
      <c r="IN627" s="2887"/>
      <c r="IO627" s="2887"/>
      <c r="IP627" s="2887"/>
      <c r="IQ627" s="2887"/>
      <c r="IR627" s="2887"/>
      <c r="IS627" s="2887"/>
      <c r="IT627" s="2887"/>
      <c r="IU627" s="2887"/>
      <c r="IV627" s="2887"/>
      <c r="IW627" s="2887"/>
      <c r="IX627" s="2887"/>
      <c r="IY627" s="2887"/>
      <c r="IZ627" s="2887"/>
      <c r="JA627" s="2887"/>
      <c r="JB627" s="2887"/>
      <c r="JC627" s="2887"/>
      <c r="JD627" s="2887"/>
      <c r="JE627" s="2887"/>
      <c r="JF627" s="2887"/>
      <c r="JG627" s="2892"/>
      <c r="JH627" s="2892"/>
      <c r="JI627" s="2892"/>
      <c r="JJ627" s="2892"/>
      <c r="JK627" s="2892"/>
      <c r="JL627" s="2887"/>
      <c r="JM627" s="2887"/>
      <c r="JN627" s="2887"/>
      <c r="JO627" s="2887"/>
      <c r="JP627" s="2887"/>
    </row>
    <row r="628" spans="1:276" s="2884" customFormat="1" ht="13.9" customHeight="1">
      <c r="A628" s="2890"/>
      <c r="B628" s="2896" t="s">
        <v>1554</v>
      </c>
      <c r="C628" s="2894" t="s">
        <v>177</v>
      </c>
      <c r="D628" s="2894" t="s">
        <v>569</v>
      </c>
      <c r="E628" s="2894" t="s">
        <v>1552</v>
      </c>
      <c r="F628" s="2894" t="s">
        <v>1552</v>
      </c>
      <c r="G628" s="2894" t="s">
        <v>2503</v>
      </c>
      <c r="H628" s="2894" t="s">
        <v>2501</v>
      </c>
      <c r="I628" s="2894" t="s">
        <v>840</v>
      </c>
      <c r="J628" s="2894" t="s">
        <v>4579</v>
      </c>
      <c r="K628" s="2897" t="s">
        <v>147</v>
      </c>
      <c r="L628" s="2897"/>
      <c r="M628" s="2894" t="s">
        <v>2479</v>
      </c>
      <c r="N628" s="2894" t="s">
        <v>556</v>
      </c>
      <c r="O628" s="2894" t="s">
        <v>397</v>
      </c>
      <c r="P628" s="2888"/>
      <c r="Q628" s="2898"/>
      <c r="R628" s="2894" t="s">
        <v>2857</v>
      </c>
      <c r="S628" s="2894" t="s">
        <v>2859</v>
      </c>
      <c r="T628" s="2894"/>
      <c r="V628" s="2889"/>
      <c r="W628" s="2889"/>
      <c r="X628" s="2889"/>
      <c r="Y628" s="2889"/>
      <c r="Z628" s="2889"/>
      <c r="AA628" s="2889"/>
      <c r="AB628" s="2889"/>
      <c r="AC628" s="2889"/>
      <c r="AD628" s="2889"/>
      <c r="AE628" s="2889"/>
      <c r="AF628" s="2889"/>
      <c r="AG628" s="2889"/>
      <c r="AH628" s="2889"/>
      <c r="AI628" s="2889"/>
      <c r="AJ628" s="2889"/>
      <c r="AK628" s="2889"/>
      <c r="AL628" s="2889"/>
      <c r="AM628" s="2889"/>
      <c r="AN628" s="2889"/>
      <c r="AO628" s="2889"/>
      <c r="AP628" s="2889"/>
      <c r="AQ628" s="2889"/>
      <c r="AR628" s="2889"/>
      <c r="AS628" s="2889"/>
      <c r="AT628" s="2889"/>
      <c r="AU628" s="2889"/>
      <c r="AV628" s="2889"/>
      <c r="AW628" s="2889"/>
      <c r="AX628" s="2889"/>
      <c r="AY628" s="2889"/>
      <c r="AZ628" s="2889"/>
      <c r="BA628" s="2889"/>
      <c r="BB628" s="2889"/>
      <c r="BC628" s="2889"/>
      <c r="BD628" s="2889"/>
      <c r="BE628" s="2889"/>
      <c r="BF628" s="2889"/>
      <c r="BG628" s="2889"/>
      <c r="BH628" s="2889"/>
      <c r="BI628" s="2889"/>
      <c r="BJ628" s="2889"/>
      <c r="BK628" s="2889"/>
      <c r="BL628" s="2889"/>
      <c r="BM628" s="2889"/>
      <c r="BN628" s="2889"/>
      <c r="BO628" s="2889"/>
      <c r="BP628" s="2889"/>
      <c r="BQ628" s="2889"/>
      <c r="BR628" s="2889"/>
      <c r="BS628" s="2889"/>
      <c r="BT628" s="2889"/>
      <c r="BU628" s="2889"/>
      <c r="BV628" s="2889"/>
      <c r="BW628" s="2889"/>
      <c r="BX628" s="2889"/>
      <c r="BY628" s="2889"/>
      <c r="BZ628" s="2889"/>
      <c r="CA628" s="2889"/>
      <c r="CB628" s="2889"/>
      <c r="CC628" s="2889"/>
      <c r="CD628" s="2887"/>
      <c r="CE628" s="2887"/>
      <c r="CF628" s="2887"/>
      <c r="CG628" s="2887"/>
      <c r="CH628" s="2887"/>
      <c r="CI628" s="2887"/>
      <c r="CJ628" s="2887"/>
      <c r="CK628" s="2887"/>
      <c r="CL628" s="2887"/>
      <c r="CM628" s="2887"/>
      <c r="CN628" s="2887"/>
      <c r="CO628" s="2887"/>
      <c r="CP628" s="2887"/>
      <c r="CQ628" s="2887"/>
      <c r="CR628" s="2887"/>
      <c r="CS628" s="2887"/>
      <c r="CT628" s="2887"/>
      <c r="CU628" s="2887"/>
      <c r="CV628" s="2887"/>
      <c r="CW628" s="2887"/>
      <c r="CX628" s="2887"/>
      <c r="CY628" s="2887"/>
      <c r="CZ628" s="2887"/>
      <c r="DA628" s="2887"/>
      <c r="DB628" s="2887"/>
      <c r="DC628" s="2887"/>
      <c r="DD628" s="2887"/>
      <c r="DE628" s="2887"/>
      <c r="DF628" s="2887"/>
      <c r="DG628" s="2887"/>
      <c r="DH628" s="2887"/>
      <c r="DI628" s="2887"/>
      <c r="DJ628" s="2887"/>
      <c r="DK628" s="2887"/>
      <c r="DL628" s="2887"/>
      <c r="DM628" s="2887"/>
      <c r="DN628" s="2887"/>
      <c r="DO628" s="2887"/>
      <c r="DP628" s="2887"/>
      <c r="DQ628" s="2887"/>
      <c r="DR628" s="2887"/>
      <c r="DS628" s="2887"/>
      <c r="DT628" s="2887"/>
      <c r="DU628" s="2887"/>
      <c r="DV628" s="2887"/>
      <c r="DW628" s="2887"/>
      <c r="DX628" s="2887"/>
      <c r="DY628" s="2887"/>
      <c r="DZ628" s="2887"/>
      <c r="EA628" s="2887"/>
      <c r="EB628" s="2887"/>
      <c r="EC628" s="2887"/>
      <c r="ED628" s="2887"/>
      <c r="EE628" s="2887"/>
      <c r="EF628" s="2887"/>
      <c r="EG628" s="2887"/>
      <c r="EH628" s="2887"/>
      <c r="EI628" s="2887"/>
      <c r="EJ628" s="2887"/>
      <c r="EK628" s="2887"/>
      <c r="EL628" s="2887"/>
      <c r="EM628" s="2887"/>
      <c r="EN628" s="2887"/>
      <c r="EO628" s="2887"/>
      <c r="EP628" s="2887"/>
      <c r="EQ628" s="2887"/>
      <c r="ER628" s="2887"/>
      <c r="ES628" s="2887"/>
      <c r="ET628" s="2887"/>
      <c r="EU628" s="2887"/>
      <c r="EV628" s="2887" t="s">
        <v>1536</v>
      </c>
      <c r="EW628" s="2877" t="s">
        <v>2561</v>
      </c>
      <c r="EX628" s="2877" t="s">
        <v>2562</v>
      </c>
      <c r="EY628" s="2877" t="s">
        <v>2563</v>
      </c>
      <c r="EZ628" s="2877" t="s">
        <v>2564</v>
      </c>
      <c r="FA628" s="2887" t="s">
        <v>2620</v>
      </c>
      <c r="FB628" s="2887" t="s">
        <v>2620</v>
      </c>
      <c r="FC628" s="2887" t="s">
        <v>2620</v>
      </c>
      <c r="FD628" s="2887" t="s">
        <v>2620</v>
      </c>
      <c r="FE628" s="2887" t="s">
        <v>2620</v>
      </c>
      <c r="FF628" s="2887" t="s">
        <v>3824</v>
      </c>
      <c r="FG628" s="2887" t="s">
        <v>3824</v>
      </c>
      <c r="FH628" s="2887" t="s">
        <v>3824</v>
      </c>
      <c r="FI628" s="2887" t="s">
        <v>3824</v>
      </c>
      <c r="FJ628" s="2887" t="s">
        <v>3824</v>
      </c>
      <c r="FK628" s="2877" t="s">
        <v>592</v>
      </c>
      <c r="FL628" s="2877" t="s">
        <v>2561</v>
      </c>
      <c r="FM628" s="2877" t="s">
        <v>2562</v>
      </c>
      <c r="FN628" s="2877" t="s">
        <v>2563</v>
      </c>
      <c r="FO628" s="2877" t="s">
        <v>2564</v>
      </c>
      <c r="FP628" s="2877" t="s">
        <v>592</v>
      </c>
      <c r="FQ628" s="2877" t="s">
        <v>2561</v>
      </c>
      <c r="FR628" s="2877" t="s">
        <v>2562</v>
      </c>
      <c r="FS628" s="2877" t="s">
        <v>2563</v>
      </c>
      <c r="FT628" s="2877" t="s">
        <v>2564</v>
      </c>
      <c r="FU628" s="2887" t="s">
        <v>2622</v>
      </c>
      <c r="FV628" s="2887" t="s">
        <v>2622</v>
      </c>
      <c r="FW628" s="2887" t="s">
        <v>2622</v>
      </c>
      <c r="FX628" s="2887" t="s">
        <v>2622</v>
      </c>
      <c r="FY628" s="2887" t="s">
        <v>2622</v>
      </c>
      <c r="FZ628" s="2887" t="s">
        <v>3820</v>
      </c>
      <c r="GA628" s="2887" t="s">
        <v>3820</v>
      </c>
      <c r="GB628" s="2887" t="s">
        <v>3820</v>
      </c>
      <c r="GC628" s="2887" t="s">
        <v>3820</v>
      </c>
      <c r="GD628" s="2887" t="s">
        <v>3820</v>
      </c>
      <c r="GE628" s="2887" t="s">
        <v>372</v>
      </c>
      <c r="GF628" s="2887" t="s">
        <v>372</v>
      </c>
      <c r="GG628" s="2887" t="s">
        <v>372</v>
      </c>
      <c r="GH628" s="2887" t="s">
        <v>372</v>
      </c>
      <c r="GI628" s="2887" t="s">
        <v>372</v>
      </c>
      <c r="GJ628" s="2887" t="s">
        <v>3819</v>
      </c>
      <c r="GK628" s="2887" t="s">
        <v>3819</v>
      </c>
      <c r="GL628" s="2887" t="s">
        <v>3819</v>
      </c>
      <c r="GM628" s="2887" t="s">
        <v>3819</v>
      </c>
      <c r="GN628" s="2887" t="s">
        <v>3819</v>
      </c>
      <c r="GO628" s="2887" t="s">
        <v>373</v>
      </c>
      <c r="GP628" s="2887" t="s">
        <v>373</v>
      </c>
      <c r="GQ628" s="2887" t="s">
        <v>373</v>
      </c>
      <c r="GR628" s="2887" t="s">
        <v>373</v>
      </c>
      <c r="GS628" s="2887" t="s">
        <v>373</v>
      </c>
      <c r="GT628" s="2887" t="s">
        <v>3818</v>
      </c>
      <c r="GU628" s="2887" t="s">
        <v>3818</v>
      </c>
      <c r="GV628" s="2887" t="s">
        <v>3818</v>
      </c>
      <c r="GW628" s="2887" t="s">
        <v>3818</v>
      </c>
      <c r="GX628" s="2887" t="s">
        <v>3818</v>
      </c>
      <c r="GY628" s="2887" t="s">
        <v>374</v>
      </c>
      <c r="GZ628" s="2887" t="s">
        <v>374</v>
      </c>
      <c r="HA628" s="2887" t="s">
        <v>374</v>
      </c>
      <c r="HB628" s="2887" t="s">
        <v>374</v>
      </c>
      <c r="HC628" s="2887" t="s">
        <v>374</v>
      </c>
      <c r="HD628" s="2887" t="s">
        <v>3821</v>
      </c>
      <c r="HE628" s="2887" t="s">
        <v>3821</v>
      </c>
      <c r="HF628" s="2887" t="s">
        <v>3821</v>
      </c>
      <c r="HG628" s="2887" t="s">
        <v>3821</v>
      </c>
      <c r="HH628" s="2887" t="s">
        <v>3821</v>
      </c>
      <c r="HI628" s="2887" t="s">
        <v>375</v>
      </c>
      <c r="HJ628" s="2887" t="s">
        <v>375</v>
      </c>
      <c r="HK628" s="2887" t="s">
        <v>375</v>
      </c>
      <c r="HL628" s="2887" t="s">
        <v>375</v>
      </c>
      <c r="HM628" s="2887" t="s">
        <v>375</v>
      </c>
      <c r="HN628" s="2887" t="s">
        <v>3822</v>
      </c>
      <c r="HO628" s="2887" t="s">
        <v>3822</v>
      </c>
      <c r="HP628" s="2887" t="s">
        <v>3822</v>
      </c>
      <c r="HQ628" s="2887" t="s">
        <v>3822</v>
      </c>
      <c r="HR628" s="2887" t="s">
        <v>3822</v>
      </c>
      <c r="HS628" s="2887" t="s">
        <v>1535</v>
      </c>
      <c r="HT628" s="2887" t="s">
        <v>1535</v>
      </c>
      <c r="HU628" s="2887" t="s">
        <v>1535</v>
      </c>
      <c r="HV628" s="2887" t="s">
        <v>1535</v>
      </c>
      <c r="HW628" s="2887" t="s">
        <v>1535</v>
      </c>
      <c r="HX628" s="2887" t="s">
        <v>3823</v>
      </c>
      <c r="HY628" s="2887" t="s">
        <v>3823</v>
      </c>
      <c r="HZ628" s="2887" t="s">
        <v>3823</v>
      </c>
      <c r="IA628" s="2887" t="s">
        <v>3823</v>
      </c>
      <c r="IB628" s="2887" t="s">
        <v>3823</v>
      </c>
      <c r="IC628" s="2887"/>
      <c r="ID628" s="2887"/>
      <c r="IE628" s="2887"/>
      <c r="IF628" s="2887"/>
      <c r="IG628" s="2887"/>
      <c r="IH628" s="2887"/>
      <c r="II628" s="2887"/>
      <c r="IJ628" s="2887"/>
      <c r="IK628" s="2887"/>
      <c r="IL628" s="2887"/>
      <c r="IM628" s="2887"/>
      <c r="IN628" s="2887"/>
      <c r="IO628" s="2887"/>
      <c r="IP628" s="2887"/>
      <c r="IQ628" s="2887"/>
      <c r="IR628" s="2887"/>
      <c r="IS628" s="2887"/>
      <c r="IT628" s="2887"/>
      <c r="IU628" s="2887"/>
      <c r="IV628" s="2887"/>
      <c r="IW628" s="2887"/>
      <c r="IX628" s="2887"/>
      <c r="IY628" s="2887"/>
      <c r="IZ628" s="2887"/>
      <c r="JA628" s="2887"/>
      <c r="JB628" s="2887"/>
      <c r="JC628" s="2887"/>
      <c r="JD628" s="2887"/>
      <c r="JE628" s="2887"/>
      <c r="JF628" s="2887"/>
      <c r="JG628" s="2892"/>
      <c r="JH628" s="2892"/>
      <c r="JI628" s="2892"/>
      <c r="JJ628" s="2892"/>
      <c r="JK628" s="2892"/>
      <c r="JL628" s="2887"/>
      <c r="JM628" s="2887"/>
      <c r="JN628" s="2887"/>
      <c r="JO628" s="2887"/>
      <c r="JP628" s="2887"/>
    </row>
    <row r="629" spans="1:276" s="2884" customFormat="1" ht="13.9" customHeight="1">
      <c r="A629" s="2890"/>
      <c r="B629" s="2896" t="s">
        <v>1361</v>
      </c>
      <c r="C629" s="2894" t="s">
        <v>176</v>
      </c>
      <c r="D629" s="2894" t="s">
        <v>178</v>
      </c>
      <c r="E629" s="2894" t="s">
        <v>1553</v>
      </c>
      <c r="F629" s="2894" t="s">
        <v>1339</v>
      </c>
      <c r="G629" s="2894" t="s">
        <v>1340</v>
      </c>
      <c r="H629" s="2894" t="s">
        <v>2502</v>
      </c>
      <c r="I629" s="2894" t="s">
        <v>841</v>
      </c>
      <c r="J629" s="2899" t="s">
        <v>363</v>
      </c>
      <c r="K629" s="2894" t="s">
        <v>1606</v>
      </c>
      <c r="L629" s="2894" t="s">
        <v>563</v>
      </c>
      <c r="M629" s="2894" t="s">
        <v>1552</v>
      </c>
      <c r="N629" s="2894" t="s">
        <v>3767</v>
      </c>
      <c r="O629" s="2894" t="s">
        <v>398</v>
      </c>
      <c r="P629" s="2888"/>
      <c r="Q629" s="2894" t="s">
        <v>1090</v>
      </c>
      <c r="R629" s="2894" t="s">
        <v>1554</v>
      </c>
      <c r="S629" s="2894" t="s">
        <v>2860</v>
      </c>
      <c r="T629" s="2782" t="s">
        <v>1938</v>
      </c>
      <c r="U629" s="2782"/>
      <c r="V629" s="2889"/>
      <c r="W629" s="2889"/>
      <c r="X629" s="2889"/>
      <c r="Y629" s="2889"/>
      <c r="Z629" s="2889"/>
      <c r="AA629" s="2889"/>
      <c r="AB629" s="2889"/>
      <c r="AC629" s="2889"/>
      <c r="AD629" s="2889"/>
      <c r="AE629" s="2889"/>
      <c r="AF629" s="2889"/>
      <c r="AG629" s="2889"/>
      <c r="AH629" s="2889"/>
      <c r="AI629" s="2889"/>
      <c r="AJ629" s="2889"/>
      <c r="AK629" s="2889"/>
      <c r="AL629" s="2889"/>
      <c r="AM629" s="2889"/>
      <c r="AN629" s="2889"/>
      <c r="AO629" s="2889"/>
      <c r="AP629" s="2889"/>
      <c r="AQ629" s="2889"/>
      <c r="AR629" s="2889"/>
      <c r="AS629" s="2889"/>
      <c r="AT629" s="2889"/>
      <c r="AU629" s="2889"/>
      <c r="AV629" s="2889"/>
      <c r="AW629" s="2889"/>
      <c r="AX629" s="2889"/>
      <c r="AY629" s="2889"/>
      <c r="AZ629" s="2889"/>
      <c r="BA629" s="2889"/>
      <c r="BB629" s="2889"/>
      <c r="BC629" s="2889"/>
      <c r="BD629" s="2889"/>
      <c r="BE629" s="2889"/>
      <c r="BF629" s="2889"/>
      <c r="BG629" s="2889"/>
      <c r="BH629" s="2889"/>
      <c r="BI629" s="2889"/>
      <c r="BJ629" s="2889"/>
      <c r="BK629" s="2889"/>
      <c r="BL629" s="2889"/>
      <c r="BM629" s="2889"/>
      <c r="BN629" s="2889"/>
      <c r="BO629" s="2889"/>
      <c r="BP629" s="2889"/>
      <c r="BQ629" s="2889"/>
      <c r="BR629" s="2889"/>
      <c r="BS629" s="2889"/>
      <c r="BT629" s="2889"/>
      <c r="BU629" s="2889"/>
      <c r="BV629" s="2889"/>
      <c r="BW629" s="2889"/>
      <c r="BX629" s="2889"/>
      <c r="BY629" s="2889"/>
      <c r="BZ629" s="2889"/>
      <c r="CA629" s="2889"/>
      <c r="CB629" s="2889"/>
      <c r="CC629" s="2889"/>
      <c r="CD629" s="2887"/>
      <c r="CE629" s="2887"/>
      <c r="CF629" s="2887"/>
      <c r="CG629" s="2887"/>
      <c r="CH629" s="2887"/>
      <c r="CI629" s="2887"/>
      <c r="CJ629" s="2887"/>
      <c r="CK629" s="2887"/>
      <c r="CL629" s="2887"/>
      <c r="CM629" s="2887"/>
      <c r="CN629" s="2887"/>
      <c r="CO629" s="2887"/>
      <c r="CP629" s="2887"/>
      <c r="CQ629" s="2887"/>
      <c r="CR629" s="2887"/>
      <c r="CS629" s="2887"/>
      <c r="CT629" s="2887"/>
      <c r="CU629" s="2887"/>
      <c r="CV629" s="2887"/>
      <c r="CW629" s="2887"/>
      <c r="CX629" s="2887"/>
      <c r="CY629" s="2887"/>
      <c r="CZ629" s="2887"/>
      <c r="DA629" s="2887"/>
      <c r="DB629" s="2887"/>
      <c r="DC629" s="2887"/>
      <c r="DD629" s="2887"/>
      <c r="DE629" s="2887"/>
      <c r="DF629" s="2887"/>
      <c r="DG629" s="2887"/>
      <c r="DH629" s="2887"/>
      <c r="DI629" s="2887"/>
      <c r="DJ629" s="2887"/>
      <c r="DK629" s="2887"/>
      <c r="DL629" s="2887"/>
      <c r="DM629" s="2887"/>
      <c r="DN629" s="2887"/>
      <c r="DO629" s="2887"/>
      <c r="DP629" s="2887"/>
      <c r="DQ629" s="2887"/>
      <c r="DR629" s="2887"/>
      <c r="DS629" s="2887"/>
      <c r="DT629" s="2887"/>
      <c r="DU629" s="2887"/>
      <c r="DV629" s="2887"/>
      <c r="DW629" s="2887"/>
      <c r="DX629" s="2887"/>
      <c r="DY629" s="2887"/>
      <c r="DZ629" s="2887"/>
      <c r="EA629" s="2887"/>
      <c r="EB629" s="2887"/>
      <c r="EC629" s="2887"/>
      <c r="ED629" s="2887"/>
      <c r="EE629" s="2887"/>
      <c r="EF629" s="2887"/>
      <c r="EG629" s="2887"/>
      <c r="EH629" s="2887"/>
      <c r="EI629" s="2887"/>
      <c r="EJ629" s="2887"/>
      <c r="EK629" s="2887"/>
      <c r="EL629" s="2887"/>
      <c r="EM629" s="2887"/>
      <c r="EN629" s="2887"/>
      <c r="EO629" s="2887"/>
      <c r="EP629" s="2887"/>
      <c r="EQ629" s="2887"/>
      <c r="ER629" s="2887"/>
      <c r="ES629" s="2887"/>
      <c r="ET629" s="2887"/>
      <c r="EU629" s="2887"/>
      <c r="EV629" s="2887"/>
      <c r="EW629" s="2877" t="s">
        <v>2619</v>
      </c>
      <c r="EX629" s="2877" t="s">
        <v>2619</v>
      </c>
      <c r="EY629" s="2877" t="s">
        <v>2619</v>
      </c>
      <c r="EZ629" s="2877" t="s">
        <v>2619</v>
      </c>
      <c r="FA629" s="2887"/>
      <c r="FB629" s="2887"/>
      <c r="FC629" s="2887"/>
      <c r="FD629" s="2887"/>
      <c r="FE629" s="2887"/>
      <c r="FF629" s="2887"/>
      <c r="FG629" s="2887"/>
      <c r="FH629" s="2887"/>
      <c r="FI629" s="2887"/>
      <c r="FJ629" s="2887"/>
      <c r="FK629" s="2877" t="s">
        <v>2621</v>
      </c>
      <c r="FL629" s="2877" t="s">
        <v>2621</v>
      </c>
      <c r="FM629" s="2877" t="s">
        <v>2621</v>
      </c>
      <c r="FN629" s="2877" t="s">
        <v>2621</v>
      </c>
      <c r="FO629" s="2877" t="s">
        <v>2621</v>
      </c>
      <c r="FP629" s="2877" t="s">
        <v>3825</v>
      </c>
      <c r="FQ629" s="2877" t="s">
        <v>3825</v>
      </c>
      <c r="FR629" s="2877" t="s">
        <v>3825</v>
      </c>
      <c r="FS629" s="2877" t="s">
        <v>3825</v>
      </c>
      <c r="FT629" s="2877" t="s">
        <v>3825</v>
      </c>
      <c r="FU629" s="2887"/>
      <c r="FV629" s="2887"/>
      <c r="FW629" s="2887"/>
      <c r="FX629" s="2887"/>
      <c r="FY629" s="2887"/>
      <c r="FZ629" s="2887"/>
      <c r="GA629" s="2887"/>
      <c r="GB629" s="2887"/>
      <c r="GC629" s="2887"/>
      <c r="GD629" s="2887"/>
      <c r="GE629" s="2887"/>
      <c r="GF629" s="2887"/>
      <c r="GG629" s="2887"/>
      <c r="GH629" s="2887"/>
      <c r="GI629" s="2887"/>
      <c r="GJ629" s="2887"/>
      <c r="GK629" s="2887"/>
      <c r="GL629" s="2887"/>
      <c r="GM629" s="2887"/>
      <c r="GN629" s="2887"/>
      <c r="GO629" s="2887"/>
      <c r="GP629" s="2887"/>
      <c r="GQ629" s="2887"/>
      <c r="GR629" s="2887"/>
      <c r="GS629" s="2887"/>
      <c r="GT629" s="2887"/>
      <c r="GU629" s="2887"/>
      <c r="GV629" s="2887"/>
      <c r="GW629" s="2887"/>
      <c r="GX629" s="2887"/>
      <c r="GY629" s="2887"/>
      <c r="GZ629" s="2887"/>
      <c r="HA629" s="2887"/>
      <c r="HB629" s="2887"/>
      <c r="HC629" s="2887"/>
      <c r="HD629" s="2887"/>
      <c r="HE629" s="2887"/>
      <c r="HF629" s="2887"/>
      <c r="HG629" s="2887"/>
      <c r="HH629" s="2887"/>
      <c r="HI629" s="2887"/>
      <c r="HJ629" s="2887"/>
      <c r="HK629" s="2887"/>
      <c r="HL629" s="2887"/>
      <c r="HM629" s="2887"/>
      <c r="HN629" s="2887"/>
      <c r="HO629" s="2887"/>
      <c r="HP629" s="2887"/>
      <c r="HQ629" s="2887"/>
      <c r="HR629" s="2887"/>
      <c r="HS629" s="2887"/>
      <c r="HT629" s="2887"/>
      <c r="HU629" s="2887"/>
      <c r="HV629" s="2887"/>
      <c r="HW629" s="2887"/>
      <c r="HX629" s="2887"/>
      <c r="HY629" s="2887"/>
      <c r="HZ629" s="2887"/>
      <c r="IA629" s="2887"/>
      <c r="IB629" s="2887"/>
      <c r="IC629" s="2887"/>
      <c r="ID629" s="2887"/>
      <c r="IE629" s="2887"/>
      <c r="IF629" s="2887"/>
      <c r="IG629" s="2887"/>
      <c r="IH629" s="2887"/>
      <c r="II629" s="2887"/>
      <c r="IJ629" s="2887"/>
      <c r="IK629" s="2887"/>
      <c r="IL629" s="2887"/>
      <c r="IM629" s="2887"/>
      <c r="IN629" s="2887"/>
      <c r="IO629" s="2887"/>
      <c r="IP629" s="2887"/>
      <c r="IQ629" s="2887"/>
      <c r="IR629" s="2887"/>
      <c r="IS629" s="2887"/>
      <c r="IT629" s="2887"/>
      <c r="IU629" s="2887"/>
      <c r="IV629" s="2887"/>
      <c r="IW629" s="2887"/>
      <c r="IX629" s="2887"/>
      <c r="IY629" s="2887"/>
      <c r="IZ629" s="2887"/>
      <c r="JA629" s="2887"/>
      <c r="JB629" s="2887"/>
      <c r="JC629" s="2887"/>
      <c r="JD629" s="2887"/>
      <c r="JE629" s="2887"/>
      <c r="JF629" s="2887"/>
      <c r="JG629" s="2892"/>
      <c r="JH629" s="2892"/>
      <c r="JI629" s="2892"/>
      <c r="JJ629" s="2892"/>
      <c r="JK629" s="2892"/>
      <c r="JL629" s="2887"/>
      <c r="JM629" s="2887"/>
      <c r="JN629" s="2887"/>
      <c r="JO629" s="2887"/>
      <c r="JP629" s="2887"/>
    </row>
    <row r="630" spans="1:276" ht="12" customHeight="1">
      <c r="A630" s="2891" t="str">
        <f t="shared" ref="A630:A667" si="0">IF(AND(E630&gt;0,OR(B630="",C630="",D630="",F630="",G630="", H630="",M630="",N630="",O630="",P630="")),1,"")</f>
        <v/>
      </c>
      <c r="B630" s="2900" t="str">
        <f>'Part VI-Revenues &amp; Expenses'!B10</f>
        <v>50% AMI</v>
      </c>
      <c r="C630" s="2901">
        <f>'Part VI-Revenues &amp; Expenses'!C10</f>
        <v>1</v>
      </c>
      <c r="D630" s="2902">
        <f>'Part VI-Revenues &amp; Expenses'!D10</f>
        <v>1</v>
      </c>
      <c r="E630" s="2903">
        <f>'Part VI-Revenues &amp; Expenses'!E10</f>
        <v>4</v>
      </c>
      <c r="F630" s="2903">
        <f>'Part VI-Revenues &amp; Expenses'!F10</f>
        <v>829</v>
      </c>
      <c r="G630" s="2903">
        <f>'Part VI-Revenues &amp; Expenses'!G10</f>
        <v>613</v>
      </c>
      <c r="H630" s="2903">
        <f>'Part VI-Revenues &amp; Expenses'!H10</f>
        <v>586</v>
      </c>
      <c r="I630" s="2903">
        <f>'Part VI-Revenues &amp; Expenses'!I10</f>
        <v>161</v>
      </c>
      <c r="J630" s="2904">
        <f>'Part VI-Revenues &amp; Expenses'!J10</f>
        <v>0</v>
      </c>
      <c r="K630" s="2905">
        <f t="shared" ref="K630:K667" si="1">MAX(0,H630-I630)</f>
        <v>425</v>
      </c>
      <c r="L630" s="2905">
        <f t="shared" ref="L630:L667" si="2">MAX(0,E630*K630)</f>
        <v>1700</v>
      </c>
      <c r="M630" s="2886" t="str">
        <f>'Part VI-Revenues &amp; Expenses'!M10</f>
        <v>No</v>
      </c>
      <c r="N630" s="2886" t="str">
        <f>'Part VI-Revenues &amp; Expenses'!N10</f>
        <v>3+ Story</v>
      </c>
      <c r="O630" s="2886" t="str">
        <f>'Part VI-Revenues &amp; Expenses'!O10</f>
        <v>New Construction</v>
      </c>
      <c r="P630" s="2886" t="str">
        <f>'Part VI-Revenues &amp; Expenses'!P10</f>
        <v>No</v>
      </c>
      <c r="Q630" s="2906" t="e">
        <f>IF(H630="","",P630/($O$626*VLOOKUP(C630,'DCA Underwriting Assumptions'!$J$118:$K$123,2,FALSE)))</f>
        <v>#VALUE!</v>
      </c>
      <c r="R630" s="2907"/>
      <c r="S630" s="2906"/>
      <c r="T630" s="2837">
        <f>'Part VI-Revenues &amp; Expenses'!T10</f>
        <v>0</v>
      </c>
      <c r="U630" s="2908"/>
      <c r="V630" s="1247" t="str">
        <f t="shared" ref="V630:V667" si="3">IF(AND(C630="Efficiency",B630="60% AMI",NOT(M630="Common Space")),E630,"")</f>
        <v/>
      </c>
      <c r="W630" s="1247" t="str">
        <f t="shared" ref="W630:W667" si="4">IF(AND(C630=1,B630="60% AMI",NOT(M630="Common Space")),E630,"")</f>
        <v/>
      </c>
      <c r="X630" s="1247" t="str">
        <f t="shared" ref="X630:X667" si="5">IF(AND(C630=2,B630="60% AMI",NOT(M630="Common Space")),E630,"")</f>
        <v/>
      </c>
      <c r="Y630" s="1247" t="str">
        <f t="shared" ref="Y630:Y667" si="6">IF(AND(C630=3,B630="60% AMI",NOT(M630="Common Space")),E630,"")</f>
        <v/>
      </c>
      <c r="Z630" s="1247" t="str">
        <f t="shared" ref="Z630:Z667" si="7">IF(AND(C630=4,B630="60% AMI",NOT(M630="Common Space")),E630,"")</f>
        <v/>
      </c>
      <c r="AA630" s="1247" t="str">
        <f t="shared" ref="AA630:AA667" si="8">IF(AND(C630="Efficiency",B630="50% AMI",NOT(M630="Common Space")),E630,"")</f>
        <v/>
      </c>
      <c r="AB630" s="1247">
        <f t="shared" ref="AB630:AB667" si="9">IF(AND(C630=1,B630="50% AMI",NOT(M630="Common Space")),E630,"")</f>
        <v>4</v>
      </c>
      <c r="AC630" s="1247" t="str">
        <f t="shared" ref="AC630:AC667" si="10">IF(AND(C630=2,B630="50% AMI",NOT(M630="Common Space")),E630,"")</f>
        <v/>
      </c>
      <c r="AD630" s="1247" t="str">
        <f t="shared" ref="AD630:AD667" si="11">IF(AND(C630=3,B630="50% AMI",NOT(M630="Common Space")),E630,"")</f>
        <v/>
      </c>
      <c r="AE630" s="1247" t="str">
        <f t="shared" ref="AE630:AE667" si="12">IF(AND(C630=4,B630="50% AMI",NOT(M630="Common Space")),E630,"")</f>
        <v/>
      </c>
      <c r="AF630" s="1247" t="str">
        <f t="shared" ref="AF630:AF667" si="13">IF(AND(C630="Efficiency",B630="30% AMI",NOT(M630="Common Space")),E630,"")</f>
        <v/>
      </c>
      <c r="AG630" s="1247" t="str">
        <f t="shared" ref="AG630:AG667" si="14">IF(AND(C630=1,B630="30% AMI",NOT(M630="Common Space")),E630,"")</f>
        <v/>
      </c>
      <c r="AH630" s="1247" t="str">
        <f t="shared" ref="AH630:AH667" si="15">IF(AND(C630=2,B630="30% AMI",NOT(M630="Common Space")),E630,"")</f>
        <v/>
      </c>
      <c r="AI630" s="1247" t="str">
        <f t="shared" ref="AI630:AI667" si="16">IF(AND(C630=3,B630="30% AMI",NOT(M630="Common Space")),E630,"")</f>
        <v/>
      </c>
      <c r="AJ630" s="1247" t="str">
        <f t="shared" ref="AJ630:AJ667" si="17">IF(AND(C630=4,B630="30% AMI",NOT(M630="Common Space")),E630,"")</f>
        <v/>
      </c>
      <c r="AK630" s="1247" t="str">
        <f t="shared" ref="AK630:AK667" si="18">IF(AND(C630="Efficiency",B630="Unrestricted",NOT(M630="Common Space")),E630,"")</f>
        <v/>
      </c>
      <c r="AL630" s="1247" t="str">
        <f t="shared" ref="AL630:AL667" si="19">IF(AND(C630=1,B630="Unrestricted",NOT(M630="Common Space")),E630,"")</f>
        <v/>
      </c>
      <c r="AM630" s="1247" t="str">
        <f t="shared" ref="AM630:AM667" si="20">IF(AND(C630=2,B630="Unrestricted",NOT(M630="Common Space")),E630,"")</f>
        <v/>
      </c>
      <c r="AN630" s="1247" t="str">
        <f t="shared" ref="AN630:AN667" si="21">IF(AND(C630=3,B630="Unrestricted",NOT(M630="Common Space")),E630,"")</f>
        <v/>
      </c>
      <c r="AO630" s="1247" t="str">
        <f t="shared" ref="AO630:AO667" si="22">IF(AND(C630=4,B630="Unrestricted",NOT(M630="Common Space")),E630,"")</f>
        <v/>
      </c>
      <c r="AP630" s="1247" t="str">
        <f t="shared" ref="AP630:AP667" si="23">IF(OR(AND($C630="Efficiency",NOT($J630=""),NOT($J630="PHA Oper Sub"),$B630="30% AMI",NOT($M630="Common Space")),AND($C630="Efficiency",NOT($J630=""),NOT($J630="PHA Oper Sub"),$B630="HOME 30% AMI",NOT($M630="Common Space"))),$E630,"")</f>
        <v/>
      </c>
      <c r="AQ630" s="1247" t="str">
        <f t="shared" ref="AQ630:AQ667" si="24">IF(OR(AND($C630=1,NOT($J630=""),NOT($J630="PHA Oper Sub"),$B630="30% AMI",NOT($M630="Common Space")),AND($C630=1,NOT($J630=""),NOT($J630="PHA Oper Sub"),$B630="HOME 30% AMI",NOT($M630="Common Space"))),$E630,"")</f>
        <v/>
      </c>
      <c r="AR630" s="1247" t="str">
        <f t="shared" ref="AR630:AR667" si="25">IF(OR(AND($C630=2,NOT($J630=""),NOT($J630="PHA Oper Sub"),$B630="30% AMI",NOT($M630="Common Space")),AND($C630=2,NOT($J630=""),NOT($J630="PHA Oper Sub"),$B630="HOME 30% AMI",NOT($M630="Common Space"))),$E630,"")</f>
        <v/>
      </c>
      <c r="AS630" s="1247" t="str">
        <f t="shared" ref="AS630:AS667" si="26">IF(OR(AND($C630=3,NOT($J630=""),NOT($J630="PHA Oper Sub"),$B630="30% AMI",NOT($M630="Common Space")),AND($C630=3,NOT($J630=""),NOT($J630="PHA Oper Sub"),$B630="HOME 30% AMI",NOT($M630="Common Space"))),$E630,"")</f>
        <v/>
      </c>
      <c r="AT630" s="1247" t="str">
        <f t="shared" ref="AT630:AT667" si="27">IF(OR(AND($C630=4,NOT($J630=""),NOT($J630="PHA Oper Sub"),$B630="30% AMI",NOT($M630="Common Space")),AND($C630=4,NOT($J630=""),NOT($J630="PHA Oper Sub"),$B630="HOME 30% AMI",NOT($M630="Common Space"))),$E630,"")</f>
        <v/>
      </c>
      <c r="AU630" s="1247" t="str">
        <f t="shared" ref="AU630:AU667" si="28">IF(OR(AND($C630="Efficiency",NOT($J630=""),NOT($J630="PHA Oper Sub"),NOT($J630=0),$B630="50% AMI",NOT($M630="Common Space")),AND($C630="Efficiency",NOT($J630=""),NOT($J630=0),NOT($J630="PHA Oper Sub"),$B630="HOME 50% AMI",NOT($M630="Common Space"))),$E630,"")</f>
        <v/>
      </c>
      <c r="AV630" s="1247" t="str">
        <f t="shared" ref="AV630:AV667" si="29">IF(OR(AND($C630=1,NOT($J630=""),NOT($J630=0),NOT($J630="PHA Oper Sub"),$B630="50% AMI",NOT($M630="Common Space")),AND($C630=1,NOT($J630=""),NOT($J630=0),NOT($J630="PHA Oper Sub"),$B630="HOME 50% AMI",NOT($M630="Common Space"))),$E630,"")</f>
        <v/>
      </c>
      <c r="AW630" s="1247" t="str">
        <f t="shared" ref="AW630:AW667" si="30">IF(OR(AND($C630=2,NOT($J630=""),NOT($J630=0),NOT($J630="PHA Oper Sub"),$B630="50% AMI",NOT($M630="Common Space")),AND($C630=2,NOT($J630=""),NOT($J630=0),NOT($J630="PHA Oper Sub"),$B630="HOME 50% AMI",NOT($M630="Common Space"))),$E630,"")</f>
        <v/>
      </c>
      <c r="AX630" s="1247" t="str">
        <f t="shared" ref="AX630:AX667" si="31">IF(OR(AND($C630=3,NOT($J630=""),NOT($J630=0),NOT($J630="PHA Oper Sub"),$B630="50% AMI",NOT($M630="Common Space")),AND($C630=3,NOT($J630=""),NOT($J630=0),NOT($J630="PHA Oper Sub"),$B630="HOME 50% AMI",NOT($M630="Common Space"))),$E630,"")</f>
        <v/>
      </c>
      <c r="AY630" s="1247" t="str">
        <f t="shared" ref="AY630:AY667" si="32">IF(OR(AND($C630=4,NOT($J630=""),NOT($J630=0),NOT($J630="PHA Oper Sub"),$B630="50% AMI",NOT($M630="Common Space")),AND($C630=4,NOT($J630=""),NOT($J630=0),NOT($J630="PHA Oper Sub"),$B630="HOME 50% AMI",NOT($M630="Common Space"))),$E630,"")</f>
        <v/>
      </c>
      <c r="AZ630" s="1247" t="str">
        <f t="shared" ref="AZ630:AZ667" si="33">IF(OR(AND($C630="Efficiency",NOT($J630=""),NOT($J630=0),NOT($J630="PHA Oper Sub"),$B630="60% AMI",NOT($M630="Common Space")),AND($C630="Efficiency",NOT($J630=""),NOT($J630=0),NOT($J630="PHA Oper Sub"),$B630="HOME 60% AMI",NOT($M630="Common Space"))),$E630,"")</f>
        <v/>
      </c>
      <c r="BA630" s="1247" t="str">
        <f t="shared" ref="BA630:BA667" si="34">IF(OR(AND($C630=1,NOT($J630=""),NOT($J630=0),NOT($J630="PHA Oper Sub"),$B630="60% AMI",NOT($M630="Common Space")),AND($C630=1,NOT($J630=""),NOT($J630=0),NOT($J630="PHA Oper Sub"),$B630="HOME 60% AMI",NOT($M630="Common Space"))),$E630,"")</f>
        <v/>
      </c>
      <c r="BB630" s="1247" t="str">
        <f t="shared" ref="BB630:BB667" si="35">IF(OR(AND($C630=2,NOT($J630=""),NOT($J630=0),NOT($J630="PHA Oper Sub"),$B630="60% AMI",NOT($M630="Common Space")),AND($C630=2,NOT($J630=""),NOT($J630=0),NOT($J630="PHA Oper Sub"),$B630="HOME 60% AMI",NOT($M630="Common Space"))),$E630,"")</f>
        <v/>
      </c>
      <c r="BC630" s="1247" t="str">
        <f t="shared" ref="BC630:BC667" si="36">IF(OR(AND($C630=3,NOT($J630=""),NOT($J630=0),NOT($J630="PHA Oper Sub"),$B630="60% AMI",NOT($M630="Common Space")),AND($C630=3,NOT($J630=""),NOT($J630=0),NOT($J630="PHA Oper Sub"),$B630="HOME 60% AMI",NOT($M630="Common Space"))),$E630,"")</f>
        <v/>
      </c>
      <c r="BD630" s="1247" t="str">
        <f t="shared" ref="BD630:BD667" si="37">IF(OR(AND($C630=4,NOT($J630=""),NOT($J630=0),NOT($J630="PHA Oper Sub"),$B630="60% AMI",NOT($M630="Common Space")),AND($C630=4,NOT($J630=""),NOT($J630=0),NOT($J630="PHA Oper Sub"),$B630="HOME 60% AMI",NOT($M630="Common Space"))),$E630,"")</f>
        <v/>
      </c>
      <c r="BE630" s="1247" t="str">
        <f t="shared" ref="BE630:BE667" si="38">IF(OR(AND($C630="Efficiency",$J630="PHA Oper Sub",$B630="30% AMI",NOT($M630="Common Space")),AND($C630="Efficiency",$J630="PHA Oper Sub",$B630="HOME 30% AMI",NOT($M630="Common Space"))),$E630,"")</f>
        <v/>
      </c>
      <c r="BF630" s="1247" t="str">
        <f t="shared" ref="BF630:BF667" si="39">IF(OR(AND($C630=1,$J630="PHA Oper Sub",$B630="30% AMI",NOT($M630="Common Space")),AND($C630=1,$J630="PHA Oper Sub",$B630="HOME 30% AMI",NOT($M630="Common Space"))),$E630,"")</f>
        <v/>
      </c>
      <c r="BG630" s="1247" t="str">
        <f t="shared" ref="BG630:BG667" si="40">IF(OR(AND($C630=2,$J630="PHA Oper Sub",$B630="30% AMI",NOT($M630="Common Space")),AND($C630=2,$J630="PHA Oper Sub",$B630="HOME 30% AMI",NOT($M630="Common Space"))),$E630,"")</f>
        <v/>
      </c>
      <c r="BH630" s="1247" t="str">
        <f t="shared" ref="BH630:BH667" si="41">IF(OR(AND($C630=3,$J630="PHA Oper Sub",$B630="30% AMI",NOT($M630="Common Space")),AND($C630=3,$J630="PHA Oper Sub",$B630="HOME 30% AMI",NOT($M630="Common Space"))),$E630,"")</f>
        <v/>
      </c>
      <c r="BI630" s="1247" t="str">
        <f t="shared" ref="BI630:BI667" si="42">IF(OR(AND($C630=4,$J630="PHA Oper Sub",$B630="30% AMI",NOT($M630="Common Space")),AND($C630=4,$J630="PHA Oper Sub",$B630="HOME 30% AMI",NOT($M630="Common Space"))),$E630,"")</f>
        <v/>
      </c>
      <c r="BJ630" s="1247" t="str">
        <f t="shared" ref="BJ630:BJ667" si="43">IF(OR(AND($C630="Efficiency",$J630="PHA Oper Sub",$B630="50% AMI",NOT($M630="Common Space")),AND($C630="Efficiency",$J630="PHA Oper Sub",$B630="HOME 50% AMI",NOT($M630="Common Space"))),$E630,"")</f>
        <v/>
      </c>
      <c r="BK630" s="1247" t="str">
        <f t="shared" ref="BK630:BK667" si="44">IF(OR(AND($C630=1,$J630="PHA Oper Sub",$B630="50% AMI",NOT($M630="Common Space")),AND($C630=1,$J630="PHA Oper Sub",$B630="HOME 50% AMI",NOT($M630="Common Space"))),$E630,"")</f>
        <v/>
      </c>
      <c r="BL630" s="1247" t="str">
        <f t="shared" ref="BL630:BL667" si="45">IF(OR(AND($C630=2,$J630="PHA Oper Sub",$B630="50% AMI",NOT($M630="Common Space")),AND($C630=2,$J630="PHA Oper Sub",$B630="HOME 50% AMI",NOT($M630="Common Space"))),$E630,"")</f>
        <v/>
      </c>
      <c r="BM630" s="1247" t="str">
        <f t="shared" ref="BM630:BM667" si="46">IF(OR(AND($C630=3,$J630="PHA Oper Sub",$B630="50% AMI",NOT($M630="Common Space")),AND($C630=3,$J630="PHA Oper Sub",$B630="HOME 50% AMI",NOT($M630="Common Space"))),$E630,"")</f>
        <v/>
      </c>
      <c r="BN630" s="1247" t="str">
        <f t="shared" ref="BN630:BN667" si="47">IF(OR(AND($C630=4,$J630="PHA Oper Sub",$B630="50% AMI",NOT($M630="Common Space")),AND($C630=4,$J630="PHA Oper Sub",$B630="HOME 50% AMI",NOT($M630="Common Space"))),$E630,"")</f>
        <v/>
      </c>
      <c r="BO630" s="1247" t="str">
        <f t="shared" ref="BO630:BO667" si="48">IF(OR(AND($C630="Efficiency",$J630="PHA Oper Sub",$B630="60% AMI",NOT($M630="Common Space")),AND($C630="Efficiency",$J630="PHA Oper Sub",$B630="HOME 60% AMI",NOT($M630="Common Space"))),$E630,"")</f>
        <v/>
      </c>
      <c r="BP630" s="1247" t="str">
        <f t="shared" ref="BP630:BP667" si="49">IF(OR(AND($C630=1,$J630="PHA Oper Sub",$B630="60% AMI",NOT($M630="Common Space")),AND($C630=1,$J630="PHA Oper Sub",$B630="HOME 60% AMI",NOT($M630="Common Space"))),$E630,"")</f>
        <v/>
      </c>
      <c r="BQ630" s="1247" t="str">
        <f t="shared" ref="BQ630:BQ667" si="50">IF(OR(AND($C630=2,$J630="PHA Oper Sub",$B630="60% AMI",NOT($M630="Common Space")),AND($C630=2,$J630="PHA Oper Sub",$B630="HOME 60% AMI",NOT($M630="Common Space"))),$E630,"")</f>
        <v/>
      </c>
      <c r="BR630" s="1247" t="str">
        <f t="shared" ref="BR630:BR667" si="51">IF(OR(AND($C630=3,$J630="PHA Oper Sub",$B630="60% AMI",NOT($M630="Common Space")),AND($C630=3,$J630="PHA Oper Sub",$B630="HOME 60% AMI",NOT($M630="Common Space"))),$E630,"")</f>
        <v/>
      </c>
      <c r="BS630" s="1247" t="str">
        <f t="shared" ref="BS630:BS667" si="52">IF(OR(AND($C630=4,$J630="PHA Oper Sub",$B630="60% AMI",NOT($M630="Common Space")),AND($C630=4,$J630="PHA Oper Sub",$B630="HOME 60% AMI",NOT($M630="Common Space"))),$E630,"")</f>
        <v/>
      </c>
      <c r="BT630" s="1247" t="str">
        <f t="shared" ref="BT630:BT667" si="53">IF(AND(C630="Efficiency",M630="Common Space"),E630,"")</f>
        <v/>
      </c>
      <c r="BU630" s="1247" t="str">
        <f t="shared" ref="BU630:BU667" si="54">IF(AND(C630=1,M630="Common Space"),E630,"")</f>
        <v/>
      </c>
      <c r="BV630" s="1247" t="str">
        <f t="shared" ref="BV630:BV667" si="55">IF(AND(C630=2,M630="Common Space"),E630,"")</f>
        <v/>
      </c>
      <c r="BW630" s="1247" t="str">
        <f t="shared" ref="BW630:BW667" si="56">IF(AND(C630=3,M630="Common Space"),E630,"")</f>
        <v/>
      </c>
      <c r="BX630" s="1247" t="str">
        <f t="shared" ref="BX630:BX667" si="57">IF(AND(C630=4,M630="Common Space"),E630,"")</f>
        <v/>
      </c>
      <c r="BY630" s="1247" t="str">
        <f t="shared" ref="BY630:BY667" si="58">IF(OR(AND(C630="Efficiency",B630="60% AMI",NOT(M630="Common Space")),AND(C630="Efficiency",B630="HOME 60% AMI",NOT(M630="Common Space"))),E630*F630,"")</f>
        <v/>
      </c>
      <c r="BZ630" s="1247" t="str">
        <f t="shared" ref="BZ630:BZ667" si="59">IF(OR(AND(C630=1,B630="60% AMI",NOT(M630="Common Space")),AND(C630=1,B630="HOME 60% AMI",NOT(M630="Common Space"))),E630*F630,"")</f>
        <v/>
      </c>
      <c r="CA630" s="1247" t="str">
        <f t="shared" ref="CA630:CA667" si="60">IF(OR(AND(C630=2,B630="60% AMI",NOT(M630="Common Space")),AND(C630=2,B630="HOME 60% AMI",NOT(M630="Common Space"))),E630*F630,"")</f>
        <v/>
      </c>
      <c r="CB630" s="1247" t="str">
        <f t="shared" ref="CB630:CB667" si="61">IF(OR(AND(C630=3,B630="60% AMI",NOT(M630="Common Space")),AND(C630=3,B630="HOME 60% AMI",NOT(M630="Common Space"))),E630*F630,"")</f>
        <v/>
      </c>
      <c r="CC630" s="1247" t="str">
        <f t="shared" ref="CC630:CC667" si="62">IF(OR(AND(C630=4,B630="60% AMI",NOT(M630="Common Space")),AND(C630=4,B630="HOME 60% AMI",NOT(M630="Common Space"))),E630*F630,"")</f>
        <v/>
      </c>
      <c r="CD630" s="1247" t="str">
        <f t="shared" ref="CD630:CD667" si="63">IF(OR(AND(C630="Efficiency",B630="50% AMI",NOT(M630="Common Space")),AND(C630="Efficiency",B630="HOME 50% AMI",NOT(M630="Common Space"))),E630*F630,"")</f>
        <v/>
      </c>
      <c r="CE630" s="1247">
        <f t="shared" ref="CE630:CE667" si="64">IF(OR(AND(C630=1,B630="50% AMI",NOT(M630="Common Space")),AND(C630=1,B630="HOME 50% AMI",NOT(M630="Common Space"))),E630*F630,"")</f>
        <v>3316</v>
      </c>
      <c r="CF630" s="1247" t="str">
        <f t="shared" ref="CF630:CF667" si="65">IF(OR(AND(C630=2,B630="50% AMI",NOT(M630="Common Space")),AND(C630=2,B630="HOME 50% AMI",NOT(M630="Common Space"))),E630*F630,"")</f>
        <v/>
      </c>
      <c r="CG630" s="1247" t="str">
        <f t="shared" ref="CG630:CG667" si="66">IF(OR(AND(C630=3,B630="50% AMI",NOT(M630="Common Space")),AND(C630=3,B630="HOME 50% AMI",NOT(M630="Common Space"))),E630*F630,"")</f>
        <v/>
      </c>
      <c r="CH630" s="1247" t="str">
        <f t="shared" ref="CH630:CH667" si="67">IF(OR(AND(C630=4,B630="50% AMI",NOT(M630="Common Space")),AND(C630=4,B630="HOME 50% AMI",NOT(M630="Common Space"))),E630*F630,"")</f>
        <v/>
      </c>
      <c r="CI630" s="1247" t="str">
        <f t="shared" ref="CI630:CI667" si="68">IF(OR(AND(C630="Efficiency",B630="30% AMI",NOT(M630="Common Space")),AND(C630="Efficiency",B630="HOME 30% AMI",NOT(M630="Common Space"))),E630*F630,"")</f>
        <v/>
      </c>
      <c r="CJ630" s="1247" t="str">
        <f t="shared" ref="CJ630:CJ667" si="69">IF(OR(AND(C630=1,B630="30% AMI",NOT(M630="Common Space")),AND(C630=1,B630="HOME 30% AMI",NOT(M630="Common Space"))),E630*F630,"")</f>
        <v/>
      </c>
      <c r="CK630" s="1247" t="str">
        <f t="shared" ref="CK630:CK667" si="70">IF(OR(AND(C630=2,B630="30% AMI",NOT(M630="Common Space")),AND(C630=2,B630="HOME 30% AMI",NOT(M630="Common Space"))),E630*F630,"")</f>
        <v/>
      </c>
      <c r="CL630" s="1247" t="str">
        <f t="shared" ref="CL630:CL667" si="71">IF(OR(AND(C630=3,B630="30% AMI",NOT(M630="Common Space")),AND(C630=3,B630="HOME 30% AMI",NOT(M630="Common Space"))),E630*F630,"")</f>
        <v/>
      </c>
      <c r="CM630" s="1247" t="str">
        <f t="shared" ref="CM630:CM667" si="72">IF(OR(AND(C630=4,B630="30% AMI",NOT(M630="Common Space")),AND(C630=4,B630="HOME 30% AMI",NOT(M630="Common Space"))),E630*F630,"")</f>
        <v/>
      </c>
      <c r="CN630" s="1247" t="str">
        <f t="shared" ref="CN630:CN667" si="73">IF(AND(C630="Efficiency",B630="Unrestricted",NOT(M630="Common Space")),E630*F630,"")</f>
        <v/>
      </c>
      <c r="CO630" s="1247" t="str">
        <f t="shared" ref="CO630:CO667" si="74">IF(AND(C630=1,B630="Unrestricted",NOT(M630="Common Space")),E630*F630,"")</f>
        <v/>
      </c>
      <c r="CP630" s="1247" t="str">
        <f t="shared" ref="CP630:CP667" si="75">IF(AND(C630=2,B630="Unrestricted",NOT(M630="Common Space")),E630*F630,"")</f>
        <v/>
      </c>
      <c r="CQ630" s="1247" t="str">
        <f t="shared" ref="CQ630:CQ667" si="76">IF(AND(C630=3,B630="Unrestricted",NOT(M630="Common Space")),E630*F630,"")</f>
        <v/>
      </c>
      <c r="CR630" s="1247" t="str">
        <f t="shared" ref="CR630:CR667" si="77">IF(AND(C630=4,B630="Unrestricted",NOT(M630="Common Space")),E630*F630,"")</f>
        <v/>
      </c>
      <c r="CS630" s="1247" t="str">
        <f t="shared" ref="CS630:CS667" si="78">IF(AND(C630="Efficiency",NOT(J630=""),NOT($J630=0),NOT(M630="Common Space")),E630*F630,"")</f>
        <v/>
      </c>
      <c r="CT630" s="1247" t="str">
        <f t="shared" ref="CT630:CT667" si="79">IF(AND(C630=1,NOT(J630=""),NOT($J630=0),NOT(M630="Common Space")),E630*F630,"")</f>
        <v/>
      </c>
      <c r="CU630" s="1247" t="str">
        <f t="shared" ref="CU630:CU667" si="80">IF(AND(C630=2,NOT(J630=""),NOT($J630=0),NOT(M630="Common Space")),E630*F630,"")</f>
        <v/>
      </c>
      <c r="CV630" s="1247" t="str">
        <f t="shared" ref="CV630:CV667" si="81">IF(AND(C630=3,NOT(J630=""),NOT($J630=0),NOT(M630="Common Space")),E630*F630,"")</f>
        <v/>
      </c>
      <c r="CW630" s="1247" t="str">
        <f t="shared" ref="CW630:CW667" si="82">IF(AND(C630=4,NOT(J630=""),NOT($J630=0),NOT(M630="Common Space")),E630*F630,"")</f>
        <v/>
      </c>
      <c r="CX630" s="1247" t="str">
        <f t="shared" ref="CX630:CX667" si="83">IF(AND(C630="Efficiency",M630="Common Space"),E630*F630,"")</f>
        <v/>
      </c>
      <c r="CY630" s="1247" t="str">
        <f t="shared" ref="CY630:CY667" si="84">IF(AND(C630=1,M630="Common Space"),E630*F630,"")</f>
        <v/>
      </c>
      <c r="CZ630" s="1247" t="str">
        <f t="shared" ref="CZ630:CZ667" si="85">IF(AND(C630=2,M630="Common Space"),E630*F630,"")</f>
        <v/>
      </c>
      <c r="DA630" s="1247" t="str">
        <f t="shared" ref="DA630:DA667" si="86">IF(AND(C630=3,M630="Common Space"),E630*F630,"")</f>
        <v/>
      </c>
      <c r="DB630" s="1247" t="str">
        <f t="shared" ref="DB630:DB667" si="87">IF(AND(C630=4,M630="Common Space"),E630*F630,"")</f>
        <v/>
      </c>
      <c r="DC630" s="1247" t="str">
        <f t="shared" ref="DC630:DC667" si="88">IF(AND($C630="Efficiency", $O630="New Construction",NOT($B630="Unrestricted"),NOT($B630="NSP 120% AMI"),NOT($B630="N/A-CS"),NOT($M630="Common Space")),$E630,"")</f>
        <v/>
      </c>
      <c r="DD630" s="1247">
        <f t="shared" ref="DD630:DD667" si="89">IF(AND($C630=1, $O630="New Construction",NOT($B630="Unrestricted"),NOT($B630="NSP 120% AMI"),NOT($B630="N/A-CS"),NOT($M630="Common Space")),$E630,"")</f>
        <v>4</v>
      </c>
      <c r="DE630" s="1247" t="str">
        <f t="shared" ref="DE630:DE667" si="90">IF(AND($C630=2, $O630="New Construction",NOT($B630="Unrestricted"),NOT($B630="NSP 120% AMI"),NOT($B630="N/A-CS"),NOT($M630="Common Space")),$E630,"")</f>
        <v/>
      </c>
      <c r="DF630" s="1247" t="str">
        <f t="shared" ref="DF630:DF667" si="91">IF(AND($C630=3, $O630="New Construction",NOT($B630="Unrestricted"),NOT($B630="NSP 120% AMI"),NOT($B630="N/A-CS"),NOT($M630="Common Space")),$E630,"")</f>
        <v/>
      </c>
      <c r="DG630" s="1247" t="str">
        <f t="shared" ref="DG630:DG667" si="92">IF(AND($C630=4, $O630="New Construction",NOT($B630="Unrestricted"),NOT($B630="NSP 120% AMI"),NOT($B630="N/A-CS"),NOT($M630="Common Space")),$E630,"")</f>
        <v/>
      </c>
      <c r="DH630" s="1247" t="str">
        <f t="shared" ref="DH630:DH667" si="93">IF(AND($C630="Efficiency", $O630="New Construction",$B630="Unrestricted",NOT($B630="N/A-CS"),NOT($M630="Common Space")),$E630,"")</f>
        <v/>
      </c>
      <c r="DI630" s="1247" t="str">
        <f t="shared" ref="DI630:DI667" si="94">IF(AND($C630=1, $O630="New Construction",$B630="Unrestricted",NOT($B630="N/A-CS"),NOT($M630="Common Space")),$E630,"")</f>
        <v/>
      </c>
      <c r="DJ630" s="1247" t="str">
        <f t="shared" ref="DJ630:DJ667" si="95">IF(AND($C630=2, $O630="New Construction",$B630="Unrestricted",NOT($B630="N/A-CS"),NOT($M630="Common Space")),$E630,"")</f>
        <v/>
      </c>
      <c r="DK630" s="1247" t="str">
        <f t="shared" ref="DK630:DK667" si="96">IF(AND($C630=3, $O630="New Construction",$B630="Unrestricted",NOT($B630="N/A-CS"),NOT($M630="Common Space")),$E630,"")</f>
        <v/>
      </c>
      <c r="DL630" s="1247" t="str">
        <f t="shared" ref="DL630:DL667" si="97">IF(AND($C630=4, $O630="New Construction",$B630="Unrestricted",NOT($B630="N/A-CS"),NOT($M630="Common Space")),$E630,"")</f>
        <v/>
      </c>
      <c r="DM630" s="1247" t="str">
        <f t="shared" ref="DM630:DM667" si="98">IF(AND($C630="Efficiency", $O630="New Construction",$B630="N/A-CS",$M630="Common Space"),$E630,"")</f>
        <v/>
      </c>
      <c r="DN630" s="1247" t="str">
        <f t="shared" ref="DN630:DN667" si="99">IF(AND($C630=1, $O630="New Construction",$B630="N/A-CS",$M630="Common Space"),$E630,"")</f>
        <v/>
      </c>
      <c r="DO630" s="1247" t="str">
        <f t="shared" ref="DO630:DO667" si="100">IF(AND($C630=2, $O630="New Construction",$B630="N/A-CS",$M630="Common Space"),$E630,"")</f>
        <v/>
      </c>
      <c r="DP630" s="1247" t="str">
        <f t="shared" ref="DP630:DP667" si="101">IF(AND($C630=3, $O630="New Construction",$B630="N/A-CS",$M630="Common Space"),$E630,"")</f>
        <v/>
      </c>
      <c r="DQ630" s="1247" t="str">
        <f t="shared" ref="DQ630:DQ667" si="102">IF(AND($C630=4, $O630="New Construction",$B630="N/A-CS",$M630="Common Space"),$E630,"")</f>
        <v/>
      </c>
      <c r="DR630" s="1247" t="str">
        <f t="shared" ref="DR630:DR667" si="103">IF(AND($C630="Efficiency", $O630="Acquisition/Rehab",NOT($B630="Unrestricted"),NOT($B630="NSP 120% AMI"),NOT($B630="N/A-CS"),NOT($M630="Common Space")),$E630,"")</f>
        <v/>
      </c>
      <c r="DS630" s="1247" t="str">
        <f t="shared" ref="DS630:DS667" si="104">IF(AND($C630=1, $O630="Acquisition/Rehab",NOT($B630="Unrestricted"),NOT($B630="NSP 120% AMI"),NOT($B630="N/A-CS"),NOT($M630="Common Space")),$E630,"")</f>
        <v/>
      </c>
      <c r="DT630" s="1247" t="str">
        <f t="shared" ref="DT630:DT667" si="105">IF(AND($C630=2, $O630="Acquisition/Rehab",NOT($B630="Unrestricted"),NOT($B630="NSP 120% AMI"),NOT($B630="N/A-CS"),NOT($M630="Common Space")),$E630,"")</f>
        <v/>
      </c>
      <c r="DU630" s="1247" t="str">
        <f t="shared" ref="DU630:DU667" si="106">IF(AND($C630=3, $O630="Acquisition/Rehab",NOT($B630="Unrestricted"),NOT($B630="NSP 120% AMI"),NOT($B630="N/A-CS"),NOT($M630="Common Space")),$E630,"")</f>
        <v/>
      </c>
      <c r="DV630" s="1247" t="str">
        <f t="shared" ref="DV630:DV667" si="107">IF(AND($C630=4, $O630="Acquisition/Rehab",NOT($B630="Unrestricted"),NOT($B630="NSP 120% AMI"),NOT($B630="N/A-CS"),NOT($M630="Common Space")),$E630,"")</f>
        <v/>
      </c>
      <c r="DW630" s="1247" t="str">
        <f t="shared" ref="DW630:DW667" si="108">IF(AND($C630="Efficiency", $O630="Acquisition/Rehab",$B630="Unrestricted",NOT($B630="N/A-CS"),NOT($M630="Common Space")),$E630,"")</f>
        <v/>
      </c>
      <c r="DX630" s="1247" t="str">
        <f t="shared" ref="DX630:DX667" si="109">IF(AND($C630=1, $O630="Acquisition/Rehab",$B630="Unrestricted",NOT($B630="N/A-CS"),NOT($M630="Common Space")),$E630,"")</f>
        <v/>
      </c>
      <c r="DY630" s="1247" t="str">
        <f t="shared" ref="DY630:DY667" si="110">IF(AND($C630=2, $O630="Acquisition/Rehab",$B630="Unrestricted",NOT($B630="N/A-CS"),NOT($M630="Common Space")),$E630,"")</f>
        <v/>
      </c>
      <c r="DZ630" s="1247" t="str">
        <f t="shared" ref="DZ630:DZ667" si="111">IF(AND($C630=3, $O630="Acquisition/Rehab",$B630="Unrestricted",NOT($B630="N/A-CS"),NOT($M630="Common Space")),$E630,"")</f>
        <v/>
      </c>
      <c r="EA630" s="1247" t="str">
        <f t="shared" ref="EA630:EA667" si="112">IF(AND($C630=4, $O630="Acquisition/Rehab",$B630="Unrestricted",NOT($B630="N/A-CS"),NOT($M630="Common Space")),$E630,"")</f>
        <v/>
      </c>
      <c r="EB630" s="1247" t="str">
        <f t="shared" ref="EB630:EB667" si="113">IF(AND($C630="Efficiency", $O630="Acquisition/Rehab",$B630="N/A-CS",$M630="Common Space"),$E630,"")</f>
        <v/>
      </c>
      <c r="EC630" s="1247" t="str">
        <f t="shared" ref="EC630:EC667" si="114">IF(AND($C630=1, $O630="Acquisition/Rehab",$B630="N/A-CS",$M630="Common Space"),$E630,"")</f>
        <v/>
      </c>
      <c r="ED630" s="1247" t="str">
        <f t="shared" ref="ED630:ED667" si="115">IF(AND($C630=2, $O630="Acquisition/Rehab",$B630="N/A-CS",$M630="Common Space"),$E630,"")</f>
        <v/>
      </c>
      <c r="EE630" s="1247" t="str">
        <f t="shared" ref="EE630:EE667" si="116">IF(AND($C630=3, $O630="Acquisition/Rehab",$B630="N/A-CS",$M630="Common Space"),$E630,"")</f>
        <v/>
      </c>
      <c r="EF630" s="1247" t="str">
        <f t="shared" ref="EF630:EF667" si="117">IF(AND($C630=4, $O630="Acquisition/Rehab",$B630="N/A-CS",$M630="Common Space"),$E630,"")</f>
        <v/>
      </c>
      <c r="EG630" s="1247" t="str">
        <f t="shared" ref="EG630:EG667" si="118">IF(AND($C630="Efficiency", $O630="Rehabilitation",NOT($B630="Unrestricted"),NOT($B630="NSP 120% AMI"),NOT($B630="N/A-CS"),NOT($M630="Common Space")),$E630,"")</f>
        <v/>
      </c>
      <c r="EH630" s="1247" t="str">
        <f t="shared" ref="EH630:EH667" si="119">IF(AND($C630=1, $O630="Rehabilitation",NOT($B630="Unrestricted"),NOT($B630="NSP 120% AMI"),NOT($B630="N/A-CS"),NOT($M630="Common Space")),$E630,"")</f>
        <v/>
      </c>
      <c r="EI630" s="1247" t="str">
        <f t="shared" ref="EI630:EI667" si="120">IF(AND($C630=2, $O630="Rehabilitation",NOT($B630="Unrestricted"),NOT($B630="NSP 120% AMI"),NOT($B630="N/A-CS"),NOT($M630="Common Space")),$E630,"")</f>
        <v/>
      </c>
      <c r="EJ630" s="1247" t="str">
        <f t="shared" ref="EJ630:EJ667" si="121">IF(AND($C630=3, $O630="Rehabilitation",NOT($B630="Unrestricted"),NOT($B630="NSP 120% AMI"),NOT($B630="N/A-CS"),NOT($M630="Common Space")),$E630,"")</f>
        <v/>
      </c>
      <c r="EK630" s="1247" t="str">
        <f t="shared" ref="EK630:EK667" si="122">IF(AND($C630=4, $O630="Rehabilitation",NOT($B630="Unrestricted"),NOT($B630="NSP 120% AMI"),NOT($B630="N/A-CS"),NOT($M630="Common Space")),$E630,"")</f>
        <v/>
      </c>
      <c r="EL630" s="1247" t="str">
        <f t="shared" ref="EL630:EL667" si="123">IF(AND($C630="Efficiency", $O630="Rehabilitation",$B630="Unrestricted",NOT($B630="N/A-CS"),NOT($M630="Common Space")),$E630,"")</f>
        <v/>
      </c>
      <c r="EM630" s="1247" t="str">
        <f t="shared" ref="EM630:EM667" si="124">IF(AND($C630=1, $O630="Rehabilitation",$B630="Unrestricted",NOT($B630="N/A-CS"),NOT($M630="Common Space")),$E630,"")</f>
        <v/>
      </c>
      <c r="EN630" s="1247" t="str">
        <f t="shared" ref="EN630:EN667" si="125">IF(AND($C630=2, $O630="Rehabilitation",$B630="Unrestricted",NOT($B630="N/A-CS"),NOT($M630="Common Space")),$E630,"")</f>
        <v/>
      </c>
      <c r="EO630" s="1247" t="str">
        <f t="shared" ref="EO630:EO667" si="126">IF(AND($C630=3, $O630="Rehabilitation",$B630="Unrestricted",NOT($B630="N/A-CS"),NOT($M630="Common Space")),$E630,"")</f>
        <v/>
      </c>
      <c r="EP630" s="1247" t="str">
        <f t="shared" ref="EP630:EP667" si="127">IF(AND($C630=4, $O630="Rehabilitation",$B630="Unrestricted",NOT($B630="N/A-CS"),NOT($M630="Common Space")),$E630,"")</f>
        <v/>
      </c>
      <c r="EQ630" s="1247" t="str">
        <f t="shared" ref="EQ630:EQ667" si="128">IF(AND($C630="Efficiency", $O630="Rehabilitation",$B630="N/A-CS",$M630="Common Space"),$E630,"")</f>
        <v/>
      </c>
      <c r="ER630" s="1247" t="str">
        <f t="shared" ref="ER630:ER667" si="129">IF(AND($C630=1, $O630="Rehabilitation",$B630="N/A-CS",$M630="Common Space"),$E630,"")</f>
        <v/>
      </c>
      <c r="ES630" s="1247" t="str">
        <f t="shared" ref="ES630:ES667" si="130">IF(AND($C630=2, $O630="Rehabilitation",$B630="N/A-CS",$M630="Common Space"),$E630,"")</f>
        <v/>
      </c>
      <c r="ET630" s="1247" t="str">
        <f t="shared" ref="ET630:ET667" si="131">IF(AND($C630=3, $O630="Rehabilitation",$B630="N/A-CS",$M630="Common Space"),$E630,"")</f>
        <v/>
      </c>
      <c r="EU630" s="1247" t="str">
        <f t="shared" ref="EU630:EU667" si="132">IF(AND($C630=4, $O630="Rehabilitation",$B630="N/A-CS",$M630="Common Space"),$E630,"")</f>
        <v/>
      </c>
      <c r="EV630" s="2909" t="str">
        <f t="shared" ref="EV630:EV667" si="133">IF(AND($C630="Efficiency", NOT(OR($N630="SF Detached",$N630="Mfd Home",$N630="Duplex",$N630="Townhome"))),$E630,"")</f>
        <v/>
      </c>
      <c r="EW630" s="2909">
        <f t="shared" ref="EW630:EW667" si="134">IF(AND($C630=1, NOT(OR($N630="SF Detached",$N630="Mfd Home",$N630="Duplex",$N630="Townhome"))),$E630,"")</f>
        <v>4</v>
      </c>
      <c r="EX630" s="2909" t="str">
        <f t="shared" ref="EX630:EX667" si="135">IF(AND($C630=2, NOT(OR($N630="SF Detached",$N630="Mfd Home",$N630="Duplex",$N630="Townhome"))),$E630,"")</f>
        <v/>
      </c>
      <c r="EY630" s="2909" t="str">
        <f t="shared" ref="EY630:EY667" si="136">IF(AND($C630=3, NOT(OR($N630="SF Detached",$N630="Mfd Home",$N630="Duplex",$N630="Townhome"))),$E630,"")</f>
        <v/>
      </c>
      <c r="EZ630" s="2909" t="str">
        <f t="shared" ref="EZ630:EZ667" si="137">IF(AND($C630=4, NOT(OR($N630="SF Detached",$N630="Mfd Home",$N630="Duplex",$N630="Townhome"))),$E630,"")</f>
        <v/>
      </c>
      <c r="FA630" s="2909" t="str">
        <f t="shared" ref="FA630:FA667" si="138">IF(AND($C630="Efficiency", $N630="SF Detached",NOT($P630="Yes")),$E630,"")</f>
        <v/>
      </c>
      <c r="FB630" s="2909" t="str">
        <f t="shared" ref="FB630:FB667" si="139">IF(AND($C630=1, $N630="SF Detached",NOT($P630="Yes")),$E630,"")</f>
        <v/>
      </c>
      <c r="FC630" s="2909" t="str">
        <f t="shared" ref="FC630:FC667" si="140">IF(AND($C630=2, $N630="SF Detached",NOT($P630="Yes")),$E630,"")</f>
        <v/>
      </c>
      <c r="FD630" s="2909" t="str">
        <f t="shared" ref="FD630:FD667" si="141">IF(AND($C630=3, $N630="SF Detached",NOT($P630="Yes")),$E630,"")</f>
        <v/>
      </c>
      <c r="FE630" s="2909" t="str">
        <f t="shared" ref="FE630:FE667" si="142">IF(AND($C630=4, $N630="SF Detached",NOT($P630="Yes")),$E630,"")</f>
        <v/>
      </c>
      <c r="FF630" s="2909" t="str">
        <f t="shared" ref="FF630:FF667" si="143">IF(AND($C630="Efficiency", $N630="SF Detached",$P630="Yes"),$E630,"")</f>
        <v/>
      </c>
      <c r="FG630" s="2909" t="str">
        <f t="shared" ref="FG630:FG667" si="144">IF(AND($C630=1, $N630="SF Detached",$P630="Yes"),$E630,"")</f>
        <v/>
      </c>
      <c r="FH630" s="2909" t="str">
        <f t="shared" ref="FH630:FH667" si="145">IF(AND($C630=2, $N630="SF Detached",$P630="Yes"),$E630,"")</f>
        <v/>
      </c>
      <c r="FI630" s="2909" t="str">
        <f t="shared" ref="FI630:FI667" si="146">IF(AND($C630=3, $N630="SF Detached",$P630="Yes"),$E630,"")</f>
        <v/>
      </c>
      <c r="FJ630" s="2909" t="str">
        <f t="shared" ref="FJ630:FJ667" si="147">IF(AND($C630=4, $N630="SF Detached",$P630="Yes"),$E630,"")</f>
        <v/>
      </c>
      <c r="FK630" s="2909" t="str">
        <f t="shared" ref="FK630:FK667" si="148">IF(AND($C630="Efficiency", $N630="Mfd Home",NOT($P630="Yes")),$E630,"")</f>
        <v/>
      </c>
      <c r="FL630" s="2909" t="str">
        <f t="shared" ref="FL630:FL667" si="149">IF(AND($C630=1, $N630="Mfd Home",NOT($P630="Yes")),$E630,"")</f>
        <v/>
      </c>
      <c r="FM630" s="2909" t="str">
        <f t="shared" ref="FM630:FM667" si="150">IF(AND($C630=2, $N630="Mfd Home",NOT($P630="Yes")),$E630,"")</f>
        <v/>
      </c>
      <c r="FN630" s="2909" t="str">
        <f t="shared" ref="FN630:FN667" si="151">IF(AND($C630=3, $N630="Mfd Home",NOT($P630="Yes")),$E630,"")</f>
        <v/>
      </c>
      <c r="FO630" s="2909" t="str">
        <f t="shared" ref="FO630:FO667" si="152">IF(AND($C630=4, $N630="Mfd Home",NOT($P630="Yes")),$E630,"")</f>
        <v/>
      </c>
      <c r="FP630" s="2909" t="str">
        <f t="shared" ref="FP630:FP667" si="153">IF(AND($C630="Efficiency", $N630="Mfd Home",$P630="Yes"),$E630,"")</f>
        <v/>
      </c>
      <c r="FQ630" s="2909" t="str">
        <f t="shared" ref="FQ630:FQ667" si="154">IF(AND($C630=1, $N630="Mfd Home",$P630="Yes"),$E630,"")</f>
        <v/>
      </c>
      <c r="FR630" s="2909" t="str">
        <f t="shared" ref="FR630:FR667" si="155">IF(AND($C630=2, $N630="Mfd Home",$P630="Yes"),$E630,"")</f>
        <v/>
      </c>
      <c r="FS630" s="2909" t="str">
        <f t="shared" ref="FS630:FS667" si="156">IF(AND($C630=3, $N630="Mfd Home",$P630="Yes"),$E630,"")</f>
        <v/>
      </c>
      <c r="FT630" s="2909" t="str">
        <f t="shared" ref="FT630:FT667" si="157">IF(AND($C630=4, $N630="Mfd Home",$P630="Yes"),$E630,"")</f>
        <v/>
      </c>
      <c r="FU630" s="2909" t="str">
        <f t="shared" ref="FU630:FU667" si="158">IF(AND($C630="Efficiency", $N630="Duplex",NOT($P630="Yes")),$E630,"")</f>
        <v/>
      </c>
      <c r="FV630" s="2909" t="str">
        <f t="shared" ref="FV630:FV667" si="159">IF(AND($C630=1, $N630="Duplex",NOT($P630="Yes")),$E630,"")</f>
        <v/>
      </c>
      <c r="FW630" s="2909" t="str">
        <f t="shared" ref="FW630:FW667" si="160">IF(AND($C630=2, $N630="Duplex",NOT($P630="Yes")),$E630,"")</f>
        <v/>
      </c>
      <c r="FX630" s="2909" t="str">
        <f t="shared" ref="FX630:FX667" si="161">IF(AND($C630=3, $N630="Duplex",NOT($P630="Yes")),$E630,"")</f>
        <v/>
      </c>
      <c r="FY630" s="2909" t="str">
        <f t="shared" ref="FY630:FY667" si="162">IF(AND($C630=4, $N630="Duplex",NOT($P630="Yes")),$E630,"")</f>
        <v/>
      </c>
      <c r="FZ630" s="2909" t="str">
        <f t="shared" ref="FZ630:FZ667" si="163">IF(AND($C630="Efficiency", $N630="Duplex",$P630="Yes"),$E630,"")</f>
        <v/>
      </c>
      <c r="GA630" s="2909" t="str">
        <f t="shared" ref="GA630:GA667" si="164">IF(AND($C630=1, $N630="Duplex",$P630="Yes"),$E630,"")</f>
        <v/>
      </c>
      <c r="GB630" s="2909" t="str">
        <f t="shared" ref="GB630:GB667" si="165">IF(AND($C630=2, $N630="Duplex",$P630="Yes"),$E630,"")</f>
        <v/>
      </c>
      <c r="GC630" s="2909" t="str">
        <f t="shared" ref="GC630:GC667" si="166">IF(AND($C630=3, $N630="Duplex",$P630="Yes"),$E630,"")</f>
        <v/>
      </c>
      <c r="GD630" s="2909" t="str">
        <f t="shared" ref="GD630:GD667" si="167">IF(AND($C630=4, $N630="Duplex",$P630="Yes"),$E630,"")</f>
        <v/>
      </c>
      <c r="GE630" s="2909" t="str">
        <f t="shared" ref="GE630:GE667" si="168">IF(AND($C630="Efficiency", $N630="Townhome",NOT($P630="Yes")),$E630,"")</f>
        <v/>
      </c>
      <c r="GF630" s="2909" t="str">
        <f t="shared" ref="GF630:GF667" si="169">IF(AND($C630=1, $N630="Townhome",NOT($P630="Yes")),$E630,"")</f>
        <v/>
      </c>
      <c r="GG630" s="2909" t="str">
        <f t="shared" ref="GG630:GG667" si="170">IF(AND($C630=2, $N630="Townhome",NOT($P630="Yes")),$E630,"")</f>
        <v/>
      </c>
      <c r="GH630" s="2909" t="str">
        <f t="shared" ref="GH630:GH667" si="171">IF(AND($C630=3, $N630="Townhome",NOT($P630="Yes")),$E630,"")</f>
        <v/>
      </c>
      <c r="GI630" s="2909" t="str">
        <f t="shared" ref="GI630:GI667" si="172">IF(AND($C630=4, $N630="Townhome",NOT($P630="Yes")),$E630,"")</f>
        <v/>
      </c>
      <c r="GJ630" s="2909" t="str">
        <f t="shared" ref="GJ630:GJ667" si="173">IF(AND($C630="Efficiency", $N630="Townhome",$P630="Yes"),$E630,"")</f>
        <v/>
      </c>
      <c r="GK630" s="2909" t="str">
        <f t="shared" ref="GK630:GK667" si="174">IF(AND($C630=1, $N630="Townhome",$P630="Yes"),$E630,"")</f>
        <v/>
      </c>
      <c r="GL630" s="2909" t="str">
        <f t="shared" ref="GL630:GL667" si="175">IF(AND($C630=2, $N630="Townhome",$P630="Yes"),$E630,"")</f>
        <v/>
      </c>
      <c r="GM630" s="2909" t="str">
        <f t="shared" ref="GM630:GM667" si="176">IF(AND($C630=3, $N630="Townhome",$P630="Yes"),$E630,"")</f>
        <v/>
      </c>
      <c r="GN630" s="2909" t="str">
        <f t="shared" ref="GN630:GN667" si="177">IF(AND($C630=4, $N630="Townhome",$P630="Yes"),$E630,"")</f>
        <v/>
      </c>
      <c r="GO630" s="2909" t="str">
        <f t="shared" ref="GO630:GO667" si="178">IF(AND($C630="Efficiency", $N630="1-Story",NOT($P630="Yes")),$E630,"")</f>
        <v/>
      </c>
      <c r="GP630" s="2909" t="str">
        <f t="shared" ref="GP630:GP667" si="179">IF(AND($C630=1, $N630="1-Story",NOT($P630="Yes")),$E630,"")</f>
        <v/>
      </c>
      <c r="GQ630" s="2909" t="str">
        <f t="shared" ref="GQ630:GQ667" si="180">IF(AND($C630=2, $N630="1-Story",NOT($P630="Yes")),$E630,"")</f>
        <v/>
      </c>
      <c r="GR630" s="2909" t="str">
        <f t="shared" ref="GR630:GR667" si="181">IF(AND($C630=3, $N630="1-Story",NOT($P630="Yes")),$E630,"")</f>
        <v/>
      </c>
      <c r="GS630" s="2909" t="str">
        <f t="shared" ref="GS630:GS667" si="182">IF(AND($C630=4, $N630="1-Story",NOT($P630="Yes")),$E630,"")</f>
        <v/>
      </c>
      <c r="GT630" s="2909" t="str">
        <f t="shared" ref="GT630:GT667" si="183">IF(AND($C630="Efficiency", $N630="1-Story",$P630="Yes"),$E630,"")</f>
        <v/>
      </c>
      <c r="GU630" s="2909" t="str">
        <f t="shared" ref="GU630:GU667" si="184">IF(AND($C630=1, $N630="1-Story",$P630="Yes"),$E630,"")</f>
        <v/>
      </c>
      <c r="GV630" s="2909" t="str">
        <f t="shared" ref="GV630:GV667" si="185">IF(AND($C630=2, $N630="1-Story",$P630="Yes"),$E630,"")</f>
        <v/>
      </c>
      <c r="GW630" s="2909" t="str">
        <f t="shared" ref="GW630:GW667" si="186">IF(AND($C630=3, $N630="1-Story",$P630="Yes"),$E630,"")</f>
        <v/>
      </c>
      <c r="GX630" s="2909" t="str">
        <f t="shared" ref="GX630:GX667" si="187">IF(AND($C630=4, $N630="1-Story",$P630="Yes"),$E630,"")</f>
        <v/>
      </c>
      <c r="GY630" s="2909" t="str">
        <f t="shared" ref="GY630:GY667" si="188">IF(AND($C630="Efficiency", $N630="2-Story",NOT($P630="Yes")),$E630,"")</f>
        <v/>
      </c>
      <c r="GZ630" s="2909" t="str">
        <f t="shared" ref="GZ630:GZ667" si="189">IF(AND($C630=1, $N630="2-Story",NOT($P630="Yes")),$E630,"")</f>
        <v/>
      </c>
      <c r="HA630" s="2909" t="str">
        <f t="shared" ref="HA630:HA667" si="190">IF(AND($C630=2, $N630="2-Story",NOT($P630="Yes")),$E630,"")</f>
        <v/>
      </c>
      <c r="HB630" s="2909" t="str">
        <f t="shared" ref="HB630:HB667" si="191">IF(AND($C630=3, $N630="2-Story",NOT($P630="Yes")),$E630,"")</f>
        <v/>
      </c>
      <c r="HC630" s="2909" t="str">
        <f t="shared" ref="HC630:HC667" si="192">IF(AND($C630=4, $N630="2-Story",NOT($P630="Yes")),$E630,"")</f>
        <v/>
      </c>
      <c r="HD630" s="2909" t="str">
        <f t="shared" ref="HD630:HD667" si="193">IF(AND($C630="Efficiency", $N630="2-Story",$P630="Yes"),$E630,"")</f>
        <v/>
      </c>
      <c r="HE630" s="2909" t="str">
        <f t="shared" ref="HE630:HE667" si="194">IF(AND($C630=1, $N630="2-Story",$P630="Yes"),$E630,"")</f>
        <v/>
      </c>
      <c r="HF630" s="2909" t="str">
        <f t="shared" ref="HF630:HF667" si="195">IF(AND($C630=2, $N630="2-Story",$P630="Yes"),$E630,"")</f>
        <v/>
      </c>
      <c r="HG630" s="2909" t="str">
        <f t="shared" ref="HG630:HG667" si="196">IF(AND($C630=3, $N630="2-Story",$P630="Yes"),$E630,"")</f>
        <v/>
      </c>
      <c r="HH630" s="2909" t="str">
        <f t="shared" ref="HH630:HH667" si="197">IF(AND($C630=4, $N630="2-Story",$P630="Yes"),$E630,"")</f>
        <v/>
      </c>
      <c r="HI630" s="2909" t="str">
        <f t="shared" ref="HI630:HI667" si="198">IF(AND($C630="Efficiency", $N630="2-Story Walkup",NOT($P630="Yes")),$E630,"")</f>
        <v/>
      </c>
      <c r="HJ630" s="2909" t="str">
        <f t="shared" ref="HJ630:HJ667" si="199">IF(AND($C630=1, $N630="2-Story Walkup",NOT($P630="Yes")),$E630,"")</f>
        <v/>
      </c>
      <c r="HK630" s="2909" t="str">
        <f t="shared" ref="HK630:HK667" si="200">IF(AND($C630=2, $N630="2-Story Walkup",NOT($P630="Yes")),$E630,"")</f>
        <v/>
      </c>
      <c r="HL630" s="2909" t="str">
        <f t="shared" ref="HL630:HL667" si="201">IF(AND($C630=3, $N630="2-Story Walkup",NOT($P630="Yes")),$E630,"")</f>
        <v/>
      </c>
      <c r="HM630" s="2909" t="str">
        <f t="shared" ref="HM630:HM667" si="202">IF(AND($C630=4, $N630="2-Story Walkup",NOT($P630="Yes")),$E630,"")</f>
        <v/>
      </c>
      <c r="HN630" s="2909" t="str">
        <f t="shared" ref="HN630:HN667" si="203">IF(AND($C630="Efficiency", $N630="2-Story Walkup",$P630="Yes"),$E630,"")</f>
        <v/>
      </c>
      <c r="HO630" s="2909" t="str">
        <f t="shared" ref="HO630:HO667" si="204">IF(AND($C630=1, $N630="2-Story Walkup",$P630="Yes"),$E630,"")</f>
        <v/>
      </c>
      <c r="HP630" s="2909" t="str">
        <f t="shared" ref="HP630:HP667" si="205">IF(AND($C630=2, $N630="2-Story Walkup",$P630="Yes"),$E630,"")</f>
        <v/>
      </c>
      <c r="HQ630" s="2909" t="str">
        <f t="shared" ref="HQ630:HQ667" si="206">IF(AND($C630=3, $N630="2-Story Walkup",$P630="Yes"),$E630,"")</f>
        <v/>
      </c>
      <c r="HR630" s="2909" t="str">
        <f t="shared" ref="HR630:HR667" si="207">IF(AND($C630=4, $N630="2-Story Walkup",$P630="Yes"),$E630,"")</f>
        <v/>
      </c>
      <c r="HS630" s="2909" t="str">
        <f t="shared" ref="HS630:HS667" si="208">IF(AND($C630="Efficiency", $N630="3+ Story",NOT($P630="Yes")),$E630,"")</f>
        <v/>
      </c>
      <c r="HT630" s="2909">
        <f t="shared" ref="HT630:HT667" si="209">IF(AND($C630=1, $N630="3+ Story",NOT($P630="Yes")),$E630,"")</f>
        <v>4</v>
      </c>
      <c r="HU630" s="2909" t="str">
        <f t="shared" ref="HU630:HU667" si="210">IF(AND($C630=2, $N630="3+ Story",NOT($P630="Yes")),$E630,"")</f>
        <v/>
      </c>
      <c r="HV630" s="2909" t="str">
        <f t="shared" ref="HV630:HV667" si="211">IF(AND($C630=3, $N630="3+ Story",NOT($P630="Yes")),$E630,"")</f>
        <v/>
      </c>
      <c r="HW630" s="2909" t="str">
        <f t="shared" ref="HW630:HW667" si="212">IF(AND($C630=4, $N630="3+ Story",NOT($P630="Yes")),$E630,"")</f>
        <v/>
      </c>
      <c r="HX630" s="2909" t="str">
        <f t="shared" ref="HX630:HX667" si="213">IF(AND($C630="Efficiency", $N630="3+ Story",$P630="Yes"),$E630,"")</f>
        <v/>
      </c>
      <c r="HY630" s="2909" t="str">
        <f t="shared" ref="HY630:HY667" si="214">IF(AND($C630=1, $N630="3+ Story",$P630="Yes"),$E630,"")</f>
        <v/>
      </c>
      <c r="HZ630" s="2909" t="str">
        <f t="shared" ref="HZ630:HZ667" si="215">IF(AND($C630=2, $N630="3+ Story",$P630="Yes"),$E630,"")</f>
        <v/>
      </c>
      <c r="IA630" s="2909" t="str">
        <f t="shared" ref="IA630:IA667" si="216">IF(AND($C630=3, $N630="3+ Story",$P630="Yes"),$E630,"")</f>
        <v/>
      </c>
      <c r="IB630" s="2909" t="str">
        <f t="shared" ref="IB630:IB667" si="217">IF(AND($C630=4, $N630="3+ Story",$P630="Yes"),$E630,"")</f>
        <v/>
      </c>
      <c r="IC630" s="2879" t="str">
        <f t="shared" ref="IC630:IC667" si="218">IF(AND($B630="NSP 120% AMI",$C630="Efficiency", NOT($M630="Common Space")),$E630,"")</f>
        <v/>
      </c>
      <c r="ID630" s="2879" t="str">
        <f t="shared" ref="ID630:ID667" si="219">IF(AND($B630="NSP 120% AMI",$C630=1,NOT($M630="Common Space")),$E630,"")</f>
        <v/>
      </c>
      <c r="IE630" s="2879" t="str">
        <f t="shared" ref="IE630:IE667" si="220">IF(AND($B630="NSP 120% AMI",$C630=2,NOT($M630="Common Space")),$E630,"")</f>
        <v/>
      </c>
      <c r="IF630" s="2879" t="str">
        <f t="shared" ref="IF630:IF667" si="221">IF(AND($B630="NSP 120% AMI",$C630=3,NOT($M630="Common Space")),$E630,"")</f>
        <v/>
      </c>
      <c r="IG630" s="2879" t="str">
        <f t="shared" ref="IG630:IG667" si="222">IF(AND($B630="NSP 120% AMI",$C630=4,NOT($M630="Common Space")),$E630,"")</f>
        <v/>
      </c>
      <c r="IH630" s="1247" t="str">
        <f t="shared" ref="IH630:IH667" si="223">IF(AND(C630="Efficiency",B630="NSP 120% AMI",NOT(M630="Common Space")),E630*F630,"")</f>
        <v/>
      </c>
      <c r="II630" s="1247" t="str">
        <f t="shared" ref="II630:II667" si="224">IF(AND(C630=1,B630="NSP 120% AMI",NOT(M630="Common Space")),E630*F630,"")</f>
        <v/>
      </c>
      <c r="IJ630" s="1247" t="str">
        <f t="shared" ref="IJ630:IJ667" si="225">IF(AND(C630=2,B630="NSP 120% AMI",NOT(M630="Common Space")),E630*F630,"")</f>
        <v/>
      </c>
      <c r="IK630" s="1247" t="str">
        <f t="shared" ref="IK630:IK667" si="226">IF(AND(C630=3,B630="NSP 120% AMI",NOT(M630="Common Space")),E630*F630,"")</f>
        <v/>
      </c>
      <c r="IL630" s="1247" t="str">
        <f t="shared" ref="IL630:IL667" si="227">IF(AND(C630=4,B630="NSP 120% AMI",NOT(M630="Common Space")),E630*F630,"")</f>
        <v/>
      </c>
      <c r="IM630" s="1247" t="str">
        <f t="shared" ref="IM630:IM667" si="228">IF(AND($C630="Efficiency", $O630="New Construction",$B630="NSP 120% AMI",NOT($M630="Common Space")),$E630,"")</f>
        <v/>
      </c>
      <c r="IN630" s="1247" t="str">
        <f t="shared" ref="IN630:IN667" si="229">IF(AND($C630=1, $O630="New Construction",$B630="NSP 120% AMI",NOT($M630="Common Space")),$E630,"")</f>
        <v/>
      </c>
      <c r="IO630" s="1247" t="str">
        <f t="shared" ref="IO630:IO667" si="230">IF(AND($C630=2, $O630="New Construction",$B630="NSP 120% AMI",NOT($M630="Common Space")),$E630,"")</f>
        <v/>
      </c>
      <c r="IP630" s="1247" t="str">
        <f t="shared" ref="IP630:IP667" si="231">IF(AND($C630=3, $O630="New Construction",$B630="NSP 120% AMI",NOT($M630="Common Space")),$E630,"")</f>
        <v/>
      </c>
      <c r="IQ630" s="1247" t="str">
        <f t="shared" ref="IQ630:IQ667" si="232">IF(AND($C630=4, $O630="New Construction",$B630="NSP 120% AMI",NOT($M630="Common Space")),$E630,"")</f>
        <v/>
      </c>
      <c r="IR630" s="1247" t="str">
        <f t="shared" ref="IR630:IR667" si="233">IF(AND($C630="Efficiency", $O630="Acquisition/Rehab",$B630="NSP 120% AMI",NOT($M630="Common Space")),$E630,"")</f>
        <v/>
      </c>
      <c r="IS630" s="1247" t="str">
        <f t="shared" ref="IS630:IS667" si="234">IF(AND($C630=1, $O630="Acquisition/Rehab",$B630="NSP 120% AMI",NOT($M630="Common Space")),$E630,"")</f>
        <v/>
      </c>
      <c r="IT630" s="1247" t="str">
        <f t="shared" ref="IT630:IT667" si="235">IF(AND($C630=2, $O630="Acquisition/Rehab",$B630="NSP 120% AMI",NOT($M630="Common Space")),$E630,"")</f>
        <v/>
      </c>
      <c r="IU630" s="1247" t="str">
        <f t="shared" ref="IU630:IU667" si="236">IF(AND($C630=3, $O630="Acquisition/Rehab",$B630="NSP 120% AMI",NOT($M630="Common Space")),$E630,"")</f>
        <v/>
      </c>
      <c r="IV630" s="1247" t="str">
        <f t="shared" ref="IV630:IV667" si="237">IF(AND($C630=4, $O630="Acquisition/Rehab",$B630="NSP 120% AMI",NOT($M630="Common Space")),$E630,"")</f>
        <v/>
      </c>
      <c r="IW630" s="1247" t="str">
        <f t="shared" ref="IW630:IW667" si="238">IF(AND($C630="Efficiency", $O630="Rehabilitation",$B630="NSP 120% AMI",NOT($M630="Common Space")),$E630,"")</f>
        <v/>
      </c>
      <c r="IX630" s="1247" t="str">
        <f t="shared" ref="IX630:IX667" si="239">IF(AND($C630=1, $O630="Rehabilitation",$B630="NSP 120% AMI",NOT($M630="Common Space")),$E630,"")</f>
        <v/>
      </c>
      <c r="IY630" s="1247" t="str">
        <f t="shared" ref="IY630:IY667" si="240">IF(AND($C630=2, $O630="Rehabilitation",$B630="NSP 120% AMI",NOT($M630="Common Space")),$E630,"")</f>
        <v/>
      </c>
      <c r="IZ630" s="1247" t="str">
        <f t="shared" ref="IZ630:IZ667" si="241">IF(AND($C630=3, $O630="Rehabilitation",$B630="NSP 120% AMI",NOT($M630="Common Space")),$E630,"")</f>
        <v/>
      </c>
      <c r="JA630" s="1247" t="str">
        <f t="shared" ref="JA630:JA667" si="242">IF(AND($C630=4, $O630="Rehabilitation",$B630="NSP 120% AMI",NOT($M630="Common Space")),$E630,"")</f>
        <v/>
      </c>
      <c r="JB630" s="2877">
        <f>IF(AND($C630="Efficiency",$E630&gt;0,OR($N630="1-Story",$N630="2-Story",$N630="3+ Story",$N630="2-Story Walkup",$N630="Townhome"),OR($O630="Acquisition/Rehab",$O630="Rehabilitation"),NOT($P630="Yes")),$E630,0)</f>
        <v>0</v>
      </c>
      <c r="JC630" s="2877">
        <f>IF(AND($C630=1,$E630&gt;0,OR($N630="1-Story",$N630="2-Story",$N630="3+ Story",$N630="2-Story Walkup",$N630="Townhome"),OR($O630="Acquisition/Rehab",$O630="Rehabilitation"),NOT($P630="Yes")),$E630,0)</f>
        <v>0</v>
      </c>
      <c r="JD630" s="2877">
        <f>IF(AND($C630=2,$E630&gt;0,OR($N630="1-Story",$N630="2-Story",$N630="3+ Story",$N630="2-Story Walkup",$N630="Townhome"),OR($O630="Acquisition/Rehab",$O630="Rehabilitation"),NOT($P630="Yes")),$E630,0)</f>
        <v>0</v>
      </c>
      <c r="JE630" s="2877">
        <f>IF(AND($C630=3,$E630&gt;0,OR($N630="1-Story",$N630="2-Story",$N630="3+ Story",$N630="2-Story Walkup",$N630="Townhome"),OR($O630="Acquisition/Rehab",$O630="Rehabilitation"),NOT($P630="Yes")),$E630,0)</f>
        <v>0</v>
      </c>
      <c r="JF630" s="2877">
        <f>IF(AND($C630=4,$E630&gt;0,OR($N630="1-Story",$N630="2-Story",$N630="3+ Story",$N630="2-Story Walkup",$N630="Townhome"),OR($O630="Acquisition/Rehab",$O630="Rehabilitation"),NOT($P630="Yes")),$E630,0)</f>
        <v>0</v>
      </c>
      <c r="JG630" s="2877">
        <f>IF(AND($C630="Efficiency",$E630&gt;0,OR($N630="1-Story",$N630="2-Story",$N630="3+ Story",$N630="2-Story Walkup",$N630="Townhome"),$O630="New Construction"),$E630,0)</f>
        <v>0</v>
      </c>
      <c r="JH630" s="2877">
        <f>IF(AND($C630=1,$E630&gt;0,OR($N630="1-Story",$N630="2-Story",$N630="3+ Story",$N630="2-Story Walkup",$N630="Townhome"),$O630="New Construction"),$E630,0)</f>
        <v>4</v>
      </c>
      <c r="JI630" s="2877">
        <f>IF(AND($C630=2,$E630&gt;0,OR($N630="1-Story",$N630="2-Story",$N630="3+ Story",$N630="2-Story Walkup",$N630="Townhome"),$O630="New Construction"),$E630,0)</f>
        <v>0</v>
      </c>
      <c r="JJ630" s="2877">
        <f>IF(AND($C630=3,$E630&gt;0,OR($N630="1-Story",$N630="2-Story",$N630="3+ Story",$N630="2-Story Walkup",$N630="Townhome"),$O630="New Construction"),$E630,0)</f>
        <v>0</v>
      </c>
      <c r="JK630" s="2877">
        <f>IF(AND($C630=4,$E630&gt;0,OR($N630="1-Story",$N630="2-Story",$N630="3+ Story",$N630="2-Story Walkup",$N630="Townhome"),$O630="New Construction"),$E630,0)</f>
        <v>0</v>
      </c>
      <c r="JL630" s="2877">
        <f>IF(AND($C630="Efficiency",$E630&gt;0,OR($N630="SF Detached",$N630="Duplex",$N630="Mfd Home"),NOT($P630="Yes")),$E630,0)</f>
        <v>0</v>
      </c>
      <c r="JM630" s="2877">
        <f>IF(AND($C630=1,$E630&gt;0,OR($N630="SF Detached",$N630="Duplex",$N630="Mfd Home"),NOT($P630="Yes")),$E630,0)</f>
        <v>0</v>
      </c>
      <c r="JN630" s="2877">
        <f>IF(AND($C630=2,$E630&gt;0,OR($N630="SF Detached",$N630="Duplex",$N630="Mfd Home"),NOT($P630="Yes")),$E630,0)</f>
        <v>0</v>
      </c>
      <c r="JO630" s="2877">
        <f>IF(AND($C630=3,$E630&gt;0,OR($N630="SF Detached",$N630="Duplex",$N630="Mfd Home"),NOT($P630="Yes")),$E630,0)</f>
        <v>0</v>
      </c>
      <c r="JP630" s="2877">
        <f>IF(AND($C630=4,$E630&gt;0,OR($N630="SF Detached",$N630="Duplex",$N630="Mfd Home"),NOT($P630="Yes")),$E630,0)</f>
        <v>0</v>
      </c>
    </row>
    <row r="631" spans="1:276" ht="12" customHeight="1">
      <c r="A631" s="2891" t="str">
        <f t="shared" si="0"/>
        <v/>
      </c>
      <c r="B631" s="2900" t="str">
        <f>'Part VI-Revenues &amp; Expenses'!B11</f>
        <v>50% AMI</v>
      </c>
      <c r="C631" s="2901">
        <f>'Part VI-Revenues &amp; Expenses'!C11</f>
        <v>2</v>
      </c>
      <c r="D631" s="2902">
        <f>'Part VI-Revenues &amp; Expenses'!D11</f>
        <v>2</v>
      </c>
      <c r="E631" s="2903">
        <f>'Part VI-Revenues &amp; Expenses'!E11</f>
        <v>12</v>
      </c>
      <c r="F631" s="2903">
        <f>'Part VI-Revenues &amp; Expenses'!F11</f>
        <v>1073</v>
      </c>
      <c r="G631" s="2903">
        <f>'Part VI-Revenues &amp; Expenses'!G11</f>
        <v>735</v>
      </c>
      <c r="H631" s="2903">
        <f>'Part VI-Revenues &amp; Expenses'!H11</f>
        <v>680</v>
      </c>
      <c r="I631" s="2903">
        <f>'Part VI-Revenues &amp; Expenses'!I11</f>
        <v>205</v>
      </c>
      <c r="J631" s="2904">
        <f>'Part VI-Revenues &amp; Expenses'!J11</f>
        <v>0</v>
      </c>
      <c r="K631" s="2905">
        <f t="shared" si="1"/>
        <v>475</v>
      </c>
      <c r="L631" s="2905">
        <f t="shared" si="2"/>
        <v>5700</v>
      </c>
      <c r="M631" s="2886" t="str">
        <f>'Part VI-Revenues &amp; Expenses'!M11</f>
        <v>No</v>
      </c>
      <c r="N631" s="2886" t="str">
        <f>'Part VI-Revenues &amp; Expenses'!N11</f>
        <v>3+ Story</v>
      </c>
      <c r="O631" s="2886" t="str">
        <f>'Part VI-Revenues &amp; Expenses'!O11</f>
        <v>New Construction</v>
      </c>
      <c r="P631" s="2886" t="str">
        <f>'Part VI-Revenues &amp; Expenses'!P11</f>
        <v>No</v>
      </c>
      <c r="Q631" s="2906" t="e">
        <f>IF(H631="","",P631/($O$626*VLOOKUP(C631,'DCA Underwriting Assumptions'!$J$118:$K$123,2,FALSE)))</f>
        <v>#VALUE!</v>
      </c>
      <c r="R631" s="2907"/>
      <c r="S631" s="2906"/>
      <c r="T631" s="2908"/>
      <c r="U631" s="2908"/>
      <c r="V631" s="1247" t="str">
        <f t="shared" si="3"/>
        <v/>
      </c>
      <c r="W631" s="1247" t="str">
        <f t="shared" si="4"/>
        <v/>
      </c>
      <c r="X631" s="1247" t="str">
        <f t="shared" si="5"/>
        <v/>
      </c>
      <c r="Y631" s="1247" t="str">
        <f t="shared" si="6"/>
        <v/>
      </c>
      <c r="Z631" s="1247" t="str">
        <f t="shared" si="7"/>
        <v/>
      </c>
      <c r="AA631" s="1247" t="str">
        <f t="shared" si="8"/>
        <v/>
      </c>
      <c r="AB631" s="1247" t="str">
        <f t="shared" si="9"/>
        <v/>
      </c>
      <c r="AC631" s="1247">
        <f t="shared" si="10"/>
        <v>12</v>
      </c>
      <c r="AD631" s="1247" t="str">
        <f t="shared" si="11"/>
        <v/>
      </c>
      <c r="AE631" s="1247" t="str">
        <f t="shared" si="12"/>
        <v/>
      </c>
      <c r="AF631" s="1247" t="str">
        <f t="shared" si="13"/>
        <v/>
      </c>
      <c r="AG631" s="1247" t="str">
        <f t="shared" si="14"/>
        <v/>
      </c>
      <c r="AH631" s="1247" t="str">
        <f t="shared" si="15"/>
        <v/>
      </c>
      <c r="AI631" s="1247" t="str">
        <f t="shared" si="16"/>
        <v/>
      </c>
      <c r="AJ631" s="1247" t="str">
        <f t="shared" si="17"/>
        <v/>
      </c>
      <c r="AK631" s="1247" t="str">
        <f t="shared" si="18"/>
        <v/>
      </c>
      <c r="AL631" s="1247" t="str">
        <f t="shared" si="19"/>
        <v/>
      </c>
      <c r="AM631" s="1247" t="str">
        <f t="shared" si="20"/>
        <v/>
      </c>
      <c r="AN631" s="1247" t="str">
        <f t="shared" si="21"/>
        <v/>
      </c>
      <c r="AO631" s="1247" t="str">
        <f t="shared" si="22"/>
        <v/>
      </c>
      <c r="AP631" s="1247" t="str">
        <f t="shared" si="23"/>
        <v/>
      </c>
      <c r="AQ631" s="1247" t="str">
        <f t="shared" si="24"/>
        <v/>
      </c>
      <c r="AR631" s="1247" t="str">
        <f t="shared" si="25"/>
        <v/>
      </c>
      <c r="AS631" s="1247" t="str">
        <f t="shared" si="26"/>
        <v/>
      </c>
      <c r="AT631" s="1247" t="str">
        <f t="shared" si="27"/>
        <v/>
      </c>
      <c r="AU631" s="1247" t="str">
        <f t="shared" si="28"/>
        <v/>
      </c>
      <c r="AV631" s="1247" t="str">
        <f t="shared" si="29"/>
        <v/>
      </c>
      <c r="AW631" s="1247" t="str">
        <f t="shared" si="30"/>
        <v/>
      </c>
      <c r="AX631" s="1247" t="str">
        <f t="shared" si="31"/>
        <v/>
      </c>
      <c r="AY631" s="1247" t="str">
        <f t="shared" si="32"/>
        <v/>
      </c>
      <c r="AZ631" s="1247" t="str">
        <f t="shared" si="33"/>
        <v/>
      </c>
      <c r="BA631" s="1247" t="str">
        <f t="shared" si="34"/>
        <v/>
      </c>
      <c r="BB631" s="1247" t="str">
        <f t="shared" si="35"/>
        <v/>
      </c>
      <c r="BC631" s="1247" t="str">
        <f t="shared" si="36"/>
        <v/>
      </c>
      <c r="BD631" s="1247" t="str">
        <f t="shared" si="37"/>
        <v/>
      </c>
      <c r="BE631" s="1247" t="str">
        <f t="shared" si="38"/>
        <v/>
      </c>
      <c r="BF631" s="1247" t="str">
        <f t="shared" si="39"/>
        <v/>
      </c>
      <c r="BG631" s="1247" t="str">
        <f t="shared" si="40"/>
        <v/>
      </c>
      <c r="BH631" s="1247" t="str">
        <f t="shared" si="41"/>
        <v/>
      </c>
      <c r="BI631" s="1247" t="str">
        <f t="shared" si="42"/>
        <v/>
      </c>
      <c r="BJ631" s="1247" t="str">
        <f t="shared" si="43"/>
        <v/>
      </c>
      <c r="BK631" s="1247" t="str">
        <f t="shared" si="44"/>
        <v/>
      </c>
      <c r="BL631" s="1247" t="str">
        <f t="shared" si="45"/>
        <v/>
      </c>
      <c r="BM631" s="1247" t="str">
        <f t="shared" si="46"/>
        <v/>
      </c>
      <c r="BN631" s="1247" t="str">
        <f t="shared" si="47"/>
        <v/>
      </c>
      <c r="BO631" s="1247" t="str">
        <f t="shared" si="48"/>
        <v/>
      </c>
      <c r="BP631" s="1247" t="str">
        <f t="shared" si="49"/>
        <v/>
      </c>
      <c r="BQ631" s="1247" t="str">
        <f t="shared" si="50"/>
        <v/>
      </c>
      <c r="BR631" s="1247" t="str">
        <f t="shared" si="51"/>
        <v/>
      </c>
      <c r="BS631" s="1247" t="str">
        <f t="shared" si="52"/>
        <v/>
      </c>
      <c r="BT631" s="1247" t="str">
        <f t="shared" si="53"/>
        <v/>
      </c>
      <c r="BU631" s="1247" t="str">
        <f t="shared" si="54"/>
        <v/>
      </c>
      <c r="BV631" s="1247" t="str">
        <f t="shared" si="55"/>
        <v/>
      </c>
      <c r="BW631" s="1247" t="str">
        <f t="shared" si="56"/>
        <v/>
      </c>
      <c r="BX631" s="1247" t="str">
        <f t="shared" si="57"/>
        <v/>
      </c>
      <c r="BY631" s="1247" t="str">
        <f t="shared" si="58"/>
        <v/>
      </c>
      <c r="BZ631" s="1247" t="str">
        <f t="shared" si="59"/>
        <v/>
      </c>
      <c r="CA631" s="1247" t="str">
        <f t="shared" si="60"/>
        <v/>
      </c>
      <c r="CB631" s="1247" t="str">
        <f t="shared" si="61"/>
        <v/>
      </c>
      <c r="CC631" s="1247" t="str">
        <f t="shared" si="62"/>
        <v/>
      </c>
      <c r="CD631" s="1247" t="str">
        <f t="shared" si="63"/>
        <v/>
      </c>
      <c r="CE631" s="1247" t="str">
        <f t="shared" si="64"/>
        <v/>
      </c>
      <c r="CF631" s="1247">
        <f t="shared" si="65"/>
        <v>12876</v>
      </c>
      <c r="CG631" s="1247" t="str">
        <f t="shared" si="66"/>
        <v/>
      </c>
      <c r="CH631" s="1247" t="str">
        <f t="shared" si="67"/>
        <v/>
      </c>
      <c r="CI631" s="1247" t="str">
        <f t="shared" si="68"/>
        <v/>
      </c>
      <c r="CJ631" s="1247" t="str">
        <f t="shared" si="69"/>
        <v/>
      </c>
      <c r="CK631" s="1247" t="str">
        <f t="shared" si="70"/>
        <v/>
      </c>
      <c r="CL631" s="1247" t="str">
        <f t="shared" si="71"/>
        <v/>
      </c>
      <c r="CM631" s="1247" t="str">
        <f t="shared" si="72"/>
        <v/>
      </c>
      <c r="CN631" s="1247" t="str">
        <f t="shared" si="73"/>
        <v/>
      </c>
      <c r="CO631" s="1247" t="str">
        <f t="shared" si="74"/>
        <v/>
      </c>
      <c r="CP631" s="1247" t="str">
        <f t="shared" si="75"/>
        <v/>
      </c>
      <c r="CQ631" s="1247" t="str">
        <f t="shared" si="76"/>
        <v/>
      </c>
      <c r="CR631" s="1247" t="str">
        <f t="shared" si="77"/>
        <v/>
      </c>
      <c r="CS631" s="1247" t="str">
        <f t="shared" si="78"/>
        <v/>
      </c>
      <c r="CT631" s="1247" t="str">
        <f t="shared" si="79"/>
        <v/>
      </c>
      <c r="CU631" s="1247" t="str">
        <f t="shared" si="80"/>
        <v/>
      </c>
      <c r="CV631" s="1247" t="str">
        <f t="shared" si="81"/>
        <v/>
      </c>
      <c r="CW631" s="1247" t="str">
        <f t="shared" si="82"/>
        <v/>
      </c>
      <c r="CX631" s="1247" t="str">
        <f t="shared" si="83"/>
        <v/>
      </c>
      <c r="CY631" s="1247" t="str">
        <f t="shared" si="84"/>
        <v/>
      </c>
      <c r="CZ631" s="1247" t="str">
        <f t="shared" si="85"/>
        <v/>
      </c>
      <c r="DA631" s="1247" t="str">
        <f t="shared" si="86"/>
        <v/>
      </c>
      <c r="DB631" s="1247" t="str">
        <f t="shared" si="87"/>
        <v/>
      </c>
      <c r="DC631" s="1247" t="str">
        <f t="shared" si="88"/>
        <v/>
      </c>
      <c r="DD631" s="1247" t="str">
        <f t="shared" si="89"/>
        <v/>
      </c>
      <c r="DE631" s="1247">
        <f t="shared" si="90"/>
        <v>12</v>
      </c>
      <c r="DF631" s="1247" t="str">
        <f t="shared" si="91"/>
        <v/>
      </c>
      <c r="DG631" s="1247" t="str">
        <f t="shared" si="92"/>
        <v/>
      </c>
      <c r="DH631" s="1247" t="str">
        <f t="shared" si="93"/>
        <v/>
      </c>
      <c r="DI631" s="1247" t="str">
        <f t="shared" si="94"/>
        <v/>
      </c>
      <c r="DJ631" s="1247" t="str">
        <f t="shared" si="95"/>
        <v/>
      </c>
      <c r="DK631" s="1247" t="str">
        <f t="shared" si="96"/>
        <v/>
      </c>
      <c r="DL631" s="1247" t="str">
        <f t="shared" si="97"/>
        <v/>
      </c>
      <c r="DM631" s="1247" t="str">
        <f t="shared" si="98"/>
        <v/>
      </c>
      <c r="DN631" s="1247" t="str">
        <f t="shared" si="99"/>
        <v/>
      </c>
      <c r="DO631" s="1247" t="str">
        <f t="shared" si="100"/>
        <v/>
      </c>
      <c r="DP631" s="1247" t="str">
        <f t="shared" si="101"/>
        <v/>
      </c>
      <c r="DQ631" s="1247" t="str">
        <f t="shared" si="102"/>
        <v/>
      </c>
      <c r="DR631" s="1247" t="str">
        <f t="shared" si="103"/>
        <v/>
      </c>
      <c r="DS631" s="1247" t="str">
        <f t="shared" si="104"/>
        <v/>
      </c>
      <c r="DT631" s="1247" t="str">
        <f t="shared" si="105"/>
        <v/>
      </c>
      <c r="DU631" s="1247" t="str">
        <f t="shared" si="106"/>
        <v/>
      </c>
      <c r="DV631" s="1247" t="str">
        <f t="shared" si="107"/>
        <v/>
      </c>
      <c r="DW631" s="1247" t="str">
        <f t="shared" si="108"/>
        <v/>
      </c>
      <c r="DX631" s="1247" t="str">
        <f t="shared" si="109"/>
        <v/>
      </c>
      <c r="DY631" s="1247" t="str">
        <f t="shared" si="110"/>
        <v/>
      </c>
      <c r="DZ631" s="1247" t="str">
        <f t="shared" si="111"/>
        <v/>
      </c>
      <c r="EA631" s="1247" t="str">
        <f t="shared" si="112"/>
        <v/>
      </c>
      <c r="EB631" s="1247" t="str">
        <f t="shared" si="113"/>
        <v/>
      </c>
      <c r="EC631" s="1247" t="str">
        <f t="shared" si="114"/>
        <v/>
      </c>
      <c r="ED631" s="1247" t="str">
        <f t="shared" si="115"/>
        <v/>
      </c>
      <c r="EE631" s="1247" t="str">
        <f t="shared" si="116"/>
        <v/>
      </c>
      <c r="EF631" s="1247" t="str">
        <f t="shared" si="117"/>
        <v/>
      </c>
      <c r="EG631" s="1247" t="str">
        <f t="shared" si="118"/>
        <v/>
      </c>
      <c r="EH631" s="1247" t="str">
        <f t="shared" si="119"/>
        <v/>
      </c>
      <c r="EI631" s="1247" t="str">
        <f t="shared" si="120"/>
        <v/>
      </c>
      <c r="EJ631" s="1247" t="str">
        <f t="shared" si="121"/>
        <v/>
      </c>
      <c r="EK631" s="1247" t="str">
        <f t="shared" si="122"/>
        <v/>
      </c>
      <c r="EL631" s="1247" t="str">
        <f t="shared" si="123"/>
        <v/>
      </c>
      <c r="EM631" s="1247" t="str">
        <f t="shared" si="124"/>
        <v/>
      </c>
      <c r="EN631" s="1247" t="str">
        <f t="shared" si="125"/>
        <v/>
      </c>
      <c r="EO631" s="1247" t="str">
        <f t="shared" si="126"/>
        <v/>
      </c>
      <c r="EP631" s="1247" t="str">
        <f t="shared" si="127"/>
        <v/>
      </c>
      <c r="EQ631" s="1247" t="str">
        <f t="shared" si="128"/>
        <v/>
      </c>
      <c r="ER631" s="1247" t="str">
        <f t="shared" si="129"/>
        <v/>
      </c>
      <c r="ES631" s="1247" t="str">
        <f t="shared" si="130"/>
        <v/>
      </c>
      <c r="ET631" s="1247" t="str">
        <f t="shared" si="131"/>
        <v/>
      </c>
      <c r="EU631" s="1247" t="str">
        <f t="shared" si="132"/>
        <v/>
      </c>
      <c r="EV631" s="2909" t="str">
        <f t="shared" si="133"/>
        <v/>
      </c>
      <c r="EW631" s="2909" t="str">
        <f t="shared" si="134"/>
        <v/>
      </c>
      <c r="EX631" s="2909">
        <f t="shared" si="135"/>
        <v>12</v>
      </c>
      <c r="EY631" s="2909" t="str">
        <f t="shared" si="136"/>
        <v/>
      </c>
      <c r="EZ631" s="2909" t="str">
        <f t="shared" si="137"/>
        <v/>
      </c>
      <c r="FA631" s="2909" t="str">
        <f t="shared" si="138"/>
        <v/>
      </c>
      <c r="FB631" s="2909" t="str">
        <f t="shared" si="139"/>
        <v/>
      </c>
      <c r="FC631" s="2909" t="str">
        <f t="shared" si="140"/>
        <v/>
      </c>
      <c r="FD631" s="2909" t="str">
        <f t="shared" si="141"/>
        <v/>
      </c>
      <c r="FE631" s="2909" t="str">
        <f t="shared" si="142"/>
        <v/>
      </c>
      <c r="FF631" s="2909" t="str">
        <f t="shared" si="143"/>
        <v/>
      </c>
      <c r="FG631" s="2909" t="str">
        <f t="shared" si="144"/>
        <v/>
      </c>
      <c r="FH631" s="2909" t="str">
        <f t="shared" si="145"/>
        <v/>
      </c>
      <c r="FI631" s="2909" t="str">
        <f t="shared" si="146"/>
        <v/>
      </c>
      <c r="FJ631" s="2909" t="str">
        <f t="shared" si="147"/>
        <v/>
      </c>
      <c r="FK631" s="2909" t="str">
        <f t="shared" si="148"/>
        <v/>
      </c>
      <c r="FL631" s="2909" t="str">
        <f t="shared" si="149"/>
        <v/>
      </c>
      <c r="FM631" s="2909" t="str">
        <f t="shared" si="150"/>
        <v/>
      </c>
      <c r="FN631" s="2909" t="str">
        <f t="shared" si="151"/>
        <v/>
      </c>
      <c r="FO631" s="2909" t="str">
        <f t="shared" si="152"/>
        <v/>
      </c>
      <c r="FP631" s="2909" t="str">
        <f t="shared" si="153"/>
        <v/>
      </c>
      <c r="FQ631" s="2909" t="str">
        <f t="shared" si="154"/>
        <v/>
      </c>
      <c r="FR631" s="2909" t="str">
        <f t="shared" si="155"/>
        <v/>
      </c>
      <c r="FS631" s="2909" t="str">
        <f t="shared" si="156"/>
        <v/>
      </c>
      <c r="FT631" s="2909" t="str">
        <f t="shared" si="157"/>
        <v/>
      </c>
      <c r="FU631" s="2909" t="str">
        <f t="shared" si="158"/>
        <v/>
      </c>
      <c r="FV631" s="2909" t="str">
        <f t="shared" si="159"/>
        <v/>
      </c>
      <c r="FW631" s="2909" t="str">
        <f t="shared" si="160"/>
        <v/>
      </c>
      <c r="FX631" s="2909" t="str">
        <f t="shared" si="161"/>
        <v/>
      </c>
      <c r="FY631" s="2909" t="str">
        <f t="shared" si="162"/>
        <v/>
      </c>
      <c r="FZ631" s="2909" t="str">
        <f t="shared" si="163"/>
        <v/>
      </c>
      <c r="GA631" s="2909" t="str">
        <f t="shared" si="164"/>
        <v/>
      </c>
      <c r="GB631" s="2909" t="str">
        <f t="shared" si="165"/>
        <v/>
      </c>
      <c r="GC631" s="2909" t="str">
        <f t="shared" si="166"/>
        <v/>
      </c>
      <c r="GD631" s="2909" t="str">
        <f t="shared" si="167"/>
        <v/>
      </c>
      <c r="GE631" s="2909" t="str">
        <f t="shared" si="168"/>
        <v/>
      </c>
      <c r="GF631" s="2909" t="str">
        <f t="shared" si="169"/>
        <v/>
      </c>
      <c r="GG631" s="2909" t="str">
        <f t="shared" si="170"/>
        <v/>
      </c>
      <c r="GH631" s="2909" t="str">
        <f t="shared" si="171"/>
        <v/>
      </c>
      <c r="GI631" s="2909" t="str">
        <f t="shared" si="172"/>
        <v/>
      </c>
      <c r="GJ631" s="2909" t="str">
        <f t="shared" si="173"/>
        <v/>
      </c>
      <c r="GK631" s="2909" t="str">
        <f t="shared" si="174"/>
        <v/>
      </c>
      <c r="GL631" s="2909" t="str">
        <f t="shared" si="175"/>
        <v/>
      </c>
      <c r="GM631" s="2909" t="str">
        <f t="shared" si="176"/>
        <v/>
      </c>
      <c r="GN631" s="2909" t="str">
        <f t="shared" si="177"/>
        <v/>
      </c>
      <c r="GO631" s="2909" t="str">
        <f t="shared" si="178"/>
        <v/>
      </c>
      <c r="GP631" s="2909" t="str">
        <f t="shared" si="179"/>
        <v/>
      </c>
      <c r="GQ631" s="2909" t="str">
        <f t="shared" si="180"/>
        <v/>
      </c>
      <c r="GR631" s="2909" t="str">
        <f t="shared" si="181"/>
        <v/>
      </c>
      <c r="GS631" s="2909" t="str">
        <f t="shared" si="182"/>
        <v/>
      </c>
      <c r="GT631" s="2909" t="str">
        <f t="shared" si="183"/>
        <v/>
      </c>
      <c r="GU631" s="2909" t="str">
        <f t="shared" si="184"/>
        <v/>
      </c>
      <c r="GV631" s="2909" t="str">
        <f t="shared" si="185"/>
        <v/>
      </c>
      <c r="GW631" s="2909" t="str">
        <f t="shared" si="186"/>
        <v/>
      </c>
      <c r="GX631" s="2909" t="str">
        <f t="shared" si="187"/>
        <v/>
      </c>
      <c r="GY631" s="2909" t="str">
        <f t="shared" si="188"/>
        <v/>
      </c>
      <c r="GZ631" s="2909" t="str">
        <f t="shared" si="189"/>
        <v/>
      </c>
      <c r="HA631" s="2909" t="str">
        <f t="shared" si="190"/>
        <v/>
      </c>
      <c r="HB631" s="2909" t="str">
        <f t="shared" si="191"/>
        <v/>
      </c>
      <c r="HC631" s="2909" t="str">
        <f t="shared" si="192"/>
        <v/>
      </c>
      <c r="HD631" s="2909" t="str">
        <f t="shared" si="193"/>
        <v/>
      </c>
      <c r="HE631" s="2909" t="str">
        <f t="shared" si="194"/>
        <v/>
      </c>
      <c r="HF631" s="2909" t="str">
        <f t="shared" si="195"/>
        <v/>
      </c>
      <c r="HG631" s="2909" t="str">
        <f t="shared" si="196"/>
        <v/>
      </c>
      <c r="HH631" s="2909" t="str">
        <f t="shared" si="197"/>
        <v/>
      </c>
      <c r="HI631" s="2909" t="str">
        <f t="shared" si="198"/>
        <v/>
      </c>
      <c r="HJ631" s="2909" t="str">
        <f t="shared" si="199"/>
        <v/>
      </c>
      <c r="HK631" s="2909" t="str">
        <f t="shared" si="200"/>
        <v/>
      </c>
      <c r="HL631" s="2909" t="str">
        <f t="shared" si="201"/>
        <v/>
      </c>
      <c r="HM631" s="2909" t="str">
        <f t="shared" si="202"/>
        <v/>
      </c>
      <c r="HN631" s="2909" t="str">
        <f t="shared" si="203"/>
        <v/>
      </c>
      <c r="HO631" s="2909" t="str">
        <f t="shared" si="204"/>
        <v/>
      </c>
      <c r="HP631" s="2909" t="str">
        <f t="shared" si="205"/>
        <v/>
      </c>
      <c r="HQ631" s="2909" t="str">
        <f t="shared" si="206"/>
        <v/>
      </c>
      <c r="HR631" s="2909" t="str">
        <f t="shared" si="207"/>
        <v/>
      </c>
      <c r="HS631" s="2909" t="str">
        <f t="shared" si="208"/>
        <v/>
      </c>
      <c r="HT631" s="2909" t="str">
        <f t="shared" si="209"/>
        <v/>
      </c>
      <c r="HU631" s="2909">
        <f t="shared" si="210"/>
        <v>12</v>
      </c>
      <c r="HV631" s="2909" t="str">
        <f t="shared" si="211"/>
        <v/>
      </c>
      <c r="HW631" s="2909" t="str">
        <f t="shared" si="212"/>
        <v/>
      </c>
      <c r="HX631" s="2909" t="str">
        <f t="shared" si="213"/>
        <v/>
      </c>
      <c r="HY631" s="2909" t="str">
        <f t="shared" si="214"/>
        <v/>
      </c>
      <c r="HZ631" s="2909" t="str">
        <f t="shared" si="215"/>
        <v/>
      </c>
      <c r="IA631" s="2909" t="str">
        <f t="shared" si="216"/>
        <v/>
      </c>
      <c r="IB631" s="2909" t="str">
        <f t="shared" si="217"/>
        <v/>
      </c>
      <c r="IC631" s="2879" t="str">
        <f t="shared" si="218"/>
        <v/>
      </c>
      <c r="ID631" s="2879" t="str">
        <f t="shared" si="219"/>
        <v/>
      </c>
      <c r="IE631" s="2879" t="str">
        <f t="shared" si="220"/>
        <v/>
      </c>
      <c r="IF631" s="2879" t="str">
        <f t="shared" si="221"/>
        <v/>
      </c>
      <c r="IG631" s="2879" t="str">
        <f t="shared" si="222"/>
        <v/>
      </c>
      <c r="IH631" s="1247" t="str">
        <f t="shared" si="223"/>
        <v/>
      </c>
      <c r="II631" s="1247" t="str">
        <f t="shared" si="224"/>
        <v/>
      </c>
      <c r="IJ631" s="1247" t="str">
        <f t="shared" si="225"/>
        <v/>
      </c>
      <c r="IK631" s="1247" t="str">
        <f t="shared" si="226"/>
        <v/>
      </c>
      <c r="IL631" s="1247" t="str">
        <f t="shared" si="227"/>
        <v/>
      </c>
      <c r="IM631" s="1247" t="str">
        <f t="shared" si="228"/>
        <v/>
      </c>
      <c r="IN631" s="1247" t="str">
        <f t="shared" si="229"/>
        <v/>
      </c>
      <c r="IO631" s="1247" t="str">
        <f t="shared" si="230"/>
        <v/>
      </c>
      <c r="IP631" s="1247" t="str">
        <f t="shared" si="231"/>
        <v/>
      </c>
      <c r="IQ631" s="1247" t="str">
        <f t="shared" si="232"/>
        <v/>
      </c>
      <c r="IR631" s="1247" t="str">
        <f t="shared" si="233"/>
        <v/>
      </c>
      <c r="IS631" s="1247" t="str">
        <f t="shared" si="234"/>
        <v/>
      </c>
      <c r="IT631" s="1247" t="str">
        <f t="shared" si="235"/>
        <v/>
      </c>
      <c r="IU631" s="1247" t="str">
        <f t="shared" si="236"/>
        <v/>
      </c>
      <c r="IV631" s="1247" t="str">
        <f t="shared" si="237"/>
        <v/>
      </c>
      <c r="IW631" s="1247" t="str">
        <f t="shared" si="238"/>
        <v/>
      </c>
      <c r="IX631" s="1247" t="str">
        <f t="shared" si="239"/>
        <v/>
      </c>
      <c r="IY631" s="1247" t="str">
        <f t="shared" si="240"/>
        <v/>
      </c>
      <c r="IZ631" s="1247" t="str">
        <f t="shared" si="241"/>
        <v/>
      </c>
      <c r="JA631" s="1247" t="str">
        <f t="shared" si="242"/>
        <v/>
      </c>
      <c r="JB631" s="2877">
        <f t="shared" ref="JB631:JB667" si="243">IF(AND($C631="Efficiency",$E631&gt;0,OR($N631="1-Story",$N631="2-Story",$N631="3+ Story",$N631="2-Story Walkup",$N631="Townhome"),OR($O631="Acquisition/Rehab",$O631="Rehabilitation"),NOT($P631="Yes")),$E631,0)</f>
        <v>0</v>
      </c>
      <c r="JC631" s="2877">
        <f t="shared" ref="JC631:JC667" si="244">IF(AND($C631=1,$E631&gt;0,OR($N631="1-Story",$N631="2-Story",$N631="3+ Story",$N631="2-Story Walkup",$N631="Townhome"),OR($O631="Acquisition/Rehab",$O631="Rehabilitation"),NOT($P631="Yes")),$E631,0)</f>
        <v>0</v>
      </c>
      <c r="JD631" s="2877">
        <f t="shared" ref="JD631:JD667" si="245">IF(AND($C631=2,$E631&gt;0,OR($N631="1-Story",$N631="2-Story",$N631="3+ Story",$N631="2-Story Walkup",$N631="Townhome"),OR($O631="Acquisition/Rehab",$O631="Rehabilitation"),NOT($P631="Yes")),$E631,0)</f>
        <v>0</v>
      </c>
      <c r="JE631" s="2877">
        <f t="shared" ref="JE631:JE667" si="246">IF(AND($C631=3,$E631&gt;0,OR($N631="1-Story",$N631="2-Story",$N631="3+ Story",$N631="2-Story Walkup",$N631="Townhome"),OR($O631="Acquisition/Rehab",$O631="Rehabilitation"),NOT($P631="Yes")),$E631,0)</f>
        <v>0</v>
      </c>
      <c r="JF631" s="2877">
        <f t="shared" ref="JF631:JF667" si="247">IF(AND($C631=4,$E631&gt;0,OR($N631="1-Story",$N631="2-Story",$N631="3+ Story",$N631="2-Story Walkup",$N631="Townhome"),OR($O631="Acquisition/Rehab",$O631="Rehabilitation"),NOT($P631="Yes")),$E631,0)</f>
        <v>0</v>
      </c>
      <c r="JG631" s="2877">
        <f t="shared" ref="JG631:JG667" si="248">IF(AND($C631="Efficiency",$E631&gt;0,OR($N631="1-Story",$N631="2-Story",$N631="3+ Story",$N631="2-Story Walkup",$N631="Townhome"),$O631="New Construction"),$E631,0)</f>
        <v>0</v>
      </c>
      <c r="JH631" s="2877">
        <f t="shared" ref="JH631:JH667" si="249">IF(AND($C631=1,$E631&gt;0,OR($N631="1-Story",$N631="2-Story",$N631="3+ Story",$N631="2-Story Walkup",$N631="Townhome"),$O631="New Construction"),$E631,0)</f>
        <v>0</v>
      </c>
      <c r="JI631" s="2877">
        <f t="shared" ref="JI631:JI667" si="250">IF(AND($C631=2,$E631&gt;0,OR($N631="1-Story",$N631="2-Story",$N631="3+ Story",$N631="2-Story Walkup",$N631="Townhome"),$O631="New Construction"),$E631,0)</f>
        <v>12</v>
      </c>
      <c r="JJ631" s="2877">
        <f t="shared" ref="JJ631:JJ667" si="251">IF(AND($C631=3,$E631&gt;0,OR($N631="1-Story",$N631="2-Story",$N631="3+ Story",$N631="2-Story Walkup",$N631="Townhome"),$O631="New Construction"),$E631,0)</f>
        <v>0</v>
      </c>
      <c r="JK631" s="2877">
        <f t="shared" ref="JK631:JK667" si="252">IF(AND($C631=4,$E631&gt;0,OR($N631="1-Story",$N631="2-Story",$N631="3+ Story",$N631="2-Story Walkup",$N631="Townhome"),$O631="New Construction"),$E631,0)</f>
        <v>0</v>
      </c>
      <c r="JL631" s="2877">
        <f t="shared" ref="JL631:JL667" si="253">IF(AND($C631="Efficiency",$E631&gt;0,OR($N631="SF Detached",$N631="Duplex",$N631="Mfd Home"),NOT($P631="Yes")),$E631,0)</f>
        <v>0</v>
      </c>
      <c r="JM631" s="2877">
        <f t="shared" ref="JM631:JM667" si="254">IF(AND($C631=1,$E631&gt;0,OR($N631="SF Detached",$N631="Duplex",$N631="Mfd Home"),NOT($P631="Yes")),$E631,0)</f>
        <v>0</v>
      </c>
      <c r="JN631" s="2877">
        <f t="shared" ref="JN631:JN667" si="255">IF(AND($C631=2,$E631&gt;0,OR($N631="SF Detached",$N631="Duplex",$N631="Mfd Home"),NOT($P631="Yes")),$E631,0)</f>
        <v>0</v>
      </c>
      <c r="JO631" s="2877">
        <f t="shared" ref="JO631:JO667" si="256">IF(AND($C631=3,$E631&gt;0,OR($N631="SF Detached",$N631="Duplex",$N631="Mfd Home"),NOT($P631="Yes")),$E631,0)</f>
        <v>0</v>
      </c>
      <c r="JP631" s="2877">
        <f t="shared" ref="JP631:JP667" si="257">IF(AND($C631=4,$E631&gt;0,OR($N631="SF Detached",$N631="Duplex",$N631="Mfd Home"),NOT($P631="Yes")),$E631,0)</f>
        <v>0</v>
      </c>
    </row>
    <row r="632" spans="1:276" ht="12" customHeight="1">
      <c r="A632" s="2891" t="str">
        <f t="shared" si="0"/>
        <v/>
      </c>
      <c r="B632" s="2900" t="str">
        <f>'Part VI-Revenues &amp; Expenses'!B12</f>
        <v>50% AMI</v>
      </c>
      <c r="C632" s="2901">
        <f>'Part VI-Revenues &amp; Expenses'!C12</f>
        <v>3</v>
      </c>
      <c r="D632" s="2902">
        <f>'Part VI-Revenues &amp; Expenses'!D12</f>
        <v>2</v>
      </c>
      <c r="E632" s="2903">
        <f>'Part VI-Revenues &amp; Expenses'!E12</f>
        <v>4</v>
      </c>
      <c r="F632" s="2903">
        <f>'Part VI-Revenues &amp; Expenses'!F12</f>
        <v>1295</v>
      </c>
      <c r="G632" s="2903">
        <f>'Part VI-Revenues &amp; Expenses'!G12</f>
        <v>849</v>
      </c>
      <c r="H632" s="2903">
        <f>'Part VI-Revenues &amp; Expenses'!H12</f>
        <v>780</v>
      </c>
      <c r="I632" s="2903">
        <f>'Part VI-Revenues &amp; Expenses'!I12</f>
        <v>255</v>
      </c>
      <c r="J632" s="2904">
        <f>'Part VI-Revenues &amp; Expenses'!J12</f>
        <v>0</v>
      </c>
      <c r="K632" s="2905">
        <f t="shared" si="1"/>
        <v>525</v>
      </c>
      <c r="L632" s="2905">
        <f t="shared" si="2"/>
        <v>2100</v>
      </c>
      <c r="M632" s="2886" t="str">
        <f>'Part VI-Revenues &amp; Expenses'!M12</f>
        <v>No</v>
      </c>
      <c r="N632" s="2886" t="str">
        <f>'Part VI-Revenues &amp; Expenses'!N12</f>
        <v>3+ Story</v>
      </c>
      <c r="O632" s="2886" t="str">
        <f>'Part VI-Revenues &amp; Expenses'!O12</f>
        <v>New Construction</v>
      </c>
      <c r="P632" s="2886" t="str">
        <f>'Part VI-Revenues &amp; Expenses'!P12</f>
        <v>No</v>
      </c>
      <c r="Q632" s="2906" t="e">
        <f>IF(H632="","",P632/($O$626*VLOOKUP(C632,'DCA Underwriting Assumptions'!$J$118:$K$123,2,FALSE)))</f>
        <v>#VALUE!</v>
      </c>
      <c r="R632" s="2907"/>
      <c r="S632" s="2906"/>
      <c r="T632" s="2908"/>
      <c r="U632" s="2908"/>
      <c r="V632" s="1247" t="str">
        <f t="shared" si="3"/>
        <v/>
      </c>
      <c r="W632" s="1247" t="str">
        <f t="shared" si="4"/>
        <v/>
      </c>
      <c r="X632" s="1247" t="str">
        <f t="shared" si="5"/>
        <v/>
      </c>
      <c r="Y632" s="1247" t="str">
        <f t="shared" si="6"/>
        <v/>
      </c>
      <c r="Z632" s="1247" t="str">
        <f t="shared" si="7"/>
        <v/>
      </c>
      <c r="AA632" s="1247" t="str">
        <f t="shared" si="8"/>
        <v/>
      </c>
      <c r="AB632" s="1247" t="str">
        <f t="shared" si="9"/>
        <v/>
      </c>
      <c r="AC632" s="1247" t="str">
        <f t="shared" si="10"/>
        <v/>
      </c>
      <c r="AD632" s="1247">
        <f t="shared" si="11"/>
        <v>4</v>
      </c>
      <c r="AE632" s="1247" t="str">
        <f t="shared" si="12"/>
        <v/>
      </c>
      <c r="AF632" s="1247" t="str">
        <f t="shared" si="13"/>
        <v/>
      </c>
      <c r="AG632" s="1247" t="str">
        <f t="shared" si="14"/>
        <v/>
      </c>
      <c r="AH632" s="1247" t="str">
        <f t="shared" si="15"/>
        <v/>
      </c>
      <c r="AI632" s="1247" t="str">
        <f t="shared" si="16"/>
        <v/>
      </c>
      <c r="AJ632" s="1247" t="str">
        <f t="shared" si="17"/>
        <v/>
      </c>
      <c r="AK632" s="1247" t="str">
        <f t="shared" si="18"/>
        <v/>
      </c>
      <c r="AL632" s="1247" t="str">
        <f t="shared" si="19"/>
        <v/>
      </c>
      <c r="AM632" s="1247" t="str">
        <f t="shared" si="20"/>
        <v/>
      </c>
      <c r="AN632" s="1247" t="str">
        <f t="shared" si="21"/>
        <v/>
      </c>
      <c r="AO632" s="1247" t="str">
        <f t="shared" si="22"/>
        <v/>
      </c>
      <c r="AP632" s="1247" t="str">
        <f t="shared" si="23"/>
        <v/>
      </c>
      <c r="AQ632" s="1247" t="str">
        <f t="shared" si="24"/>
        <v/>
      </c>
      <c r="AR632" s="1247" t="str">
        <f t="shared" si="25"/>
        <v/>
      </c>
      <c r="AS632" s="1247" t="str">
        <f t="shared" si="26"/>
        <v/>
      </c>
      <c r="AT632" s="1247" t="str">
        <f t="shared" si="27"/>
        <v/>
      </c>
      <c r="AU632" s="1247" t="str">
        <f t="shared" si="28"/>
        <v/>
      </c>
      <c r="AV632" s="1247" t="str">
        <f t="shared" si="29"/>
        <v/>
      </c>
      <c r="AW632" s="1247" t="str">
        <f t="shared" si="30"/>
        <v/>
      </c>
      <c r="AX632" s="1247" t="str">
        <f t="shared" si="31"/>
        <v/>
      </c>
      <c r="AY632" s="1247" t="str">
        <f t="shared" si="32"/>
        <v/>
      </c>
      <c r="AZ632" s="1247" t="str">
        <f t="shared" si="33"/>
        <v/>
      </c>
      <c r="BA632" s="1247" t="str">
        <f t="shared" si="34"/>
        <v/>
      </c>
      <c r="BB632" s="1247" t="str">
        <f t="shared" si="35"/>
        <v/>
      </c>
      <c r="BC632" s="1247" t="str">
        <f t="shared" si="36"/>
        <v/>
      </c>
      <c r="BD632" s="1247" t="str">
        <f t="shared" si="37"/>
        <v/>
      </c>
      <c r="BE632" s="1247" t="str">
        <f t="shared" si="38"/>
        <v/>
      </c>
      <c r="BF632" s="1247" t="str">
        <f t="shared" si="39"/>
        <v/>
      </c>
      <c r="BG632" s="1247" t="str">
        <f t="shared" si="40"/>
        <v/>
      </c>
      <c r="BH632" s="1247" t="str">
        <f t="shared" si="41"/>
        <v/>
      </c>
      <c r="BI632" s="1247" t="str">
        <f t="shared" si="42"/>
        <v/>
      </c>
      <c r="BJ632" s="1247" t="str">
        <f t="shared" si="43"/>
        <v/>
      </c>
      <c r="BK632" s="1247" t="str">
        <f t="shared" si="44"/>
        <v/>
      </c>
      <c r="BL632" s="1247" t="str">
        <f t="shared" si="45"/>
        <v/>
      </c>
      <c r="BM632" s="1247" t="str">
        <f t="shared" si="46"/>
        <v/>
      </c>
      <c r="BN632" s="1247" t="str">
        <f t="shared" si="47"/>
        <v/>
      </c>
      <c r="BO632" s="1247" t="str">
        <f t="shared" si="48"/>
        <v/>
      </c>
      <c r="BP632" s="1247" t="str">
        <f t="shared" si="49"/>
        <v/>
      </c>
      <c r="BQ632" s="1247" t="str">
        <f t="shared" si="50"/>
        <v/>
      </c>
      <c r="BR632" s="1247" t="str">
        <f t="shared" si="51"/>
        <v/>
      </c>
      <c r="BS632" s="1247" t="str">
        <f t="shared" si="52"/>
        <v/>
      </c>
      <c r="BT632" s="1247" t="str">
        <f t="shared" si="53"/>
        <v/>
      </c>
      <c r="BU632" s="1247" t="str">
        <f t="shared" si="54"/>
        <v/>
      </c>
      <c r="BV632" s="1247" t="str">
        <f t="shared" si="55"/>
        <v/>
      </c>
      <c r="BW632" s="1247" t="str">
        <f t="shared" si="56"/>
        <v/>
      </c>
      <c r="BX632" s="1247" t="str">
        <f t="shared" si="57"/>
        <v/>
      </c>
      <c r="BY632" s="1247" t="str">
        <f t="shared" si="58"/>
        <v/>
      </c>
      <c r="BZ632" s="1247" t="str">
        <f t="shared" si="59"/>
        <v/>
      </c>
      <c r="CA632" s="1247" t="str">
        <f t="shared" si="60"/>
        <v/>
      </c>
      <c r="CB632" s="1247" t="str">
        <f t="shared" si="61"/>
        <v/>
      </c>
      <c r="CC632" s="1247" t="str">
        <f t="shared" si="62"/>
        <v/>
      </c>
      <c r="CD632" s="1247" t="str">
        <f t="shared" si="63"/>
        <v/>
      </c>
      <c r="CE632" s="1247" t="str">
        <f t="shared" si="64"/>
        <v/>
      </c>
      <c r="CF632" s="1247" t="str">
        <f t="shared" si="65"/>
        <v/>
      </c>
      <c r="CG632" s="1247">
        <f t="shared" si="66"/>
        <v>5180</v>
      </c>
      <c r="CH632" s="1247" t="str">
        <f t="shared" si="67"/>
        <v/>
      </c>
      <c r="CI632" s="1247" t="str">
        <f t="shared" si="68"/>
        <v/>
      </c>
      <c r="CJ632" s="1247" t="str">
        <f t="shared" si="69"/>
        <v/>
      </c>
      <c r="CK632" s="1247" t="str">
        <f t="shared" si="70"/>
        <v/>
      </c>
      <c r="CL632" s="1247" t="str">
        <f t="shared" si="71"/>
        <v/>
      </c>
      <c r="CM632" s="1247" t="str">
        <f t="shared" si="72"/>
        <v/>
      </c>
      <c r="CN632" s="1247" t="str">
        <f t="shared" si="73"/>
        <v/>
      </c>
      <c r="CO632" s="1247" t="str">
        <f t="shared" si="74"/>
        <v/>
      </c>
      <c r="CP632" s="1247" t="str">
        <f t="shared" si="75"/>
        <v/>
      </c>
      <c r="CQ632" s="1247" t="str">
        <f t="shared" si="76"/>
        <v/>
      </c>
      <c r="CR632" s="1247" t="str">
        <f t="shared" si="77"/>
        <v/>
      </c>
      <c r="CS632" s="1247" t="str">
        <f t="shared" si="78"/>
        <v/>
      </c>
      <c r="CT632" s="1247" t="str">
        <f t="shared" si="79"/>
        <v/>
      </c>
      <c r="CU632" s="1247" t="str">
        <f t="shared" si="80"/>
        <v/>
      </c>
      <c r="CV632" s="1247" t="str">
        <f t="shared" si="81"/>
        <v/>
      </c>
      <c r="CW632" s="1247" t="str">
        <f t="shared" si="82"/>
        <v/>
      </c>
      <c r="CX632" s="1247" t="str">
        <f t="shared" si="83"/>
        <v/>
      </c>
      <c r="CY632" s="1247" t="str">
        <f t="shared" si="84"/>
        <v/>
      </c>
      <c r="CZ632" s="1247" t="str">
        <f t="shared" si="85"/>
        <v/>
      </c>
      <c r="DA632" s="1247" t="str">
        <f t="shared" si="86"/>
        <v/>
      </c>
      <c r="DB632" s="1247" t="str">
        <f t="shared" si="87"/>
        <v/>
      </c>
      <c r="DC632" s="1247" t="str">
        <f t="shared" si="88"/>
        <v/>
      </c>
      <c r="DD632" s="1247" t="str">
        <f t="shared" si="89"/>
        <v/>
      </c>
      <c r="DE632" s="1247" t="str">
        <f t="shared" si="90"/>
        <v/>
      </c>
      <c r="DF632" s="1247">
        <f t="shared" si="91"/>
        <v>4</v>
      </c>
      <c r="DG632" s="1247" t="str">
        <f t="shared" si="92"/>
        <v/>
      </c>
      <c r="DH632" s="1247" t="str">
        <f t="shared" si="93"/>
        <v/>
      </c>
      <c r="DI632" s="1247" t="str">
        <f t="shared" si="94"/>
        <v/>
      </c>
      <c r="DJ632" s="1247" t="str">
        <f t="shared" si="95"/>
        <v/>
      </c>
      <c r="DK632" s="1247" t="str">
        <f t="shared" si="96"/>
        <v/>
      </c>
      <c r="DL632" s="1247" t="str">
        <f t="shared" si="97"/>
        <v/>
      </c>
      <c r="DM632" s="1247" t="str">
        <f t="shared" si="98"/>
        <v/>
      </c>
      <c r="DN632" s="1247" t="str">
        <f t="shared" si="99"/>
        <v/>
      </c>
      <c r="DO632" s="1247" t="str">
        <f t="shared" si="100"/>
        <v/>
      </c>
      <c r="DP632" s="1247" t="str">
        <f t="shared" si="101"/>
        <v/>
      </c>
      <c r="DQ632" s="1247" t="str">
        <f t="shared" si="102"/>
        <v/>
      </c>
      <c r="DR632" s="1247" t="str">
        <f t="shared" si="103"/>
        <v/>
      </c>
      <c r="DS632" s="1247" t="str">
        <f t="shared" si="104"/>
        <v/>
      </c>
      <c r="DT632" s="1247" t="str">
        <f t="shared" si="105"/>
        <v/>
      </c>
      <c r="DU632" s="1247" t="str">
        <f t="shared" si="106"/>
        <v/>
      </c>
      <c r="DV632" s="1247" t="str">
        <f t="shared" si="107"/>
        <v/>
      </c>
      <c r="DW632" s="1247" t="str">
        <f t="shared" si="108"/>
        <v/>
      </c>
      <c r="DX632" s="1247" t="str">
        <f t="shared" si="109"/>
        <v/>
      </c>
      <c r="DY632" s="1247" t="str">
        <f t="shared" si="110"/>
        <v/>
      </c>
      <c r="DZ632" s="1247" t="str">
        <f t="shared" si="111"/>
        <v/>
      </c>
      <c r="EA632" s="1247" t="str">
        <f t="shared" si="112"/>
        <v/>
      </c>
      <c r="EB632" s="1247" t="str">
        <f t="shared" si="113"/>
        <v/>
      </c>
      <c r="EC632" s="1247" t="str">
        <f t="shared" si="114"/>
        <v/>
      </c>
      <c r="ED632" s="1247" t="str">
        <f t="shared" si="115"/>
        <v/>
      </c>
      <c r="EE632" s="1247" t="str">
        <f t="shared" si="116"/>
        <v/>
      </c>
      <c r="EF632" s="1247" t="str">
        <f t="shared" si="117"/>
        <v/>
      </c>
      <c r="EG632" s="1247" t="str">
        <f t="shared" si="118"/>
        <v/>
      </c>
      <c r="EH632" s="1247" t="str">
        <f t="shared" si="119"/>
        <v/>
      </c>
      <c r="EI632" s="1247" t="str">
        <f t="shared" si="120"/>
        <v/>
      </c>
      <c r="EJ632" s="1247" t="str">
        <f t="shared" si="121"/>
        <v/>
      </c>
      <c r="EK632" s="1247" t="str">
        <f t="shared" si="122"/>
        <v/>
      </c>
      <c r="EL632" s="1247" t="str">
        <f t="shared" si="123"/>
        <v/>
      </c>
      <c r="EM632" s="1247" t="str">
        <f t="shared" si="124"/>
        <v/>
      </c>
      <c r="EN632" s="1247" t="str">
        <f t="shared" si="125"/>
        <v/>
      </c>
      <c r="EO632" s="1247" t="str">
        <f t="shared" si="126"/>
        <v/>
      </c>
      <c r="EP632" s="1247" t="str">
        <f t="shared" si="127"/>
        <v/>
      </c>
      <c r="EQ632" s="1247" t="str">
        <f t="shared" si="128"/>
        <v/>
      </c>
      <c r="ER632" s="1247" t="str">
        <f t="shared" si="129"/>
        <v/>
      </c>
      <c r="ES632" s="1247" t="str">
        <f t="shared" si="130"/>
        <v/>
      </c>
      <c r="ET632" s="1247" t="str">
        <f t="shared" si="131"/>
        <v/>
      </c>
      <c r="EU632" s="1247" t="str">
        <f t="shared" si="132"/>
        <v/>
      </c>
      <c r="EV632" s="2909" t="str">
        <f t="shared" si="133"/>
        <v/>
      </c>
      <c r="EW632" s="2909" t="str">
        <f t="shared" si="134"/>
        <v/>
      </c>
      <c r="EX632" s="2909" t="str">
        <f t="shared" si="135"/>
        <v/>
      </c>
      <c r="EY632" s="2909">
        <f t="shared" si="136"/>
        <v>4</v>
      </c>
      <c r="EZ632" s="2909" t="str">
        <f t="shared" si="137"/>
        <v/>
      </c>
      <c r="FA632" s="2909" t="str">
        <f t="shared" si="138"/>
        <v/>
      </c>
      <c r="FB632" s="2909" t="str">
        <f t="shared" si="139"/>
        <v/>
      </c>
      <c r="FC632" s="2909" t="str">
        <f t="shared" si="140"/>
        <v/>
      </c>
      <c r="FD632" s="2909" t="str">
        <f t="shared" si="141"/>
        <v/>
      </c>
      <c r="FE632" s="2909" t="str">
        <f t="shared" si="142"/>
        <v/>
      </c>
      <c r="FF632" s="2909" t="str">
        <f t="shared" si="143"/>
        <v/>
      </c>
      <c r="FG632" s="2909" t="str">
        <f t="shared" si="144"/>
        <v/>
      </c>
      <c r="FH632" s="2909" t="str">
        <f t="shared" si="145"/>
        <v/>
      </c>
      <c r="FI632" s="2909" t="str">
        <f t="shared" si="146"/>
        <v/>
      </c>
      <c r="FJ632" s="2909" t="str">
        <f t="shared" si="147"/>
        <v/>
      </c>
      <c r="FK632" s="2909" t="str">
        <f t="shared" si="148"/>
        <v/>
      </c>
      <c r="FL632" s="2909" t="str">
        <f t="shared" si="149"/>
        <v/>
      </c>
      <c r="FM632" s="2909" t="str">
        <f t="shared" si="150"/>
        <v/>
      </c>
      <c r="FN632" s="2909" t="str">
        <f t="shared" si="151"/>
        <v/>
      </c>
      <c r="FO632" s="2909" t="str">
        <f t="shared" si="152"/>
        <v/>
      </c>
      <c r="FP632" s="2909" t="str">
        <f t="shared" si="153"/>
        <v/>
      </c>
      <c r="FQ632" s="2909" t="str">
        <f t="shared" si="154"/>
        <v/>
      </c>
      <c r="FR632" s="2909" t="str">
        <f t="shared" si="155"/>
        <v/>
      </c>
      <c r="FS632" s="2909" t="str">
        <f t="shared" si="156"/>
        <v/>
      </c>
      <c r="FT632" s="2909" t="str">
        <f t="shared" si="157"/>
        <v/>
      </c>
      <c r="FU632" s="2909" t="str">
        <f t="shared" si="158"/>
        <v/>
      </c>
      <c r="FV632" s="2909" t="str">
        <f t="shared" si="159"/>
        <v/>
      </c>
      <c r="FW632" s="2909" t="str">
        <f t="shared" si="160"/>
        <v/>
      </c>
      <c r="FX632" s="2909" t="str">
        <f t="shared" si="161"/>
        <v/>
      </c>
      <c r="FY632" s="2909" t="str">
        <f t="shared" si="162"/>
        <v/>
      </c>
      <c r="FZ632" s="2909" t="str">
        <f t="shared" si="163"/>
        <v/>
      </c>
      <c r="GA632" s="2909" t="str">
        <f t="shared" si="164"/>
        <v/>
      </c>
      <c r="GB632" s="2909" t="str">
        <f t="shared" si="165"/>
        <v/>
      </c>
      <c r="GC632" s="2909" t="str">
        <f t="shared" si="166"/>
        <v/>
      </c>
      <c r="GD632" s="2909" t="str">
        <f t="shared" si="167"/>
        <v/>
      </c>
      <c r="GE632" s="2909" t="str">
        <f t="shared" si="168"/>
        <v/>
      </c>
      <c r="GF632" s="2909" t="str">
        <f t="shared" si="169"/>
        <v/>
      </c>
      <c r="GG632" s="2909" t="str">
        <f t="shared" si="170"/>
        <v/>
      </c>
      <c r="GH632" s="2909" t="str">
        <f t="shared" si="171"/>
        <v/>
      </c>
      <c r="GI632" s="2909" t="str">
        <f t="shared" si="172"/>
        <v/>
      </c>
      <c r="GJ632" s="2909" t="str">
        <f t="shared" si="173"/>
        <v/>
      </c>
      <c r="GK632" s="2909" t="str">
        <f t="shared" si="174"/>
        <v/>
      </c>
      <c r="GL632" s="2909" t="str">
        <f t="shared" si="175"/>
        <v/>
      </c>
      <c r="GM632" s="2909" t="str">
        <f t="shared" si="176"/>
        <v/>
      </c>
      <c r="GN632" s="2909" t="str">
        <f t="shared" si="177"/>
        <v/>
      </c>
      <c r="GO632" s="2909" t="str">
        <f t="shared" si="178"/>
        <v/>
      </c>
      <c r="GP632" s="2909" t="str">
        <f t="shared" si="179"/>
        <v/>
      </c>
      <c r="GQ632" s="2909" t="str">
        <f t="shared" si="180"/>
        <v/>
      </c>
      <c r="GR632" s="2909" t="str">
        <f t="shared" si="181"/>
        <v/>
      </c>
      <c r="GS632" s="2909" t="str">
        <f t="shared" si="182"/>
        <v/>
      </c>
      <c r="GT632" s="2909" t="str">
        <f t="shared" si="183"/>
        <v/>
      </c>
      <c r="GU632" s="2909" t="str">
        <f t="shared" si="184"/>
        <v/>
      </c>
      <c r="GV632" s="2909" t="str">
        <f t="shared" si="185"/>
        <v/>
      </c>
      <c r="GW632" s="2909" t="str">
        <f t="shared" si="186"/>
        <v/>
      </c>
      <c r="GX632" s="2909" t="str">
        <f t="shared" si="187"/>
        <v/>
      </c>
      <c r="GY632" s="2909" t="str">
        <f t="shared" si="188"/>
        <v/>
      </c>
      <c r="GZ632" s="2909" t="str">
        <f t="shared" si="189"/>
        <v/>
      </c>
      <c r="HA632" s="2909" t="str">
        <f t="shared" si="190"/>
        <v/>
      </c>
      <c r="HB632" s="2909" t="str">
        <f t="shared" si="191"/>
        <v/>
      </c>
      <c r="HC632" s="2909" t="str">
        <f t="shared" si="192"/>
        <v/>
      </c>
      <c r="HD632" s="2909" t="str">
        <f t="shared" si="193"/>
        <v/>
      </c>
      <c r="HE632" s="2909" t="str">
        <f t="shared" si="194"/>
        <v/>
      </c>
      <c r="HF632" s="2909" t="str">
        <f t="shared" si="195"/>
        <v/>
      </c>
      <c r="HG632" s="2909" t="str">
        <f t="shared" si="196"/>
        <v/>
      </c>
      <c r="HH632" s="2909" t="str">
        <f t="shared" si="197"/>
        <v/>
      </c>
      <c r="HI632" s="2909" t="str">
        <f t="shared" si="198"/>
        <v/>
      </c>
      <c r="HJ632" s="2909" t="str">
        <f t="shared" si="199"/>
        <v/>
      </c>
      <c r="HK632" s="2909" t="str">
        <f t="shared" si="200"/>
        <v/>
      </c>
      <c r="HL632" s="2909" t="str">
        <f t="shared" si="201"/>
        <v/>
      </c>
      <c r="HM632" s="2909" t="str">
        <f t="shared" si="202"/>
        <v/>
      </c>
      <c r="HN632" s="2909" t="str">
        <f t="shared" si="203"/>
        <v/>
      </c>
      <c r="HO632" s="2909" t="str">
        <f t="shared" si="204"/>
        <v/>
      </c>
      <c r="HP632" s="2909" t="str">
        <f t="shared" si="205"/>
        <v/>
      </c>
      <c r="HQ632" s="2909" t="str">
        <f t="shared" si="206"/>
        <v/>
      </c>
      <c r="HR632" s="2909" t="str">
        <f t="shared" si="207"/>
        <v/>
      </c>
      <c r="HS632" s="2909" t="str">
        <f t="shared" si="208"/>
        <v/>
      </c>
      <c r="HT632" s="2909" t="str">
        <f t="shared" si="209"/>
        <v/>
      </c>
      <c r="HU632" s="2909" t="str">
        <f t="shared" si="210"/>
        <v/>
      </c>
      <c r="HV632" s="2909">
        <f t="shared" si="211"/>
        <v>4</v>
      </c>
      <c r="HW632" s="2909" t="str">
        <f t="shared" si="212"/>
        <v/>
      </c>
      <c r="HX632" s="2909" t="str">
        <f t="shared" si="213"/>
        <v/>
      </c>
      <c r="HY632" s="2909" t="str">
        <f t="shared" si="214"/>
        <v/>
      </c>
      <c r="HZ632" s="2909" t="str">
        <f t="shared" si="215"/>
        <v/>
      </c>
      <c r="IA632" s="2909" t="str">
        <f t="shared" si="216"/>
        <v/>
      </c>
      <c r="IB632" s="2909" t="str">
        <f t="shared" si="217"/>
        <v/>
      </c>
      <c r="IC632" s="2879" t="str">
        <f t="shared" si="218"/>
        <v/>
      </c>
      <c r="ID632" s="2879" t="str">
        <f t="shared" si="219"/>
        <v/>
      </c>
      <c r="IE632" s="2879" t="str">
        <f t="shared" si="220"/>
        <v/>
      </c>
      <c r="IF632" s="2879" t="str">
        <f t="shared" si="221"/>
        <v/>
      </c>
      <c r="IG632" s="2879" t="str">
        <f t="shared" si="222"/>
        <v/>
      </c>
      <c r="IH632" s="1247" t="str">
        <f t="shared" si="223"/>
        <v/>
      </c>
      <c r="II632" s="1247" t="str">
        <f t="shared" si="224"/>
        <v/>
      </c>
      <c r="IJ632" s="1247" t="str">
        <f t="shared" si="225"/>
        <v/>
      </c>
      <c r="IK632" s="1247" t="str">
        <f t="shared" si="226"/>
        <v/>
      </c>
      <c r="IL632" s="1247" t="str">
        <f t="shared" si="227"/>
        <v/>
      </c>
      <c r="IM632" s="1247" t="str">
        <f t="shared" si="228"/>
        <v/>
      </c>
      <c r="IN632" s="1247" t="str">
        <f t="shared" si="229"/>
        <v/>
      </c>
      <c r="IO632" s="1247" t="str">
        <f t="shared" si="230"/>
        <v/>
      </c>
      <c r="IP632" s="1247" t="str">
        <f t="shared" si="231"/>
        <v/>
      </c>
      <c r="IQ632" s="1247" t="str">
        <f t="shared" si="232"/>
        <v/>
      </c>
      <c r="IR632" s="1247" t="str">
        <f t="shared" si="233"/>
        <v/>
      </c>
      <c r="IS632" s="1247" t="str">
        <f t="shared" si="234"/>
        <v/>
      </c>
      <c r="IT632" s="1247" t="str">
        <f t="shared" si="235"/>
        <v/>
      </c>
      <c r="IU632" s="1247" t="str">
        <f t="shared" si="236"/>
        <v/>
      </c>
      <c r="IV632" s="1247" t="str">
        <f t="shared" si="237"/>
        <v/>
      </c>
      <c r="IW632" s="1247" t="str">
        <f t="shared" si="238"/>
        <v/>
      </c>
      <c r="IX632" s="1247" t="str">
        <f t="shared" si="239"/>
        <v/>
      </c>
      <c r="IY632" s="1247" t="str">
        <f t="shared" si="240"/>
        <v/>
      </c>
      <c r="IZ632" s="1247" t="str">
        <f t="shared" si="241"/>
        <v/>
      </c>
      <c r="JA632" s="1247" t="str">
        <f t="shared" si="242"/>
        <v/>
      </c>
      <c r="JB632" s="2877">
        <f t="shared" si="243"/>
        <v>0</v>
      </c>
      <c r="JC632" s="2877">
        <f t="shared" si="244"/>
        <v>0</v>
      </c>
      <c r="JD632" s="2877">
        <f t="shared" si="245"/>
        <v>0</v>
      </c>
      <c r="JE632" s="2877">
        <f t="shared" si="246"/>
        <v>0</v>
      </c>
      <c r="JF632" s="2877">
        <f t="shared" si="247"/>
        <v>0</v>
      </c>
      <c r="JG632" s="2877">
        <f t="shared" si="248"/>
        <v>0</v>
      </c>
      <c r="JH632" s="2877">
        <f t="shared" si="249"/>
        <v>0</v>
      </c>
      <c r="JI632" s="2877">
        <f t="shared" si="250"/>
        <v>0</v>
      </c>
      <c r="JJ632" s="2877">
        <f t="shared" si="251"/>
        <v>4</v>
      </c>
      <c r="JK632" s="2877">
        <f t="shared" si="252"/>
        <v>0</v>
      </c>
      <c r="JL632" s="2877">
        <f t="shared" si="253"/>
        <v>0</v>
      </c>
      <c r="JM632" s="2877">
        <f t="shared" si="254"/>
        <v>0</v>
      </c>
      <c r="JN632" s="2877">
        <f t="shared" si="255"/>
        <v>0</v>
      </c>
      <c r="JO632" s="2877">
        <f t="shared" si="256"/>
        <v>0</v>
      </c>
      <c r="JP632" s="2877">
        <f t="shared" si="257"/>
        <v>0</v>
      </c>
    </row>
    <row r="633" spans="1:276" ht="12" customHeight="1">
      <c r="A633" s="2891" t="str">
        <f t="shared" si="0"/>
        <v/>
      </c>
      <c r="B633" s="2900" t="str">
        <f>'Part VI-Revenues &amp; Expenses'!B13</f>
        <v>60% AMI</v>
      </c>
      <c r="C633" s="2901">
        <f>'Part VI-Revenues &amp; Expenses'!C13</f>
        <v>1</v>
      </c>
      <c r="D633" s="2902">
        <f>'Part VI-Revenues &amp; Expenses'!D13</f>
        <v>1</v>
      </c>
      <c r="E633" s="2903">
        <f>'Part VI-Revenues &amp; Expenses'!E13</f>
        <v>14</v>
      </c>
      <c r="F633" s="2903">
        <f>'Part VI-Revenues &amp; Expenses'!F13</f>
        <v>829</v>
      </c>
      <c r="G633" s="2903">
        <f>'Part VI-Revenues &amp; Expenses'!G13</f>
        <v>735</v>
      </c>
      <c r="H633" s="2903">
        <f>'Part VI-Revenues &amp; Expenses'!H13</f>
        <v>616</v>
      </c>
      <c r="I633" s="2903">
        <f>'Part VI-Revenues &amp; Expenses'!I13</f>
        <v>161</v>
      </c>
      <c r="J633" s="2904">
        <f>'Part VI-Revenues &amp; Expenses'!J13</f>
        <v>0</v>
      </c>
      <c r="K633" s="2905">
        <f t="shared" si="1"/>
        <v>455</v>
      </c>
      <c r="L633" s="2905">
        <f t="shared" si="2"/>
        <v>6370</v>
      </c>
      <c r="M633" s="2886" t="str">
        <f>'Part VI-Revenues &amp; Expenses'!M13</f>
        <v>No</v>
      </c>
      <c r="N633" s="2886" t="str">
        <f>'Part VI-Revenues &amp; Expenses'!N13</f>
        <v>3+ Story</v>
      </c>
      <c r="O633" s="2886" t="str">
        <f>'Part VI-Revenues &amp; Expenses'!O13</f>
        <v>New Construction</v>
      </c>
      <c r="P633" s="2886" t="str">
        <f>'Part VI-Revenues &amp; Expenses'!P13</f>
        <v>No</v>
      </c>
      <c r="Q633" s="2906" t="e">
        <f>IF(H633="","",P633/($O$626*VLOOKUP(C633,'DCA Underwriting Assumptions'!$J$118:$K$123,2,FALSE)))</f>
        <v>#VALUE!</v>
      </c>
      <c r="R633" s="2907"/>
      <c r="S633" s="2906"/>
      <c r="T633" s="2908"/>
      <c r="U633" s="2908"/>
      <c r="V633" s="1247" t="str">
        <f t="shared" si="3"/>
        <v/>
      </c>
      <c r="W633" s="1247">
        <f t="shared" si="4"/>
        <v>14</v>
      </c>
      <c r="X633" s="1247" t="str">
        <f t="shared" si="5"/>
        <v/>
      </c>
      <c r="Y633" s="1247" t="str">
        <f t="shared" si="6"/>
        <v/>
      </c>
      <c r="Z633" s="1247" t="str">
        <f t="shared" si="7"/>
        <v/>
      </c>
      <c r="AA633" s="1247" t="str">
        <f t="shared" si="8"/>
        <v/>
      </c>
      <c r="AB633" s="1247" t="str">
        <f t="shared" si="9"/>
        <v/>
      </c>
      <c r="AC633" s="1247" t="str">
        <f t="shared" si="10"/>
        <v/>
      </c>
      <c r="AD633" s="1247" t="str">
        <f t="shared" si="11"/>
        <v/>
      </c>
      <c r="AE633" s="1247" t="str">
        <f t="shared" si="12"/>
        <v/>
      </c>
      <c r="AF633" s="1247" t="str">
        <f t="shared" si="13"/>
        <v/>
      </c>
      <c r="AG633" s="1247" t="str">
        <f t="shared" si="14"/>
        <v/>
      </c>
      <c r="AH633" s="1247" t="str">
        <f t="shared" si="15"/>
        <v/>
      </c>
      <c r="AI633" s="1247" t="str">
        <f t="shared" si="16"/>
        <v/>
      </c>
      <c r="AJ633" s="1247" t="str">
        <f t="shared" si="17"/>
        <v/>
      </c>
      <c r="AK633" s="1247" t="str">
        <f t="shared" si="18"/>
        <v/>
      </c>
      <c r="AL633" s="1247" t="str">
        <f t="shared" si="19"/>
        <v/>
      </c>
      <c r="AM633" s="1247" t="str">
        <f t="shared" si="20"/>
        <v/>
      </c>
      <c r="AN633" s="1247" t="str">
        <f t="shared" si="21"/>
        <v/>
      </c>
      <c r="AO633" s="1247" t="str">
        <f t="shared" si="22"/>
        <v/>
      </c>
      <c r="AP633" s="1247" t="str">
        <f t="shared" si="23"/>
        <v/>
      </c>
      <c r="AQ633" s="1247" t="str">
        <f t="shared" si="24"/>
        <v/>
      </c>
      <c r="AR633" s="1247" t="str">
        <f t="shared" si="25"/>
        <v/>
      </c>
      <c r="AS633" s="1247" t="str">
        <f t="shared" si="26"/>
        <v/>
      </c>
      <c r="AT633" s="1247" t="str">
        <f t="shared" si="27"/>
        <v/>
      </c>
      <c r="AU633" s="1247" t="str">
        <f t="shared" si="28"/>
        <v/>
      </c>
      <c r="AV633" s="1247" t="str">
        <f t="shared" si="29"/>
        <v/>
      </c>
      <c r="AW633" s="1247" t="str">
        <f t="shared" si="30"/>
        <v/>
      </c>
      <c r="AX633" s="1247" t="str">
        <f t="shared" si="31"/>
        <v/>
      </c>
      <c r="AY633" s="1247" t="str">
        <f t="shared" si="32"/>
        <v/>
      </c>
      <c r="AZ633" s="1247" t="str">
        <f t="shared" si="33"/>
        <v/>
      </c>
      <c r="BA633" s="1247" t="str">
        <f t="shared" si="34"/>
        <v/>
      </c>
      <c r="BB633" s="1247" t="str">
        <f t="shared" si="35"/>
        <v/>
      </c>
      <c r="BC633" s="1247" t="str">
        <f t="shared" si="36"/>
        <v/>
      </c>
      <c r="BD633" s="1247" t="str">
        <f t="shared" si="37"/>
        <v/>
      </c>
      <c r="BE633" s="1247" t="str">
        <f t="shared" si="38"/>
        <v/>
      </c>
      <c r="BF633" s="1247" t="str">
        <f t="shared" si="39"/>
        <v/>
      </c>
      <c r="BG633" s="1247" t="str">
        <f t="shared" si="40"/>
        <v/>
      </c>
      <c r="BH633" s="1247" t="str">
        <f t="shared" si="41"/>
        <v/>
      </c>
      <c r="BI633" s="1247" t="str">
        <f t="shared" si="42"/>
        <v/>
      </c>
      <c r="BJ633" s="1247" t="str">
        <f t="shared" si="43"/>
        <v/>
      </c>
      <c r="BK633" s="1247" t="str">
        <f t="shared" si="44"/>
        <v/>
      </c>
      <c r="BL633" s="1247" t="str">
        <f t="shared" si="45"/>
        <v/>
      </c>
      <c r="BM633" s="1247" t="str">
        <f t="shared" si="46"/>
        <v/>
      </c>
      <c r="BN633" s="1247" t="str">
        <f t="shared" si="47"/>
        <v/>
      </c>
      <c r="BO633" s="1247" t="str">
        <f t="shared" si="48"/>
        <v/>
      </c>
      <c r="BP633" s="1247" t="str">
        <f t="shared" si="49"/>
        <v/>
      </c>
      <c r="BQ633" s="1247" t="str">
        <f t="shared" si="50"/>
        <v/>
      </c>
      <c r="BR633" s="1247" t="str">
        <f t="shared" si="51"/>
        <v/>
      </c>
      <c r="BS633" s="1247" t="str">
        <f t="shared" si="52"/>
        <v/>
      </c>
      <c r="BT633" s="1247" t="str">
        <f t="shared" si="53"/>
        <v/>
      </c>
      <c r="BU633" s="1247" t="str">
        <f t="shared" si="54"/>
        <v/>
      </c>
      <c r="BV633" s="1247" t="str">
        <f t="shared" si="55"/>
        <v/>
      </c>
      <c r="BW633" s="1247" t="str">
        <f t="shared" si="56"/>
        <v/>
      </c>
      <c r="BX633" s="1247" t="str">
        <f t="shared" si="57"/>
        <v/>
      </c>
      <c r="BY633" s="1247" t="str">
        <f t="shared" si="58"/>
        <v/>
      </c>
      <c r="BZ633" s="1247">
        <f t="shared" si="59"/>
        <v>11606</v>
      </c>
      <c r="CA633" s="1247" t="str">
        <f t="shared" si="60"/>
        <v/>
      </c>
      <c r="CB633" s="1247" t="str">
        <f t="shared" si="61"/>
        <v/>
      </c>
      <c r="CC633" s="1247" t="str">
        <f t="shared" si="62"/>
        <v/>
      </c>
      <c r="CD633" s="1247" t="str">
        <f t="shared" si="63"/>
        <v/>
      </c>
      <c r="CE633" s="1247" t="str">
        <f t="shared" si="64"/>
        <v/>
      </c>
      <c r="CF633" s="1247" t="str">
        <f t="shared" si="65"/>
        <v/>
      </c>
      <c r="CG633" s="1247" t="str">
        <f t="shared" si="66"/>
        <v/>
      </c>
      <c r="CH633" s="1247" t="str">
        <f t="shared" si="67"/>
        <v/>
      </c>
      <c r="CI633" s="1247" t="str">
        <f t="shared" si="68"/>
        <v/>
      </c>
      <c r="CJ633" s="1247" t="str">
        <f t="shared" si="69"/>
        <v/>
      </c>
      <c r="CK633" s="1247" t="str">
        <f t="shared" si="70"/>
        <v/>
      </c>
      <c r="CL633" s="1247" t="str">
        <f t="shared" si="71"/>
        <v/>
      </c>
      <c r="CM633" s="1247" t="str">
        <f t="shared" si="72"/>
        <v/>
      </c>
      <c r="CN633" s="1247" t="str">
        <f t="shared" si="73"/>
        <v/>
      </c>
      <c r="CO633" s="1247" t="str">
        <f t="shared" si="74"/>
        <v/>
      </c>
      <c r="CP633" s="1247" t="str">
        <f t="shared" si="75"/>
        <v/>
      </c>
      <c r="CQ633" s="1247" t="str">
        <f t="shared" si="76"/>
        <v/>
      </c>
      <c r="CR633" s="1247" t="str">
        <f t="shared" si="77"/>
        <v/>
      </c>
      <c r="CS633" s="1247" t="str">
        <f t="shared" si="78"/>
        <v/>
      </c>
      <c r="CT633" s="1247" t="str">
        <f t="shared" si="79"/>
        <v/>
      </c>
      <c r="CU633" s="1247" t="str">
        <f t="shared" si="80"/>
        <v/>
      </c>
      <c r="CV633" s="1247" t="str">
        <f t="shared" si="81"/>
        <v/>
      </c>
      <c r="CW633" s="1247" t="str">
        <f t="shared" si="82"/>
        <v/>
      </c>
      <c r="CX633" s="1247" t="str">
        <f t="shared" si="83"/>
        <v/>
      </c>
      <c r="CY633" s="1247" t="str">
        <f t="shared" si="84"/>
        <v/>
      </c>
      <c r="CZ633" s="1247" t="str">
        <f t="shared" si="85"/>
        <v/>
      </c>
      <c r="DA633" s="1247" t="str">
        <f t="shared" si="86"/>
        <v/>
      </c>
      <c r="DB633" s="1247" t="str">
        <f t="shared" si="87"/>
        <v/>
      </c>
      <c r="DC633" s="1247" t="str">
        <f t="shared" si="88"/>
        <v/>
      </c>
      <c r="DD633" s="1247">
        <f t="shared" si="89"/>
        <v>14</v>
      </c>
      <c r="DE633" s="1247" t="str">
        <f t="shared" si="90"/>
        <v/>
      </c>
      <c r="DF633" s="1247" t="str">
        <f t="shared" si="91"/>
        <v/>
      </c>
      <c r="DG633" s="1247" t="str">
        <f t="shared" si="92"/>
        <v/>
      </c>
      <c r="DH633" s="1247" t="str">
        <f t="shared" si="93"/>
        <v/>
      </c>
      <c r="DI633" s="1247" t="str">
        <f t="shared" si="94"/>
        <v/>
      </c>
      <c r="DJ633" s="1247" t="str">
        <f t="shared" si="95"/>
        <v/>
      </c>
      <c r="DK633" s="1247" t="str">
        <f t="shared" si="96"/>
        <v/>
      </c>
      <c r="DL633" s="1247" t="str">
        <f t="shared" si="97"/>
        <v/>
      </c>
      <c r="DM633" s="1247" t="str">
        <f t="shared" si="98"/>
        <v/>
      </c>
      <c r="DN633" s="1247" t="str">
        <f t="shared" si="99"/>
        <v/>
      </c>
      <c r="DO633" s="1247" t="str">
        <f t="shared" si="100"/>
        <v/>
      </c>
      <c r="DP633" s="1247" t="str">
        <f t="shared" si="101"/>
        <v/>
      </c>
      <c r="DQ633" s="1247" t="str">
        <f t="shared" si="102"/>
        <v/>
      </c>
      <c r="DR633" s="1247" t="str">
        <f t="shared" si="103"/>
        <v/>
      </c>
      <c r="DS633" s="1247" t="str">
        <f t="shared" si="104"/>
        <v/>
      </c>
      <c r="DT633" s="1247" t="str">
        <f t="shared" si="105"/>
        <v/>
      </c>
      <c r="DU633" s="1247" t="str">
        <f t="shared" si="106"/>
        <v/>
      </c>
      <c r="DV633" s="1247" t="str">
        <f t="shared" si="107"/>
        <v/>
      </c>
      <c r="DW633" s="1247" t="str">
        <f t="shared" si="108"/>
        <v/>
      </c>
      <c r="DX633" s="1247" t="str">
        <f t="shared" si="109"/>
        <v/>
      </c>
      <c r="DY633" s="1247" t="str">
        <f t="shared" si="110"/>
        <v/>
      </c>
      <c r="DZ633" s="1247" t="str">
        <f t="shared" si="111"/>
        <v/>
      </c>
      <c r="EA633" s="1247" t="str">
        <f t="shared" si="112"/>
        <v/>
      </c>
      <c r="EB633" s="1247" t="str">
        <f t="shared" si="113"/>
        <v/>
      </c>
      <c r="EC633" s="1247" t="str">
        <f t="shared" si="114"/>
        <v/>
      </c>
      <c r="ED633" s="1247" t="str">
        <f t="shared" si="115"/>
        <v/>
      </c>
      <c r="EE633" s="1247" t="str">
        <f t="shared" si="116"/>
        <v/>
      </c>
      <c r="EF633" s="1247" t="str">
        <f t="shared" si="117"/>
        <v/>
      </c>
      <c r="EG633" s="1247" t="str">
        <f t="shared" si="118"/>
        <v/>
      </c>
      <c r="EH633" s="1247" t="str">
        <f t="shared" si="119"/>
        <v/>
      </c>
      <c r="EI633" s="1247" t="str">
        <f t="shared" si="120"/>
        <v/>
      </c>
      <c r="EJ633" s="1247" t="str">
        <f t="shared" si="121"/>
        <v/>
      </c>
      <c r="EK633" s="1247" t="str">
        <f t="shared" si="122"/>
        <v/>
      </c>
      <c r="EL633" s="1247" t="str">
        <f t="shared" si="123"/>
        <v/>
      </c>
      <c r="EM633" s="1247" t="str">
        <f t="shared" si="124"/>
        <v/>
      </c>
      <c r="EN633" s="1247" t="str">
        <f t="shared" si="125"/>
        <v/>
      </c>
      <c r="EO633" s="1247" t="str">
        <f t="shared" si="126"/>
        <v/>
      </c>
      <c r="EP633" s="1247" t="str">
        <f t="shared" si="127"/>
        <v/>
      </c>
      <c r="EQ633" s="1247" t="str">
        <f t="shared" si="128"/>
        <v/>
      </c>
      <c r="ER633" s="1247" t="str">
        <f t="shared" si="129"/>
        <v/>
      </c>
      <c r="ES633" s="1247" t="str">
        <f t="shared" si="130"/>
        <v/>
      </c>
      <c r="ET633" s="1247" t="str">
        <f t="shared" si="131"/>
        <v/>
      </c>
      <c r="EU633" s="1247" t="str">
        <f t="shared" si="132"/>
        <v/>
      </c>
      <c r="EV633" s="2909" t="str">
        <f t="shared" si="133"/>
        <v/>
      </c>
      <c r="EW633" s="2909">
        <f t="shared" si="134"/>
        <v>14</v>
      </c>
      <c r="EX633" s="2909" t="str">
        <f t="shared" si="135"/>
        <v/>
      </c>
      <c r="EY633" s="2909" t="str">
        <f t="shared" si="136"/>
        <v/>
      </c>
      <c r="EZ633" s="2909" t="str">
        <f t="shared" si="137"/>
        <v/>
      </c>
      <c r="FA633" s="2909" t="str">
        <f t="shared" si="138"/>
        <v/>
      </c>
      <c r="FB633" s="2909" t="str">
        <f t="shared" si="139"/>
        <v/>
      </c>
      <c r="FC633" s="2909" t="str">
        <f t="shared" si="140"/>
        <v/>
      </c>
      <c r="FD633" s="2909" t="str">
        <f t="shared" si="141"/>
        <v/>
      </c>
      <c r="FE633" s="2909" t="str">
        <f t="shared" si="142"/>
        <v/>
      </c>
      <c r="FF633" s="2909" t="str">
        <f t="shared" si="143"/>
        <v/>
      </c>
      <c r="FG633" s="2909" t="str">
        <f t="shared" si="144"/>
        <v/>
      </c>
      <c r="FH633" s="2909" t="str">
        <f t="shared" si="145"/>
        <v/>
      </c>
      <c r="FI633" s="2909" t="str">
        <f t="shared" si="146"/>
        <v/>
      </c>
      <c r="FJ633" s="2909" t="str">
        <f t="shared" si="147"/>
        <v/>
      </c>
      <c r="FK633" s="2909" t="str">
        <f t="shared" si="148"/>
        <v/>
      </c>
      <c r="FL633" s="2909" t="str">
        <f t="shared" si="149"/>
        <v/>
      </c>
      <c r="FM633" s="2909" t="str">
        <f t="shared" si="150"/>
        <v/>
      </c>
      <c r="FN633" s="2909" t="str">
        <f t="shared" si="151"/>
        <v/>
      </c>
      <c r="FO633" s="2909" t="str">
        <f t="shared" si="152"/>
        <v/>
      </c>
      <c r="FP633" s="2909" t="str">
        <f t="shared" si="153"/>
        <v/>
      </c>
      <c r="FQ633" s="2909" t="str">
        <f t="shared" si="154"/>
        <v/>
      </c>
      <c r="FR633" s="2909" t="str">
        <f t="shared" si="155"/>
        <v/>
      </c>
      <c r="FS633" s="2909" t="str">
        <f t="shared" si="156"/>
        <v/>
      </c>
      <c r="FT633" s="2909" t="str">
        <f t="shared" si="157"/>
        <v/>
      </c>
      <c r="FU633" s="2909" t="str">
        <f t="shared" si="158"/>
        <v/>
      </c>
      <c r="FV633" s="2909" t="str">
        <f t="shared" si="159"/>
        <v/>
      </c>
      <c r="FW633" s="2909" t="str">
        <f t="shared" si="160"/>
        <v/>
      </c>
      <c r="FX633" s="2909" t="str">
        <f t="shared" si="161"/>
        <v/>
      </c>
      <c r="FY633" s="2909" t="str">
        <f t="shared" si="162"/>
        <v/>
      </c>
      <c r="FZ633" s="2909" t="str">
        <f t="shared" si="163"/>
        <v/>
      </c>
      <c r="GA633" s="2909" t="str">
        <f t="shared" si="164"/>
        <v/>
      </c>
      <c r="GB633" s="2909" t="str">
        <f t="shared" si="165"/>
        <v/>
      </c>
      <c r="GC633" s="2909" t="str">
        <f t="shared" si="166"/>
        <v/>
      </c>
      <c r="GD633" s="2909" t="str">
        <f t="shared" si="167"/>
        <v/>
      </c>
      <c r="GE633" s="2909" t="str">
        <f t="shared" si="168"/>
        <v/>
      </c>
      <c r="GF633" s="2909" t="str">
        <f t="shared" si="169"/>
        <v/>
      </c>
      <c r="GG633" s="2909" t="str">
        <f t="shared" si="170"/>
        <v/>
      </c>
      <c r="GH633" s="2909" t="str">
        <f t="shared" si="171"/>
        <v/>
      </c>
      <c r="GI633" s="2909" t="str">
        <f t="shared" si="172"/>
        <v/>
      </c>
      <c r="GJ633" s="2909" t="str">
        <f t="shared" si="173"/>
        <v/>
      </c>
      <c r="GK633" s="2909" t="str">
        <f t="shared" si="174"/>
        <v/>
      </c>
      <c r="GL633" s="2909" t="str">
        <f t="shared" si="175"/>
        <v/>
      </c>
      <c r="GM633" s="2909" t="str">
        <f t="shared" si="176"/>
        <v/>
      </c>
      <c r="GN633" s="2909" t="str">
        <f t="shared" si="177"/>
        <v/>
      </c>
      <c r="GO633" s="2909" t="str">
        <f t="shared" si="178"/>
        <v/>
      </c>
      <c r="GP633" s="2909" t="str">
        <f t="shared" si="179"/>
        <v/>
      </c>
      <c r="GQ633" s="2909" t="str">
        <f t="shared" si="180"/>
        <v/>
      </c>
      <c r="GR633" s="2909" t="str">
        <f t="shared" si="181"/>
        <v/>
      </c>
      <c r="GS633" s="2909" t="str">
        <f t="shared" si="182"/>
        <v/>
      </c>
      <c r="GT633" s="2909" t="str">
        <f t="shared" si="183"/>
        <v/>
      </c>
      <c r="GU633" s="2909" t="str">
        <f t="shared" si="184"/>
        <v/>
      </c>
      <c r="GV633" s="2909" t="str">
        <f t="shared" si="185"/>
        <v/>
      </c>
      <c r="GW633" s="2909" t="str">
        <f t="shared" si="186"/>
        <v/>
      </c>
      <c r="GX633" s="2909" t="str">
        <f t="shared" si="187"/>
        <v/>
      </c>
      <c r="GY633" s="2909" t="str">
        <f t="shared" si="188"/>
        <v/>
      </c>
      <c r="GZ633" s="2909" t="str">
        <f t="shared" si="189"/>
        <v/>
      </c>
      <c r="HA633" s="2909" t="str">
        <f t="shared" si="190"/>
        <v/>
      </c>
      <c r="HB633" s="2909" t="str">
        <f t="shared" si="191"/>
        <v/>
      </c>
      <c r="HC633" s="2909" t="str">
        <f t="shared" si="192"/>
        <v/>
      </c>
      <c r="HD633" s="2909" t="str">
        <f t="shared" si="193"/>
        <v/>
      </c>
      <c r="HE633" s="2909" t="str">
        <f t="shared" si="194"/>
        <v/>
      </c>
      <c r="HF633" s="2909" t="str">
        <f t="shared" si="195"/>
        <v/>
      </c>
      <c r="HG633" s="2909" t="str">
        <f t="shared" si="196"/>
        <v/>
      </c>
      <c r="HH633" s="2909" t="str">
        <f t="shared" si="197"/>
        <v/>
      </c>
      <c r="HI633" s="2909" t="str">
        <f t="shared" si="198"/>
        <v/>
      </c>
      <c r="HJ633" s="2909" t="str">
        <f t="shared" si="199"/>
        <v/>
      </c>
      <c r="HK633" s="2909" t="str">
        <f t="shared" si="200"/>
        <v/>
      </c>
      <c r="HL633" s="2909" t="str">
        <f t="shared" si="201"/>
        <v/>
      </c>
      <c r="HM633" s="2909" t="str">
        <f t="shared" si="202"/>
        <v/>
      </c>
      <c r="HN633" s="2909" t="str">
        <f t="shared" si="203"/>
        <v/>
      </c>
      <c r="HO633" s="2909" t="str">
        <f t="shared" si="204"/>
        <v/>
      </c>
      <c r="HP633" s="2909" t="str">
        <f t="shared" si="205"/>
        <v/>
      </c>
      <c r="HQ633" s="2909" t="str">
        <f t="shared" si="206"/>
        <v/>
      </c>
      <c r="HR633" s="2909" t="str">
        <f t="shared" si="207"/>
        <v/>
      </c>
      <c r="HS633" s="2909" t="str">
        <f t="shared" si="208"/>
        <v/>
      </c>
      <c r="HT633" s="2909">
        <f t="shared" si="209"/>
        <v>14</v>
      </c>
      <c r="HU633" s="2909" t="str">
        <f t="shared" si="210"/>
        <v/>
      </c>
      <c r="HV633" s="2909" t="str">
        <f t="shared" si="211"/>
        <v/>
      </c>
      <c r="HW633" s="2909" t="str">
        <f t="shared" si="212"/>
        <v/>
      </c>
      <c r="HX633" s="2909" t="str">
        <f t="shared" si="213"/>
        <v/>
      </c>
      <c r="HY633" s="2909" t="str">
        <f t="shared" si="214"/>
        <v/>
      </c>
      <c r="HZ633" s="2909" t="str">
        <f t="shared" si="215"/>
        <v/>
      </c>
      <c r="IA633" s="2909" t="str">
        <f t="shared" si="216"/>
        <v/>
      </c>
      <c r="IB633" s="2909" t="str">
        <f t="shared" si="217"/>
        <v/>
      </c>
      <c r="IC633" s="2879" t="str">
        <f t="shared" si="218"/>
        <v/>
      </c>
      <c r="ID633" s="2879" t="str">
        <f t="shared" si="219"/>
        <v/>
      </c>
      <c r="IE633" s="2879" t="str">
        <f t="shared" si="220"/>
        <v/>
      </c>
      <c r="IF633" s="2879" t="str">
        <f t="shared" si="221"/>
        <v/>
      </c>
      <c r="IG633" s="2879" t="str">
        <f t="shared" si="222"/>
        <v/>
      </c>
      <c r="IH633" s="1247" t="str">
        <f t="shared" si="223"/>
        <v/>
      </c>
      <c r="II633" s="1247" t="str">
        <f t="shared" si="224"/>
        <v/>
      </c>
      <c r="IJ633" s="1247" t="str">
        <f t="shared" si="225"/>
        <v/>
      </c>
      <c r="IK633" s="1247" t="str">
        <f t="shared" si="226"/>
        <v/>
      </c>
      <c r="IL633" s="1247" t="str">
        <f t="shared" si="227"/>
        <v/>
      </c>
      <c r="IM633" s="1247" t="str">
        <f t="shared" si="228"/>
        <v/>
      </c>
      <c r="IN633" s="1247" t="str">
        <f t="shared" si="229"/>
        <v/>
      </c>
      <c r="IO633" s="1247" t="str">
        <f t="shared" si="230"/>
        <v/>
      </c>
      <c r="IP633" s="1247" t="str">
        <f t="shared" si="231"/>
        <v/>
      </c>
      <c r="IQ633" s="1247" t="str">
        <f t="shared" si="232"/>
        <v/>
      </c>
      <c r="IR633" s="1247" t="str">
        <f t="shared" si="233"/>
        <v/>
      </c>
      <c r="IS633" s="1247" t="str">
        <f t="shared" si="234"/>
        <v/>
      </c>
      <c r="IT633" s="1247" t="str">
        <f t="shared" si="235"/>
        <v/>
      </c>
      <c r="IU633" s="1247" t="str">
        <f t="shared" si="236"/>
        <v/>
      </c>
      <c r="IV633" s="1247" t="str">
        <f t="shared" si="237"/>
        <v/>
      </c>
      <c r="IW633" s="1247" t="str">
        <f t="shared" si="238"/>
        <v/>
      </c>
      <c r="IX633" s="1247" t="str">
        <f t="shared" si="239"/>
        <v/>
      </c>
      <c r="IY633" s="1247" t="str">
        <f t="shared" si="240"/>
        <v/>
      </c>
      <c r="IZ633" s="1247" t="str">
        <f t="shared" si="241"/>
        <v/>
      </c>
      <c r="JA633" s="1247" t="str">
        <f t="shared" si="242"/>
        <v/>
      </c>
      <c r="JB633" s="2877">
        <f t="shared" si="243"/>
        <v>0</v>
      </c>
      <c r="JC633" s="2877">
        <f t="shared" si="244"/>
        <v>0</v>
      </c>
      <c r="JD633" s="2877">
        <f t="shared" si="245"/>
        <v>0</v>
      </c>
      <c r="JE633" s="2877">
        <f t="shared" si="246"/>
        <v>0</v>
      </c>
      <c r="JF633" s="2877">
        <f t="shared" si="247"/>
        <v>0</v>
      </c>
      <c r="JG633" s="2877">
        <f t="shared" si="248"/>
        <v>0</v>
      </c>
      <c r="JH633" s="2877">
        <f t="shared" si="249"/>
        <v>14</v>
      </c>
      <c r="JI633" s="2877">
        <f t="shared" si="250"/>
        <v>0</v>
      </c>
      <c r="JJ633" s="2877">
        <f t="shared" si="251"/>
        <v>0</v>
      </c>
      <c r="JK633" s="2877">
        <f t="shared" si="252"/>
        <v>0</v>
      </c>
      <c r="JL633" s="2877">
        <f t="shared" si="253"/>
        <v>0</v>
      </c>
      <c r="JM633" s="2877">
        <f t="shared" si="254"/>
        <v>0</v>
      </c>
      <c r="JN633" s="2877">
        <f t="shared" si="255"/>
        <v>0</v>
      </c>
      <c r="JO633" s="2877">
        <f t="shared" si="256"/>
        <v>0</v>
      </c>
      <c r="JP633" s="2877">
        <f t="shared" si="257"/>
        <v>0</v>
      </c>
    </row>
    <row r="634" spans="1:276" ht="12" customHeight="1">
      <c r="A634" s="2891" t="str">
        <f t="shared" si="0"/>
        <v/>
      </c>
      <c r="B634" s="2900" t="str">
        <f>'Part VI-Revenues &amp; Expenses'!B14</f>
        <v>60% AMI</v>
      </c>
      <c r="C634" s="2901">
        <f>'Part VI-Revenues &amp; Expenses'!C14</f>
        <v>2</v>
      </c>
      <c r="D634" s="2902">
        <f>'Part VI-Revenues &amp; Expenses'!D14</f>
        <v>2</v>
      </c>
      <c r="E634" s="2903">
        <f>'Part VI-Revenues &amp; Expenses'!E14</f>
        <v>42</v>
      </c>
      <c r="F634" s="2903">
        <f>'Part VI-Revenues &amp; Expenses'!F14</f>
        <v>1073</v>
      </c>
      <c r="G634" s="2903">
        <f>'Part VI-Revenues &amp; Expenses'!G14</f>
        <v>882</v>
      </c>
      <c r="H634" s="2903">
        <f>'Part VI-Revenues &amp; Expenses'!H14</f>
        <v>760</v>
      </c>
      <c r="I634" s="2903">
        <f>'Part VI-Revenues &amp; Expenses'!I14</f>
        <v>205</v>
      </c>
      <c r="J634" s="2904">
        <f>'Part VI-Revenues &amp; Expenses'!J14</f>
        <v>0</v>
      </c>
      <c r="K634" s="2905">
        <f t="shared" si="1"/>
        <v>555</v>
      </c>
      <c r="L634" s="2905">
        <f t="shared" si="2"/>
        <v>23310</v>
      </c>
      <c r="M634" s="2886" t="str">
        <f>'Part VI-Revenues &amp; Expenses'!M14</f>
        <v>No</v>
      </c>
      <c r="N634" s="2886" t="str">
        <f>'Part VI-Revenues &amp; Expenses'!N14</f>
        <v>3+ Story</v>
      </c>
      <c r="O634" s="2886" t="str">
        <f>'Part VI-Revenues &amp; Expenses'!O14</f>
        <v>New Construction</v>
      </c>
      <c r="P634" s="2886" t="str">
        <f>'Part VI-Revenues &amp; Expenses'!P14</f>
        <v>No</v>
      </c>
      <c r="Q634" s="2906" t="e">
        <f>IF(H634="","",P634/($O$626*VLOOKUP(C634,'DCA Underwriting Assumptions'!$J$118:$K$123,2,FALSE)))</f>
        <v>#VALUE!</v>
      </c>
      <c r="R634" s="2907"/>
      <c r="S634" s="2906"/>
      <c r="T634" s="2908"/>
      <c r="U634" s="2908"/>
      <c r="V634" s="1247" t="str">
        <f t="shared" si="3"/>
        <v/>
      </c>
      <c r="W634" s="1247" t="str">
        <f t="shared" si="4"/>
        <v/>
      </c>
      <c r="X634" s="1247">
        <f t="shared" si="5"/>
        <v>42</v>
      </c>
      <c r="Y634" s="1247" t="str">
        <f t="shared" si="6"/>
        <v/>
      </c>
      <c r="Z634" s="1247" t="str">
        <f t="shared" si="7"/>
        <v/>
      </c>
      <c r="AA634" s="1247" t="str">
        <f t="shared" si="8"/>
        <v/>
      </c>
      <c r="AB634" s="1247" t="str">
        <f t="shared" si="9"/>
        <v/>
      </c>
      <c r="AC634" s="1247" t="str">
        <f t="shared" si="10"/>
        <v/>
      </c>
      <c r="AD634" s="1247" t="str">
        <f t="shared" si="11"/>
        <v/>
      </c>
      <c r="AE634" s="1247" t="str">
        <f t="shared" si="12"/>
        <v/>
      </c>
      <c r="AF634" s="1247" t="str">
        <f t="shared" si="13"/>
        <v/>
      </c>
      <c r="AG634" s="1247" t="str">
        <f t="shared" si="14"/>
        <v/>
      </c>
      <c r="AH634" s="1247" t="str">
        <f t="shared" si="15"/>
        <v/>
      </c>
      <c r="AI634" s="1247" t="str">
        <f t="shared" si="16"/>
        <v/>
      </c>
      <c r="AJ634" s="1247" t="str">
        <f t="shared" si="17"/>
        <v/>
      </c>
      <c r="AK634" s="1247" t="str">
        <f t="shared" si="18"/>
        <v/>
      </c>
      <c r="AL634" s="1247" t="str">
        <f t="shared" si="19"/>
        <v/>
      </c>
      <c r="AM634" s="1247" t="str">
        <f t="shared" si="20"/>
        <v/>
      </c>
      <c r="AN634" s="1247" t="str">
        <f t="shared" si="21"/>
        <v/>
      </c>
      <c r="AO634" s="1247" t="str">
        <f t="shared" si="22"/>
        <v/>
      </c>
      <c r="AP634" s="1247" t="str">
        <f t="shared" si="23"/>
        <v/>
      </c>
      <c r="AQ634" s="1247" t="str">
        <f t="shared" si="24"/>
        <v/>
      </c>
      <c r="AR634" s="1247" t="str">
        <f t="shared" si="25"/>
        <v/>
      </c>
      <c r="AS634" s="1247" t="str">
        <f t="shared" si="26"/>
        <v/>
      </c>
      <c r="AT634" s="1247" t="str">
        <f t="shared" si="27"/>
        <v/>
      </c>
      <c r="AU634" s="1247" t="str">
        <f t="shared" si="28"/>
        <v/>
      </c>
      <c r="AV634" s="1247" t="str">
        <f t="shared" si="29"/>
        <v/>
      </c>
      <c r="AW634" s="1247" t="str">
        <f t="shared" si="30"/>
        <v/>
      </c>
      <c r="AX634" s="1247" t="str">
        <f t="shared" si="31"/>
        <v/>
      </c>
      <c r="AY634" s="1247" t="str">
        <f t="shared" si="32"/>
        <v/>
      </c>
      <c r="AZ634" s="1247" t="str">
        <f t="shared" si="33"/>
        <v/>
      </c>
      <c r="BA634" s="1247" t="str">
        <f t="shared" si="34"/>
        <v/>
      </c>
      <c r="BB634" s="1247" t="str">
        <f t="shared" si="35"/>
        <v/>
      </c>
      <c r="BC634" s="1247" t="str">
        <f t="shared" si="36"/>
        <v/>
      </c>
      <c r="BD634" s="1247" t="str">
        <f t="shared" si="37"/>
        <v/>
      </c>
      <c r="BE634" s="1247" t="str">
        <f t="shared" si="38"/>
        <v/>
      </c>
      <c r="BF634" s="1247" t="str">
        <f t="shared" si="39"/>
        <v/>
      </c>
      <c r="BG634" s="1247" t="str">
        <f t="shared" si="40"/>
        <v/>
      </c>
      <c r="BH634" s="1247" t="str">
        <f t="shared" si="41"/>
        <v/>
      </c>
      <c r="BI634" s="1247" t="str">
        <f t="shared" si="42"/>
        <v/>
      </c>
      <c r="BJ634" s="1247" t="str">
        <f t="shared" si="43"/>
        <v/>
      </c>
      <c r="BK634" s="1247" t="str">
        <f t="shared" si="44"/>
        <v/>
      </c>
      <c r="BL634" s="1247" t="str">
        <f t="shared" si="45"/>
        <v/>
      </c>
      <c r="BM634" s="1247" t="str">
        <f t="shared" si="46"/>
        <v/>
      </c>
      <c r="BN634" s="1247" t="str">
        <f t="shared" si="47"/>
        <v/>
      </c>
      <c r="BO634" s="1247" t="str">
        <f t="shared" si="48"/>
        <v/>
      </c>
      <c r="BP634" s="1247" t="str">
        <f t="shared" si="49"/>
        <v/>
      </c>
      <c r="BQ634" s="1247" t="str">
        <f t="shared" si="50"/>
        <v/>
      </c>
      <c r="BR634" s="1247" t="str">
        <f t="shared" si="51"/>
        <v/>
      </c>
      <c r="BS634" s="1247" t="str">
        <f t="shared" si="52"/>
        <v/>
      </c>
      <c r="BT634" s="1247" t="str">
        <f t="shared" si="53"/>
        <v/>
      </c>
      <c r="BU634" s="1247" t="str">
        <f t="shared" si="54"/>
        <v/>
      </c>
      <c r="BV634" s="1247" t="str">
        <f t="shared" si="55"/>
        <v/>
      </c>
      <c r="BW634" s="1247" t="str">
        <f t="shared" si="56"/>
        <v/>
      </c>
      <c r="BX634" s="1247" t="str">
        <f t="shared" si="57"/>
        <v/>
      </c>
      <c r="BY634" s="1247" t="str">
        <f t="shared" si="58"/>
        <v/>
      </c>
      <c r="BZ634" s="1247" t="str">
        <f t="shared" si="59"/>
        <v/>
      </c>
      <c r="CA634" s="1247">
        <f t="shared" si="60"/>
        <v>45066</v>
      </c>
      <c r="CB634" s="1247" t="str">
        <f t="shared" si="61"/>
        <v/>
      </c>
      <c r="CC634" s="1247" t="str">
        <f t="shared" si="62"/>
        <v/>
      </c>
      <c r="CD634" s="1247" t="str">
        <f t="shared" si="63"/>
        <v/>
      </c>
      <c r="CE634" s="1247" t="str">
        <f t="shared" si="64"/>
        <v/>
      </c>
      <c r="CF634" s="1247" t="str">
        <f t="shared" si="65"/>
        <v/>
      </c>
      <c r="CG634" s="1247" t="str">
        <f t="shared" si="66"/>
        <v/>
      </c>
      <c r="CH634" s="1247" t="str">
        <f t="shared" si="67"/>
        <v/>
      </c>
      <c r="CI634" s="1247" t="str">
        <f t="shared" si="68"/>
        <v/>
      </c>
      <c r="CJ634" s="1247" t="str">
        <f t="shared" si="69"/>
        <v/>
      </c>
      <c r="CK634" s="1247" t="str">
        <f t="shared" si="70"/>
        <v/>
      </c>
      <c r="CL634" s="1247" t="str">
        <f t="shared" si="71"/>
        <v/>
      </c>
      <c r="CM634" s="1247" t="str">
        <f t="shared" si="72"/>
        <v/>
      </c>
      <c r="CN634" s="1247" t="str">
        <f t="shared" si="73"/>
        <v/>
      </c>
      <c r="CO634" s="1247" t="str">
        <f t="shared" si="74"/>
        <v/>
      </c>
      <c r="CP634" s="1247" t="str">
        <f t="shared" si="75"/>
        <v/>
      </c>
      <c r="CQ634" s="1247" t="str">
        <f t="shared" si="76"/>
        <v/>
      </c>
      <c r="CR634" s="1247" t="str">
        <f t="shared" si="77"/>
        <v/>
      </c>
      <c r="CS634" s="1247" t="str">
        <f t="shared" si="78"/>
        <v/>
      </c>
      <c r="CT634" s="1247" t="str">
        <f t="shared" si="79"/>
        <v/>
      </c>
      <c r="CU634" s="1247" t="str">
        <f t="shared" si="80"/>
        <v/>
      </c>
      <c r="CV634" s="1247" t="str">
        <f t="shared" si="81"/>
        <v/>
      </c>
      <c r="CW634" s="1247" t="str">
        <f t="shared" si="82"/>
        <v/>
      </c>
      <c r="CX634" s="1247" t="str">
        <f t="shared" si="83"/>
        <v/>
      </c>
      <c r="CY634" s="1247" t="str">
        <f t="shared" si="84"/>
        <v/>
      </c>
      <c r="CZ634" s="1247" t="str">
        <f t="shared" si="85"/>
        <v/>
      </c>
      <c r="DA634" s="1247" t="str">
        <f t="shared" si="86"/>
        <v/>
      </c>
      <c r="DB634" s="1247" t="str">
        <f t="shared" si="87"/>
        <v/>
      </c>
      <c r="DC634" s="1247" t="str">
        <f t="shared" si="88"/>
        <v/>
      </c>
      <c r="DD634" s="1247" t="str">
        <f t="shared" si="89"/>
        <v/>
      </c>
      <c r="DE634" s="1247">
        <f t="shared" si="90"/>
        <v>42</v>
      </c>
      <c r="DF634" s="1247" t="str">
        <f t="shared" si="91"/>
        <v/>
      </c>
      <c r="DG634" s="1247" t="str">
        <f t="shared" si="92"/>
        <v/>
      </c>
      <c r="DH634" s="1247" t="str">
        <f t="shared" si="93"/>
        <v/>
      </c>
      <c r="DI634" s="1247" t="str">
        <f t="shared" si="94"/>
        <v/>
      </c>
      <c r="DJ634" s="1247" t="str">
        <f t="shared" si="95"/>
        <v/>
      </c>
      <c r="DK634" s="1247" t="str">
        <f t="shared" si="96"/>
        <v/>
      </c>
      <c r="DL634" s="1247" t="str">
        <f t="shared" si="97"/>
        <v/>
      </c>
      <c r="DM634" s="1247" t="str">
        <f t="shared" si="98"/>
        <v/>
      </c>
      <c r="DN634" s="1247" t="str">
        <f t="shared" si="99"/>
        <v/>
      </c>
      <c r="DO634" s="1247" t="str">
        <f t="shared" si="100"/>
        <v/>
      </c>
      <c r="DP634" s="1247" t="str">
        <f t="shared" si="101"/>
        <v/>
      </c>
      <c r="DQ634" s="1247" t="str">
        <f t="shared" si="102"/>
        <v/>
      </c>
      <c r="DR634" s="1247" t="str">
        <f t="shared" si="103"/>
        <v/>
      </c>
      <c r="DS634" s="1247" t="str">
        <f t="shared" si="104"/>
        <v/>
      </c>
      <c r="DT634" s="1247" t="str">
        <f t="shared" si="105"/>
        <v/>
      </c>
      <c r="DU634" s="1247" t="str">
        <f t="shared" si="106"/>
        <v/>
      </c>
      <c r="DV634" s="1247" t="str">
        <f t="shared" si="107"/>
        <v/>
      </c>
      <c r="DW634" s="1247" t="str">
        <f t="shared" si="108"/>
        <v/>
      </c>
      <c r="DX634" s="1247" t="str">
        <f t="shared" si="109"/>
        <v/>
      </c>
      <c r="DY634" s="1247" t="str">
        <f t="shared" si="110"/>
        <v/>
      </c>
      <c r="DZ634" s="1247" t="str">
        <f t="shared" si="111"/>
        <v/>
      </c>
      <c r="EA634" s="1247" t="str">
        <f t="shared" si="112"/>
        <v/>
      </c>
      <c r="EB634" s="1247" t="str">
        <f t="shared" si="113"/>
        <v/>
      </c>
      <c r="EC634" s="1247" t="str">
        <f t="shared" si="114"/>
        <v/>
      </c>
      <c r="ED634" s="1247" t="str">
        <f t="shared" si="115"/>
        <v/>
      </c>
      <c r="EE634" s="1247" t="str">
        <f t="shared" si="116"/>
        <v/>
      </c>
      <c r="EF634" s="1247" t="str">
        <f t="shared" si="117"/>
        <v/>
      </c>
      <c r="EG634" s="1247" t="str">
        <f t="shared" si="118"/>
        <v/>
      </c>
      <c r="EH634" s="1247" t="str">
        <f t="shared" si="119"/>
        <v/>
      </c>
      <c r="EI634" s="1247" t="str">
        <f t="shared" si="120"/>
        <v/>
      </c>
      <c r="EJ634" s="1247" t="str">
        <f t="shared" si="121"/>
        <v/>
      </c>
      <c r="EK634" s="1247" t="str">
        <f t="shared" si="122"/>
        <v/>
      </c>
      <c r="EL634" s="1247" t="str">
        <f t="shared" si="123"/>
        <v/>
      </c>
      <c r="EM634" s="1247" t="str">
        <f t="shared" si="124"/>
        <v/>
      </c>
      <c r="EN634" s="1247" t="str">
        <f t="shared" si="125"/>
        <v/>
      </c>
      <c r="EO634" s="1247" t="str">
        <f t="shared" si="126"/>
        <v/>
      </c>
      <c r="EP634" s="1247" t="str">
        <f t="shared" si="127"/>
        <v/>
      </c>
      <c r="EQ634" s="1247" t="str">
        <f t="shared" si="128"/>
        <v/>
      </c>
      <c r="ER634" s="1247" t="str">
        <f t="shared" si="129"/>
        <v/>
      </c>
      <c r="ES634" s="1247" t="str">
        <f t="shared" si="130"/>
        <v/>
      </c>
      <c r="ET634" s="1247" t="str">
        <f t="shared" si="131"/>
        <v/>
      </c>
      <c r="EU634" s="1247" t="str">
        <f t="shared" si="132"/>
        <v/>
      </c>
      <c r="EV634" s="2909" t="str">
        <f t="shared" si="133"/>
        <v/>
      </c>
      <c r="EW634" s="2909" t="str">
        <f t="shared" si="134"/>
        <v/>
      </c>
      <c r="EX634" s="2909">
        <f t="shared" si="135"/>
        <v>42</v>
      </c>
      <c r="EY634" s="2909" t="str">
        <f t="shared" si="136"/>
        <v/>
      </c>
      <c r="EZ634" s="2909" t="str">
        <f t="shared" si="137"/>
        <v/>
      </c>
      <c r="FA634" s="2909" t="str">
        <f t="shared" si="138"/>
        <v/>
      </c>
      <c r="FB634" s="2909" t="str">
        <f t="shared" si="139"/>
        <v/>
      </c>
      <c r="FC634" s="2909" t="str">
        <f t="shared" si="140"/>
        <v/>
      </c>
      <c r="FD634" s="2909" t="str">
        <f t="shared" si="141"/>
        <v/>
      </c>
      <c r="FE634" s="2909" t="str">
        <f t="shared" si="142"/>
        <v/>
      </c>
      <c r="FF634" s="2909" t="str">
        <f t="shared" si="143"/>
        <v/>
      </c>
      <c r="FG634" s="2909" t="str">
        <f t="shared" si="144"/>
        <v/>
      </c>
      <c r="FH634" s="2909" t="str">
        <f t="shared" si="145"/>
        <v/>
      </c>
      <c r="FI634" s="2909" t="str">
        <f t="shared" si="146"/>
        <v/>
      </c>
      <c r="FJ634" s="2909" t="str">
        <f t="shared" si="147"/>
        <v/>
      </c>
      <c r="FK634" s="2909" t="str">
        <f t="shared" si="148"/>
        <v/>
      </c>
      <c r="FL634" s="2909" t="str">
        <f t="shared" si="149"/>
        <v/>
      </c>
      <c r="FM634" s="2909" t="str">
        <f t="shared" si="150"/>
        <v/>
      </c>
      <c r="FN634" s="2909" t="str">
        <f t="shared" si="151"/>
        <v/>
      </c>
      <c r="FO634" s="2909" t="str">
        <f t="shared" si="152"/>
        <v/>
      </c>
      <c r="FP634" s="2909" t="str">
        <f t="shared" si="153"/>
        <v/>
      </c>
      <c r="FQ634" s="2909" t="str">
        <f t="shared" si="154"/>
        <v/>
      </c>
      <c r="FR634" s="2909" t="str">
        <f t="shared" si="155"/>
        <v/>
      </c>
      <c r="FS634" s="2909" t="str">
        <f t="shared" si="156"/>
        <v/>
      </c>
      <c r="FT634" s="2909" t="str">
        <f t="shared" si="157"/>
        <v/>
      </c>
      <c r="FU634" s="2909" t="str">
        <f t="shared" si="158"/>
        <v/>
      </c>
      <c r="FV634" s="2909" t="str">
        <f t="shared" si="159"/>
        <v/>
      </c>
      <c r="FW634" s="2909" t="str">
        <f t="shared" si="160"/>
        <v/>
      </c>
      <c r="FX634" s="2909" t="str">
        <f t="shared" si="161"/>
        <v/>
      </c>
      <c r="FY634" s="2909" t="str">
        <f t="shared" si="162"/>
        <v/>
      </c>
      <c r="FZ634" s="2909" t="str">
        <f t="shared" si="163"/>
        <v/>
      </c>
      <c r="GA634" s="2909" t="str">
        <f t="shared" si="164"/>
        <v/>
      </c>
      <c r="GB634" s="2909" t="str">
        <f t="shared" si="165"/>
        <v/>
      </c>
      <c r="GC634" s="2909" t="str">
        <f t="shared" si="166"/>
        <v/>
      </c>
      <c r="GD634" s="2909" t="str">
        <f t="shared" si="167"/>
        <v/>
      </c>
      <c r="GE634" s="2909" t="str">
        <f t="shared" si="168"/>
        <v/>
      </c>
      <c r="GF634" s="2909" t="str">
        <f t="shared" si="169"/>
        <v/>
      </c>
      <c r="GG634" s="2909" t="str">
        <f t="shared" si="170"/>
        <v/>
      </c>
      <c r="GH634" s="2909" t="str">
        <f t="shared" si="171"/>
        <v/>
      </c>
      <c r="GI634" s="2909" t="str">
        <f t="shared" si="172"/>
        <v/>
      </c>
      <c r="GJ634" s="2909" t="str">
        <f t="shared" si="173"/>
        <v/>
      </c>
      <c r="GK634" s="2909" t="str">
        <f t="shared" si="174"/>
        <v/>
      </c>
      <c r="GL634" s="2909" t="str">
        <f t="shared" si="175"/>
        <v/>
      </c>
      <c r="GM634" s="2909" t="str">
        <f t="shared" si="176"/>
        <v/>
      </c>
      <c r="GN634" s="2909" t="str">
        <f t="shared" si="177"/>
        <v/>
      </c>
      <c r="GO634" s="2909" t="str">
        <f t="shared" si="178"/>
        <v/>
      </c>
      <c r="GP634" s="2909" t="str">
        <f t="shared" si="179"/>
        <v/>
      </c>
      <c r="GQ634" s="2909" t="str">
        <f t="shared" si="180"/>
        <v/>
      </c>
      <c r="GR634" s="2909" t="str">
        <f t="shared" si="181"/>
        <v/>
      </c>
      <c r="GS634" s="2909" t="str">
        <f t="shared" si="182"/>
        <v/>
      </c>
      <c r="GT634" s="2909" t="str">
        <f t="shared" si="183"/>
        <v/>
      </c>
      <c r="GU634" s="2909" t="str">
        <f t="shared" si="184"/>
        <v/>
      </c>
      <c r="GV634" s="2909" t="str">
        <f t="shared" si="185"/>
        <v/>
      </c>
      <c r="GW634" s="2909" t="str">
        <f t="shared" si="186"/>
        <v/>
      </c>
      <c r="GX634" s="2909" t="str">
        <f t="shared" si="187"/>
        <v/>
      </c>
      <c r="GY634" s="2909" t="str">
        <f t="shared" si="188"/>
        <v/>
      </c>
      <c r="GZ634" s="2909" t="str">
        <f t="shared" si="189"/>
        <v/>
      </c>
      <c r="HA634" s="2909" t="str">
        <f t="shared" si="190"/>
        <v/>
      </c>
      <c r="HB634" s="2909" t="str">
        <f t="shared" si="191"/>
        <v/>
      </c>
      <c r="HC634" s="2909" t="str">
        <f t="shared" si="192"/>
        <v/>
      </c>
      <c r="HD634" s="2909" t="str">
        <f t="shared" si="193"/>
        <v/>
      </c>
      <c r="HE634" s="2909" t="str">
        <f t="shared" si="194"/>
        <v/>
      </c>
      <c r="HF634" s="2909" t="str">
        <f t="shared" si="195"/>
        <v/>
      </c>
      <c r="HG634" s="2909" t="str">
        <f t="shared" si="196"/>
        <v/>
      </c>
      <c r="HH634" s="2909" t="str">
        <f t="shared" si="197"/>
        <v/>
      </c>
      <c r="HI634" s="2909" t="str">
        <f t="shared" si="198"/>
        <v/>
      </c>
      <c r="HJ634" s="2909" t="str">
        <f t="shared" si="199"/>
        <v/>
      </c>
      <c r="HK634" s="2909" t="str">
        <f t="shared" si="200"/>
        <v/>
      </c>
      <c r="HL634" s="2909" t="str">
        <f t="shared" si="201"/>
        <v/>
      </c>
      <c r="HM634" s="2909" t="str">
        <f t="shared" si="202"/>
        <v/>
      </c>
      <c r="HN634" s="2909" t="str">
        <f t="shared" si="203"/>
        <v/>
      </c>
      <c r="HO634" s="2909" t="str">
        <f t="shared" si="204"/>
        <v/>
      </c>
      <c r="HP634" s="2909" t="str">
        <f t="shared" si="205"/>
        <v/>
      </c>
      <c r="HQ634" s="2909" t="str">
        <f t="shared" si="206"/>
        <v/>
      </c>
      <c r="HR634" s="2909" t="str">
        <f t="shared" si="207"/>
        <v/>
      </c>
      <c r="HS634" s="2909" t="str">
        <f t="shared" si="208"/>
        <v/>
      </c>
      <c r="HT634" s="2909" t="str">
        <f t="shared" si="209"/>
        <v/>
      </c>
      <c r="HU634" s="2909">
        <f t="shared" si="210"/>
        <v>42</v>
      </c>
      <c r="HV634" s="2909" t="str">
        <f t="shared" si="211"/>
        <v/>
      </c>
      <c r="HW634" s="2909" t="str">
        <f t="shared" si="212"/>
        <v/>
      </c>
      <c r="HX634" s="2909" t="str">
        <f t="shared" si="213"/>
        <v/>
      </c>
      <c r="HY634" s="2909" t="str">
        <f t="shared" si="214"/>
        <v/>
      </c>
      <c r="HZ634" s="2909" t="str">
        <f t="shared" si="215"/>
        <v/>
      </c>
      <c r="IA634" s="2909" t="str">
        <f t="shared" si="216"/>
        <v/>
      </c>
      <c r="IB634" s="2909" t="str">
        <f t="shared" si="217"/>
        <v/>
      </c>
      <c r="IC634" s="2879" t="str">
        <f t="shared" si="218"/>
        <v/>
      </c>
      <c r="ID634" s="2879" t="str">
        <f t="shared" si="219"/>
        <v/>
      </c>
      <c r="IE634" s="2879" t="str">
        <f t="shared" si="220"/>
        <v/>
      </c>
      <c r="IF634" s="2879" t="str">
        <f t="shared" si="221"/>
        <v/>
      </c>
      <c r="IG634" s="2879" t="str">
        <f t="shared" si="222"/>
        <v/>
      </c>
      <c r="IH634" s="1247" t="str">
        <f t="shared" si="223"/>
        <v/>
      </c>
      <c r="II634" s="1247" t="str">
        <f t="shared" si="224"/>
        <v/>
      </c>
      <c r="IJ634" s="1247" t="str">
        <f t="shared" si="225"/>
        <v/>
      </c>
      <c r="IK634" s="1247" t="str">
        <f t="shared" si="226"/>
        <v/>
      </c>
      <c r="IL634" s="1247" t="str">
        <f t="shared" si="227"/>
        <v/>
      </c>
      <c r="IM634" s="1247" t="str">
        <f t="shared" si="228"/>
        <v/>
      </c>
      <c r="IN634" s="1247" t="str">
        <f t="shared" si="229"/>
        <v/>
      </c>
      <c r="IO634" s="1247" t="str">
        <f t="shared" si="230"/>
        <v/>
      </c>
      <c r="IP634" s="1247" t="str">
        <f t="shared" si="231"/>
        <v/>
      </c>
      <c r="IQ634" s="1247" t="str">
        <f t="shared" si="232"/>
        <v/>
      </c>
      <c r="IR634" s="1247" t="str">
        <f t="shared" si="233"/>
        <v/>
      </c>
      <c r="IS634" s="1247" t="str">
        <f t="shared" si="234"/>
        <v/>
      </c>
      <c r="IT634" s="1247" t="str">
        <f t="shared" si="235"/>
        <v/>
      </c>
      <c r="IU634" s="1247" t="str">
        <f t="shared" si="236"/>
        <v/>
      </c>
      <c r="IV634" s="1247" t="str">
        <f t="shared" si="237"/>
        <v/>
      </c>
      <c r="IW634" s="1247" t="str">
        <f t="shared" si="238"/>
        <v/>
      </c>
      <c r="IX634" s="1247" t="str">
        <f t="shared" si="239"/>
        <v/>
      </c>
      <c r="IY634" s="1247" t="str">
        <f t="shared" si="240"/>
        <v/>
      </c>
      <c r="IZ634" s="1247" t="str">
        <f t="shared" si="241"/>
        <v/>
      </c>
      <c r="JA634" s="1247" t="str">
        <f t="shared" si="242"/>
        <v/>
      </c>
      <c r="JB634" s="2877">
        <f t="shared" si="243"/>
        <v>0</v>
      </c>
      <c r="JC634" s="2877">
        <f t="shared" si="244"/>
        <v>0</v>
      </c>
      <c r="JD634" s="2877">
        <f t="shared" si="245"/>
        <v>0</v>
      </c>
      <c r="JE634" s="2877">
        <f t="shared" si="246"/>
        <v>0</v>
      </c>
      <c r="JF634" s="2877">
        <f t="shared" si="247"/>
        <v>0</v>
      </c>
      <c r="JG634" s="2877">
        <f t="shared" si="248"/>
        <v>0</v>
      </c>
      <c r="JH634" s="2877">
        <f t="shared" si="249"/>
        <v>0</v>
      </c>
      <c r="JI634" s="2877">
        <f t="shared" si="250"/>
        <v>42</v>
      </c>
      <c r="JJ634" s="2877">
        <f t="shared" si="251"/>
        <v>0</v>
      </c>
      <c r="JK634" s="2877">
        <f t="shared" si="252"/>
        <v>0</v>
      </c>
      <c r="JL634" s="2877">
        <f t="shared" si="253"/>
        <v>0</v>
      </c>
      <c r="JM634" s="2877">
        <f t="shared" si="254"/>
        <v>0</v>
      </c>
      <c r="JN634" s="2877">
        <f t="shared" si="255"/>
        <v>0</v>
      </c>
      <c r="JO634" s="2877">
        <f t="shared" si="256"/>
        <v>0</v>
      </c>
      <c r="JP634" s="2877">
        <f t="shared" si="257"/>
        <v>0</v>
      </c>
    </row>
    <row r="635" spans="1:276" ht="12" customHeight="1">
      <c r="A635" s="2891" t="str">
        <f t="shared" si="0"/>
        <v/>
      </c>
      <c r="B635" s="2900" t="str">
        <f>'Part VI-Revenues &amp; Expenses'!B15</f>
        <v>60% AMI</v>
      </c>
      <c r="C635" s="2901">
        <f>'Part VI-Revenues &amp; Expenses'!C15</f>
        <v>3</v>
      </c>
      <c r="D635" s="2902">
        <f>'Part VI-Revenues &amp; Expenses'!D15</f>
        <v>2</v>
      </c>
      <c r="E635" s="2903">
        <f>'Part VI-Revenues &amp; Expenses'!E15</f>
        <v>20</v>
      </c>
      <c r="F635" s="2903">
        <f>'Part VI-Revenues &amp; Expenses'!F15</f>
        <v>1295</v>
      </c>
      <c r="G635" s="2903">
        <f>'Part VI-Revenues &amp; Expenses'!G15</f>
        <v>1019</v>
      </c>
      <c r="H635" s="2903">
        <f>'Part VI-Revenues &amp; Expenses'!H15</f>
        <v>910</v>
      </c>
      <c r="I635" s="2903">
        <f>'Part VI-Revenues &amp; Expenses'!I15</f>
        <v>255</v>
      </c>
      <c r="J635" s="2904">
        <f>'Part VI-Revenues &amp; Expenses'!J15</f>
        <v>0</v>
      </c>
      <c r="K635" s="2905">
        <f t="shared" si="1"/>
        <v>655</v>
      </c>
      <c r="L635" s="2905">
        <f t="shared" si="2"/>
        <v>13100</v>
      </c>
      <c r="M635" s="2886" t="str">
        <f>'Part VI-Revenues &amp; Expenses'!M15</f>
        <v>No</v>
      </c>
      <c r="N635" s="2886" t="str">
        <f>'Part VI-Revenues &amp; Expenses'!N15</f>
        <v>3+ Story</v>
      </c>
      <c r="O635" s="2886" t="str">
        <f>'Part VI-Revenues &amp; Expenses'!O15</f>
        <v>New Construction</v>
      </c>
      <c r="P635" s="2886" t="str">
        <f>'Part VI-Revenues &amp; Expenses'!P15</f>
        <v>No</v>
      </c>
      <c r="Q635" s="2906" t="e">
        <f>IF(H635="","",P635/($O$626*VLOOKUP(C635,'DCA Underwriting Assumptions'!$J$118:$K$123,2,FALSE)))</f>
        <v>#VALUE!</v>
      </c>
      <c r="R635" s="2907"/>
      <c r="S635" s="2906"/>
      <c r="T635" s="2908"/>
      <c r="U635" s="2908"/>
      <c r="V635" s="1247" t="str">
        <f t="shared" si="3"/>
        <v/>
      </c>
      <c r="W635" s="1247" t="str">
        <f t="shared" si="4"/>
        <v/>
      </c>
      <c r="X635" s="1247" t="str">
        <f t="shared" si="5"/>
        <v/>
      </c>
      <c r="Y635" s="1247">
        <f t="shared" si="6"/>
        <v>20</v>
      </c>
      <c r="Z635" s="1247" t="str">
        <f t="shared" si="7"/>
        <v/>
      </c>
      <c r="AA635" s="1247" t="str">
        <f t="shared" si="8"/>
        <v/>
      </c>
      <c r="AB635" s="1247" t="str">
        <f t="shared" si="9"/>
        <v/>
      </c>
      <c r="AC635" s="1247" t="str">
        <f t="shared" si="10"/>
        <v/>
      </c>
      <c r="AD635" s="1247" t="str">
        <f t="shared" si="11"/>
        <v/>
      </c>
      <c r="AE635" s="1247" t="str">
        <f t="shared" si="12"/>
        <v/>
      </c>
      <c r="AF635" s="1247" t="str">
        <f t="shared" si="13"/>
        <v/>
      </c>
      <c r="AG635" s="1247" t="str">
        <f t="shared" si="14"/>
        <v/>
      </c>
      <c r="AH635" s="1247" t="str">
        <f t="shared" si="15"/>
        <v/>
      </c>
      <c r="AI635" s="1247" t="str">
        <f t="shared" si="16"/>
        <v/>
      </c>
      <c r="AJ635" s="1247" t="str">
        <f t="shared" si="17"/>
        <v/>
      </c>
      <c r="AK635" s="1247" t="str">
        <f t="shared" si="18"/>
        <v/>
      </c>
      <c r="AL635" s="1247" t="str">
        <f t="shared" si="19"/>
        <v/>
      </c>
      <c r="AM635" s="1247" t="str">
        <f t="shared" si="20"/>
        <v/>
      </c>
      <c r="AN635" s="1247" t="str">
        <f t="shared" si="21"/>
        <v/>
      </c>
      <c r="AO635" s="1247" t="str">
        <f t="shared" si="22"/>
        <v/>
      </c>
      <c r="AP635" s="1247" t="str">
        <f t="shared" si="23"/>
        <v/>
      </c>
      <c r="AQ635" s="1247" t="str">
        <f t="shared" si="24"/>
        <v/>
      </c>
      <c r="AR635" s="1247" t="str">
        <f t="shared" si="25"/>
        <v/>
      </c>
      <c r="AS635" s="1247" t="str">
        <f t="shared" si="26"/>
        <v/>
      </c>
      <c r="AT635" s="1247" t="str">
        <f t="shared" si="27"/>
        <v/>
      </c>
      <c r="AU635" s="1247" t="str">
        <f t="shared" si="28"/>
        <v/>
      </c>
      <c r="AV635" s="1247" t="str">
        <f t="shared" si="29"/>
        <v/>
      </c>
      <c r="AW635" s="1247" t="str">
        <f t="shared" si="30"/>
        <v/>
      </c>
      <c r="AX635" s="1247" t="str">
        <f t="shared" si="31"/>
        <v/>
      </c>
      <c r="AY635" s="1247" t="str">
        <f t="shared" si="32"/>
        <v/>
      </c>
      <c r="AZ635" s="1247" t="str">
        <f t="shared" si="33"/>
        <v/>
      </c>
      <c r="BA635" s="1247" t="str">
        <f t="shared" si="34"/>
        <v/>
      </c>
      <c r="BB635" s="1247" t="str">
        <f t="shared" si="35"/>
        <v/>
      </c>
      <c r="BC635" s="1247" t="str">
        <f t="shared" si="36"/>
        <v/>
      </c>
      <c r="BD635" s="1247" t="str">
        <f t="shared" si="37"/>
        <v/>
      </c>
      <c r="BE635" s="1247" t="str">
        <f t="shared" si="38"/>
        <v/>
      </c>
      <c r="BF635" s="1247" t="str">
        <f t="shared" si="39"/>
        <v/>
      </c>
      <c r="BG635" s="1247" t="str">
        <f t="shared" si="40"/>
        <v/>
      </c>
      <c r="BH635" s="1247" t="str">
        <f t="shared" si="41"/>
        <v/>
      </c>
      <c r="BI635" s="1247" t="str">
        <f t="shared" si="42"/>
        <v/>
      </c>
      <c r="BJ635" s="1247" t="str">
        <f t="shared" si="43"/>
        <v/>
      </c>
      <c r="BK635" s="1247" t="str">
        <f t="shared" si="44"/>
        <v/>
      </c>
      <c r="BL635" s="1247" t="str">
        <f t="shared" si="45"/>
        <v/>
      </c>
      <c r="BM635" s="1247" t="str">
        <f t="shared" si="46"/>
        <v/>
      </c>
      <c r="BN635" s="1247" t="str">
        <f t="shared" si="47"/>
        <v/>
      </c>
      <c r="BO635" s="1247" t="str">
        <f t="shared" si="48"/>
        <v/>
      </c>
      <c r="BP635" s="1247" t="str">
        <f t="shared" si="49"/>
        <v/>
      </c>
      <c r="BQ635" s="1247" t="str">
        <f t="shared" si="50"/>
        <v/>
      </c>
      <c r="BR635" s="1247" t="str">
        <f t="shared" si="51"/>
        <v/>
      </c>
      <c r="BS635" s="1247" t="str">
        <f t="shared" si="52"/>
        <v/>
      </c>
      <c r="BT635" s="1247" t="str">
        <f t="shared" si="53"/>
        <v/>
      </c>
      <c r="BU635" s="1247" t="str">
        <f t="shared" si="54"/>
        <v/>
      </c>
      <c r="BV635" s="1247" t="str">
        <f t="shared" si="55"/>
        <v/>
      </c>
      <c r="BW635" s="1247" t="str">
        <f t="shared" si="56"/>
        <v/>
      </c>
      <c r="BX635" s="1247" t="str">
        <f t="shared" si="57"/>
        <v/>
      </c>
      <c r="BY635" s="1247" t="str">
        <f t="shared" si="58"/>
        <v/>
      </c>
      <c r="BZ635" s="1247" t="str">
        <f t="shared" si="59"/>
        <v/>
      </c>
      <c r="CA635" s="1247" t="str">
        <f t="shared" si="60"/>
        <v/>
      </c>
      <c r="CB635" s="1247">
        <f t="shared" si="61"/>
        <v>25900</v>
      </c>
      <c r="CC635" s="1247" t="str">
        <f t="shared" si="62"/>
        <v/>
      </c>
      <c r="CD635" s="1247" t="str">
        <f t="shared" si="63"/>
        <v/>
      </c>
      <c r="CE635" s="1247" t="str">
        <f t="shared" si="64"/>
        <v/>
      </c>
      <c r="CF635" s="1247" t="str">
        <f t="shared" si="65"/>
        <v/>
      </c>
      <c r="CG635" s="1247" t="str">
        <f t="shared" si="66"/>
        <v/>
      </c>
      <c r="CH635" s="1247" t="str">
        <f t="shared" si="67"/>
        <v/>
      </c>
      <c r="CI635" s="1247" t="str">
        <f t="shared" si="68"/>
        <v/>
      </c>
      <c r="CJ635" s="1247" t="str">
        <f t="shared" si="69"/>
        <v/>
      </c>
      <c r="CK635" s="1247" t="str">
        <f t="shared" si="70"/>
        <v/>
      </c>
      <c r="CL635" s="1247" t="str">
        <f t="shared" si="71"/>
        <v/>
      </c>
      <c r="CM635" s="1247" t="str">
        <f t="shared" si="72"/>
        <v/>
      </c>
      <c r="CN635" s="1247" t="str">
        <f t="shared" si="73"/>
        <v/>
      </c>
      <c r="CO635" s="1247" t="str">
        <f t="shared" si="74"/>
        <v/>
      </c>
      <c r="CP635" s="1247" t="str">
        <f t="shared" si="75"/>
        <v/>
      </c>
      <c r="CQ635" s="1247" t="str">
        <f t="shared" si="76"/>
        <v/>
      </c>
      <c r="CR635" s="1247" t="str">
        <f t="shared" si="77"/>
        <v/>
      </c>
      <c r="CS635" s="1247" t="str">
        <f t="shared" si="78"/>
        <v/>
      </c>
      <c r="CT635" s="1247" t="str">
        <f t="shared" si="79"/>
        <v/>
      </c>
      <c r="CU635" s="1247" t="str">
        <f t="shared" si="80"/>
        <v/>
      </c>
      <c r="CV635" s="1247" t="str">
        <f t="shared" si="81"/>
        <v/>
      </c>
      <c r="CW635" s="1247" t="str">
        <f t="shared" si="82"/>
        <v/>
      </c>
      <c r="CX635" s="1247" t="str">
        <f t="shared" si="83"/>
        <v/>
      </c>
      <c r="CY635" s="1247" t="str">
        <f t="shared" si="84"/>
        <v/>
      </c>
      <c r="CZ635" s="1247" t="str">
        <f t="shared" si="85"/>
        <v/>
      </c>
      <c r="DA635" s="1247" t="str">
        <f t="shared" si="86"/>
        <v/>
      </c>
      <c r="DB635" s="1247" t="str">
        <f t="shared" si="87"/>
        <v/>
      </c>
      <c r="DC635" s="1247" t="str">
        <f t="shared" si="88"/>
        <v/>
      </c>
      <c r="DD635" s="1247" t="str">
        <f t="shared" si="89"/>
        <v/>
      </c>
      <c r="DE635" s="1247" t="str">
        <f t="shared" si="90"/>
        <v/>
      </c>
      <c r="DF635" s="1247">
        <f t="shared" si="91"/>
        <v>20</v>
      </c>
      <c r="DG635" s="1247" t="str">
        <f t="shared" si="92"/>
        <v/>
      </c>
      <c r="DH635" s="1247" t="str">
        <f t="shared" si="93"/>
        <v/>
      </c>
      <c r="DI635" s="1247" t="str">
        <f t="shared" si="94"/>
        <v/>
      </c>
      <c r="DJ635" s="1247" t="str">
        <f t="shared" si="95"/>
        <v/>
      </c>
      <c r="DK635" s="1247" t="str">
        <f t="shared" si="96"/>
        <v/>
      </c>
      <c r="DL635" s="1247" t="str">
        <f t="shared" si="97"/>
        <v/>
      </c>
      <c r="DM635" s="1247" t="str">
        <f t="shared" si="98"/>
        <v/>
      </c>
      <c r="DN635" s="1247" t="str">
        <f t="shared" si="99"/>
        <v/>
      </c>
      <c r="DO635" s="1247" t="str">
        <f t="shared" si="100"/>
        <v/>
      </c>
      <c r="DP635" s="1247" t="str">
        <f t="shared" si="101"/>
        <v/>
      </c>
      <c r="DQ635" s="1247" t="str">
        <f t="shared" si="102"/>
        <v/>
      </c>
      <c r="DR635" s="1247" t="str">
        <f t="shared" si="103"/>
        <v/>
      </c>
      <c r="DS635" s="1247" t="str">
        <f t="shared" si="104"/>
        <v/>
      </c>
      <c r="DT635" s="1247" t="str">
        <f t="shared" si="105"/>
        <v/>
      </c>
      <c r="DU635" s="1247" t="str">
        <f t="shared" si="106"/>
        <v/>
      </c>
      <c r="DV635" s="1247" t="str">
        <f t="shared" si="107"/>
        <v/>
      </c>
      <c r="DW635" s="1247" t="str">
        <f t="shared" si="108"/>
        <v/>
      </c>
      <c r="DX635" s="1247" t="str">
        <f t="shared" si="109"/>
        <v/>
      </c>
      <c r="DY635" s="1247" t="str">
        <f t="shared" si="110"/>
        <v/>
      </c>
      <c r="DZ635" s="1247" t="str">
        <f t="shared" si="111"/>
        <v/>
      </c>
      <c r="EA635" s="1247" t="str">
        <f t="shared" si="112"/>
        <v/>
      </c>
      <c r="EB635" s="1247" t="str">
        <f t="shared" si="113"/>
        <v/>
      </c>
      <c r="EC635" s="1247" t="str">
        <f t="shared" si="114"/>
        <v/>
      </c>
      <c r="ED635" s="1247" t="str">
        <f t="shared" si="115"/>
        <v/>
      </c>
      <c r="EE635" s="1247" t="str">
        <f t="shared" si="116"/>
        <v/>
      </c>
      <c r="EF635" s="1247" t="str">
        <f t="shared" si="117"/>
        <v/>
      </c>
      <c r="EG635" s="1247" t="str">
        <f t="shared" si="118"/>
        <v/>
      </c>
      <c r="EH635" s="1247" t="str">
        <f t="shared" si="119"/>
        <v/>
      </c>
      <c r="EI635" s="1247" t="str">
        <f t="shared" si="120"/>
        <v/>
      </c>
      <c r="EJ635" s="1247" t="str">
        <f t="shared" si="121"/>
        <v/>
      </c>
      <c r="EK635" s="1247" t="str">
        <f t="shared" si="122"/>
        <v/>
      </c>
      <c r="EL635" s="1247" t="str">
        <f t="shared" si="123"/>
        <v/>
      </c>
      <c r="EM635" s="1247" t="str">
        <f t="shared" si="124"/>
        <v/>
      </c>
      <c r="EN635" s="1247" t="str">
        <f t="shared" si="125"/>
        <v/>
      </c>
      <c r="EO635" s="1247" t="str">
        <f t="shared" si="126"/>
        <v/>
      </c>
      <c r="EP635" s="1247" t="str">
        <f t="shared" si="127"/>
        <v/>
      </c>
      <c r="EQ635" s="1247" t="str">
        <f t="shared" si="128"/>
        <v/>
      </c>
      <c r="ER635" s="1247" t="str">
        <f t="shared" si="129"/>
        <v/>
      </c>
      <c r="ES635" s="1247" t="str">
        <f t="shared" si="130"/>
        <v/>
      </c>
      <c r="ET635" s="1247" t="str">
        <f t="shared" si="131"/>
        <v/>
      </c>
      <c r="EU635" s="1247" t="str">
        <f t="shared" si="132"/>
        <v/>
      </c>
      <c r="EV635" s="2909" t="str">
        <f t="shared" si="133"/>
        <v/>
      </c>
      <c r="EW635" s="2909" t="str">
        <f t="shared" si="134"/>
        <v/>
      </c>
      <c r="EX635" s="2909" t="str">
        <f t="shared" si="135"/>
        <v/>
      </c>
      <c r="EY635" s="2909">
        <f t="shared" si="136"/>
        <v>20</v>
      </c>
      <c r="EZ635" s="2909" t="str">
        <f t="shared" si="137"/>
        <v/>
      </c>
      <c r="FA635" s="2909" t="str">
        <f t="shared" si="138"/>
        <v/>
      </c>
      <c r="FB635" s="2909" t="str">
        <f t="shared" si="139"/>
        <v/>
      </c>
      <c r="FC635" s="2909" t="str">
        <f t="shared" si="140"/>
        <v/>
      </c>
      <c r="FD635" s="2909" t="str">
        <f t="shared" si="141"/>
        <v/>
      </c>
      <c r="FE635" s="2909" t="str">
        <f t="shared" si="142"/>
        <v/>
      </c>
      <c r="FF635" s="2909" t="str">
        <f t="shared" si="143"/>
        <v/>
      </c>
      <c r="FG635" s="2909" t="str">
        <f t="shared" si="144"/>
        <v/>
      </c>
      <c r="FH635" s="2909" t="str">
        <f t="shared" si="145"/>
        <v/>
      </c>
      <c r="FI635" s="2909" t="str">
        <f t="shared" si="146"/>
        <v/>
      </c>
      <c r="FJ635" s="2909" t="str">
        <f t="shared" si="147"/>
        <v/>
      </c>
      <c r="FK635" s="2909" t="str">
        <f t="shared" si="148"/>
        <v/>
      </c>
      <c r="FL635" s="2909" t="str">
        <f t="shared" si="149"/>
        <v/>
      </c>
      <c r="FM635" s="2909" t="str">
        <f t="shared" si="150"/>
        <v/>
      </c>
      <c r="FN635" s="2909" t="str">
        <f t="shared" si="151"/>
        <v/>
      </c>
      <c r="FO635" s="2909" t="str">
        <f t="shared" si="152"/>
        <v/>
      </c>
      <c r="FP635" s="2909" t="str">
        <f t="shared" si="153"/>
        <v/>
      </c>
      <c r="FQ635" s="2909" t="str">
        <f t="shared" si="154"/>
        <v/>
      </c>
      <c r="FR635" s="2909" t="str">
        <f t="shared" si="155"/>
        <v/>
      </c>
      <c r="FS635" s="2909" t="str">
        <f t="shared" si="156"/>
        <v/>
      </c>
      <c r="FT635" s="2909" t="str">
        <f t="shared" si="157"/>
        <v/>
      </c>
      <c r="FU635" s="2909" t="str">
        <f t="shared" si="158"/>
        <v/>
      </c>
      <c r="FV635" s="2909" t="str">
        <f t="shared" si="159"/>
        <v/>
      </c>
      <c r="FW635" s="2909" t="str">
        <f t="shared" si="160"/>
        <v/>
      </c>
      <c r="FX635" s="2909" t="str">
        <f t="shared" si="161"/>
        <v/>
      </c>
      <c r="FY635" s="2909" t="str">
        <f t="shared" si="162"/>
        <v/>
      </c>
      <c r="FZ635" s="2909" t="str">
        <f t="shared" si="163"/>
        <v/>
      </c>
      <c r="GA635" s="2909" t="str">
        <f t="shared" si="164"/>
        <v/>
      </c>
      <c r="GB635" s="2909" t="str">
        <f t="shared" si="165"/>
        <v/>
      </c>
      <c r="GC635" s="2909" t="str">
        <f t="shared" si="166"/>
        <v/>
      </c>
      <c r="GD635" s="2909" t="str">
        <f t="shared" si="167"/>
        <v/>
      </c>
      <c r="GE635" s="2909" t="str">
        <f t="shared" si="168"/>
        <v/>
      </c>
      <c r="GF635" s="2909" t="str">
        <f t="shared" si="169"/>
        <v/>
      </c>
      <c r="GG635" s="2909" t="str">
        <f t="shared" si="170"/>
        <v/>
      </c>
      <c r="GH635" s="2909" t="str">
        <f t="shared" si="171"/>
        <v/>
      </c>
      <c r="GI635" s="2909" t="str">
        <f t="shared" si="172"/>
        <v/>
      </c>
      <c r="GJ635" s="2909" t="str">
        <f t="shared" si="173"/>
        <v/>
      </c>
      <c r="GK635" s="2909" t="str">
        <f t="shared" si="174"/>
        <v/>
      </c>
      <c r="GL635" s="2909" t="str">
        <f t="shared" si="175"/>
        <v/>
      </c>
      <c r="GM635" s="2909" t="str">
        <f t="shared" si="176"/>
        <v/>
      </c>
      <c r="GN635" s="2909" t="str">
        <f t="shared" si="177"/>
        <v/>
      </c>
      <c r="GO635" s="2909" t="str">
        <f t="shared" si="178"/>
        <v/>
      </c>
      <c r="GP635" s="2909" t="str">
        <f t="shared" si="179"/>
        <v/>
      </c>
      <c r="GQ635" s="2909" t="str">
        <f t="shared" si="180"/>
        <v/>
      </c>
      <c r="GR635" s="2909" t="str">
        <f t="shared" si="181"/>
        <v/>
      </c>
      <c r="GS635" s="2909" t="str">
        <f t="shared" si="182"/>
        <v/>
      </c>
      <c r="GT635" s="2909" t="str">
        <f t="shared" si="183"/>
        <v/>
      </c>
      <c r="GU635" s="2909" t="str">
        <f t="shared" si="184"/>
        <v/>
      </c>
      <c r="GV635" s="2909" t="str">
        <f t="shared" si="185"/>
        <v/>
      </c>
      <c r="GW635" s="2909" t="str">
        <f t="shared" si="186"/>
        <v/>
      </c>
      <c r="GX635" s="2909" t="str">
        <f t="shared" si="187"/>
        <v/>
      </c>
      <c r="GY635" s="2909" t="str">
        <f t="shared" si="188"/>
        <v/>
      </c>
      <c r="GZ635" s="2909" t="str">
        <f t="shared" si="189"/>
        <v/>
      </c>
      <c r="HA635" s="2909" t="str">
        <f t="shared" si="190"/>
        <v/>
      </c>
      <c r="HB635" s="2909" t="str">
        <f t="shared" si="191"/>
        <v/>
      </c>
      <c r="HC635" s="2909" t="str">
        <f t="shared" si="192"/>
        <v/>
      </c>
      <c r="HD635" s="2909" t="str">
        <f t="shared" si="193"/>
        <v/>
      </c>
      <c r="HE635" s="2909" t="str">
        <f t="shared" si="194"/>
        <v/>
      </c>
      <c r="HF635" s="2909" t="str">
        <f t="shared" si="195"/>
        <v/>
      </c>
      <c r="HG635" s="2909" t="str">
        <f t="shared" si="196"/>
        <v/>
      </c>
      <c r="HH635" s="2909" t="str">
        <f t="shared" si="197"/>
        <v/>
      </c>
      <c r="HI635" s="2909" t="str">
        <f t="shared" si="198"/>
        <v/>
      </c>
      <c r="HJ635" s="2909" t="str">
        <f t="shared" si="199"/>
        <v/>
      </c>
      <c r="HK635" s="2909" t="str">
        <f t="shared" si="200"/>
        <v/>
      </c>
      <c r="HL635" s="2909" t="str">
        <f t="shared" si="201"/>
        <v/>
      </c>
      <c r="HM635" s="2909" t="str">
        <f t="shared" si="202"/>
        <v/>
      </c>
      <c r="HN635" s="2909" t="str">
        <f t="shared" si="203"/>
        <v/>
      </c>
      <c r="HO635" s="2909" t="str">
        <f t="shared" si="204"/>
        <v/>
      </c>
      <c r="HP635" s="2909" t="str">
        <f t="shared" si="205"/>
        <v/>
      </c>
      <c r="HQ635" s="2909" t="str">
        <f t="shared" si="206"/>
        <v/>
      </c>
      <c r="HR635" s="2909" t="str">
        <f t="shared" si="207"/>
        <v/>
      </c>
      <c r="HS635" s="2909" t="str">
        <f t="shared" si="208"/>
        <v/>
      </c>
      <c r="HT635" s="2909" t="str">
        <f t="shared" si="209"/>
        <v/>
      </c>
      <c r="HU635" s="2909" t="str">
        <f t="shared" si="210"/>
        <v/>
      </c>
      <c r="HV635" s="2909">
        <f t="shared" si="211"/>
        <v>20</v>
      </c>
      <c r="HW635" s="2909" t="str">
        <f t="shared" si="212"/>
        <v/>
      </c>
      <c r="HX635" s="2909" t="str">
        <f t="shared" si="213"/>
        <v/>
      </c>
      <c r="HY635" s="2909" t="str">
        <f t="shared" si="214"/>
        <v/>
      </c>
      <c r="HZ635" s="2909" t="str">
        <f t="shared" si="215"/>
        <v/>
      </c>
      <c r="IA635" s="2909" t="str">
        <f t="shared" si="216"/>
        <v/>
      </c>
      <c r="IB635" s="2909" t="str">
        <f t="shared" si="217"/>
        <v/>
      </c>
      <c r="IC635" s="2879" t="str">
        <f t="shared" si="218"/>
        <v/>
      </c>
      <c r="ID635" s="2879" t="str">
        <f t="shared" si="219"/>
        <v/>
      </c>
      <c r="IE635" s="2879" t="str">
        <f t="shared" si="220"/>
        <v/>
      </c>
      <c r="IF635" s="2879" t="str">
        <f t="shared" si="221"/>
        <v/>
      </c>
      <c r="IG635" s="2879" t="str">
        <f t="shared" si="222"/>
        <v/>
      </c>
      <c r="IH635" s="1247" t="str">
        <f t="shared" si="223"/>
        <v/>
      </c>
      <c r="II635" s="1247" t="str">
        <f t="shared" si="224"/>
        <v/>
      </c>
      <c r="IJ635" s="1247" t="str">
        <f t="shared" si="225"/>
        <v/>
      </c>
      <c r="IK635" s="1247" t="str">
        <f t="shared" si="226"/>
        <v/>
      </c>
      <c r="IL635" s="1247" t="str">
        <f t="shared" si="227"/>
        <v/>
      </c>
      <c r="IM635" s="1247" t="str">
        <f t="shared" si="228"/>
        <v/>
      </c>
      <c r="IN635" s="1247" t="str">
        <f t="shared" si="229"/>
        <v/>
      </c>
      <c r="IO635" s="1247" t="str">
        <f t="shared" si="230"/>
        <v/>
      </c>
      <c r="IP635" s="1247" t="str">
        <f t="shared" si="231"/>
        <v/>
      </c>
      <c r="IQ635" s="1247" t="str">
        <f t="shared" si="232"/>
        <v/>
      </c>
      <c r="IR635" s="1247" t="str">
        <f t="shared" si="233"/>
        <v/>
      </c>
      <c r="IS635" s="1247" t="str">
        <f t="shared" si="234"/>
        <v/>
      </c>
      <c r="IT635" s="1247" t="str">
        <f t="shared" si="235"/>
        <v/>
      </c>
      <c r="IU635" s="1247" t="str">
        <f t="shared" si="236"/>
        <v/>
      </c>
      <c r="IV635" s="1247" t="str">
        <f t="shared" si="237"/>
        <v/>
      </c>
      <c r="IW635" s="1247" t="str">
        <f t="shared" si="238"/>
        <v/>
      </c>
      <c r="IX635" s="1247" t="str">
        <f t="shared" si="239"/>
        <v/>
      </c>
      <c r="IY635" s="1247" t="str">
        <f t="shared" si="240"/>
        <v/>
      </c>
      <c r="IZ635" s="1247" t="str">
        <f t="shared" si="241"/>
        <v/>
      </c>
      <c r="JA635" s="1247" t="str">
        <f t="shared" si="242"/>
        <v/>
      </c>
      <c r="JB635" s="2877">
        <f t="shared" si="243"/>
        <v>0</v>
      </c>
      <c r="JC635" s="2877">
        <f t="shared" si="244"/>
        <v>0</v>
      </c>
      <c r="JD635" s="2877">
        <f t="shared" si="245"/>
        <v>0</v>
      </c>
      <c r="JE635" s="2877">
        <f t="shared" si="246"/>
        <v>0</v>
      </c>
      <c r="JF635" s="2877">
        <f t="shared" si="247"/>
        <v>0</v>
      </c>
      <c r="JG635" s="2877">
        <f t="shared" si="248"/>
        <v>0</v>
      </c>
      <c r="JH635" s="2877">
        <f t="shared" si="249"/>
        <v>0</v>
      </c>
      <c r="JI635" s="2877">
        <f t="shared" si="250"/>
        <v>0</v>
      </c>
      <c r="JJ635" s="2877">
        <f t="shared" si="251"/>
        <v>20</v>
      </c>
      <c r="JK635" s="2877">
        <f t="shared" si="252"/>
        <v>0</v>
      </c>
      <c r="JL635" s="2877">
        <f t="shared" si="253"/>
        <v>0</v>
      </c>
      <c r="JM635" s="2877">
        <f t="shared" si="254"/>
        <v>0</v>
      </c>
      <c r="JN635" s="2877">
        <f t="shared" si="255"/>
        <v>0</v>
      </c>
      <c r="JO635" s="2877">
        <f t="shared" si="256"/>
        <v>0</v>
      </c>
      <c r="JP635" s="2877">
        <f t="shared" si="257"/>
        <v>0</v>
      </c>
    </row>
    <row r="636" spans="1:276" ht="12" customHeight="1">
      <c r="A636" s="2891" t="str">
        <f t="shared" si="0"/>
        <v/>
      </c>
      <c r="B636" s="2900" t="str">
        <f>'Part VI-Revenues &amp; Expenses'!B16</f>
        <v>&lt;&lt;Select&gt;&gt;</v>
      </c>
      <c r="C636" s="2901">
        <f>'Part VI-Revenues &amp; Expenses'!C16</f>
        <v>0</v>
      </c>
      <c r="D636" s="2902">
        <f>'Part VI-Revenues &amp; Expenses'!D16</f>
        <v>0</v>
      </c>
      <c r="E636" s="2903">
        <f>'Part VI-Revenues &amp; Expenses'!E16</f>
        <v>0</v>
      </c>
      <c r="F636" s="2903">
        <f>'Part VI-Revenues &amp; Expenses'!F16</f>
        <v>0</v>
      </c>
      <c r="G636" s="2903">
        <f>'Part VI-Revenues &amp; Expenses'!G16</f>
        <v>0</v>
      </c>
      <c r="H636" s="2903">
        <f>'Part VI-Revenues &amp; Expenses'!H16</f>
        <v>0</v>
      </c>
      <c r="I636" s="2903">
        <f>'Part VI-Revenues &amp; Expenses'!I16</f>
        <v>0</v>
      </c>
      <c r="J636" s="2904">
        <f>'Part VI-Revenues &amp; Expenses'!J16</f>
        <v>0</v>
      </c>
      <c r="K636" s="2905">
        <f t="shared" si="1"/>
        <v>0</v>
      </c>
      <c r="L636" s="2905">
        <f t="shared" si="2"/>
        <v>0</v>
      </c>
      <c r="M636" s="2886">
        <f>'Part VI-Revenues &amp; Expenses'!M16</f>
        <v>0</v>
      </c>
      <c r="N636" s="2886">
        <f>'Part VI-Revenues &amp; Expenses'!N16</f>
        <v>0</v>
      </c>
      <c r="O636" s="2886">
        <f>'Part VI-Revenues &amp; Expenses'!O16</f>
        <v>0</v>
      </c>
      <c r="P636" s="2886">
        <f>'Part VI-Revenues &amp; Expenses'!P16</f>
        <v>0</v>
      </c>
      <c r="Q636" s="2906">
        <f>IF(H636="","",P636/($O$626*VLOOKUP(C636,'DCA Underwriting Assumptions'!$J$118:$K$123,2,FALSE)))</f>
        <v>0</v>
      </c>
      <c r="R636" s="2907"/>
      <c r="S636" s="2906"/>
      <c r="T636" s="2908"/>
      <c r="U636" s="2908"/>
      <c r="V636" s="1247" t="str">
        <f t="shared" si="3"/>
        <v/>
      </c>
      <c r="W636" s="1247" t="str">
        <f t="shared" si="4"/>
        <v/>
      </c>
      <c r="X636" s="1247" t="str">
        <f t="shared" si="5"/>
        <v/>
      </c>
      <c r="Y636" s="1247" t="str">
        <f t="shared" si="6"/>
        <v/>
      </c>
      <c r="Z636" s="1247" t="str">
        <f t="shared" si="7"/>
        <v/>
      </c>
      <c r="AA636" s="1247" t="str">
        <f t="shared" si="8"/>
        <v/>
      </c>
      <c r="AB636" s="1247" t="str">
        <f t="shared" si="9"/>
        <v/>
      </c>
      <c r="AC636" s="1247" t="str">
        <f t="shared" si="10"/>
        <v/>
      </c>
      <c r="AD636" s="1247" t="str">
        <f t="shared" si="11"/>
        <v/>
      </c>
      <c r="AE636" s="1247" t="str">
        <f t="shared" si="12"/>
        <v/>
      </c>
      <c r="AF636" s="1247" t="str">
        <f t="shared" si="13"/>
        <v/>
      </c>
      <c r="AG636" s="1247" t="str">
        <f t="shared" si="14"/>
        <v/>
      </c>
      <c r="AH636" s="1247" t="str">
        <f t="shared" si="15"/>
        <v/>
      </c>
      <c r="AI636" s="1247" t="str">
        <f t="shared" si="16"/>
        <v/>
      </c>
      <c r="AJ636" s="1247" t="str">
        <f t="shared" si="17"/>
        <v/>
      </c>
      <c r="AK636" s="1247" t="str">
        <f t="shared" si="18"/>
        <v/>
      </c>
      <c r="AL636" s="1247" t="str">
        <f t="shared" si="19"/>
        <v/>
      </c>
      <c r="AM636" s="1247" t="str">
        <f t="shared" si="20"/>
        <v/>
      </c>
      <c r="AN636" s="1247" t="str">
        <f t="shared" si="21"/>
        <v/>
      </c>
      <c r="AO636" s="1247" t="str">
        <f t="shared" si="22"/>
        <v/>
      </c>
      <c r="AP636" s="1247" t="str">
        <f t="shared" si="23"/>
        <v/>
      </c>
      <c r="AQ636" s="1247" t="str">
        <f t="shared" si="24"/>
        <v/>
      </c>
      <c r="AR636" s="1247" t="str">
        <f t="shared" si="25"/>
        <v/>
      </c>
      <c r="AS636" s="1247" t="str">
        <f t="shared" si="26"/>
        <v/>
      </c>
      <c r="AT636" s="1247" t="str">
        <f t="shared" si="27"/>
        <v/>
      </c>
      <c r="AU636" s="1247" t="str">
        <f t="shared" si="28"/>
        <v/>
      </c>
      <c r="AV636" s="1247" t="str">
        <f t="shared" si="29"/>
        <v/>
      </c>
      <c r="AW636" s="1247" t="str">
        <f t="shared" si="30"/>
        <v/>
      </c>
      <c r="AX636" s="1247" t="str">
        <f t="shared" si="31"/>
        <v/>
      </c>
      <c r="AY636" s="1247" t="str">
        <f t="shared" si="32"/>
        <v/>
      </c>
      <c r="AZ636" s="1247" t="str">
        <f t="shared" si="33"/>
        <v/>
      </c>
      <c r="BA636" s="1247" t="str">
        <f t="shared" si="34"/>
        <v/>
      </c>
      <c r="BB636" s="1247" t="str">
        <f t="shared" si="35"/>
        <v/>
      </c>
      <c r="BC636" s="1247" t="str">
        <f t="shared" si="36"/>
        <v/>
      </c>
      <c r="BD636" s="1247" t="str">
        <f t="shared" si="37"/>
        <v/>
      </c>
      <c r="BE636" s="1247" t="str">
        <f t="shared" si="38"/>
        <v/>
      </c>
      <c r="BF636" s="1247" t="str">
        <f t="shared" si="39"/>
        <v/>
      </c>
      <c r="BG636" s="1247" t="str">
        <f t="shared" si="40"/>
        <v/>
      </c>
      <c r="BH636" s="1247" t="str">
        <f t="shared" si="41"/>
        <v/>
      </c>
      <c r="BI636" s="1247" t="str">
        <f t="shared" si="42"/>
        <v/>
      </c>
      <c r="BJ636" s="1247" t="str">
        <f t="shared" si="43"/>
        <v/>
      </c>
      <c r="BK636" s="1247" t="str">
        <f t="shared" si="44"/>
        <v/>
      </c>
      <c r="BL636" s="1247" t="str">
        <f t="shared" si="45"/>
        <v/>
      </c>
      <c r="BM636" s="1247" t="str">
        <f t="shared" si="46"/>
        <v/>
      </c>
      <c r="BN636" s="1247" t="str">
        <f t="shared" si="47"/>
        <v/>
      </c>
      <c r="BO636" s="1247" t="str">
        <f t="shared" si="48"/>
        <v/>
      </c>
      <c r="BP636" s="1247" t="str">
        <f t="shared" si="49"/>
        <v/>
      </c>
      <c r="BQ636" s="1247" t="str">
        <f t="shared" si="50"/>
        <v/>
      </c>
      <c r="BR636" s="1247" t="str">
        <f t="shared" si="51"/>
        <v/>
      </c>
      <c r="BS636" s="1247" t="str">
        <f t="shared" si="52"/>
        <v/>
      </c>
      <c r="BT636" s="1247" t="str">
        <f t="shared" si="53"/>
        <v/>
      </c>
      <c r="BU636" s="1247" t="str">
        <f t="shared" si="54"/>
        <v/>
      </c>
      <c r="BV636" s="1247" t="str">
        <f t="shared" si="55"/>
        <v/>
      </c>
      <c r="BW636" s="1247" t="str">
        <f t="shared" si="56"/>
        <v/>
      </c>
      <c r="BX636" s="1247" t="str">
        <f t="shared" si="57"/>
        <v/>
      </c>
      <c r="BY636" s="1247" t="str">
        <f t="shared" si="58"/>
        <v/>
      </c>
      <c r="BZ636" s="1247" t="str">
        <f t="shared" si="59"/>
        <v/>
      </c>
      <c r="CA636" s="1247" t="str">
        <f t="shared" si="60"/>
        <v/>
      </c>
      <c r="CB636" s="1247" t="str">
        <f t="shared" si="61"/>
        <v/>
      </c>
      <c r="CC636" s="1247" t="str">
        <f t="shared" si="62"/>
        <v/>
      </c>
      <c r="CD636" s="1247" t="str">
        <f t="shared" si="63"/>
        <v/>
      </c>
      <c r="CE636" s="1247" t="str">
        <f t="shared" si="64"/>
        <v/>
      </c>
      <c r="CF636" s="1247" t="str">
        <f t="shared" si="65"/>
        <v/>
      </c>
      <c r="CG636" s="1247" t="str">
        <f t="shared" si="66"/>
        <v/>
      </c>
      <c r="CH636" s="1247" t="str">
        <f t="shared" si="67"/>
        <v/>
      </c>
      <c r="CI636" s="1247" t="str">
        <f t="shared" si="68"/>
        <v/>
      </c>
      <c r="CJ636" s="1247" t="str">
        <f t="shared" si="69"/>
        <v/>
      </c>
      <c r="CK636" s="1247" t="str">
        <f t="shared" si="70"/>
        <v/>
      </c>
      <c r="CL636" s="1247" t="str">
        <f t="shared" si="71"/>
        <v/>
      </c>
      <c r="CM636" s="1247" t="str">
        <f t="shared" si="72"/>
        <v/>
      </c>
      <c r="CN636" s="1247" t="str">
        <f t="shared" si="73"/>
        <v/>
      </c>
      <c r="CO636" s="1247" t="str">
        <f t="shared" si="74"/>
        <v/>
      </c>
      <c r="CP636" s="1247" t="str">
        <f t="shared" si="75"/>
        <v/>
      </c>
      <c r="CQ636" s="1247" t="str">
        <f t="shared" si="76"/>
        <v/>
      </c>
      <c r="CR636" s="1247" t="str">
        <f t="shared" si="77"/>
        <v/>
      </c>
      <c r="CS636" s="1247" t="str">
        <f t="shared" si="78"/>
        <v/>
      </c>
      <c r="CT636" s="1247" t="str">
        <f t="shared" si="79"/>
        <v/>
      </c>
      <c r="CU636" s="1247" t="str">
        <f t="shared" si="80"/>
        <v/>
      </c>
      <c r="CV636" s="1247" t="str">
        <f t="shared" si="81"/>
        <v/>
      </c>
      <c r="CW636" s="1247" t="str">
        <f t="shared" si="82"/>
        <v/>
      </c>
      <c r="CX636" s="1247" t="str">
        <f t="shared" si="83"/>
        <v/>
      </c>
      <c r="CY636" s="1247" t="str">
        <f t="shared" si="84"/>
        <v/>
      </c>
      <c r="CZ636" s="1247" t="str">
        <f t="shared" si="85"/>
        <v/>
      </c>
      <c r="DA636" s="1247" t="str">
        <f t="shared" si="86"/>
        <v/>
      </c>
      <c r="DB636" s="1247" t="str">
        <f t="shared" si="87"/>
        <v/>
      </c>
      <c r="DC636" s="1247" t="str">
        <f t="shared" si="88"/>
        <v/>
      </c>
      <c r="DD636" s="1247" t="str">
        <f t="shared" si="89"/>
        <v/>
      </c>
      <c r="DE636" s="1247" t="str">
        <f t="shared" si="90"/>
        <v/>
      </c>
      <c r="DF636" s="1247" t="str">
        <f t="shared" si="91"/>
        <v/>
      </c>
      <c r="DG636" s="1247" t="str">
        <f t="shared" si="92"/>
        <v/>
      </c>
      <c r="DH636" s="1247" t="str">
        <f t="shared" si="93"/>
        <v/>
      </c>
      <c r="DI636" s="1247" t="str">
        <f t="shared" si="94"/>
        <v/>
      </c>
      <c r="DJ636" s="1247" t="str">
        <f t="shared" si="95"/>
        <v/>
      </c>
      <c r="DK636" s="1247" t="str">
        <f t="shared" si="96"/>
        <v/>
      </c>
      <c r="DL636" s="1247" t="str">
        <f t="shared" si="97"/>
        <v/>
      </c>
      <c r="DM636" s="1247" t="str">
        <f t="shared" si="98"/>
        <v/>
      </c>
      <c r="DN636" s="1247" t="str">
        <f t="shared" si="99"/>
        <v/>
      </c>
      <c r="DO636" s="1247" t="str">
        <f t="shared" si="100"/>
        <v/>
      </c>
      <c r="DP636" s="1247" t="str">
        <f t="shared" si="101"/>
        <v/>
      </c>
      <c r="DQ636" s="1247" t="str">
        <f t="shared" si="102"/>
        <v/>
      </c>
      <c r="DR636" s="1247" t="str">
        <f t="shared" si="103"/>
        <v/>
      </c>
      <c r="DS636" s="1247" t="str">
        <f t="shared" si="104"/>
        <v/>
      </c>
      <c r="DT636" s="1247" t="str">
        <f t="shared" si="105"/>
        <v/>
      </c>
      <c r="DU636" s="1247" t="str">
        <f t="shared" si="106"/>
        <v/>
      </c>
      <c r="DV636" s="1247" t="str">
        <f t="shared" si="107"/>
        <v/>
      </c>
      <c r="DW636" s="1247" t="str">
        <f t="shared" si="108"/>
        <v/>
      </c>
      <c r="DX636" s="1247" t="str">
        <f t="shared" si="109"/>
        <v/>
      </c>
      <c r="DY636" s="1247" t="str">
        <f t="shared" si="110"/>
        <v/>
      </c>
      <c r="DZ636" s="1247" t="str">
        <f t="shared" si="111"/>
        <v/>
      </c>
      <c r="EA636" s="1247" t="str">
        <f t="shared" si="112"/>
        <v/>
      </c>
      <c r="EB636" s="1247" t="str">
        <f t="shared" si="113"/>
        <v/>
      </c>
      <c r="EC636" s="1247" t="str">
        <f t="shared" si="114"/>
        <v/>
      </c>
      <c r="ED636" s="1247" t="str">
        <f t="shared" si="115"/>
        <v/>
      </c>
      <c r="EE636" s="1247" t="str">
        <f t="shared" si="116"/>
        <v/>
      </c>
      <c r="EF636" s="1247" t="str">
        <f t="shared" si="117"/>
        <v/>
      </c>
      <c r="EG636" s="1247" t="str">
        <f t="shared" si="118"/>
        <v/>
      </c>
      <c r="EH636" s="1247" t="str">
        <f t="shared" si="119"/>
        <v/>
      </c>
      <c r="EI636" s="1247" t="str">
        <f t="shared" si="120"/>
        <v/>
      </c>
      <c r="EJ636" s="1247" t="str">
        <f t="shared" si="121"/>
        <v/>
      </c>
      <c r="EK636" s="1247" t="str">
        <f t="shared" si="122"/>
        <v/>
      </c>
      <c r="EL636" s="1247" t="str">
        <f t="shared" si="123"/>
        <v/>
      </c>
      <c r="EM636" s="1247" t="str">
        <f t="shared" si="124"/>
        <v/>
      </c>
      <c r="EN636" s="1247" t="str">
        <f t="shared" si="125"/>
        <v/>
      </c>
      <c r="EO636" s="1247" t="str">
        <f t="shared" si="126"/>
        <v/>
      </c>
      <c r="EP636" s="1247" t="str">
        <f t="shared" si="127"/>
        <v/>
      </c>
      <c r="EQ636" s="1247" t="str">
        <f t="shared" si="128"/>
        <v/>
      </c>
      <c r="ER636" s="1247" t="str">
        <f t="shared" si="129"/>
        <v/>
      </c>
      <c r="ES636" s="1247" t="str">
        <f t="shared" si="130"/>
        <v/>
      </c>
      <c r="ET636" s="1247" t="str">
        <f t="shared" si="131"/>
        <v/>
      </c>
      <c r="EU636" s="1247" t="str">
        <f t="shared" si="132"/>
        <v/>
      </c>
      <c r="EV636" s="2909" t="str">
        <f t="shared" si="133"/>
        <v/>
      </c>
      <c r="EW636" s="2909" t="str">
        <f t="shared" si="134"/>
        <v/>
      </c>
      <c r="EX636" s="2909" t="str">
        <f t="shared" si="135"/>
        <v/>
      </c>
      <c r="EY636" s="2909" t="str">
        <f t="shared" si="136"/>
        <v/>
      </c>
      <c r="EZ636" s="2909" t="str">
        <f t="shared" si="137"/>
        <v/>
      </c>
      <c r="FA636" s="2909" t="str">
        <f t="shared" si="138"/>
        <v/>
      </c>
      <c r="FB636" s="2909" t="str">
        <f t="shared" si="139"/>
        <v/>
      </c>
      <c r="FC636" s="2909" t="str">
        <f t="shared" si="140"/>
        <v/>
      </c>
      <c r="FD636" s="2909" t="str">
        <f t="shared" si="141"/>
        <v/>
      </c>
      <c r="FE636" s="2909" t="str">
        <f t="shared" si="142"/>
        <v/>
      </c>
      <c r="FF636" s="2909" t="str">
        <f t="shared" si="143"/>
        <v/>
      </c>
      <c r="FG636" s="2909" t="str">
        <f t="shared" si="144"/>
        <v/>
      </c>
      <c r="FH636" s="2909" t="str">
        <f t="shared" si="145"/>
        <v/>
      </c>
      <c r="FI636" s="2909" t="str">
        <f t="shared" si="146"/>
        <v/>
      </c>
      <c r="FJ636" s="2909" t="str">
        <f t="shared" si="147"/>
        <v/>
      </c>
      <c r="FK636" s="2909" t="str">
        <f t="shared" si="148"/>
        <v/>
      </c>
      <c r="FL636" s="2909" t="str">
        <f t="shared" si="149"/>
        <v/>
      </c>
      <c r="FM636" s="2909" t="str">
        <f t="shared" si="150"/>
        <v/>
      </c>
      <c r="FN636" s="2909" t="str">
        <f t="shared" si="151"/>
        <v/>
      </c>
      <c r="FO636" s="2909" t="str">
        <f t="shared" si="152"/>
        <v/>
      </c>
      <c r="FP636" s="2909" t="str">
        <f t="shared" si="153"/>
        <v/>
      </c>
      <c r="FQ636" s="2909" t="str">
        <f t="shared" si="154"/>
        <v/>
      </c>
      <c r="FR636" s="2909" t="str">
        <f t="shared" si="155"/>
        <v/>
      </c>
      <c r="FS636" s="2909" t="str">
        <f t="shared" si="156"/>
        <v/>
      </c>
      <c r="FT636" s="2909" t="str">
        <f t="shared" si="157"/>
        <v/>
      </c>
      <c r="FU636" s="2909" t="str">
        <f t="shared" si="158"/>
        <v/>
      </c>
      <c r="FV636" s="2909" t="str">
        <f t="shared" si="159"/>
        <v/>
      </c>
      <c r="FW636" s="2909" t="str">
        <f t="shared" si="160"/>
        <v/>
      </c>
      <c r="FX636" s="2909" t="str">
        <f t="shared" si="161"/>
        <v/>
      </c>
      <c r="FY636" s="2909" t="str">
        <f t="shared" si="162"/>
        <v/>
      </c>
      <c r="FZ636" s="2909" t="str">
        <f t="shared" si="163"/>
        <v/>
      </c>
      <c r="GA636" s="2909" t="str">
        <f t="shared" si="164"/>
        <v/>
      </c>
      <c r="GB636" s="2909" t="str">
        <f t="shared" si="165"/>
        <v/>
      </c>
      <c r="GC636" s="2909" t="str">
        <f t="shared" si="166"/>
        <v/>
      </c>
      <c r="GD636" s="2909" t="str">
        <f t="shared" si="167"/>
        <v/>
      </c>
      <c r="GE636" s="2909" t="str">
        <f t="shared" si="168"/>
        <v/>
      </c>
      <c r="GF636" s="2909" t="str">
        <f t="shared" si="169"/>
        <v/>
      </c>
      <c r="GG636" s="2909" t="str">
        <f t="shared" si="170"/>
        <v/>
      </c>
      <c r="GH636" s="2909" t="str">
        <f t="shared" si="171"/>
        <v/>
      </c>
      <c r="GI636" s="2909" t="str">
        <f t="shared" si="172"/>
        <v/>
      </c>
      <c r="GJ636" s="2909" t="str">
        <f t="shared" si="173"/>
        <v/>
      </c>
      <c r="GK636" s="2909" t="str">
        <f t="shared" si="174"/>
        <v/>
      </c>
      <c r="GL636" s="2909" t="str">
        <f t="shared" si="175"/>
        <v/>
      </c>
      <c r="GM636" s="2909" t="str">
        <f t="shared" si="176"/>
        <v/>
      </c>
      <c r="GN636" s="2909" t="str">
        <f t="shared" si="177"/>
        <v/>
      </c>
      <c r="GO636" s="2909" t="str">
        <f t="shared" si="178"/>
        <v/>
      </c>
      <c r="GP636" s="2909" t="str">
        <f t="shared" si="179"/>
        <v/>
      </c>
      <c r="GQ636" s="2909" t="str">
        <f t="shared" si="180"/>
        <v/>
      </c>
      <c r="GR636" s="2909" t="str">
        <f t="shared" si="181"/>
        <v/>
      </c>
      <c r="GS636" s="2909" t="str">
        <f t="shared" si="182"/>
        <v/>
      </c>
      <c r="GT636" s="2909" t="str">
        <f t="shared" si="183"/>
        <v/>
      </c>
      <c r="GU636" s="2909" t="str">
        <f t="shared" si="184"/>
        <v/>
      </c>
      <c r="GV636" s="2909" t="str">
        <f t="shared" si="185"/>
        <v/>
      </c>
      <c r="GW636" s="2909" t="str">
        <f t="shared" si="186"/>
        <v/>
      </c>
      <c r="GX636" s="2909" t="str">
        <f t="shared" si="187"/>
        <v/>
      </c>
      <c r="GY636" s="2909" t="str">
        <f t="shared" si="188"/>
        <v/>
      </c>
      <c r="GZ636" s="2909" t="str">
        <f t="shared" si="189"/>
        <v/>
      </c>
      <c r="HA636" s="2909" t="str">
        <f t="shared" si="190"/>
        <v/>
      </c>
      <c r="HB636" s="2909" t="str">
        <f t="shared" si="191"/>
        <v/>
      </c>
      <c r="HC636" s="2909" t="str">
        <f t="shared" si="192"/>
        <v/>
      </c>
      <c r="HD636" s="2909" t="str">
        <f t="shared" si="193"/>
        <v/>
      </c>
      <c r="HE636" s="2909" t="str">
        <f t="shared" si="194"/>
        <v/>
      </c>
      <c r="HF636" s="2909" t="str">
        <f t="shared" si="195"/>
        <v/>
      </c>
      <c r="HG636" s="2909" t="str">
        <f t="shared" si="196"/>
        <v/>
      </c>
      <c r="HH636" s="2909" t="str">
        <f t="shared" si="197"/>
        <v/>
      </c>
      <c r="HI636" s="2909" t="str">
        <f t="shared" si="198"/>
        <v/>
      </c>
      <c r="HJ636" s="2909" t="str">
        <f t="shared" si="199"/>
        <v/>
      </c>
      <c r="HK636" s="2909" t="str">
        <f t="shared" si="200"/>
        <v/>
      </c>
      <c r="HL636" s="2909" t="str">
        <f t="shared" si="201"/>
        <v/>
      </c>
      <c r="HM636" s="2909" t="str">
        <f t="shared" si="202"/>
        <v/>
      </c>
      <c r="HN636" s="2909" t="str">
        <f t="shared" si="203"/>
        <v/>
      </c>
      <c r="HO636" s="2909" t="str">
        <f t="shared" si="204"/>
        <v/>
      </c>
      <c r="HP636" s="2909" t="str">
        <f t="shared" si="205"/>
        <v/>
      </c>
      <c r="HQ636" s="2909" t="str">
        <f t="shared" si="206"/>
        <v/>
      </c>
      <c r="HR636" s="2909" t="str">
        <f t="shared" si="207"/>
        <v/>
      </c>
      <c r="HS636" s="2909" t="str">
        <f t="shared" si="208"/>
        <v/>
      </c>
      <c r="HT636" s="2909" t="str">
        <f t="shared" si="209"/>
        <v/>
      </c>
      <c r="HU636" s="2909" t="str">
        <f t="shared" si="210"/>
        <v/>
      </c>
      <c r="HV636" s="2909" t="str">
        <f t="shared" si="211"/>
        <v/>
      </c>
      <c r="HW636" s="2909" t="str">
        <f t="shared" si="212"/>
        <v/>
      </c>
      <c r="HX636" s="2909" t="str">
        <f t="shared" si="213"/>
        <v/>
      </c>
      <c r="HY636" s="2909" t="str">
        <f t="shared" si="214"/>
        <v/>
      </c>
      <c r="HZ636" s="2909" t="str">
        <f t="shared" si="215"/>
        <v/>
      </c>
      <c r="IA636" s="2909" t="str">
        <f t="shared" si="216"/>
        <v/>
      </c>
      <c r="IB636" s="2909" t="str">
        <f t="shared" si="217"/>
        <v/>
      </c>
      <c r="IC636" s="2879" t="str">
        <f t="shared" si="218"/>
        <v/>
      </c>
      <c r="ID636" s="2879" t="str">
        <f t="shared" si="219"/>
        <v/>
      </c>
      <c r="IE636" s="2879" t="str">
        <f t="shared" si="220"/>
        <v/>
      </c>
      <c r="IF636" s="2879" t="str">
        <f t="shared" si="221"/>
        <v/>
      </c>
      <c r="IG636" s="2879" t="str">
        <f t="shared" si="222"/>
        <v/>
      </c>
      <c r="IH636" s="1247" t="str">
        <f t="shared" si="223"/>
        <v/>
      </c>
      <c r="II636" s="1247" t="str">
        <f t="shared" si="224"/>
        <v/>
      </c>
      <c r="IJ636" s="1247" t="str">
        <f t="shared" si="225"/>
        <v/>
      </c>
      <c r="IK636" s="1247" t="str">
        <f t="shared" si="226"/>
        <v/>
      </c>
      <c r="IL636" s="1247" t="str">
        <f t="shared" si="227"/>
        <v/>
      </c>
      <c r="IM636" s="1247" t="str">
        <f t="shared" si="228"/>
        <v/>
      </c>
      <c r="IN636" s="1247" t="str">
        <f t="shared" si="229"/>
        <v/>
      </c>
      <c r="IO636" s="1247" t="str">
        <f t="shared" si="230"/>
        <v/>
      </c>
      <c r="IP636" s="1247" t="str">
        <f t="shared" si="231"/>
        <v/>
      </c>
      <c r="IQ636" s="1247" t="str">
        <f t="shared" si="232"/>
        <v/>
      </c>
      <c r="IR636" s="1247" t="str">
        <f t="shared" si="233"/>
        <v/>
      </c>
      <c r="IS636" s="1247" t="str">
        <f t="shared" si="234"/>
        <v/>
      </c>
      <c r="IT636" s="1247" t="str">
        <f t="shared" si="235"/>
        <v/>
      </c>
      <c r="IU636" s="1247" t="str">
        <f t="shared" si="236"/>
        <v/>
      </c>
      <c r="IV636" s="1247" t="str">
        <f t="shared" si="237"/>
        <v/>
      </c>
      <c r="IW636" s="1247" t="str">
        <f t="shared" si="238"/>
        <v/>
      </c>
      <c r="IX636" s="1247" t="str">
        <f t="shared" si="239"/>
        <v/>
      </c>
      <c r="IY636" s="1247" t="str">
        <f t="shared" si="240"/>
        <v/>
      </c>
      <c r="IZ636" s="1247" t="str">
        <f t="shared" si="241"/>
        <v/>
      </c>
      <c r="JA636" s="1247" t="str">
        <f t="shared" si="242"/>
        <v/>
      </c>
      <c r="JB636" s="2877">
        <f t="shared" si="243"/>
        <v>0</v>
      </c>
      <c r="JC636" s="2877">
        <f t="shared" si="244"/>
        <v>0</v>
      </c>
      <c r="JD636" s="2877">
        <f t="shared" si="245"/>
        <v>0</v>
      </c>
      <c r="JE636" s="2877">
        <f t="shared" si="246"/>
        <v>0</v>
      </c>
      <c r="JF636" s="2877">
        <f t="shared" si="247"/>
        <v>0</v>
      </c>
      <c r="JG636" s="2877">
        <f t="shared" si="248"/>
        <v>0</v>
      </c>
      <c r="JH636" s="2877">
        <f t="shared" si="249"/>
        <v>0</v>
      </c>
      <c r="JI636" s="2877">
        <f t="shared" si="250"/>
        <v>0</v>
      </c>
      <c r="JJ636" s="2877">
        <f t="shared" si="251"/>
        <v>0</v>
      </c>
      <c r="JK636" s="2877">
        <f t="shared" si="252"/>
        <v>0</v>
      </c>
      <c r="JL636" s="2877">
        <f t="shared" si="253"/>
        <v>0</v>
      </c>
      <c r="JM636" s="2877">
        <f t="shared" si="254"/>
        <v>0</v>
      </c>
      <c r="JN636" s="2877">
        <f t="shared" si="255"/>
        <v>0</v>
      </c>
      <c r="JO636" s="2877">
        <f t="shared" si="256"/>
        <v>0</v>
      </c>
      <c r="JP636" s="2877">
        <f t="shared" si="257"/>
        <v>0</v>
      </c>
    </row>
    <row r="637" spans="1:276" ht="12" customHeight="1">
      <c r="A637" s="2891" t="str">
        <f t="shared" si="0"/>
        <v/>
      </c>
      <c r="B637" s="2900" t="str">
        <f>'Part VI-Revenues &amp; Expenses'!B17</f>
        <v>&lt;&lt;Select&gt;&gt;</v>
      </c>
      <c r="C637" s="2901">
        <f>'Part VI-Revenues &amp; Expenses'!C17</f>
        <v>0</v>
      </c>
      <c r="D637" s="2902">
        <f>'Part VI-Revenues &amp; Expenses'!D17</f>
        <v>0</v>
      </c>
      <c r="E637" s="2903">
        <f>'Part VI-Revenues &amp; Expenses'!E17</f>
        <v>0</v>
      </c>
      <c r="F637" s="2903">
        <f>'Part VI-Revenues &amp; Expenses'!F17</f>
        <v>0</v>
      </c>
      <c r="G637" s="2903">
        <f>'Part VI-Revenues &amp; Expenses'!G17</f>
        <v>0</v>
      </c>
      <c r="H637" s="2903">
        <f>'Part VI-Revenues &amp; Expenses'!H17</f>
        <v>0</v>
      </c>
      <c r="I637" s="2903">
        <f>'Part VI-Revenues &amp; Expenses'!I17</f>
        <v>0</v>
      </c>
      <c r="J637" s="2904">
        <f>'Part VI-Revenues &amp; Expenses'!J17</f>
        <v>0</v>
      </c>
      <c r="K637" s="2905">
        <f t="shared" si="1"/>
        <v>0</v>
      </c>
      <c r="L637" s="2905">
        <f t="shared" si="2"/>
        <v>0</v>
      </c>
      <c r="M637" s="2886">
        <f>'Part VI-Revenues &amp; Expenses'!M17</f>
        <v>0</v>
      </c>
      <c r="N637" s="2886">
        <f>'Part VI-Revenues &amp; Expenses'!N17</f>
        <v>0</v>
      </c>
      <c r="O637" s="2886">
        <f>'Part VI-Revenues &amp; Expenses'!O17</f>
        <v>0</v>
      </c>
      <c r="P637" s="2886">
        <f>'Part VI-Revenues &amp; Expenses'!P17</f>
        <v>0</v>
      </c>
      <c r="Q637" s="2906">
        <f>IF(H637="","",P637/($O$626*VLOOKUP(C637,'DCA Underwriting Assumptions'!$J$118:$K$123,2,FALSE)))</f>
        <v>0</v>
      </c>
      <c r="R637" s="2907"/>
      <c r="S637" s="2906"/>
      <c r="T637" s="2908"/>
      <c r="U637" s="2908"/>
      <c r="V637" s="1247" t="str">
        <f t="shared" si="3"/>
        <v/>
      </c>
      <c r="W637" s="1247" t="str">
        <f t="shared" si="4"/>
        <v/>
      </c>
      <c r="X637" s="1247" t="str">
        <f t="shared" si="5"/>
        <v/>
      </c>
      <c r="Y637" s="1247" t="str">
        <f t="shared" si="6"/>
        <v/>
      </c>
      <c r="Z637" s="1247" t="str">
        <f t="shared" si="7"/>
        <v/>
      </c>
      <c r="AA637" s="1247" t="str">
        <f t="shared" si="8"/>
        <v/>
      </c>
      <c r="AB637" s="1247" t="str">
        <f t="shared" si="9"/>
        <v/>
      </c>
      <c r="AC637" s="1247" t="str">
        <f t="shared" si="10"/>
        <v/>
      </c>
      <c r="AD637" s="1247" t="str">
        <f t="shared" si="11"/>
        <v/>
      </c>
      <c r="AE637" s="1247" t="str">
        <f t="shared" si="12"/>
        <v/>
      </c>
      <c r="AF637" s="1247" t="str">
        <f t="shared" si="13"/>
        <v/>
      </c>
      <c r="AG637" s="1247" t="str">
        <f t="shared" si="14"/>
        <v/>
      </c>
      <c r="AH637" s="1247" t="str">
        <f t="shared" si="15"/>
        <v/>
      </c>
      <c r="AI637" s="1247" t="str">
        <f t="shared" si="16"/>
        <v/>
      </c>
      <c r="AJ637" s="1247" t="str">
        <f t="shared" si="17"/>
        <v/>
      </c>
      <c r="AK637" s="1247" t="str">
        <f t="shared" si="18"/>
        <v/>
      </c>
      <c r="AL637" s="1247" t="str">
        <f t="shared" si="19"/>
        <v/>
      </c>
      <c r="AM637" s="1247" t="str">
        <f t="shared" si="20"/>
        <v/>
      </c>
      <c r="AN637" s="1247" t="str">
        <f t="shared" si="21"/>
        <v/>
      </c>
      <c r="AO637" s="1247" t="str">
        <f t="shared" si="22"/>
        <v/>
      </c>
      <c r="AP637" s="1247" t="str">
        <f t="shared" si="23"/>
        <v/>
      </c>
      <c r="AQ637" s="1247" t="str">
        <f t="shared" si="24"/>
        <v/>
      </c>
      <c r="AR637" s="1247" t="str">
        <f t="shared" si="25"/>
        <v/>
      </c>
      <c r="AS637" s="1247" t="str">
        <f t="shared" si="26"/>
        <v/>
      </c>
      <c r="AT637" s="1247" t="str">
        <f t="shared" si="27"/>
        <v/>
      </c>
      <c r="AU637" s="1247" t="str">
        <f t="shared" si="28"/>
        <v/>
      </c>
      <c r="AV637" s="1247" t="str">
        <f t="shared" si="29"/>
        <v/>
      </c>
      <c r="AW637" s="1247" t="str">
        <f t="shared" si="30"/>
        <v/>
      </c>
      <c r="AX637" s="1247" t="str">
        <f t="shared" si="31"/>
        <v/>
      </c>
      <c r="AY637" s="1247" t="str">
        <f t="shared" si="32"/>
        <v/>
      </c>
      <c r="AZ637" s="1247" t="str">
        <f t="shared" si="33"/>
        <v/>
      </c>
      <c r="BA637" s="1247" t="str">
        <f t="shared" si="34"/>
        <v/>
      </c>
      <c r="BB637" s="1247" t="str">
        <f t="shared" si="35"/>
        <v/>
      </c>
      <c r="BC637" s="1247" t="str">
        <f t="shared" si="36"/>
        <v/>
      </c>
      <c r="BD637" s="1247" t="str">
        <f t="shared" si="37"/>
        <v/>
      </c>
      <c r="BE637" s="1247" t="str">
        <f t="shared" si="38"/>
        <v/>
      </c>
      <c r="BF637" s="1247" t="str">
        <f t="shared" si="39"/>
        <v/>
      </c>
      <c r="BG637" s="1247" t="str">
        <f t="shared" si="40"/>
        <v/>
      </c>
      <c r="BH637" s="1247" t="str">
        <f t="shared" si="41"/>
        <v/>
      </c>
      <c r="BI637" s="1247" t="str">
        <f t="shared" si="42"/>
        <v/>
      </c>
      <c r="BJ637" s="1247" t="str">
        <f t="shared" si="43"/>
        <v/>
      </c>
      <c r="BK637" s="1247" t="str">
        <f t="shared" si="44"/>
        <v/>
      </c>
      <c r="BL637" s="1247" t="str">
        <f t="shared" si="45"/>
        <v/>
      </c>
      <c r="BM637" s="1247" t="str">
        <f t="shared" si="46"/>
        <v/>
      </c>
      <c r="BN637" s="1247" t="str">
        <f t="shared" si="47"/>
        <v/>
      </c>
      <c r="BO637" s="1247" t="str">
        <f t="shared" si="48"/>
        <v/>
      </c>
      <c r="BP637" s="1247" t="str">
        <f t="shared" si="49"/>
        <v/>
      </c>
      <c r="BQ637" s="1247" t="str">
        <f t="shared" si="50"/>
        <v/>
      </c>
      <c r="BR637" s="1247" t="str">
        <f t="shared" si="51"/>
        <v/>
      </c>
      <c r="BS637" s="1247" t="str">
        <f t="shared" si="52"/>
        <v/>
      </c>
      <c r="BT637" s="1247" t="str">
        <f t="shared" si="53"/>
        <v/>
      </c>
      <c r="BU637" s="1247" t="str">
        <f t="shared" si="54"/>
        <v/>
      </c>
      <c r="BV637" s="1247" t="str">
        <f t="shared" si="55"/>
        <v/>
      </c>
      <c r="BW637" s="1247" t="str">
        <f t="shared" si="56"/>
        <v/>
      </c>
      <c r="BX637" s="1247" t="str">
        <f t="shared" si="57"/>
        <v/>
      </c>
      <c r="BY637" s="1247" t="str">
        <f t="shared" si="58"/>
        <v/>
      </c>
      <c r="BZ637" s="1247" t="str">
        <f t="shared" si="59"/>
        <v/>
      </c>
      <c r="CA637" s="1247" t="str">
        <f t="shared" si="60"/>
        <v/>
      </c>
      <c r="CB637" s="1247" t="str">
        <f t="shared" si="61"/>
        <v/>
      </c>
      <c r="CC637" s="1247" t="str">
        <f t="shared" si="62"/>
        <v/>
      </c>
      <c r="CD637" s="1247" t="str">
        <f t="shared" si="63"/>
        <v/>
      </c>
      <c r="CE637" s="1247" t="str">
        <f t="shared" si="64"/>
        <v/>
      </c>
      <c r="CF637" s="1247" t="str">
        <f t="shared" si="65"/>
        <v/>
      </c>
      <c r="CG637" s="1247" t="str">
        <f t="shared" si="66"/>
        <v/>
      </c>
      <c r="CH637" s="1247" t="str">
        <f t="shared" si="67"/>
        <v/>
      </c>
      <c r="CI637" s="1247" t="str">
        <f t="shared" si="68"/>
        <v/>
      </c>
      <c r="CJ637" s="1247" t="str">
        <f t="shared" si="69"/>
        <v/>
      </c>
      <c r="CK637" s="1247" t="str">
        <f t="shared" si="70"/>
        <v/>
      </c>
      <c r="CL637" s="1247" t="str">
        <f t="shared" si="71"/>
        <v/>
      </c>
      <c r="CM637" s="1247" t="str">
        <f t="shared" si="72"/>
        <v/>
      </c>
      <c r="CN637" s="1247" t="str">
        <f t="shared" si="73"/>
        <v/>
      </c>
      <c r="CO637" s="1247" t="str">
        <f t="shared" si="74"/>
        <v/>
      </c>
      <c r="CP637" s="1247" t="str">
        <f t="shared" si="75"/>
        <v/>
      </c>
      <c r="CQ637" s="1247" t="str">
        <f t="shared" si="76"/>
        <v/>
      </c>
      <c r="CR637" s="1247" t="str">
        <f t="shared" si="77"/>
        <v/>
      </c>
      <c r="CS637" s="1247" t="str">
        <f t="shared" si="78"/>
        <v/>
      </c>
      <c r="CT637" s="1247" t="str">
        <f t="shared" si="79"/>
        <v/>
      </c>
      <c r="CU637" s="1247" t="str">
        <f t="shared" si="80"/>
        <v/>
      </c>
      <c r="CV637" s="1247" t="str">
        <f t="shared" si="81"/>
        <v/>
      </c>
      <c r="CW637" s="1247" t="str">
        <f t="shared" si="82"/>
        <v/>
      </c>
      <c r="CX637" s="1247" t="str">
        <f t="shared" si="83"/>
        <v/>
      </c>
      <c r="CY637" s="1247" t="str">
        <f t="shared" si="84"/>
        <v/>
      </c>
      <c r="CZ637" s="1247" t="str">
        <f t="shared" si="85"/>
        <v/>
      </c>
      <c r="DA637" s="1247" t="str">
        <f t="shared" si="86"/>
        <v/>
      </c>
      <c r="DB637" s="1247" t="str">
        <f t="shared" si="87"/>
        <v/>
      </c>
      <c r="DC637" s="1247" t="str">
        <f t="shared" si="88"/>
        <v/>
      </c>
      <c r="DD637" s="1247" t="str">
        <f t="shared" si="89"/>
        <v/>
      </c>
      <c r="DE637" s="1247" t="str">
        <f t="shared" si="90"/>
        <v/>
      </c>
      <c r="DF637" s="1247" t="str">
        <f t="shared" si="91"/>
        <v/>
      </c>
      <c r="DG637" s="1247" t="str">
        <f t="shared" si="92"/>
        <v/>
      </c>
      <c r="DH637" s="1247" t="str">
        <f t="shared" si="93"/>
        <v/>
      </c>
      <c r="DI637" s="1247" t="str">
        <f t="shared" si="94"/>
        <v/>
      </c>
      <c r="DJ637" s="1247" t="str">
        <f t="shared" si="95"/>
        <v/>
      </c>
      <c r="DK637" s="1247" t="str">
        <f t="shared" si="96"/>
        <v/>
      </c>
      <c r="DL637" s="1247" t="str">
        <f t="shared" si="97"/>
        <v/>
      </c>
      <c r="DM637" s="1247" t="str">
        <f t="shared" si="98"/>
        <v/>
      </c>
      <c r="DN637" s="1247" t="str">
        <f t="shared" si="99"/>
        <v/>
      </c>
      <c r="DO637" s="1247" t="str">
        <f t="shared" si="100"/>
        <v/>
      </c>
      <c r="DP637" s="1247" t="str">
        <f t="shared" si="101"/>
        <v/>
      </c>
      <c r="DQ637" s="1247" t="str">
        <f t="shared" si="102"/>
        <v/>
      </c>
      <c r="DR637" s="1247" t="str">
        <f t="shared" si="103"/>
        <v/>
      </c>
      <c r="DS637" s="1247" t="str">
        <f t="shared" si="104"/>
        <v/>
      </c>
      <c r="DT637" s="1247" t="str">
        <f t="shared" si="105"/>
        <v/>
      </c>
      <c r="DU637" s="1247" t="str">
        <f t="shared" si="106"/>
        <v/>
      </c>
      <c r="DV637" s="1247" t="str">
        <f t="shared" si="107"/>
        <v/>
      </c>
      <c r="DW637" s="1247" t="str">
        <f t="shared" si="108"/>
        <v/>
      </c>
      <c r="DX637" s="1247" t="str">
        <f t="shared" si="109"/>
        <v/>
      </c>
      <c r="DY637" s="1247" t="str">
        <f t="shared" si="110"/>
        <v/>
      </c>
      <c r="DZ637" s="1247" t="str">
        <f t="shared" si="111"/>
        <v/>
      </c>
      <c r="EA637" s="1247" t="str">
        <f t="shared" si="112"/>
        <v/>
      </c>
      <c r="EB637" s="1247" t="str">
        <f t="shared" si="113"/>
        <v/>
      </c>
      <c r="EC637" s="1247" t="str">
        <f t="shared" si="114"/>
        <v/>
      </c>
      <c r="ED637" s="1247" t="str">
        <f t="shared" si="115"/>
        <v/>
      </c>
      <c r="EE637" s="1247" t="str">
        <f t="shared" si="116"/>
        <v/>
      </c>
      <c r="EF637" s="1247" t="str">
        <f t="shared" si="117"/>
        <v/>
      </c>
      <c r="EG637" s="1247" t="str">
        <f t="shared" si="118"/>
        <v/>
      </c>
      <c r="EH637" s="1247" t="str">
        <f t="shared" si="119"/>
        <v/>
      </c>
      <c r="EI637" s="1247" t="str">
        <f t="shared" si="120"/>
        <v/>
      </c>
      <c r="EJ637" s="1247" t="str">
        <f t="shared" si="121"/>
        <v/>
      </c>
      <c r="EK637" s="1247" t="str">
        <f t="shared" si="122"/>
        <v/>
      </c>
      <c r="EL637" s="1247" t="str">
        <f t="shared" si="123"/>
        <v/>
      </c>
      <c r="EM637" s="1247" t="str">
        <f t="shared" si="124"/>
        <v/>
      </c>
      <c r="EN637" s="1247" t="str">
        <f t="shared" si="125"/>
        <v/>
      </c>
      <c r="EO637" s="1247" t="str">
        <f t="shared" si="126"/>
        <v/>
      </c>
      <c r="EP637" s="1247" t="str">
        <f t="shared" si="127"/>
        <v/>
      </c>
      <c r="EQ637" s="1247" t="str">
        <f t="shared" si="128"/>
        <v/>
      </c>
      <c r="ER637" s="1247" t="str">
        <f t="shared" si="129"/>
        <v/>
      </c>
      <c r="ES637" s="1247" t="str">
        <f t="shared" si="130"/>
        <v/>
      </c>
      <c r="ET637" s="1247" t="str">
        <f t="shared" si="131"/>
        <v/>
      </c>
      <c r="EU637" s="1247" t="str">
        <f t="shared" si="132"/>
        <v/>
      </c>
      <c r="EV637" s="2909" t="str">
        <f t="shared" si="133"/>
        <v/>
      </c>
      <c r="EW637" s="2909" t="str">
        <f t="shared" si="134"/>
        <v/>
      </c>
      <c r="EX637" s="2909" t="str">
        <f t="shared" si="135"/>
        <v/>
      </c>
      <c r="EY637" s="2909" t="str">
        <f t="shared" si="136"/>
        <v/>
      </c>
      <c r="EZ637" s="2909" t="str">
        <f t="shared" si="137"/>
        <v/>
      </c>
      <c r="FA637" s="2909" t="str">
        <f t="shared" si="138"/>
        <v/>
      </c>
      <c r="FB637" s="2909" t="str">
        <f t="shared" si="139"/>
        <v/>
      </c>
      <c r="FC637" s="2909" t="str">
        <f t="shared" si="140"/>
        <v/>
      </c>
      <c r="FD637" s="2909" t="str">
        <f t="shared" si="141"/>
        <v/>
      </c>
      <c r="FE637" s="2909" t="str">
        <f t="shared" si="142"/>
        <v/>
      </c>
      <c r="FF637" s="2909" t="str">
        <f t="shared" si="143"/>
        <v/>
      </c>
      <c r="FG637" s="2909" t="str">
        <f t="shared" si="144"/>
        <v/>
      </c>
      <c r="FH637" s="2909" t="str">
        <f t="shared" si="145"/>
        <v/>
      </c>
      <c r="FI637" s="2909" t="str">
        <f t="shared" si="146"/>
        <v/>
      </c>
      <c r="FJ637" s="2909" t="str">
        <f t="shared" si="147"/>
        <v/>
      </c>
      <c r="FK637" s="2909" t="str">
        <f t="shared" si="148"/>
        <v/>
      </c>
      <c r="FL637" s="2909" t="str">
        <f t="shared" si="149"/>
        <v/>
      </c>
      <c r="FM637" s="2909" t="str">
        <f t="shared" si="150"/>
        <v/>
      </c>
      <c r="FN637" s="2909" t="str">
        <f t="shared" si="151"/>
        <v/>
      </c>
      <c r="FO637" s="2909" t="str">
        <f t="shared" si="152"/>
        <v/>
      </c>
      <c r="FP637" s="2909" t="str">
        <f t="shared" si="153"/>
        <v/>
      </c>
      <c r="FQ637" s="2909" t="str">
        <f t="shared" si="154"/>
        <v/>
      </c>
      <c r="FR637" s="2909" t="str">
        <f t="shared" si="155"/>
        <v/>
      </c>
      <c r="FS637" s="2909" t="str">
        <f t="shared" si="156"/>
        <v/>
      </c>
      <c r="FT637" s="2909" t="str">
        <f t="shared" si="157"/>
        <v/>
      </c>
      <c r="FU637" s="2909" t="str">
        <f t="shared" si="158"/>
        <v/>
      </c>
      <c r="FV637" s="2909" t="str">
        <f t="shared" si="159"/>
        <v/>
      </c>
      <c r="FW637" s="2909" t="str">
        <f t="shared" si="160"/>
        <v/>
      </c>
      <c r="FX637" s="2909" t="str">
        <f t="shared" si="161"/>
        <v/>
      </c>
      <c r="FY637" s="2909" t="str">
        <f t="shared" si="162"/>
        <v/>
      </c>
      <c r="FZ637" s="2909" t="str">
        <f t="shared" si="163"/>
        <v/>
      </c>
      <c r="GA637" s="2909" t="str">
        <f t="shared" si="164"/>
        <v/>
      </c>
      <c r="GB637" s="2909" t="str">
        <f t="shared" si="165"/>
        <v/>
      </c>
      <c r="GC637" s="2909" t="str">
        <f t="shared" si="166"/>
        <v/>
      </c>
      <c r="GD637" s="2909" t="str">
        <f t="shared" si="167"/>
        <v/>
      </c>
      <c r="GE637" s="2909" t="str">
        <f t="shared" si="168"/>
        <v/>
      </c>
      <c r="GF637" s="2909" t="str">
        <f t="shared" si="169"/>
        <v/>
      </c>
      <c r="GG637" s="2909" t="str">
        <f t="shared" si="170"/>
        <v/>
      </c>
      <c r="GH637" s="2909" t="str">
        <f t="shared" si="171"/>
        <v/>
      </c>
      <c r="GI637" s="2909" t="str">
        <f t="shared" si="172"/>
        <v/>
      </c>
      <c r="GJ637" s="2909" t="str">
        <f t="shared" si="173"/>
        <v/>
      </c>
      <c r="GK637" s="2909" t="str">
        <f t="shared" si="174"/>
        <v/>
      </c>
      <c r="GL637" s="2909" t="str">
        <f t="shared" si="175"/>
        <v/>
      </c>
      <c r="GM637" s="2909" t="str">
        <f t="shared" si="176"/>
        <v/>
      </c>
      <c r="GN637" s="2909" t="str">
        <f t="shared" si="177"/>
        <v/>
      </c>
      <c r="GO637" s="2909" t="str">
        <f t="shared" si="178"/>
        <v/>
      </c>
      <c r="GP637" s="2909" t="str">
        <f t="shared" si="179"/>
        <v/>
      </c>
      <c r="GQ637" s="2909" t="str">
        <f t="shared" si="180"/>
        <v/>
      </c>
      <c r="GR637" s="2909" t="str">
        <f t="shared" si="181"/>
        <v/>
      </c>
      <c r="GS637" s="2909" t="str">
        <f t="shared" si="182"/>
        <v/>
      </c>
      <c r="GT637" s="2909" t="str">
        <f t="shared" si="183"/>
        <v/>
      </c>
      <c r="GU637" s="2909" t="str">
        <f t="shared" si="184"/>
        <v/>
      </c>
      <c r="GV637" s="2909" t="str">
        <f t="shared" si="185"/>
        <v/>
      </c>
      <c r="GW637" s="2909" t="str">
        <f t="shared" si="186"/>
        <v/>
      </c>
      <c r="GX637" s="2909" t="str">
        <f t="shared" si="187"/>
        <v/>
      </c>
      <c r="GY637" s="2909" t="str">
        <f t="shared" si="188"/>
        <v/>
      </c>
      <c r="GZ637" s="2909" t="str">
        <f t="shared" si="189"/>
        <v/>
      </c>
      <c r="HA637" s="2909" t="str">
        <f t="shared" si="190"/>
        <v/>
      </c>
      <c r="HB637" s="2909" t="str">
        <f t="shared" si="191"/>
        <v/>
      </c>
      <c r="HC637" s="2909" t="str">
        <f t="shared" si="192"/>
        <v/>
      </c>
      <c r="HD637" s="2909" t="str">
        <f t="shared" si="193"/>
        <v/>
      </c>
      <c r="HE637" s="2909" t="str">
        <f t="shared" si="194"/>
        <v/>
      </c>
      <c r="HF637" s="2909" t="str">
        <f t="shared" si="195"/>
        <v/>
      </c>
      <c r="HG637" s="2909" t="str">
        <f t="shared" si="196"/>
        <v/>
      </c>
      <c r="HH637" s="2909" t="str">
        <f t="shared" si="197"/>
        <v/>
      </c>
      <c r="HI637" s="2909" t="str">
        <f t="shared" si="198"/>
        <v/>
      </c>
      <c r="HJ637" s="2909" t="str">
        <f t="shared" si="199"/>
        <v/>
      </c>
      <c r="HK637" s="2909" t="str">
        <f t="shared" si="200"/>
        <v/>
      </c>
      <c r="HL637" s="2909" t="str">
        <f t="shared" si="201"/>
        <v/>
      </c>
      <c r="HM637" s="2909" t="str">
        <f t="shared" si="202"/>
        <v/>
      </c>
      <c r="HN637" s="2909" t="str">
        <f t="shared" si="203"/>
        <v/>
      </c>
      <c r="HO637" s="2909" t="str">
        <f t="shared" si="204"/>
        <v/>
      </c>
      <c r="HP637" s="2909" t="str">
        <f t="shared" si="205"/>
        <v/>
      </c>
      <c r="HQ637" s="2909" t="str">
        <f t="shared" si="206"/>
        <v/>
      </c>
      <c r="HR637" s="2909" t="str">
        <f t="shared" si="207"/>
        <v/>
      </c>
      <c r="HS637" s="2909" t="str">
        <f t="shared" si="208"/>
        <v/>
      </c>
      <c r="HT637" s="2909" t="str">
        <f t="shared" si="209"/>
        <v/>
      </c>
      <c r="HU637" s="2909" t="str">
        <f t="shared" si="210"/>
        <v/>
      </c>
      <c r="HV637" s="2909" t="str">
        <f t="shared" si="211"/>
        <v/>
      </c>
      <c r="HW637" s="2909" t="str">
        <f t="shared" si="212"/>
        <v/>
      </c>
      <c r="HX637" s="2909" t="str">
        <f t="shared" si="213"/>
        <v/>
      </c>
      <c r="HY637" s="2909" t="str">
        <f t="shared" si="214"/>
        <v/>
      </c>
      <c r="HZ637" s="2909" t="str">
        <f t="shared" si="215"/>
        <v/>
      </c>
      <c r="IA637" s="2909" t="str">
        <f t="shared" si="216"/>
        <v/>
      </c>
      <c r="IB637" s="2909" t="str">
        <f t="shared" si="217"/>
        <v/>
      </c>
      <c r="IC637" s="2879" t="str">
        <f t="shared" si="218"/>
        <v/>
      </c>
      <c r="ID637" s="2879" t="str">
        <f t="shared" si="219"/>
        <v/>
      </c>
      <c r="IE637" s="2879" t="str">
        <f t="shared" si="220"/>
        <v/>
      </c>
      <c r="IF637" s="2879" t="str">
        <f t="shared" si="221"/>
        <v/>
      </c>
      <c r="IG637" s="2879" t="str">
        <f t="shared" si="222"/>
        <v/>
      </c>
      <c r="IH637" s="1247" t="str">
        <f t="shared" si="223"/>
        <v/>
      </c>
      <c r="II637" s="1247" t="str">
        <f t="shared" si="224"/>
        <v/>
      </c>
      <c r="IJ637" s="1247" t="str">
        <f t="shared" si="225"/>
        <v/>
      </c>
      <c r="IK637" s="1247" t="str">
        <f t="shared" si="226"/>
        <v/>
      </c>
      <c r="IL637" s="1247" t="str">
        <f t="shared" si="227"/>
        <v/>
      </c>
      <c r="IM637" s="1247" t="str">
        <f t="shared" si="228"/>
        <v/>
      </c>
      <c r="IN637" s="1247" t="str">
        <f t="shared" si="229"/>
        <v/>
      </c>
      <c r="IO637" s="1247" t="str">
        <f t="shared" si="230"/>
        <v/>
      </c>
      <c r="IP637" s="1247" t="str">
        <f t="shared" si="231"/>
        <v/>
      </c>
      <c r="IQ637" s="1247" t="str">
        <f t="shared" si="232"/>
        <v/>
      </c>
      <c r="IR637" s="1247" t="str">
        <f t="shared" si="233"/>
        <v/>
      </c>
      <c r="IS637" s="1247" t="str">
        <f t="shared" si="234"/>
        <v/>
      </c>
      <c r="IT637" s="1247" t="str">
        <f t="shared" si="235"/>
        <v/>
      </c>
      <c r="IU637" s="1247" t="str">
        <f t="shared" si="236"/>
        <v/>
      </c>
      <c r="IV637" s="1247" t="str">
        <f t="shared" si="237"/>
        <v/>
      </c>
      <c r="IW637" s="1247" t="str">
        <f t="shared" si="238"/>
        <v/>
      </c>
      <c r="IX637" s="1247" t="str">
        <f t="shared" si="239"/>
        <v/>
      </c>
      <c r="IY637" s="1247" t="str">
        <f t="shared" si="240"/>
        <v/>
      </c>
      <c r="IZ637" s="1247" t="str">
        <f t="shared" si="241"/>
        <v/>
      </c>
      <c r="JA637" s="1247" t="str">
        <f t="shared" si="242"/>
        <v/>
      </c>
      <c r="JB637" s="2877">
        <f t="shared" si="243"/>
        <v>0</v>
      </c>
      <c r="JC637" s="2877">
        <f t="shared" si="244"/>
        <v>0</v>
      </c>
      <c r="JD637" s="2877">
        <f t="shared" si="245"/>
        <v>0</v>
      </c>
      <c r="JE637" s="2877">
        <f t="shared" si="246"/>
        <v>0</v>
      </c>
      <c r="JF637" s="2877">
        <f t="shared" si="247"/>
        <v>0</v>
      </c>
      <c r="JG637" s="2877">
        <f t="shared" si="248"/>
        <v>0</v>
      </c>
      <c r="JH637" s="2877">
        <f t="shared" si="249"/>
        <v>0</v>
      </c>
      <c r="JI637" s="2877">
        <f t="shared" si="250"/>
        <v>0</v>
      </c>
      <c r="JJ637" s="2877">
        <f t="shared" si="251"/>
        <v>0</v>
      </c>
      <c r="JK637" s="2877">
        <f t="shared" si="252"/>
        <v>0</v>
      </c>
      <c r="JL637" s="2877">
        <f t="shared" si="253"/>
        <v>0</v>
      </c>
      <c r="JM637" s="2877">
        <f t="shared" si="254"/>
        <v>0</v>
      </c>
      <c r="JN637" s="2877">
        <f t="shared" si="255"/>
        <v>0</v>
      </c>
      <c r="JO637" s="2877">
        <f t="shared" si="256"/>
        <v>0</v>
      </c>
      <c r="JP637" s="2877">
        <f t="shared" si="257"/>
        <v>0</v>
      </c>
    </row>
    <row r="638" spans="1:276" ht="12" customHeight="1">
      <c r="A638" s="2891" t="str">
        <f t="shared" si="0"/>
        <v/>
      </c>
      <c r="B638" s="2900" t="str">
        <f>'Part VI-Revenues &amp; Expenses'!B18</f>
        <v>&lt;&lt;Select&gt;&gt;</v>
      </c>
      <c r="C638" s="2901">
        <f>'Part VI-Revenues &amp; Expenses'!C18</f>
        <v>0</v>
      </c>
      <c r="D638" s="2902">
        <f>'Part VI-Revenues &amp; Expenses'!D18</f>
        <v>0</v>
      </c>
      <c r="E638" s="2903">
        <f>'Part VI-Revenues &amp; Expenses'!E18</f>
        <v>0</v>
      </c>
      <c r="F638" s="2903">
        <f>'Part VI-Revenues &amp; Expenses'!F18</f>
        <v>0</v>
      </c>
      <c r="G638" s="2903">
        <f>'Part VI-Revenues &amp; Expenses'!G18</f>
        <v>0</v>
      </c>
      <c r="H638" s="2903">
        <f>'Part VI-Revenues &amp; Expenses'!H18</f>
        <v>0</v>
      </c>
      <c r="I638" s="2903">
        <f>'Part VI-Revenues &amp; Expenses'!I18</f>
        <v>0</v>
      </c>
      <c r="J638" s="2904">
        <f>'Part VI-Revenues &amp; Expenses'!J18</f>
        <v>0</v>
      </c>
      <c r="K638" s="2905">
        <f t="shared" si="1"/>
        <v>0</v>
      </c>
      <c r="L638" s="2905">
        <f t="shared" si="2"/>
        <v>0</v>
      </c>
      <c r="M638" s="2886">
        <f>'Part VI-Revenues &amp; Expenses'!M18</f>
        <v>0</v>
      </c>
      <c r="N638" s="2886">
        <f>'Part VI-Revenues &amp; Expenses'!N18</f>
        <v>0</v>
      </c>
      <c r="O638" s="2886">
        <f>'Part VI-Revenues &amp; Expenses'!O18</f>
        <v>0</v>
      </c>
      <c r="P638" s="2886">
        <f>'Part VI-Revenues &amp; Expenses'!P18</f>
        <v>0</v>
      </c>
      <c r="Q638" s="2906">
        <f>IF(H638="","",P638/($O$626*VLOOKUP(C638,'DCA Underwriting Assumptions'!$J$118:$K$123,2,FALSE)))</f>
        <v>0</v>
      </c>
      <c r="R638" s="2907"/>
      <c r="S638" s="2906"/>
      <c r="T638" s="2908"/>
      <c r="U638" s="2908"/>
      <c r="V638" s="1247" t="str">
        <f t="shared" si="3"/>
        <v/>
      </c>
      <c r="W638" s="1247" t="str">
        <f t="shared" si="4"/>
        <v/>
      </c>
      <c r="X638" s="1247" t="str">
        <f t="shared" si="5"/>
        <v/>
      </c>
      <c r="Y638" s="1247" t="str">
        <f t="shared" si="6"/>
        <v/>
      </c>
      <c r="Z638" s="1247" t="str">
        <f t="shared" si="7"/>
        <v/>
      </c>
      <c r="AA638" s="1247" t="str">
        <f t="shared" si="8"/>
        <v/>
      </c>
      <c r="AB638" s="1247" t="str">
        <f t="shared" si="9"/>
        <v/>
      </c>
      <c r="AC638" s="1247" t="str">
        <f t="shared" si="10"/>
        <v/>
      </c>
      <c r="AD638" s="1247" t="str">
        <f t="shared" si="11"/>
        <v/>
      </c>
      <c r="AE638" s="1247" t="str">
        <f t="shared" si="12"/>
        <v/>
      </c>
      <c r="AF638" s="1247" t="str">
        <f t="shared" si="13"/>
        <v/>
      </c>
      <c r="AG638" s="1247" t="str">
        <f t="shared" si="14"/>
        <v/>
      </c>
      <c r="AH638" s="1247" t="str">
        <f t="shared" si="15"/>
        <v/>
      </c>
      <c r="AI638" s="1247" t="str">
        <f t="shared" si="16"/>
        <v/>
      </c>
      <c r="AJ638" s="1247" t="str">
        <f t="shared" si="17"/>
        <v/>
      </c>
      <c r="AK638" s="1247" t="str">
        <f t="shared" si="18"/>
        <v/>
      </c>
      <c r="AL638" s="1247" t="str">
        <f t="shared" si="19"/>
        <v/>
      </c>
      <c r="AM638" s="1247" t="str">
        <f t="shared" si="20"/>
        <v/>
      </c>
      <c r="AN638" s="1247" t="str">
        <f t="shared" si="21"/>
        <v/>
      </c>
      <c r="AO638" s="1247" t="str">
        <f t="shared" si="22"/>
        <v/>
      </c>
      <c r="AP638" s="1247" t="str">
        <f t="shared" si="23"/>
        <v/>
      </c>
      <c r="AQ638" s="1247" t="str">
        <f t="shared" si="24"/>
        <v/>
      </c>
      <c r="AR638" s="1247" t="str">
        <f t="shared" si="25"/>
        <v/>
      </c>
      <c r="AS638" s="1247" t="str">
        <f t="shared" si="26"/>
        <v/>
      </c>
      <c r="AT638" s="1247" t="str">
        <f t="shared" si="27"/>
        <v/>
      </c>
      <c r="AU638" s="1247" t="str">
        <f t="shared" si="28"/>
        <v/>
      </c>
      <c r="AV638" s="1247" t="str">
        <f t="shared" si="29"/>
        <v/>
      </c>
      <c r="AW638" s="1247" t="str">
        <f t="shared" si="30"/>
        <v/>
      </c>
      <c r="AX638" s="1247" t="str">
        <f t="shared" si="31"/>
        <v/>
      </c>
      <c r="AY638" s="1247" t="str">
        <f t="shared" si="32"/>
        <v/>
      </c>
      <c r="AZ638" s="1247" t="str">
        <f t="shared" si="33"/>
        <v/>
      </c>
      <c r="BA638" s="1247" t="str">
        <f t="shared" si="34"/>
        <v/>
      </c>
      <c r="BB638" s="1247" t="str">
        <f t="shared" si="35"/>
        <v/>
      </c>
      <c r="BC638" s="1247" t="str">
        <f t="shared" si="36"/>
        <v/>
      </c>
      <c r="BD638" s="1247" t="str">
        <f t="shared" si="37"/>
        <v/>
      </c>
      <c r="BE638" s="1247" t="str">
        <f t="shared" si="38"/>
        <v/>
      </c>
      <c r="BF638" s="1247" t="str">
        <f t="shared" si="39"/>
        <v/>
      </c>
      <c r="BG638" s="1247" t="str">
        <f t="shared" si="40"/>
        <v/>
      </c>
      <c r="BH638" s="1247" t="str">
        <f t="shared" si="41"/>
        <v/>
      </c>
      <c r="BI638" s="1247" t="str">
        <f t="shared" si="42"/>
        <v/>
      </c>
      <c r="BJ638" s="1247" t="str">
        <f t="shared" si="43"/>
        <v/>
      </c>
      <c r="BK638" s="1247" t="str">
        <f t="shared" si="44"/>
        <v/>
      </c>
      <c r="BL638" s="1247" t="str">
        <f t="shared" si="45"/>
        <v/>
      </c>
      <c r="BM638" s="1247" t="str">
        <f t="shared" si="46"/>
        <v/>
      </c>
      <c r="BN638" s="1247" t="str">
        <f t="shared" si="47"/>
        <v/>
      </c>
      <c r="BO638" s="1247" t="str">
        <f t="shared" si="48"/>
        <v/>
      </c>
      <c r="BP638" s="1247" t="str">
        <f t="shared" si="49"/>
        <v/>
      </c>
      <c r="BQ638" s="1247" t="str">
        <f t="shared" si="50"/>
        <v/>
      </c>
      <c r="BR638" s="1247" t="str">
        <f t="shared" si="51"/>
        <v/>
      </c>
      <c r="BS638" s="1247" t="str">
        <f t="shared" si="52"/>
        <v/>
      </c>
      <c r="BT638" s="1247" t="str">
        <f t="shared" si="53"/>
        <v/>
      </c>
      <c r="BU638" s="1247" t="str">
        <f t="shared" si="54"/>
        <v/>
      </c>
      <c r="BV638" s="1247" t="str">
        <f t="shared" si="55"/>
        <v/>
      </c>
      <c r="BW638" s="1247" t="str">
        <f t="shared" si="56"/>
        <v/>
      </c>
      <c r="BX638" s="1247" t="str">
        <f t="shared" si="57"/>
        <v/>
      </c>
      <c r="BY638" s="1247" t="str">
        <f t="shared" si="58"/>
        <v/>
      </c>
      <c r="BZ638" s="1247" t="str">
        <f t="shared" si="59"/>
        <v/>
      </c>
      <c r="CA638" s="1247" t="str">
        <f t="shared" si="60"/>
        <v/>
      </c>
      <c r="CB638" s="1247" t="str">
        <f t="shared" si="61"/>
        <v/>
      </c>
      <c r="CC638" s="1247" t="str">
        <f t="shared" si="62"/>
        <v/>
      </c>
      <c r="CD638" s="1247" t="str">
        <f t="shared" si="63"/>
        <v/>
      </c>
      <c r="CE638" s="1247" t="str">
        <f t="shared" si="64"/>
        <v/>
      </c>
      <c r="CF638" s="1247" t="str">
        <f t="shared" si="65"/>
        <v/>
      </c>
      <c r="CG638" s="1247" t="str">
        <f t="shared" si="66"/>
        <v/>
      </c>
      <c r="CH638" s="1247" t="str">
        <f t="shared" si="67"/>
        <v/>
      </c>
      <c r="CI638" s="1247" t="str">
        <f t="shared" si="68"/>
        <v/>
      </c>
      <c r="CJ638" s="1247" t="str">
        <f t="shared" si="69"/>
        <v/>
      </c>
      <c r="CK638" s="1247" t="str">
        <f t="shared" si="70"/>
        <v/>
      </c>
      <c r="CL638" s="1247" t="str">
        <f t="shared" si="71"/>
        <v/>
      </c>
      <c r="CM638" s="1247" t="str">
        <f t="shared" si="72"/>
        <v/>
      </c>
      <c r="CN638" s="1247" t="str">
        <f t="shared" si="73"/>
        <v/>
      </c>
      <c r="CO638" s="1247" t="str">
        <f t="shared" si="74"/>
        <v/>
      </c>
      <c r="CP638" s="1247" t="str">
        <f t="shared" si="75"/>
        <v/>
      </c>
      <c r="CQ638" s="1247" t="str">
        <f t="shared" si="76"/>
        <v/>
      </c>
      <c r="CR638" s="1247" t="str">
        <f t="shared" si="77"/>
        <v/>
      </c>
      <c r="CS638" s="1247" t="str">
        <f t="shared" si="78"/>
        <v/>
      </c>
      <c r="CT638" s="1247" t="str">
        <f t="shared" si="79"/>
        <v/>
      </c>
      <c r="CU638" s="1247" t="str">
        <f t="shared" si="80"/>
        <v/>
      </c>
      <c r="CV638" s="1247" t="str">
        <f t="shared" si="81"/>
        <v/>
      </c>
      <c r="CW638" s="1247" t="str">
        <f t="shared" si="82"/>
        <v/>
      </c>
      <c r="CX638" s="1247" t="str">
        <f t="shared" si="83"/>
        <v/>
      </c>
      <c r="CY638" s="1247" t="str">
        <f t="shared" si="84"/>
        <v/>
      </c>
      <c r="CZ638" s="1247" t="str">
        <f t="shared" si="85"/>
        <v/>
      </c>
      <c r="DA638" s="1247" t="str">
        <f t="shared" si="86"/>
        <v/>
      </c>
      <c r="DB638" s="1247" t="str">
        <f t="shared" si="87"/>
        <v/>
      </c>
      <c r="DC638" s="1247" t="str">
        <f t="shared" si="88"/>
        <v/>
      </c>
      <c r="DD638" s="1247" t="str">
        <f t="shared" si="89"/>
        <v/>
      </c>
      <c r="DE638" s="1247" t="str">
        <f t="shared" si="90"/>
        <v/>
      </c>
      <c r="DF638" s="1247" t="str">
        <f t="shared" si="91"/>
        <v/>
      </c>
      <c r="DG638" s="1247" t="str">
        <f t="shared" si="92"/>
        <v/>
      </c>
      <c r="DH638" s="1247" t="str">
        <f t="shared" si="93"/>
        <v/>
      </c>
      <c r="DI638" s="1247" t="str">
        <f t="shared" si="94"/>
        <v/>
      </c>
      <c r="DJ638" s="1247" t="str">
        <f t="shared" si="95"/>
        <v/>
      </c>
      <c r="DK638" s="1247" t="str">
        <f t="shared" si="96"/>
        <v/>
      </c>
      <c r="DL638" s="1247" t="str">
        <f t="shared" si="97"/>
        <v/>
      </c>
      <c r="DM638" s="1247" t="str">
        <f t="shared" si="98"/>
        <v/>
      </c>
      <c r="DN638" s="1247" t="str">
        <f t="shared" si="99"/>
        <v/>
      </c>
      <c r="DO638" s="1247" t="str">
        <f t="shared" si="100"/>
        <v/>
      </c>
      <c r="DP638" s="1247" t="str">
        <f t="shared" si="101"/>
        <v/>
      </c>
      <c r="DQ638" s="1247" t="str">
        <f t="shared" si="102"/>
        <v/>
      </c>
      <c r="DR638" s="1247" t="str">
        <f t="shared" si="103"/>
        <v/>
      </c>
      <c r="DS638" s="1247" t="str">
        <f t="shared" si="104"/>
        <v/>
      </c>
      <c r="DT638" s="1247" t="str">
        <f t="shared" si="105"/>
        <v/>
      </c>
      <c r="DU638" s="1247" t="str">
        <f t="shared" si="106"/>
        <v/>
      </c>
      <c r="DV638" s="1247" t="str">
        <f t="shared" si="107"/>
        <v/>
      </c>
      <c r="DW638" s="1247" t="str">
        <f t="shared" si="108"/>
        <v/>
      </c>
      <c r="DX638" s="1247" t="str">
        <f t="shared" si="109"/>
        <v/>
      </c>
      <c r="DY638" s="1247" t="str">
        <f t="shared" si="110"/>
        <v/>
      </c>
      <c r="DZ638" s="1247" t="str">
        <f t="shared" si="111"/>
        <v/>
      </c>
      <c r="EA638" s="1247" t="str">
        <f t="shared" si="112"/>
        <v/>
      </c>
      <c r="EB638" s="1247" t="str">
        <f t="shared" si="113"/>
        <v/>
      </c>
      <c r="EC638" s="1247" t="str">
        <f t="shared" si="114"/>
        <v/>
      </c>
      <c r="ED638" s="1247" t="str">
        <f t="shared" si="115"/>
        <v/>
      </c>
      <c r="EE638" s="1247" t="str">
        <f t="shared" si="116"/>
        <v/>
      </c>
      <c r="EF638" s="1247" t="str">
        <f t="shared" si="117"/>
        <v/>
      </c>
      <c r="EG638" s="1247" t="str">
        <f t="shared" si="118"/>
        <v/>
      </c>
      <c r="EH638" s="1247" t="str">
        <f t="shared" si="119"/>
        <v/>
      </c>
      <c r="EI638" s="1247" t="str">
        <f t="shared" si="120"/>
        <v/>
      </c>
      <c r="EJ638" s="1247" t="str">
        <f t="shared" si="121"/>
        <v/>
      </c>
      <c r="EK638" s="1247" t="str">
        <f t="shared" si="122"/>
        <v/>
      </c>
      <c r="EL638" s="1247" t="str">
        <f t="shared" si="123"/>
        <v/>
      </c>
      <c r="EM638" s="1247" t="str">
        <f t="shared" si="124"/>
        <v/>
      </c>
      <c r="EN638" s="1247" t="str">
        <f t="shared" si="125"/>
        <v/>
      </c>
      <c r="EO638" s="1247" t="str">
        <f t="shared" si="126"/>
        <v/>
      </c>
      <c r="EP638" s="1247" t="str">
        <f t="shared" si="127"/>
        <v/>
      </c>
      <c r="EQ638" s="1247" t="str">
        <f t="shared" si="128"/>
        <v/>
      </c>
      <c r="ER638" s="1247" t="str">
        <f t="shared" si="129"/>
        <v/>
      </c>
      <c r="ES638" s="1247" t="str">
        <f t="shared" si="130"/>
        <v/>
      </c>
      <c r="ET638" s="1247" t="str">
        <f t="shared" si="131"/>
        <v/>
      </c>
      <c r="EU638" s="1247" t="str">
        <f t="shared" si="132"/>
        <v/>
      </c>
      <c r="EV638" s="2909" t="str">
        <f t="shared" si="133"/>
        <v/>
      </c>
      <c r="EW638" s="2909" t="str">
        <f t="shared" si="134"/>
        <v/>
      </c>
      <c r="EX638" s="2909" t="str">
        <f t="shared" si="135"/>
        <v/>
      </c>
      <c r="EY638" s="2909" t="str">
        <f t="shared" si="136"/>
        <v/>
      </c>
      <c r="EZ638" s="2909" t="str">
        <f t="shared" si="137"/>
        <v/>
      </c>
      <c r="FA638" s="2909" t="str">
        <f t="shared" si="138"/>
        <v/>
      </c>
      <c r="FB638" s="2909" t="str">
        <f t="shared" si="139"/>
        <v/>
      </c>
      <c r="FC638" s="2909" t="str">
        <f t="shared" si="140"/>
        <v/>
      </c>
      <c r="FD638" s="2909" t="str">
        <f t="shared" si="141"/>
        <v/>
      </c>
      <c r="FE638" s="2909" t="str">
        <f t="shared" si="142"/>
        <v/>
      </c>
      <c r="FF638" s="2909" t="str">
        <f t="shared" si="143"/>
        <v/>
      </c>
      <c r="FG638" s="2909" t="str">
        <f t="shared" si="144"/>
        <v/>
      </c>
      <c r="FH638" s="2909" t="str">
        <f t="shared" si="145"/>
        <v/>
      </c>
      <c r="FI638" s="2909" t="str">
        <f t="shared" si="146"/>
        <v/>
      </c>
      <c r="FJ638" s="2909" t="str">
        <f t="shared" si="147"/>
        <v/>
      </c>
      <c r="FK638" s="2909" t="str">
        <f t="shared" si="148"/>
        <v/>
      </c>
      <c r="FL638" s="2909" t="str">
        <f t="shared" si="149"/>
        <v/>
      </c>
      <c r="FM638" s="2909" t="str">
        <f t="shared" si="150"/>
        <v/>
      </c>
      <c r="FN638" s="2909" t="str">
        <f t="shared" si="151"/>
        <v/>
      </c>
      <c r="FO638" s="2909" t="str">
        <f t="shared" si="152"/>
        <v/>
      </c>
      <c r="FP638" s="2909" t="str">
        <f t="shared" si="153"/>
        <v/>
      </c>
      <c r="FQ638" s="2909" t="str">
        <f t="shared" si="154"/>
        <v/>
      </c>
      <c r="FR638" s="2909" t="str">
        <f t="shared" si="155"/>
        <v/>
      </c>
      <c r="FS638" s="2909" t="str">
        <f t="shared" si="156"/>
        <v/>
      </c>
      <c r="FT638" s="2909" t="str">
        <f t="shared" si="157"/>
        <v/>
      </c>
      <c r="FU638" s="2909" t="str">
        <f t="shared" si="158"/>
        <v/>
      </c>
      <c r="FV638" s="2909" t="str">
        <f t="shared" si="159"/>
        <v/>
      </c>
      <c r="FW638" s="2909" t="str">
        <f t="shared" si="160"/>
        <v/>
      </c>
      <c r="FX638" s="2909" t="str">
        <f t="shared" si="161"/>
        <v/>
      </c>
      <c r="FY638" s="2909" t="str">
        <f t="shared" si="162"/>
        <v/>
      </c>
      <c r="FZ638" s="2909" t="str">
        <f t="shared" si="163"/>
        <v/>
      </c>
      <c r="GA638" s="2909" t="str">
        <f t="shared" si="164"/>
        <v/>
      </c>
      <c r="GB638" s="2909" t="str">
        <f t="shared" si="165"/>
        <v/>
      </c>
      <c r="GC638" s="2909" t="str">
        <f t="shared" si="166"/>
        <v/>
      </c>
      <c r="GD638" s="2909" t="str">
        <f t="shared" si="167"/>
        <v/>
      </c>
      <c r="GE638" s="2909" t="str">
        <f t="shared" si="168"/>
        <v/>
      </c>
      <c r="GF638" s="2909" t="str">
        <f t="shared" si="169"/>
        <v/>
      </c>
      <c r="GG638" s="2909" t="str">
        <f t="shared" si="170"/>
        <v/>
      </c>
      <c r="GH638" s="2909" t="str">
        <f t="shared" si="171"/>
        <v/>
      </c>
      <c r="GI638" s="2909" t="str">
        <f t="shared" si="172"/>
        <v/>
      </c>
      <c r="GJ638" s="2909" t="str">
        <f t="shared" si="173"/>
        <v/>
      </c>
      <c r="GK638" s="2909" t="str">
        <f t="shared" si="174"/>
        <v/>
      </c>
      <c r="GL638" s="2909" t="str">
        <f t="shared" si="175"/>
        <v/>
      </c>
      <c r="GM638" s="2909" t="str">
        <f t="shared" si="176"/>
        <v/>
      </c>
      <c r="GN638" s="2909" t="str">
        <f t="shared" si="177"/>
        <v/>
      </c>
      <c r="GO638" s="2909" t="str">
        <f t="shared" si="178"/>
        <v/>
      </c>
      <c r="GP638" s="2909" t="str">
        <f t="shared" si="179"/>
        <v/>
      </c>
      <c r="GQ638" s="2909" t="str">
        <f t="shared" si="180"/>
        <v/>
      </c>
      <c r="GR638" s="2909" t="str">
        <f t="shared" si="181"/>
        <v/>
      </c>
      <c r="GS638" s="2909" t="str">
        <f t="shared" si="182"/>
        <v/>
      </c>
      <c r="GT638" s="2909" t="str">
        <f t="shared" si="183"/>
        <v/>
      </c>
      <c r="GU638" s="2909" t="str">
        <f t="shared" si="184"/>
        <v/>
      </c>
      <c r="GV638" s="2909" t="str">
        <f t="shared" si="185"/>
        <v/>
      </c>
      <c r="GW638" s="2909" t="str">
        <f t="shared" si="186"/>
        <v/>
      </c>
      <c r="GX638" s="2909" t="str">
        <f t="shared" si="187"/>
        <v/>
      </c>
      <c r="GY638" s="2909" t="str">
        <f t="shared" si="188"/>
        <v/>
      </c>
      <c r="GZ638" s="2909" t="str">
        <f t="shared" si="189"/>
        <v/>
      </c>
      <c r="HA638" s="2909" t="str">
        <f t="shared" si="190"/>
        <v/>
      </c>
      <c r="HB638" s="2909" t="str">
        <f t="shared" si="191"/>
        <v/>
      </c>
      <c r="HC638" s="2909" t="str">
        <f t="shared" si="192"/>
        <v/>
      </c>
      <c r="HD638" s="2909" t="str">
        <f t="shared" si="193"/>
        <v/>
      </c>
      <c r="HE638" s="2909" t="str">
        <f t="shared" si="194"/>
        <v/>
      </c>
      <c r="HF638" s="2909" t="str">
        <f t="shared" si="195"/>
        <v/>
      </c>
      <c r="HG638" s="2909" t="str">
        <f t="shared" si="196"/>
        <v/>
      </c>
      <c r="HH638" s="2909" t="str">
        <f t="shared" si="197"/>
        <v/>
      </c>
      <c r="HI638" s="2909" t="str">
        <f t="shared" si="198"/>
        <v/>
      </c>
      <c r="HJ638" s="2909" t="str">
        <f t="shared" si="199"/>
        <v/>
      </c>
      <c r="HK638" s="2909" t="str">
        <f t="shared" si="200"/>
        <v/>
      </c>
      <c r="HL638" s="2909" t="str">
        <f t="shared" si="201"/>
        <v/>
      </c>
      <c r="HM638" s="2909" t="str">
        <f t="shared" si="202"/>
        <v/>
      </c>
      <c r="HN638" s="2909" t="str">
        <f t="shared" si="203"/>
        <v/>
      </c>
      <c r="HO638" s="2909" t="str">
        <f t="shared" si="204"/>
        <v/>
      </c>
      <c r="HP638" s="2909" t="str">
        <f t="shared" si="205"/>
        <v/>
      </c>
      <c r="HQ638" s="2909" t="str">
        <f t="shared" si="206"/>
        <v/>
      </c>
      <c r="HR638" s="2909" t="str">
        <f t="shared" si="207"/>
        <v/>
      </c>
      <c r="HS638" s="2909" t="str">
        <f t="shared" si="208"/>
        <v/>
      </c>
      <c r="HT638" s="2909" t="str">
        <f t="shared" si="209"/>
        <v/>
      </c>
      <c r="HU638" s="2909" t="str">
        <f t="shared" si="210"/>
        <v/>
      </c>
      <c r="HV638" s="2909" t="str">
        <f t="shared" si="211"/>
        <v/>
      </c>
      <c r="HW638" s="2909" t="str">
        <f t="shared" si="212"/>
        <v/>
      </c>
      <c r="HX638" s="2909" t="str">
        <f t="shared" si="213"/>
        <v/>
      </c>
      <c r="HY638" s="2909" t="str">
        <f t="shared" si="214"/>
        <v/>
      </c>
      <c r="HZ638" s="2909" t="str">
        <f t="shared" si="215"/>
        <v/>
      </c>
      <c r="IA638" s="2909" t="str">
        <f t="shared" si="216"/>
        <v/>
      </c>
      <c r="IB638" s="2909" t="str">
        <f t="shared" si="217"/>
        <v/>
      </c>
      <c r="IC638" s="2879" t="str">
        <f t="shared" si="218"/>
        <v/>
      </c>
      <c r="ID638" s="2879" t="str">
        <f t="shared" si="219"/>
        <v/>
      </c>
      <c r="IE638" s="2879" t="str">
        <f t="shared" si="220"/>
        <v/>
      </c>
      <c r="IF638" s="2879" t="str">
        <f t="shared" si="221"/>
        <v/>
      </c>
      <c r="IG638" s="2879" t="str">
        <f t="shared" si="222"/>
        <v/>
      </c>
      <c r="IH638" s="1247" t="str">
        <f t="shared" si="223"/>
        <v/>
      </c>
      <c r="II638" s="1247" t="str">
        <f t="shared" si="224"/>
        <v/>
      </c>
      <c r="IJ638" s="1247" t="str">
        <f t="shared" si="225"/>
        <v/>
      </c>
      <c r="IK638" s="1247" t="str">
        <f t="shared" si="226"/>
        <v/>
      </c>
      <c r="IL638" s="1247" t="str">
        <f t="shared" si="227"/>
        <v/>
      </c>
      <c r="IM638" s="1247" t="str">
        <f t="shared" si="228"/>
        <v/>
      </c>
      <c r="IN638" s="1247" t="str">
        <f t="shared" si="229"/>
        <v/>
      </c>
      <c r="IO638" s="1247" t="str">
        <f t="shared" si="230"/>
        <v/>
      </c>
      <c r="IP638" s="1247" t="str">
        <f t="shared" si="231"/>
        <v/>
      </c>
      <c r="IQ638" s="1247" t="str">
        <f t="shared" si="232"/>
        <v/>
      </c>
      <c r="IR638" s="1247" t="str">
        <f t="shared" si="233"/>
        <v/>
      </c>
      <c r="IS638" s="1247" t="str">
        <f t="shared" si="234"/>
        <v/>
      </c>
      <c r="IT638" s="1247" t="str">
        <f t="shared" si="235"/>
        <v/>
      </c>
      <c r="IU638" s="1247" t="str">
        <f t="shared" si="236"/>
        <v/>
      </c>
      <c r="IV638" s="1247" t="str">
        <f t="shared" si="237"/>
        <v/>
      </c>
      <c r="IW638" s="1247" t="str">
        <f t="shared" si="238"/>
        <v/>
      </c>
      <c r="IX638" s="1247" t="str">
        <f t="shared" si="239"/>
        <v/>
      </c>
      <c r="IY638" s="1247" t="str">
        <f t="shared" si="240"/>
        <v/>
      </c>
      <c r="IZ638" s="1247" t="str">
        <f t="shared" si="241"/>
        <v/>
      </c>
      <c r="JA638" s="1247" t="str">
        <f t="shared" si="242"/>
        <v/>
      </c>
      <c r="JB638" s="2877">
        <f t="shared" si="243"/>
        <v>0</v>
      </c>
      <c r="JC638" s="2877">
        <f t="shared" si="244"/>
        <v>0</v>
      </c>
      <c r="JD638" s="2877">
        <f t="shared" si="245"/>
        <v>0</v>
      </c>
      <c r="JE638" s="2877">
        <f t="shared" si="246"/>
        <v>0</v>
      </c>
      <c r="JF638" s="2877">
        <f t="shared" si="247"/>
        <v>0</v>
      </c>
      <c r="JG638" s="2877">
        <f t="shared" si="248"/>
        <v>0</v>
      </c>
      <c r="JH638" s="2877">
        <f t="shared" si="249"/>
        <v>0</v>
      </c>
      <c r="JI638" s="2877">
        <f t="shared" si="250"/>
        <v>0</v>
      </c>
      <c r="JJ638" s="2877">
        <f t="shared" si="251"/>
        <v>0</v>
      </c>
      <c r="JK638" s="2877">
        <f t="shared" si="252"/>
        <v>0</v>
      </c>
      <c r="JL638" s="2877">
        <f t="shared" si="253"/>
        <v>0</v>
      </c>
      <c r="JM638" s="2877">
        <f t="shared" si="254"/>
        <v>0</v>
      </c>
      <c r="JN638" s="2877">
        <f t="shared" si="255"/>
        <v>0</v>
      </c>
      <c r="JO638" s="2877">
        <f t="shared" si="256"/>
        <v>0</v>
      </c>
      <c r="JP638" s="2877">
        <f t="shared" si="257"/>
        <v>0</v>
      </c>
    </row>
    <row r="639" spans="1:276" ht="12" customHeight="1">
      <c r="A639" s="2891" t="str">
        <f t="shared" si="0"/>
        <v/>
      </c>
      <c r="B639" s="2900" t="str">
        <f>'Part VI-Revenues &amp; Expenses'!B19</f>
        <v>&lt;&lt;Select&gt;&gt;</v>
      </c>
      <c r="C639" s="2901">
        <f>'Part VI-Revenues &amp; Expenses'!C19</f>
        <v>0</v>
      </c>
      <c r="D639" s="2902">
        <f>'Part VI-Revenues &amp; Expenses'!D19</f>
        <v>0</v>
      </c>
      <c r="E639" s="2903">
        <f>'Part VI-Revenues &amp; Expenses'!E19</f>
        <v>0</v>
      </c>
      <c r="F639" s="2903">
        <f>'Part VI-Revenues &amp; Expenses'!F19</f>
        <v>0</v>
      </c>
      <c r="G639" s="2903">
        <f>'Part VI-Revenues &amp; Expenses'!G19</f>
        <v>0</v>
      </c>
      <c r="H639" s="2903">
        <f>'Part VI-Revenues &amp; Expenses'!H19</f>
        <v>0</v>
      </c>
      <c r="I639" s="2903">
        <f>'Part VI-Revenues &amp; Expenses'!I19</f>
        <v>0</v>
      </c>
      <c r="J639" s="2904">
        <f>'Part VI-Revenues &amp; Expenses'!J19</f>
        <v>0</v>
      </c>
      <c r="K639" s="2905">
        <f t="shared" si="1"/>
        <v>0</v>
      </c>
      <c r="L639" s="2905">
        <f t="shared" si="2"/>
        <v>0</v>
      </c>
      <c r="M639" s="2886">
        <f>'Part VI-Revenues &amp; Expenses'!M19</f>
        <v>0</v>
      </c>
      <c r="N639" s="2886">
        <f>'Part VI-Revenues &amp; Expenses'!N19</f>
        <v>0</v>
      </c>
      <c r="O639" s="2886">
        <f>'Part VI-Revenues &amp; Expenses'!O19</f>
        <v>0</v>
      </c>
      <c r="P639" s="2886">
        <f>'Part VI-Revenues &amp; Expenses'!P19</f>
        <v>0</v>
      </c>
      <c r="Q639" s="2906">
        <f>IF(H639="","",P639/($O$626*VLOOKUP(C639,'DCA Underwriting Assumptions'!$J$118:$K$123,2,FALSE)))</f>
        <v>0</v>
      </c>
      <c r="R639" s="2907"/>
      <c r="S639" s="2906"/>
      <c r="T639" s="2908"/>
      <c r="U639" s="2908"/>
      <c r="V639" s="1247" t="str">
        <f t="shared" si="3"/>
        <v/>
      </c>
      <c r="W639" s="1247" t="str">
        <f t="shared" si="4"/>
        <v/>
      </c>
      <c r="X639" s="1247" t="str">
        <f t="shared" si="5"/>
        <v/>
      </c>
      <c r="Y639" s="1247" t="str">
        <f t="shared" si="6"/>
        <v/>
      </c>
      <c r="Z639" s="1247" t="str">
        <f t="shared" si="7"/>
        <v/>
      </c>
      <c r="AA639" s="1247" t="str">
        <f t="shared" si="8"/>
        <v/>
      </c>
      <c r="AB639" s="1247" t="str">
        <f t="shared" si="9"/>
        <v/>
      </c>
      <c r="AC639" s="1247" t="str">
        <f t="shared" si="10"/>
        <v/>
      </c>
      <c r="AD639" s="1247" t="str">
        <f t="shared" si="11"/>
        <v/>
      </c>
      <c r="AE639" s="1247" t="str">
        <f t="shared" si="12"/>
        <v/>
      </c>
      <c r="AF639" s="1247" t="str">
        <f t="shared" si="13"/>
        <v/>
      </c>
      <c r="AG639" s="1247" t="str">
        <f t="shared" si="14"/>
        <v/>
      </c>
      <c r="AH639" s="1247" t="str">
        <f t="shared" si="15"/>
        <v/>
      </c>
      <c r="AI639" s="1247" t="str">
        <f t="shared" si="16"/>
        <v/>
      </c>
      <c r="AJ639" s="1247" t="str">
        <f t="shared" si="17"/>
        <v/>
      </c>
      <c r="AK639" s="1247" t="str">
        <f t="shared" si="18"/>
        <v/>
      </c>
      <c r="AL639" s="1247" t="str">
        <f t="shared" si="19"/>
        <v/>
      </c>
      <c r="AM639" s="1247" t="str">
        <f t="shared" si="20"/>
        <v/>
      </c>
      <c r="AN639" s="1247" t="str">
        <f t="shared" si="21"/>
        <v/>
      </c>
      <c r="AO639" s="1247" t="str">
        <f t="shared" si="22"/>
        <v/>
      </c>
      <c r="AP639" s="1247" t="str">
        <f t="shared" si="23"/>
        <v/>
      </c>
      <c r="AQ639" s="1247" t="str">
        <f t="shared" si="24"/>
        <v/>
      </c>
      <c r="AR639" s="1247" t="str">
        <f t="shared" si="25"/>
        <v/>
      </c>
      <c r="AS639" s="1247" t="str">
        <f t="shared" si="26"/>
        <v/>
      </c>
      <c r="AT639" s="1247" t="str">
        <f t="shared" si="27"/>
        <v/>
      </c>
      <c r="AU639" s="1247" t="str">
        <f t="shared" si="28"/>
        <v/>
      </c>
      <c r="AV639" s="1247" t="str">
        <f t="shared" si="29"/>
        <v/>
      </c>
      <c r="AW639" s="1247" t="str">
        <f t="shared" si="30"/>
        <v/>
      </c>
      <c r="AX639" s="1247" t="str">
        <f t="shared" si="31"/>
        <v/>
      </c>
      <c r="AY639" s="1247" t="str">
        <f t="shared" si="32"/>
        <v/>
      </c>
      <c r="AZ639" s="1247" t="str">
        <f t="shared" si="33"/>
        <v/>
      </c>
      <c r="BA639" s="1247" t="str">
        <f t="shared" si="34"/>
        <v/>
      </c>
      <c r="BB639" s="1247" t="str">
        <f t="shared" si="35"/>
        <v/>
      </c>
      <c r="BC639" s="1247" t="str">
        <f t="shared" si="36"/>
        <v/>
      </c>
      <c r="BD639" s="1247" t="str">
        <f t="shared" si="37"/>
        <v/>
      </c>
      <c r="BE639" s="1247" t="str">
        <f t="shared" si="38"/>
        <v/>
      </c>
      <c r="BF639" s="1247" t="str">
        <f t="shared" si="39"/>
        <v/>
      </c>
      <c r="BG639" s="1247" t="str">
        <f t="shared" si="40"/>
        <v/>
      </c>
      <c r="BH639" s="1247" t="str">
        <f t="shared" si="41"/>
        <v/>
      </c>
      <c r="BI639" s="1247" t="str">
        <f t="shared" si="42"/>
        <v/>
      </c>
      <c r="BJ639" s="1247" t="str">
        <f t="shared" si="43"/>
        <v/>
      </c>
      <c r="BK639" s="1247" t="str">
        <f t="shared" si="44"/>
        <v/>
      </c>
      <c r="BL639" s="1247" t="str">
        <f t="shared" si="45"/>
        <v/>
      </c>
      <c r="BM639" s="1247" t="str">
        <f t="shared" si="46"/>
        <v/>
      </c>
      <c r="BN639" s="1247" t="str">
        <f t="shared" si="47"/>
        <v/>
      </c>
      <c r="BO639" s="1247" t="str">
        <f t="shared" si="48"/>
        <v/>
      </c>
      <c r="BP639" s="1247" t="str">
        <f t="shared" si="49"/>
        <v/>
      </c>
      <c r="BQ639" s="1247" t="str">
        <f t="shared" si="50"/>
        <v/>
      </c>
      <c r="BR639" s="1247" t="str">
        <f t="shared" si="51"/>
        <v/>
      </c>
      <c r="BS639" s="1247" t="str">
        <f t="shared" si="52"/>
        <v/>
      </c>
      <c r="BT639" s="1247" t="str">
        <f t="shared" si="53"/>
        <v/>
      </c>
      <c r="BU639" s="1247" t="str">
        <f t="shared" si="54"/>
        <v/>
      </c>
      <c r="BV639" s="1247" t="str">
        <f t="shared" si="55"/>
        <v/>
      </c>
      <c r="BW639" s="1247" t="str">
        <f t="shared" si="56"/>
        <v/>
      </c>
      <c r="BX639" s="1247" t="str">
        <f t="shared" si="57"/>
        <v/>
      </c>
      <c r="BY639" s="1247" t="str">
        <f t="shared" si="58"/>
        <v/>
      </c>
      <c r="BZ639" s="1247" t="str">
        <f t="shared" si="59"/>
        <v/>
      </c>
      <c r="CA639" s="1247" t="str">
        <f t="shared" si="60"/>
        <v/>
      </c>
      <c r="CB639" s="1247" t="str">
        <f t="shared" si="61"/>
        <v/>
      </c>
      <c r="CC639" s="1247" t="str">
        <f t="shared" si="62"/>
        <v/>
      </c>
      <c r="CD639" s="1247" t="str">
        <f t="shared" si="63"/>
        <v/>
      </c>
      <c r="CE639" s="1247" t="str">
        <f t="shared" si="64"/>
        <v/>
      </c>
      <c r="CF639" s="1247" t="str">
        <f t="shared" si="65"/>
        <v/>
      </c>
      <c r="CG639" s="1247" t="str">
        <f t="shared" si="66"/>
        <v/>
      </c>
      <c r="CH639" s="1247" t="str">
        <f t="shared" si="67"/>
        <v/>
      </c>
      <c r="CI639" s="1247" t="str">
        <f t="shared" si="68"/>
        <v/>
      </c>
      <c r="CJ639" s="1247" t="str">
        <f t="shared" si="69"/>
        <v/>
      </c>
      <c r="CK639" s="1247" t="str">
        <f t="shared" si="70"/>
        <v/>
      </c>
      <c r="CL639" s="1247" t="str">
        <f t="shared" si="71"/>
        <v/>
      </c>
      <c r="CM639" s="1247" t="str">
        <f t="shared" si="72"/>
        <v/>
      </c>
      <c r="CN639" s="1247" t="str">
        <f t="shared" si="73"/>
        <v/>
      </c>
      <c r="CO639" s="1247" t="str">
        <f t="shared" si="74"/>
        <v/>
      </c>
      <c r="CP639" s="1247" t="str">
        <f t="shared" si="75"/>
        <v/>
      </c>
      <c r="CQ639" s="1247" t="str">
        <f t="shared" si="76"/>
        <v/>
      </c>
      <c r="CR639" s="1247" t="str">
        <f t="shared" si="77"/>
        <v/>
      </c>
      <c r="CS639" s="1247" t="str">
        <f t="shared" si="78"/>
        <v/>
      </c>
      <c r="CT639" s="1247" t="str">
        <f t="shared" si="79"/>
        <v/>
      </c>
      <c r="CU639" s="1247" t="str">
        <f t="shared" si="80"/>
        <v/>
      </c>
      <c r="CV639" s="1247" t="str">
        <f t="shared" si="81"/>
        <v/>
      </c>
      <c r="CW639" s="1247" t="str">
        <f t="shared" si="82"/>
        <v/>
      </c>
      <c r="CX639" s="1247" t="str">
        <f t="shared" si="83"/>
        <v/>
      </c>
      <c r="CY639" s="1247" t="str">
        <f t="shared" si="84"/>
        <v/>
      </c>
      <c r="CZ639" s="1247" t="str">
        <f t="shared" si="85"/>
        <v/>
      </c>
      <c r="DA639" s="1247" t="str">
        <f t="shared" si="86"/>
        <v/>
      </c>
      <c r="DB639" s="1247" t="str">
        <f t="shared" si="87"/>
        <v/>
      </c>
      <c r="DC639" s="1247" t="str">
        <f t="shared" si="88"/>
        <v/>
      </c>
      <c r="DD639" s="1247" t="str">
        <f t="shared" si="89"/>
        <v/>
      </c>
      <c r="DE639" s="1247" t="str">
        <f t="shared" si="90"/>
        <v/>
      </c>
      <c r="DF639" s="1247" t="str">
        <f t="shared" si="91"/>
        <v/>
      </c>
      <c r="DG639" s="1247" t="str">
        <f t="shared" si="92"/>
        <v/>
      </c>
      <c r="DH639" s="1247" t="str">
        <f t="shared" si="93"/>
        <v/>
      </c>
      <c r="DI639" s="1247" t="str">
        <f t="shared" si="94"/>
        <v/>
      </c>
      <c r="DJ639" s="1247" t="str">
        <f t="shared" si="95"/>
        <v/>
      </c>
      <c r="DK639" s="1247" t="str">
        <f t="shared" si="96"/>
        <v/>
      </c>
      <c r="DL639" s="1247" t="str">
        <f t="shared" si="97"/>
        <v/>
      </c>
      <c r="DM639" s="1247" t="str">
        <f t="shared" si="98"/>
        <v/>
      </c>
      <c r="DN639" s="1247" t="str">
        <f t="shared" si="99"/>
        <v/>
      </c>
      <c r="DO639" s="1247" t="str">
        <f t="shared" si="100"/>
        <v/>
      </c>
      <c r="DP639" s="1247" t="str">
        <f t="shared" si="101"/>
        <v/>
      </c>
      <c r="DQ639" s="1247" t="str">
        <f t="shared" si="102"/>
        <v/>
      </c>
      <c r="DR639" s="1247" t="str">
        <f t="shared" si="103"/>
        <v/>
      </c>
      <c r="DS639" s="1247" t="str">
        <f t="shared" si="104"/>
        <v/>
      </c>
      <c r="DT639" s="1247" t="str">
        <f t="shared" si="105"/>
        <v/>
      </c>
      <c r="DU639" s="1247" t="str">
        <f t="shared" si="106"/>
        <v/>
      </c>
      <c r="DV639" s="1247" t="str">
        <f t="shared" si="107"/>
        <v/>
      </c>
      <c r="DW639" s="1247" t="str">
        <f t="shared" si="108"/>
        <v/>
      </c>
      <c r="DX639" s="1247" t="str">
        <f t="shared" si="109"/>
        <v/>
      </c>
      <c r="DY639" s="1247" t="str">
        <f t="shared" si="110"/>
        <v/>
      </c>
      <c r="DZ639" s="1247" t="str">
        <f t="shared" si="111"/>
        <v/>
      </c>
      <c r="EA639" s="1247" t="str">
        <f t="shared" si="112"/>
        <v/>
      </c>
      <c r="EB639" s="1247" t="str">
        <f t="shared" si="113"/>
        <v/>
      </c>
      <c r="EC639" s="1247" t="str">
        <f t="shared" si="114"/>
        <v/>
      </c>
      <c r="ED639" s="1247" t="str">
        <f t="shared" si="115"/>
        <v/>
      </c>
      <c r="EE639" s="1247" t="str">
        <f t="shared" si="116"/>
        <v/>
      </c>
      <c r="EF639" s="1247" t="str">
        <f t="shared" si="117"/>
        <v/>
      </c>
      <c r="EG639" s="1247" t="str">
        <f t="shared" si="118"/>
        <v/>
      </c>
      <c r="EH639" s="1247" t="str">
        <f t="shared" si="119"/>
        <v/>
      </c>
      <c r="EI639" s="1247" t="str">
        <f t="shared" si="120"/>
        <v/>
      </c>
      <c r="EJ639" s="1247" t="str">
        <f t="shared" si="121"/>
        <v/>
      </c>
      <c r="EK639" s="1247" t="str">
        <f t="shared" si="122"/>
        <v/>
      </c>
      <c r="EL639" s="1247" t="str">
        <f t="shared" si="123"/>
        <v/>
      </c>
      <c r="EM639" s="1247" t="str">
        <f t="shared" si="124"/>
        <v/>
      </c>
      <c r="EN639" s="1247" t="str">
        <f t="shared" si="125"/>
        <v/>
      </c>
      <c r="EO639" s="1247" t="str">
        <f t="shared" si="126"/>
        <v/>
      </c>
      <c r="EP639" s="1247" t="str">
        <f t="shared" si="127"/>
        <v/>
      </c>
      <c r="EQ639" s="1247" t="str">
        <f t="shared" si="128"/>
        <v/>
      </c>
      <c r="ER639" s="1247" t="str">
        <f t="shared" si="129"/>
        <v/>
      </c>
      <c r="ES639" s="1247" t="str">
        <f t="shared" si="130"/>
        <v/>
      </c>
      <c r="ET639" s="1247" t="str">
        <f t="shared" si="131"/>
        <v/>
      </c>
      <c r="EU639" s="1247" t="str">
        <f t="shared" si="132"/>
        <v/>
      </c>
      <c r="EV639" s="2909" t="str">
        <f t="shared" si="133"/>
        <v/>
      </c>
      <c r="EW639" s="2909" t="str">
        <f t="shared" si="134"/>
        <v/>
      </c>
      <c r="EX639" s="2909" t="str">
        <f t="shared" si="135"/>
        <v/>
      </c>
      <c r="EY639" s="2909" t="str">
        <f t="shared" si="136"/>
        <v/>
      </c>
      <c r="EZ639" s="2909" t="str">
        <f t="shared" si="137"/>
        <v/>
      </c>
      <c r="FA639" s="2909" t="str">
        <f t="shared" si="138"/>
        <v/>
      </c>
      <c r="FB639" s="2909" t="str">
        <f t="shared" si="139"/>
        <v/>
      </c>
      <c r="FC639" s="2909" t="str">
        <f t="shared" si="140"/>
        <v/>
      </c>
      <c r="FD639" s="2909" t="str">
        <f t="shared" si="141"/>
        <v/>
      </c>
      <c r="FE639" s="2909" t="str">
        <f t="shared" si="142"/>
        <v/>
      </c>
      <c r="FF639" s="2909" t="str">
        <f t="shared" si="143"/>
        <v/>
      </c>
      <c r="FG639" s="2909" t="str">
        <f t="shared" si="144"/>
        <v/>
      </c>
      <c r="FH639" s="2909" t="str">
        <f t="shared" si="145"/>
        <v/>
      </c>
      <c r="FI639" s="2909" t="str">
        <f t="shared" si="146"/>
        <v/>
      </c>
      <c r="FJ639" s="2909" t="str">
        <f t="shared" si="147"/>
        <v/>
      </c>
      <c r="FK639" s="2909" t="str">
        <f t="shared" si="148"/>
        <v/>
      </c>
      <c r="FL639" s="2909" t="str">
        <f t="shared" si="149"/>
        <v/>
      </c>
      <c r="FM639" s="2909" t="str">
        <f t="shared" si="150"/>
        <v/>
      </c>
      <c r="FN639" s="2909" t="str">
        <f t="shared" si="151"/>
        <v/>
      </c>
      <c r="FO639" s="2909" t="str">
        <f t="shared" si="152"/>
        <v/>
      </c>
      <c r="FP639" s="2909" t="str">
        <f t="shared" si="153"/>
        <v/>
      </c>
      <c r="FQ639" s="2909" t="str">
        <f t="shared" si="154"/>
        <v/>
      </c>
      <c r="FR639" s="2909" t="str">
        <f t="shared" si="155"/>
        <v/>
      </c>
      <c r="FS639" s="2909" t="str">
        <f t="shared" si="156"/>
        <v/>
      </c>
      <c r="FT639" s="2909" t="str">
        <f t="shared" si="157"/>
        <v/>
      </c>
      <c r="FU639" s="2909" t="str">
        <f t="shared" si="158"/>
        <v/>
      </c>
      <c r="FV639" s="2909" t="str">
        <f t="shared" si="159"/>
        <v/>
      </c>
      <c r="FW639" s="2909" t="str">
        <f t="shared" si="160"/>
        <v/>
      </c>
      <c r="FX639" s="2909" t="str">
        <f t="shared" si="161"/>
        <v/>
      </c>
      <c r="FY639" s="2909" t="str">
        <f t="shared" si="162"/>
        <v/>
      </c>
      <c r="FZ639" s="2909" t="str">
        <f t="shared" si="163"/>
        <v/>
      </c>
      <c r="GA639" s="2909" t="str">
        <f t="shared" si="164"/>
        <v/>
      </c>
      <c r="GB639" s="2909" t="str">
        <f t="shared" si="165"/>
        <v/>
      </c>
      <c r="GC639" s="2909" t="str">
        <f t="shared" si="166"/>
        <v/>
      </c>
      <c r="GD639" s="2909" t="str">
        <f t="shared" si="167"/>
        <v/>
      </c>
      <c r="GE639" s="2909" t="str">
        <f t="shared" si="168"/>
        <v/>
      </c>
      <c r="GF639" s="2909" t="str">
        <f t="shared" si="169"/>
        <v/>
      </c>
      <c r="GG639" s="2909" t="str">
        <f t="shared" si="170"/>
        <v/>
      </c>
      <c r="GH639" s="2909" t="str">
        <f t="shared" si="171"/>
        <v/>
      </c>
      <c r="GI639" s="2909" t="str">
        <f t="shared" si="172"/>
        <v/>
      </c>
      <c r="GJ639" s="2909" t="str">
        <f t="shared" si="173"/>
        <v/>
      </c>
      <c r="GK639" s="2909" t="str">
        <f t="shared" si="174"/>
        <v/>
      </c>
      <c r="GL639" s="2909" t="str">
        <f t="shared" si="175"/>
        <v/>
      </c>
      <c r="GM639" s="2909" t="str">
        <f t="shared" si="176"/>
        <v/>
      </c>
      <c r="GN639" s="2909" t="str">
        <f t="shared" si="177"/>
        <v/>
      </c>
      <c r="GO639" s="2909" t="str">
        <f t="shared" si="178"/>
        <v/>
      </c>
      <c r="GP639" s="2909" t="str">
        <f t="shared" si="179"/>
        <v/>
      </c>
      <c r="GQ639" s="2909" t="str">
        <f t="shared" si="180"/>
        <v/>
      </c>
      <c r="GR639" s="2909" t="str">
        <f t="shared" si="181"/>
        <v/>
      </c>
      <c r="GS639" s="2909" t="str">
        <f t="shared" si="182"/>
        <v/>
      </c>
      <c r="GT639" s="2909" t="str">
        <f t="shared" si="183"/>
        <v/>
      </c>
      <c r="GU639" s="2909" t="str">
        <f t="shared" si="184"/>
        <v/>
      </c>
      <c r="GV639" s="2909" t="str">
        <f t="shared" si="185"/>
        <v/>
      </c>
      <c r="GW639" s="2909" t="str">
        <f t="shared" si="186"/>
        <v/>
      </c>
      <c r="GX639" s="2909" t="str">
        <f t="shared" si="187"/>
        <v/>
      </c>
      <c r="GY639" s="2909" t="str">
        <f t="shared" si="188"/>
        <v/>
      </c>
      <c r="GZ639" s="2909" t="str">
        <f t="shared" si="189"/>
        <v/>
      </c>
      <c r="HA639" s="2909" t="str">
        <f t="shared" si="190"/>
        <v/>
      </c>
      <c r="HB639" s="2909" t="str">
        <f t="shared" si="191"/>
        <v/>
      </c>
      <c r="HC639" s="2909" t="str">
        <f t="shared" si="192"/>
        <v/>
      </c>
      <c r="HD639" s="2909" t="str">
        <f t="shared" si="193"/>
        <v/>
      </c>
      <c r="HE639" s="2909" t="str">
        <f t="shared" si="194"/>
        <v/>
      </c>
      <c r="HF639" s="2909" t="str">
        <f t="shared" si="195"/>
        <v/>
      </c>
      <c r="HG639" s="2909" t="str">
        <f t="shared" si="196"/>
        <v/>
      </c>
      <c r="HH639" s="2909" t="str">
        <f t="shared" si="197"/>
        <v/>
      </c>
      <c r="HI639" s="2909" t="str">
        <f t="shared" si="198"/>
        <v/>
      </c>
      <c r="HJ639" s="2909" t="str">
        <f t="shared" si="199"/>
        <v/>
      </c>
      <c r="HK639" s="2909" t="str">
        <f t="shared" si="200"/>
        <v/>
      </c>
      <c r="HL639" s="2909" t="str">
        <f t="shared" si="201"/>
        <v/>
      </c>
      <c r="HM639" s="2909" t="str">
        <f t="shared" si="202"/>
        <v/>
      </c>
      <c r="HN639" s="2909" t="str">
        <f t="shared" si="203"/>
        <v/>
      </c>
      <c r="HO639" s="2909" t="str">
        <f t="shared" si="204"/>
        <v/>
      </c>
      <c r="HP639" s="2909" t="str">
        <f t="shared" si="205"/>
        <v/>
      </c>
      <c r="HQ639" s="2909" t="str">
        <f t="shared" si="206"/>
        <v/>
      </c>
      <c r="HR639" s="2909" t="str">
        <f t="shared" si="207"/>
        <v/>
      </c>
      <c r="HS639" s="2909" t="str">
        <f t="shared" si="208"/>
        <v/>
      </c>
      <c r="HT639" s="2909" t="str">
        <f t="shared" si="209"/>
        <v/>
      </c>
      <c r="HU639" s="2909" t="str">
        <f t="shared" si="210"/>
        <v/>
      </c>
      <c r="HV639" s="2909" t="str">
        <f t="shared" si="211"/>
        <v/>
      </c>
      <c r="HW639" s="2909" t="str">
        <f t="shared" si="212"/>
        <v/>
      </c>
      <c r="HX639" s="2909" t="str">
        <f t="shared" si="213"/>
        <v/>
      </c>
      <c r="HY639" s="2909" t="str">
        <f t="shared" si="214"/>
        <v/>
      </c>
      <c r="HZ639" s="2909" t="str">
        <f t="shared" si="215"/>
        <v/>
      </c>
      <c r="IA639" s="2909" t="str">
        <f t="shared" si="216"/>
        <v/>
      </c>
      <c r="IB639" s="2909" t="str">
        <f t="shared" si="217"/>
        <v/>
      </c>
      <c r="IC639" s="2879" t="str">
        <f t="shared" si="218"/>
        <v/>
      </c>
      <c r="ID639" s="2879" t="str">
        <f t="shared" si="219"/>
        <v/>
      </c>
      <c r="IE639" s="2879" t="str">
        <f t="shared" si="220"/>
        <v/>
      </c>
      <c r="IF639" s="2879" t="str">
        <f t="shared" si="221"/>
        <v/>
      </c>
      <c r="IG639" s="2879" t="str">
        <f t="shared" si="222"/>
        <v/>
      </c>
      <c r="IH639" s="1247" t="str">
        <f t="shared" si="223"/>
        <v/>
      </c>
      <c r="II639" s="1247" t="str">
        <f t="shared" si="224"/>
        <v/>
      </c>
      <c r="IJ639" s="1247" t="str">
        <f t="shared" si="225"/>
        <v/>
      </c>
      <c r="IK639" s="1247" t="str">
        <f t="shared" si="226"/>
        <v/>
      </c>
      <c r="IL639" s="1247" t="str">
        <f t="shared" si="227"/>
        <v/>
      </c>
      <c r="IM639" s="1247" t="str">
        <f t="shared" si="228"/>
        <v/>
      </c>
      <c r="IN639" s="1247" t="str">
        <f t="shared" si="229"/>
        <v/>
      </c>
      <c r="IO639" s="1247" t="str">
        <f t="shared" si="230"/>
        <v/>
      </c>
      <c r="IP639" s="1247" t="str">
        <f t="shared" si="231"/>
        <v/>
      </c>
      <c r="IQ639" s="1247" t="str">
        <f t="shared" si="232"/>
        <v/>
      </c>
      <c r="IR639" s="1247" t="str">
        <f t="shared" si="233"/>
        <v/>
      </c>
      <c r="IS639" s="1247" t="str">
        <f t="shared" si="234"/>
        <v/>
      </c>
      <c r="IT639" s="1247" t="str">
        <f t="shared" si="235"/>
        <v/>
      </c>
      <c r="IU639" s="1247" t="str">
        <f t="shared" si="236"/>
        <v/>
      </c>
      <c r="IV639" s="1247" t="str">
        <f t="shared" si="237"/>
        <v/>
      </c>
      <c r="IW639" s="1247" t="str">
        <f t="shared" si="238"/>
        <v/>
      </c>
      <c r="IX639" s="1247" t="str">
        <f t="shared" si="239"/>
        <v/>
      </c>
      <c r="IY639" s="1247" t="str">
        <f t="shared" si="240"/>
        <v/>
      </c>
      <c r="IZ639" s="1247" t="str">
        <f t="shared" si="241"/>
        <v/>
      </c>
      <c r="JA639" s="1247" t="str">
        <f t="shared" si="242"/>
        <v/>
      </c>
      <c r="JB639" s="2877">
        <f t="shared" si="243"/>
        <v>0</v>
      </c>
      <c r="JC639" s="2877">
        <f t="shared" si="244"/>
        <v>0</v>
      </c>
      <c r="JD639" s="2877">
        <f t="shared" si="245"/>
        <v>0</v>
      </c>
      <c r="JE639" s="2877">
        <f t="shared" si="246"/>
        <v>0</v>
      </c>
      <c r="JF639" s="2877">
        <f t="shared" si="247"/>
        <v>0</v>
      </c>
      <c r="JG639" s="2877">
        <f t="shared" si="248"/>
        <v>0</v>
      </c>
      <c r="JH639" s="2877">
        <f t="shared" si="249"/>
        <v>0</v>
      </c>
      <c r="JI639" s="2877">
        <f t="shared" si="250"/>
        <v>0</v>
      </c>
      <c r="JJ639" s="2877">
        <f t="shared" si="251"/>
        <v>0</v>
      </c>
      <c r="JK639" s="2877">
        <f t="shared" si="252"/>
        <v>0</v>
      </c>
      <c r="JL639" s="2877">
        <f t="shared" si="253"/>
        <v>0</v>
      </c>
      <c r="JM639" s="2877">
        <f t="shared" si="254"/>
        <v>0</v>
      </c>
      <c r="JN639" s="2877">
        <f t="shared" si="255"/>
        <v>0</v>
      </c>
      <c r="JO639" s="2877">
        <f t="shared" si="256"/>
        <v>0</v>
      </c>
      <c r="JP639" s="2877">
        <f t="shared" si="257"/>
        <v>0</v>
      </c>
    </row>
    <row r="640" spans="1:276" ht="12" customHeight="1">
      <c r="A640" s="2891" t="str">
        <f t="shared" si="0"/>
        <v/>
      </c>
      <c r="B640" s="2900" t="str">
        <f>'Part VI-Revenues &amp; Expenses'!B20</f>
        <v>&lt;&lt;Select&gt;&gt;</v>
      </c>
      <c r="C640" s="2901">
        <f>'Part VI-Revenues &amp; Expenses'!C20</f>
        <v>0</v>
      </c>
      <c r="D640" s="2902">
        <f>'Part VI-Revenues &amp; Expenses'!D20</f>
        <v>0</v>
      </c>
      <c r="E640" s="2903">
        <f>'Part VI-Revenues &amp; Expenses'!E20</f>
        <v>0</v>
      </c>
      <c r="F640" s="2903">
        <f>'Part VI-Revenues &amp; Expenses'!F20</f>
        <v>0</v>
      </c>
      <c r="G640" s="2903">
        <f>'Part VI-Revenues &amp; Expenses'!G20</f>
        <v>0</v>
      </c>
      <c r="H640" s="2903">
        <f>'Part VI-Revenues &amp; Expenses'!H20</f>
        <v>0</v>
      </c>
      <c r="I640" s="2903">
        <f>'Part VI-Revenues &amp; Expenses'!I20</f>
        <v>0</v>
      </c>
      <c r="J640" s="2904">
        <f>'Part VI-Revenues &amp; Expenses'!J20</f>
        <v>0</v>
      </c>
      <c r="K640" s="2905">
        <f t="shared" si="1"/>
        <v>0</v>
      </c>
      <c r="L640" s="2905">
        <f t="shared" si="2"/>
        <v>0</v>
      </c>
      <c r="M640" s="2886">
        <f>'Part VI-Revenues &amp; Expenses'!M20</f>
        <v>0</v>
      </c>
      <c r="N640" s="2886">
        <f>'Part VI-Revenues &amp; Expenses'!N20</f>
        <v>0</v>
      </c>
      <c r="O640" s="2886">
        <f>'Part VI-Revenues &amp; Expenses'!O20</f>
        <v>0</v>
      </c>
      <c r="P640" s="2886">
        <f>'Part VI-Revenues &amp; Expenses'!P20</f>
        <v>0</v>
      </c>
      <c r="Q640" s="2906">
        <f>IF(H640="","",P640/($O$626*VLOOKUP(C640,'DCA Underwriting Assumptions'!$J$118:$K$123,2,FALSE)))</f>
        <v>0</v>
      </c>
      <c r="R640" s="2907"/>
      <c r="S640" s="2906"/>
      <c r="T640" s="2908"/>
      <c r="U640" s="2908"/>
      <c r="V640" s="1247" t="str">
        <f t="shared" si="3"/>
        <v/>
      </c>
      <c r="W640" s="1247" t="str">
        <f t="shared" si="4"/>
        <v/>
      </c>
      <c r="X640" s="1247" t="str">
        <f t="shared" si="5"/>
        <v/>
      </c>
      <c r="Y640" s="1247" t="str">
        <f t="shared" si="6"/>
        <v/>
      </c>
      <c r="Z640" s="1247" t="str">
        <f t="shared" si="7"/>
        <v/>
      </c>
      <c r="AA640" s="1247" t="str">
        <f t="shared" si="8"/>
        <v/>
      </c>
      <c r="AB640" s="1247" t="str">
        <f t="shared" si="9"/>
        <v/>
      </c>
      <c r="AC640" s="1247" t="str">
        <f t="shared" si="10"/>
        <v/>
      </c>
      <c r="AD640" s="1247" t="str">
        <f t="shared" si="11"/>
        <v/>
      </c>
      <c r="AE640" s="1247" t="str">
        <f t="shared" si="12"/>
        <v/>
      </c>
      <c r="AF640" s="1247" t="str">
        <f t="shared" si="13"/>
        <v/>
      </c>
      <c r="AG640" s="1247" t="str">
        <f t="shared" si="14"/>
        <v/>
      </c>
      <c r="AH640" s="1247" t="str">
        <f t="shared" si="15"/>
        <v/>
      </c>
      <c r="AI640" s="1247" t="str">
        <f t="shared" si="16"/>
        <v/>
      </c>
      <c r="AJ640" s="1247" t="str">
        <f t="shared" si="17"/>
        <v/>
      </c>
      <c r="AK640" s="1247" t="str">
        <f t="shared" si="18"/>
        <v/>
      </c>
      <c r="AL640" s="1247" t="str">
        <f t="shared" si="19"/>
        <v/>
      </c>
      <c r="AM640" s="1247" t="str">
        <f t="shared" si="20"/>
        <v/>
      </c>
      <c r="AN640" s="1247" t="str">
        <f t="shared" si="21"/>
        <v/>
      </c>
      <c r="AO640" s="1247" t="str">
        <f t="shared" si="22"/>
        <v/>
      </c>
      <c r="AP640" s="1247" t="str">
        <f t="shared" si="23"/>
        <v/>
      </c>
      <c r="AQ640" s="1247" t="str">
        <f t="shared" si="24"/>
        <v/>
      </c>
      <c r="AR640" s="1247" t="str">
        <f t="shared" si="25"/>
        <v/>
      </c>
      <c r="AS640" s="1247" t="str">
        <f t="shared" si="26"/>
        <v/>
      </c>
      <c r="AT640" s="1247" t="str">
        <f t="shared" si="27"/>
        <v/>
      </c>
      <c r="AU640" s="1247" t="str">
        <f t="shared" si="28"/>
        <v/>
      </c>
      <c r="AV640" s="1247" t="str">
        <f t="shared" si="29"/>
        <v/>
      </c>
      <c r="AW640" s="1247" t="str">
        <f t="shared" si="30"/>
        <v/>
      </c>
      <c r="AX640" s="1247" t="str">
        <f t="shared" si="31"/>
        <v/>
      </c>
      <c r="AY640" s="1247" t="str">
        <f t="shared" si="32"/>
        <v/>
      </c>
      <c r="AZ640" s="1247" t="str">
        <f t="shared" si="33"/>
        <v/>
      </c>
      <c r="BA640" s="1247" t="str">
        <f t="shared" si="34"/>
        <v/>
      </c>
      <c r="BB640" s="1247" t="str">
        <f t="shared" si="35"/>
        <v/>
      </c>
      <c r="BC640" s="1247" t="str">
        <f t="shared" si="36"/>
        <v/>
      </c>
      <c r="BD640" s="1247" t="str">
        <f t="shared" si="37"/>
        <v/>
      </c>
      <c r="BE640" s="1247" t="str">
        <f t="shared" si="38"/>
        <v/>
      </c>
      <c r="BF640" s="1247" t="str">
        <f t="shared" si="39"/>
        <v/>
      </c>
      <c r="BG640" s="1247" t="str">
        <f t="shared" si="40"/>
        <v/>
      </c>
      <c r="BH640" s="1247" t="str">
        <f t="shared" si="41"/>
        <v/>
      </c>
      <c r="BI640" s="1247" t="str">
        <f t="shared" si="42"/>
        <v/>
      </c>
      <c r="BJ640" s="1247" t="str">
        <f t="shared" si="43"/>
        <v/>
      </c>
      <c r="BK640" s="1247" t="str">
        <f t="shared" si="44"/>
        <v/>
      </c>
      <c r="BL640" s="1247" t="str">
        <f t="shared" si="45"/>
        <v/>
      </c>
      <c r="BM640" s="1247" t="str">
        <f t="shared" si="46"/>
        <v/>
      </c>
      <c r="BN640" s="1247" t="str">
        <f t="shared" si="47"/>
        <v/>
      </c>
      <c r="BO640" s="1247" t="str">
        <f t="shared" si="48"/>
        <v/>
      </c>
      <c r="BP640" s="1247" t="str">
        <f t="shared" si="49"/>
        <v/>
      </c>
      <c r="BQ640" s="1247" t="str">
        <f t="shared" si="50"/>
        <v/>
      </c>
      <c r="BR640" s="1247" t="str">
        <f t="shared" si="51"/>
        <v/>
      </c>
      <c r="BS640" s="1247" t="str">
        <f t="shared" si="52"/>
        <v/>
      </c>
      <c r="BT640" s="1247" t="str">
        <f t="shared" si="53"/>
        <v/>
      </c>
      <c r="BU640" s="1247" t="str">
        <f t="shared" si="54"/>
        <v/>
      </c>
      <c r="BV640" s="1247" t="str">
        <f t="shared" si="55"/>
        <v/>
      </c>
      <c r="BW640" s="1247" t="str">
        <f t="shared" si="56"/>
        <v/>
      </c>
      <c r="BX640" s="1247" t="str">
        <f t="shared" si="57"/>
        <v/>
      </c>
      <c r="BY640" s="1247" t="str">
        <f t="shared" si="58"/>
        <v/>
      </c>
      <c r="BZ640" s="1247" t="str">
        <f t="shared" si="59"/>
        <v/>
      </c>
      <c r="CA640" s="1247" t="str">
        <f t="shared" si="60"/>
        <v/>
      </c>
      <c r="CB640" s="1247" t="str">
        <f t="shared" si="61"/>
        <v/>
      </c>
      <c r="CC640" s="1247" t="str">
        <f t="shared" si="62"/>
        <v/>
      </c>
      <c r="CD640" s="1247" t="str">
        <f t="shared" si="63"/>
        <v/>
      </c>
      <c r="CE640" s="1247" t="str">
        <f t="shared" si="64"/>
        <v/>
      </c>
      <c r="CF640" s="1247" t="str">
        <f t="shared" si="65"/>
        <v/>
      </c>
      <c r="CG640" s="1247" t="str">
        <f t="shared" si="66"/>
        <v/>
      </c>
      <c r="CH640" s="1247" t="str">
        <f t="shared" si="67"/>
        <v/>
      </c>
      <c r="CI640" s="1247" t="str">
        <f t="shared" si="68"/>
        <v/>
      </c>
      <c r="CJ640" s="1247" t="str">
        <f t="shared" si="69"/>
        <v/>
      </c>
      <c r="CK640" s="1247" t="str">
        <f t="shared" si="70"/>
        <v/>
      </c>
      <c r="CL640" s="1247" t="str">
        <f t="shared" si="71"/>
        <v/>
      </c>
      <c r="CM640" s="1247" t="str">
        <f t="shared" si="72"/>
        <v/>
      </c>
      <c r="CN640" s="1247" t="str">
        <f t="shared" si="73"/>
        <v/>
      </c>
      <c r="CO640" s="1247" t="str">
        <f t="shared" si="74"/>
        <v/>
      </c>
      <c r="CP640" s="1247" t="str">
        <f t="shared" si="75"/>
        <v/>
      </c>
      <c r="CQ640" s="1247" t="str">
        <f t="shared" si="76"/>
        <v/>
      </c>
      <c r="CR640" s="1247" t="str">
        <f t="shared" si="77"/>
        <v/>
      </c>
      <c r="CS640" s="1247" t="str">
        <f t="shared" si="78"/>
        <v/>
      </c>
      <c r="CT640" s="1247" t="str">
        <f t="shared" si="79"/>
        <v/>
      </c>
      <c r="CU640" s="1247" t="str">
        <f t="shared" si="80"/>
        <v/>
      </c>
      <c r="CV640" s="1247" t="str">
        <f t="shared" si="81"/>
        <v/>
      </c>
      <c r="CW640" s="1247" t="str">
        <f t="shared" si="82"/>
        <v/>
      </c>
      <c r="CX640" s="1247" t="str">
        <f t="shared" si="83"/>
        <v/>
      </c>
      <c r="CY640" s="1247" t="str">
        <f t="shared" si="84"/>
        <v/>
      </c>
      <c r="CZ640" s="1247" t="str">
        <f t="shared" si="85"/>
        <v/>
      </c>
      <c r="DA640" s="1247" t="str">
        <f t="shared" si="86"/>
        <v/>
      </c>
      <c r="DB640" s="1247" t="str">
        <f t="shared" si="87"/>
        <v/>
      </c>
      <c r="DC640" s="1247" t="str">
        <f t="shared" si="88"/>
        <v/>
      </c>
      <c r="DD640" s="1247" t="str">
        <f t="shared" si="89"/>
        <v/>
      </c>
      <c r="DE640" s="1247" t="str">
        <f t="shared" si="90"/>
        <v/>
      </c>
      <c r="DF640" s="1247" t="str">
        <f t="shared" si="91"/>
        <v/>
      </c>
      <c r="DG640" s="1247" t="str">
        <f t="shared" si="92"/>
        <v/>
      </c>
      <c r="DH640" s="1247" t="str">
        <f t="shared" si="93"/>
        <v/>
      </c>
      <c r="DI640" s="1247" t="str">
        <f t="shared" si="94"/>
        <v/>
      </c>
      <c r="DJ640" s="1247" t="str">
        <f t="shared" si="95"/>
        <v/>
      </c>
      <c r="DK640" s="1247" t="str">
        <f t="shared" si="96"/>
        <v/>
      </c>
      <c r="DL640" s="1247" t="str">
        <f t="shared" si="97"/>
        <v/>
      </c>
      <c r="DM640" s="1247" t="str">
        <f t="shared" si="98"/>
        <v/>
      </c>
      <c r="DN640" s="1247" t="str">
        <f t="shared" si="99"/>
        <v/>
      </c>
      <c r="DO640" s="1247" t="str">
        <f t="shared" si="100"/>
        <v/>
      </c>
      <c r="DP640" s="1247" t="str">
        <f t="shared" si="101"/>
        <v/>
      </c>
      <c r="DQ640" s="1247" t="str">
        <f t="shared" si="102"/>
        <v/>
      </c>
      <c r="DR640" s="1247" t="str">
        <f t="shared" si="103"/>
        <v/>
      </c>
      <c r="DS640" s="1247" t="str">
        <f t="shared" si="104"/>
        <v/>
      </c>
      <c r="DT640" s="1247" t="str">
        <f t="shared" si="105"/>
        <v/>
      </c>
      <c r="DU640" s="1247" t="str">
        <f t="shared" si="106"/>
        <v/>
      </c>
      <c r="DV640" s="1247" t="str">
        <f t="shared" si="107"/>
        <v/>
      </c>
      <c r="DW640" s="1247" t="str">
        <f t="shared" si="108"/>
        <v/>
      </c>
      <c r="DX640" s="1247" t="str">
        <f t="shared" si="109"/>
        <v/>
      </c>
      <c r="DY640" s="1247" t="str">
        <f t="shared" si="110"/>
        <v/>
      </c>
      <c r="DZ640" s="1247" t="str">
        <f t="shared" si="111"/>
        <v/>
      </c>
      <c r="EA640" s="1247" t="str">
        <f t="shared" si="112"/>
        <v/>
      </c>
      <c r="EB640" s="1247" t="str">
        <f t="shared" si="113"/>
        <v/>
      </c>
      <c r="EC640" s="1247" t="str">
        <f t="shared" si="114"/>
        <v/>
      </c>
      <c r="ED640" s="1247" t="str">
        <f t="shared" si="115"/>
        <v/>
      </c>
      <c r="EE640" s="1247" t="str">
        <f t="shared" si="116"/>
        <v/>
      </c>
      <c r="EF640" s="1247" t="str">
        <f t="shared" si="117"/>
        <v/>
      </c>
      <c r="EG640" s="1247" t="str">
        <f t="shared" si="118"/>
        <v/>
      </c>
      <c r="EH640" s="1247" t="str">
        <f t="shared" si="119"/>
        <v/>
      </c>
      <c r="EI640" s="1247" t="str">
        <f t="shared" si="120"/>
        <v/>
      </c>
      <c r="EJ640" s="1247" t="str">
        <f t="shared" si="121"/>
        <v/>
      </c>
      <c r="EK640" s="1247" t="str">
        <f t="shared" si="122"/>
        <v/>
      </c>
      <c r="EL640" s="1247" t="str">
        <f t="shared" si="123"/>
        <v/>
      </c>
      <c r="EM640" s="1247" t="str">
        <f t="shared" si="124"/>
        <v/>
      </c>
      <c r="EN640" s="1247" t="str">
        <f t="shared" si="125"/>
        <v/>
      </c>
      <c r="EO640" s="1247" t="str">
        <f t="shared" si="126"/>
        <v/>
      </c>
      <c r="EP640" s="1247" t="str">
        <f t="shared" si="127"/>
        <v/>
      </c>
      <c r="EQ640" s="1247" t="str">
        <f t="shared" si="128"/>
        <v/>
      </c>
      <c r="ER640" s="1247" t="str">
        <f t="shared" si="129"/>
        <v/>
      </c>
      <c r="ES640" s="1247" t="str">
        <f t="shared" si="130"/>
        <v/>
      </c>
      <c r="ET640" s="1247" t="str">
        <f t="shared" si="131"/>
        <v/>
      </c>
      <c r="EU640" s="1247" t="str">
        <f t="shared" si="132"/>
        <v/>
      </c>
      <c r="EV640" s="2909" t="str">
        <f t="shared" si="133"/>
        <v/>
      </c>
      <c r="EW640" s="2909" t="str">
        <f t="shared" si="134"/>
        <v/>
      </c>
      <c r="EX640" s="2909" t="str">
        <f t="shared" si="135"/>
        <v/>
      </c>
      <c r="EY640" s="2909" t="str">
        <f t="shared" si="136"/>
        <v/>
      </c>
      <c r="EZ640" s="2909" t="str">
        <f t="shared" si="137"/>
        <v/>
      </c>
      <c r="FA640" s="2909" t="str">
        <f t="shared" si="138"/>
        <v/>
      </c>
      <c r="FB640" s="2909" t="str">
        <f t="shared" si="139"/>
        <v/>
      </c>
      <c r="FC640" s="2909" t="str">
        <f t="shared" si="140"/>
        <v/>
      </c>
      <c r="FD640" s="2909" t="str">
        <f t="shared" si="141"/>
        <v/>
      </c>
      <c r="FE640" s="2909" t="str">
        <f t="shared" si="142"/>
        <v/>
      </c>
      <c r="FF640" s="2909" t="str">
        <f t="shared" si="143"/>
        <v/>
      </c>
      <c r="FG640" s="2909" t="str">
        <f t="shared" si="144"/>
        <v/>
      </c>
      <c r="FH640" s="2909" t="str">
        <f t="shared" si="145"/>
        <v/>
      </c>
      <c r="FI640" s="2909" t="str">
        <f t="shared" si="146"/>
        <v/>
      </c>
      <c r="FJ640" s="2909" t="str">
        <f t="shared" si="147"/>
        <v/>
      </c>
      <c r="FK640" s="2909" t="str">
        <f t="shared" si="148"/>
        <v/>
      </c>
      <c r="FL640" s="2909" t="str">
        <f t="shared" si="149"/>
        <v/>
      </c>
      <c r="FM640" s="2909" t="str">
        <f t="shared" si="150"/>
        <v/>
      </c>
      <c r="FN640" s="2909" t="str">
        <f t="shared" si="151"/>
        <v/>
      </c>
      <c r="FO640" s="2909" t="str">
        <f t="shared" si="152"/>
        <v/>
      </c>
      <c r="FP640" s="2909" t="str">
        <f t="shared" si="153"/>
        <v/>
      </c>
      <c r="FQ640" s="2909" t="str">
        <f t="shared" si="154"/>
        <v/>
      </c>
      <c r="FR640" s="2909" t="str">
        <f t="shared" si="155"/>
        <v/>
      </c>
      <c r="FS640" s="2909" t="str">
        <f t="shared" si="156"/>
        <v/>
      </c>
      <c r="FT640" s="2909" t="str">
        <f t="shared" si="157"/>
        <v/>
      </c>
      <c r="FU640" s="2909" t="str">
        <f t="shared" si="158"/>
        <v/>
      </c>
      <c r="FV640" s="2909" t="str">
        <f t="shared" si="159"/>
        <v/>
      </c>
      <c r="FW640" s="2909" t="str">
        <f t="shared" si="160"/>
        <v/>
      </c>
      <c r="FX640" s="2909" t="str">
        <f t="shared" si="161"/>
        <v/>
      </c>
      <c r="FY640" s="2909" t="str">
        <f t="shared" si="162"/>
        <v/>
      </c>
      <c r="FZ640" s="2909" t="str">
        <f t="shared" si="163"/>
        <v/>
      </c>
      <c r="GA640" s="2909" t="str">
        <f t="shared" si="164"/>
        <v/>
      </c>
      <c r="GB640" s="2909" t="str">
        <f t="shared" si="165"/>
        <v/>
      </c>
      <c r="GC640" s="2909" t="str">
        <f t="shared" si="166"/>
        <v/>
      </c>
      <c r="GD640" s="2909" t="str">
        <f t="shared" si="167"/>
        <v/>
      </c>
      <c r="GE640" s="2909" t="str">
        <f t="shared" si="168"/>
        <v/>
      </c>
      <c r="GF640" s="2909" t="str">
        <f t="shared" si="169"/>
        <v/>
      </c>
      <c r="GG640" s="2909" t="str">
        <f t="shared" si="170"/>
        <v/>
      </c>
      <c r="GH640" s="2909" t="str">
        <f t="shared" si="171"/>
        <v/>
      </c>
      <c r="GI640" s="2909" t="str">
        <f t="shared" si="172"/>
        <v/>
      </c>
      <c r="GJ640" s="2909" t="str">
        <f t="shared" si="173"/>
        <v/>
      </c>
      <c r="GK640" s="2909" t="str">
        <f t="shared" si="174"/>
        <v/>
      </c>
      <c r="GL640" s="2909" t="str">
        <f t="shared" si="175"/>
        <v/>
      </c>
      <c r="GM640" s="2909" t="str">
        <f t="shared" si="176"/>
        <v/>
      </c>
      <c r="GN640" s="2909" t="str">
        <f t="shared" si="177"/>
        <v/>
      </c>
      <c r="GO640" s="2909" t="str">
        <f t="shared" si="178"/>
        <v/>
      </c>
      <c r="GP640" s="2909" t="str">
        <f t="shared" si="179"/>
        <v/>
      </c>
      <c r="GQ640" s="2909" t="str">
        <f t="shared" si="180"/>
        <v/>
      </c>
      <c r="GR640" s="2909" t="str">
        <f t="shared" si="181"/>
        <v/>
      </c>
      <c r="GS640" s="2909" t="str">
        <f t="shared" si="182"/>
        <v/>
      </c>
      <c r="GT640" s="2909" t="str">
        <f t="shared" si="183"/>
        <v/>
      </c>
      <c r="GU640" s="2909" t="str">
        <f t="shared" si="184"/>
        <v/>
      </c>
      <c r="GV640" s="2909" t="str">
        <f t="shared" si="185"/>
        <v/>
      </c>
      <c r="GW640" s="2909" t="str">
        <f t="shared" si="186"/>
        <v/>
      </c>
      <c r="GX640" s="2909" t="str">
        <f t="shared" si="187"/>
        <v/>
      </c>
      <c r="GY640" s="2909" t="str">
        <f t="shared" si="188"/>
        <v/>
      </c>
      <c r="GZ640" s="2909" t="str">
        <f t="shared" si="189"/>
        <v/>
      </c>
      <c r="HA640" s="2909" t="str">
        <f t="shared" si="190"/>
        <v/>
      </c>
      <c r="HB640" s="2909" t="str">
        <f t="shared" si="191"/>
        <v/>
      </c>
      <c r="HC640" s="2909" t="str">
        <f t="shared" si="192"/>
        <v/>
      </c>
      <c r="HD640" s="2909" t="str">
        <f t="shared" si="193"/>
        <v/>
      </c>
      <c r="HE640" s="2909" t="str">
        <f t="shared" si="194"/>
        <v/>
      </c>
      <c r="HF640" s="2909" t="str">
        <f t="shared" si="195"/>
        <v/>
      </c>
      <c r="HG640" s="2909" t="str">
        <f t="shared" si="196"/>
        <v/>
      </c>
      <c r="HH640" s="2909" t="str">
        <f t="shared" si="197"/>
        <v/>
      </c>
      <c r="HI640" s="2909" t="str">
        <f t="shared" si="198"/>
        <v/>
      </c>
      <c r="HJ640" s="2909" t="str">
        <f t="shared" si="199"/>
        <v/>
      </c>
      <c r="HK640" s="2909" t="str">
        <f t="shared" si="200"/>
        <v/>
      </c>
      <c r="HL640" s="2909" t="str">
        <f t="shared" si="201"/>
        <v/>
      </c>
      <c r="HM640" s="2909" t="str">
        <f t="shared" si="202"/>
        <v/>
      </c>
      <c r="HN640" s="2909" t="str">
        <f t="shared" si="203"/>
        <v/>
      </c>
      <c r="HO640" s="2909" t="str">
        <f t="shared" si="204"/>
        <v/>
      </c>
      <c r="HP640" s="2909" t="str">
        <f t="shared" si="205"/>
        <v/>
      </c>
      <c r="HQ640" s="2909" t="str">
        <f t="shared" si="206"/>
        <v/>
      </c>
      <c r="HR640" s="2909" t="str">
        <f t="shared" si="207"/>
        <v/>
      </c>
      <c r="HS640" s="2909" t="str">
        <f t="shared" si="208"/>
        <v/>
      </c>
      <c r="HT640" s="2909" t="str">
        <f t="shared" si="209"/>
        <v/>
      </c>
      <c r="HU640" s="2909" t="str">
        <f t="shared" si="210"/>
        <v/>
      </c>
      <c r="HV640" s="2909" t="str">
        <f t="shared" si="211"/>
        <v/>
      </c>
      <c r="HW640" s="2909" t="str">
        <f t="shared" si="212"/>
        <v/>
      </c>
      <c r="HX640" s="2909" t="str">
        <f t="shared" si="213"/>
        <v/>
      </c>
      <c r="HY640" s="2909" t="str">
        <f t="shared" si="214"/>
        <v/>
      </c>
      <c r="HZ640" s="2909" t="str">
        <f t="shared" si="215"/>
        <v/>
      </c>
      <c r="IA640" s="2909" t="str">
        <f t="shared" si="216"/>
        <v/>
      </c>
      <c r="IB640" s="2909" t="str">
        <f t="shared" si="217"/>
        <v/>
      </c>
      <c r="IC640" s="2879" t="str">
        <f t="shared" si="218"/>
        <v/>
      </c>
      <c r="ID640" s="2879" t="str">
        <f t="shared" si="219"/>
        <v/>
      </c>
      <c r="IE640" s="2879" t="str">
        <f t="shared" si="220"/>
        <v/>
      </c>
      <c r="IF640" s="2879" t="str">
        <f t="shared" si="221"/>
        <v/>
      </c>
      <c r="IG640" s="2879" t="str">
        <f t="shared" si="222"/>
        <v/>
      </c>
      <c r="IH640" s="1247" t="str">
        <f t="shared" si="223"/>
        <v/>
      </c>
      <c r="II640" s="1247" t="str">
        <f t="shared" si="224"/>
        <v/>
      </c>
      <c r="IJ640" s="1247" t="str">
        <f t="shared" si="225"/>
        <v/>
      </c>
      <c r="IK640" s="1247" t="str">
        <f t="shared" si="226"/>
        <v/>
      </c>
      <c r="IL640" s="1247" t="str">
        <f t="shared" si="227"/>
        <v/>
      </c>
      <c r="IM640" s="1247" t="str">
        <f t="shared" si="228"/>
        <v/>
      </c>
      <c r="IN640" s="1247" t="str">
        <f t="shared" si="229"/>
        <v/>
      </c>
      <c r="IO640" s="1247" t="str">
        <f t="shared" si="230"/>
        <v/>
      </c>
      <c r="IP640" s="1247" t="str">
        <f t="shared" si="231"/>
        <v/>
      </c>
      <c r="IQ640" s="1247" t="str">
        <f t="shared" si="232"/>
        <v/>
      </c>
      <c r="IR640" s="1247" t="str">
        <f t="shared" si="233"/>
        <v/>
      </c>
      <c r="IS640" s="1247" t="str">
        <f t="shared" si="234"/>
        <v/>
      </c>
      <c r="IT640" s="1247" t="str">
        <f t="shared" si="235"/>
        <v/>
      </c>
      <c r="IU640" s="1247" t="str">
        <f t="shared" si="236"/>
        <v/>
      </c>
      <c r="IV640" s="1247" t="str">
        <f t="shared" si="237"/>
        <v/>
      </c>
      <c r="IW640" s="1247" t="str">
        <f t="shared" si="238"/>
        <v/>
      </c>
      <c r="IX640" s="1247" t="str">
        <f t="shared" si="239"/>
        <v/>
      </c>
      <c r="IY640" s="1247" t="str">
        <f t="shared" si="240"/>
        <v/>
      </c>
      <c r="IZ640" s="1247" t="str">
        <f t="shared" si="241"/>
        <v/>
      </c>
      <c r="JA640" s="1247" t="str">
        <f t="shared" si="242"/>
        <v/>
      </c>
      <c r="JB640" s="2877">
        <f t="shared" si="243"/>
        <v>0</v>
      </c>
      <c r="JC640" s="2877">
        <f t="shared" si="244"/>
        <v>0</v>
      </c>
      <c r="JD640" s="2877">
        <f t="shared" si="245"/>
        <v>0</v>
      </c>
      <c r="JE640" s="2877">
        <f t="shared" si="246"/>
        <v>0</v>
      </c>
      <c r="JF640" s="2877">
        <f t="shared" si="247"/>
        <v>0</v>
      </c>
      <c r="JG640" s="2877">
        <f t="shared" si="248"/>
        <v>0</v>
      </c>
      <c r="JH640" s="2877">
        <f t="shared" si="249"/>
        <v>0</v>
      </c>
      <c r="JI640" s="2877">
        <f t="shared" si="250"/>
        <v>0</v>
      </c>
      <c r="JJ640" s="2877">
        <f t="shared" si="251"/>
        <v>0</v>
      </c>
      <c r="JK640" s="2877">
        <f t="shared" si="252"/>
        <v>0</v>
      </c>
      <c r="JL640" s="2877">
        <f t="shared" si="253"/>
        <v>0</v>
      </c>
      <c r="JM640" s="2877">
        <f t="shared" si="254"/>
        <v>0</v>
      </c>
      <c r="JN640" s="2877">
        <f t="shared" si="255"/>
        <v>0</v>
      </c>
      <c r="JO640" s="2877">
        <f t="shared" si="256"/>
        <v>0</v>
      </c>
      <c r="JP640" s="2877">
        <f t="shared" si="257"/>
        <v>0</v>
      </c>
    </row>
    <row r="641" spans="1:276" ht="12" customHeight="1">
      <c r="A641" s="2891" t="str">
        <f t="shared" si="0"/>
        <v/>
      </c>
      <c r="B641" s="2900" t="str">
        <f>'Part VI-Revenues &amp; Expenses'!B21</f>
        <v>&lt;&lt;Select&gt;&gt;</v>
      </c>
      <c r="C641" s="2901">
        <f>'Part VI-Revenues &amp; Expenses'!C21</f>
        <v>0</v>
      </c>
      <c r="D641" s="2902">
        <f>'Part VI-Revenues &amp; Expenses'!D21</f>
        <v>0</v>
      </c>
      <c r="E641" s="2903">
        <f>'Part VI-Revenues &amp; Expenses'!E21</f>
        <v>0</v>
      </c>
      <c r="F641" s="2903">
        <f>'Part VI-Revenues &amp; Expenses'!F21</f>
        <v>0</v>
      </c>
      <c r="G641" s="2903">
        <f>'Part VI-Revenues &amp; Expenses'!G21</f>
        <v>0</v>
      </c>
      <c r="H641" s="2903">
        <f>'Part VI-Revenues &amp; Expenses'!H21</f>
        <v>0</v>
      </c>
      <c r="I641" s="2903">
        <f>'Part VI-Revenues &amp; Expenses'!I21</f>
        <v>0</v>
      </c>
      <c r="J641" s="2904">
        <f>'Part VI-Revenues &amp; Expenses'!J21</f>
        <v>0</v>
      </c>
      <c r="K641" s="2905">
        <f t="shared" si="1"/>
        <v>0</v>
      </c>
      <c r="L641" s="2905">
        <f t="shared" si="2"/>
        <v>0</v>
      </c>
      <c r="M641" s="2886">
        <f>'Part VI-Revenues &amp; Expenses'!M21</f>
        <v>0</v>
      </c>
      <c r="N641" s="2886">
        <f>'Part VI-Revenues &amp; Expenses'!N21</f>
        <v>0</v>
      </c>
      <c r="O641" s="2886">
        <f>'Part VI-Revenues &amp; Expenses'!O21</f>
        <v>0</v>
      </c>
      <c r="P641" s="2886">
        <f>'Part VI-Revenues &amp; Expenses'!P21</f>
        <v>0</v>
      </c>
      <c r="Q641" s="2906">
        <f>IF(H641="","",P641/($O$626*VLOOKUP(C641,'DCA Underwriting Assumptions'!$J$118:$K$123,2,FALSE)))</f>
        <v>0</v>
      </c>
      <c r="R641" s="2907"/>
      <c r="S641" s="2906"/>
      <c r="T641" s="2908"/>
      <c r="U641" s="2908"/>
      <c r="V641" s="1247" t="str">
        <f t="shared" si="3"/>
        <v/>
      </c>
      <c r="W641" s="1247" t="str">
        <f t="shared" si="4"/>
        <v/>
      </c>
      <c r="X641" s="1247" t="str">
        <f t="shared" si="5"/>
        <v/>
      </c>
      <c r="Y641" s="1247" t="str">
        <f t="shared" si="6"/>
        <v/>
      </c>
      <c r="Z641" s="1247" t="str">
        <f t="shared" si="7"/>
        <v/>
      </c>
      <c r="AA641" s="1247" t="str">
        <f t="shared" si="8"/>
        <v/>
      </c>
      <c r="AB641" s="1247" t="str">
        <f t="shared" si="9"/>
        <v/>
      </c>
      <c r="AC641" s="1247" t="str">
        <f t="shared" si="10"/>
        <v/>
      </c>
      <c r="AD641" s="1247" t="str">
        <f t="shared" si="11"/>
        <v/>
      </c>
      <c r="AE641" s="1247" t="str">
        <f t="shared" si="12"/>
        <v/>
      </c>
      <c r="AF641" s="1247" t="str">
        <f t="shared" si="13"/>
        <v/>
      </c>
      <c r="AG641" s="1247" t="str">
        <f t="shared" si="14"/>
        <v/>
      </c>
      <c r="AH641" s="1247" t="str">
        <f t="shared" si="15"/>
        <v/>
      </c>
      <c r="AI641" s="1247" t="str">
        <f t="shared" si="16"/>
        <v/>
      </c>
      <c r="AJ641" s="1247" t="str">
        <f t="shared" si="17"/>
        <v/>
      </c>
      <c r="AK641" s="1247" t="str">
        <f t="shared" si="18"/>
        <v/>
      </c>
      <c r="AL641" s="1247" t="str">
        <f t="shared" si="19"/>
        <v/>
      </c>
      <c r="AM641" s="1247" t="str">
        <f t="shared" si="20"/>
        <v/>
      </c>
      <c r="AN641" s="1247" t="str">
        <f t="shared" si="21"/>
        <v/>
      </c>
      <c r="AO641" s="1247" t="str">
        <f t="shared" si="22"/>
        <v/>
      </c>
      <c r="AP641" s="1247" t="str">
        <f t="shared" si="23"/>
        <v/>
      </c>
      <c r="AQ641" s="1247" t="str">
        <f t="shared" si="24"/>
        <v/>
      </c>
      <c r="AR641" s="1247" t="str">
        <f t="shared" si="25"/>
        <v/>
      </c>
      <c r="AS641" s="1247" t="str">
        <f t="shared" si="26"/>
        <v/>
      </c>
      <c r="AT641" s="1247" t="str">
        <f t="shared" si="27"/>
        <v/>
      </c>
      <c r="AU641" s="1247" t="str">
        <f t="shared" si="28"/>
        <v/>
      </c>
      <c r="AV641" s="1247" t="str">
        <f t="shared" si="29"/>
        <v/>
      </c>
      <c r="AW641" s="1247" t="str">
        <f t="shared" si="30"/>
        <v/>
      </c>
      <c r="AX641" s="1247" t="str">
        <f t="shared" si="31"/>
        <v/>
      </c>
      <c r="AY641" s="1247" t="str">
        <f t="shared" si="32"/>
        <v/>
      </c>
      <c r="AZ641" s="1247" t="str">
        <f t="shared" si="33"/>
        <v/>
      </c>
      <c r="BA641" s="1247" t="str">
        <f t="shared" si="34"/>
        <v/>
      </c>
      <c r="BB641" s="1247" t="str">
        <f t="shared" si="35"/>
        <v/>
      </c>
      <c r="BC641" s="1247" t="str">
        <f t="shared" si="36"/>
        <v/>
      </c>
      <c r="BD641" s="1247" t="str">
        <f t="shared" si="37"/>
        <v/>
      </c>
      <c r="BE641" s="1247" t="str">
        <f t="shared" si="38"/>
        <v/>
      </c>
      <c r="BF641" s="1247" t="str">
        <f t="shared" si="39"/>
        <v/>
      </c>
      <c r="BG641" s="1247" t="str">
        <f t="shared" si="40"/>
        <v/>
      </c>
      <c r="BH641" s="1247" t="str">
        <f t="shared" si="41"/>
        <v/>
      </c>
      <c r="BI641" s="1247" t="str">
        <f t="shared" si="42"/>
        <v/>
      </c>
      <c r="BJ641" s="1247" t="str">
        <f t="shared" si="43"/>
        <v/>
      </c>
      <c r="BK641" s="1247" t="str">
        <f t="shared" si="44"/>
        <v/>
      </c>
      <c r="BL641" s="1247" t="str">
        <f t="shared" si="45"/>
        <v/>
      </c>
      <c r="BM641" s="1247" t="str">
        <f t="shared" si="46"/>
        <v/>
      </c>
      <c r="BN641" s="1247" t="str">
        <f t="shared" si="47"/>
        <v/>
      </c>
      <c r="BO641" s="1247" t="str">
        <f t="shared" si="48"/>
        <v/>
      </c>
      <c r="BP641" s="1247" t="str">
        <f t="shared" si="49"/>
        <v/>
      </c>
      <c r="BQ641" s="1247" t="str">
        <f t="shared" si="50"/>
        <v/>
      </c>
      <c r="BR641" s="1247" t="str">
        <f t="shared" si="51"/>
        <v/>
      </c>
      <c r="BS641" s="1247" t="str">
        <f t="shared" si="52"/>
        <v/>
      </c>
      <c r="BT641" s="1247" t="str">
        <f t="shared" si="53"/>
        <v/>
      </c>
      <c r="BU641" s="1247" t="str">
        <f t="shared" si="54"/>
        <v/>
      </c>
      <c r="BV641" s="1247" t="str">
        <f t="shared" si="55"/>
        <v/>
      </c>
      <c r="BW641" s="1247" t="str">
        <f t="shared" si="56"/>
        <v/>
      </c>
      <c r="BX641" s="1247" t="str">
        <f t="shared" si="57"/>
        <v/>
      </c>
      <c r="BY641" s="1247" t="str">
        <f t="shared" si="58"/>
        <v/>
      </c>
      <c r="BZ641" s="1247" t="str">
        <f t="shared" si="59"/>
        <v/>
      </c>
      <c r="CA641" s="1247" t="str">
        <f t="shared" si="60"/>
        <v/>
      </c>
      <c r="CB641" s="1247" t="str">
        <f t="shared" si="61"/>
        <v/>
      </c>
      <c r="CC641" s="1247" t="str">
        <f t="shared" si="62"/>
        <v/>
      </c>
      <c r="CD641" s="1247" t="str">
        <f t="shared" si="63"/>
        <v/>
      </c>
      <c r="CE641" s="1247" t="str">
        <f t="shared" si="64"/>
        <v/>
      </c>
      <c r="CF641" s="1247" t="str">
        <f t="shared" si="65"/>
        <v/>
      </c>
      <c r="CG641" s="1247" t="str">
        <f t="shared" si="66"/>
        <v/>
      </c>
      <c r="CH641" s="1247" t="str">
        <f t="shared" si="67"/>
        <v/>
      </c>
      <c r="CI641" s="1247" t="str">
        <f t="shared" si="68"/>
        <v/>
      </c>
      <c r="CJ641" s="1247" t="str">
        <f t="shared" si="69"/>
        <v/>
      </c>
      <c r="CK641" s="1247" t="str">
        <f t="shared" si="70"/>
        <v/>
      </c>
      <c r="CL641" s="1247" t="str">
        <f t="shared" si="71"/>
        <v/>
      </c>
      <c r="CM641" s="1247" t="str">
        <f t="shared" si="72"/>
        <v/>
      </c>
      <c r="CN641" s="1247" t="str">
        <f t="shared" si="73"/>
        <v/>
      </c>
      <c r="CO641" s="1247" t="str">
        <f t="shared" si="74"/>
        <v/>
      </c>
      <c r="CP641" s="1247" t="str">
        <f t="shared" si="75"/>
        <v/>
      </c>
      <c r="CQ641" s="1247" t="str">
        <f t="shared" si="76"/>
        <v/>
      </c>
      <c r="CR641" s="1247" t="str">
        <f t="shared" si="77"/>
        <v/>
      </c>
      <c r="CS641" s="1247" t="str">
        <f t="shared" si="78"/>
        <v/>
      </c>
      <c r="CT641" s="1247" t="str">
        <f t="shared" si="79"/>
        <v/>
      </c>
      <c r="CU641" s="1247" t="str">
        <f t="shared" si="80"/>
        <v/>
      </c>
      <c r="CV641" s="1247" t="str">
        <f t="shared" si="81"/>
        <v/>
      </c>
      <c r="CW641" s="1247" t="str">
        <f t="shared" si="82"/>
        <v/>
      </c>
      <c r="CX641" s="1247" t="str">
        <f t="shared" si="83"/>
        <v/>
      </c>
      <c r="CY641" s="1247" t="str">
        <f t="shared" si="84"/>
        <v/>
      </c>
      <c r="CZ641" s="1247" t="str">
        <f t="shared" si="85"/>
        <v/>
      </c>
      <c r="DA641" s="1247" t="str">
        <f t="shared" si="86"/>
        <v/>
      </c>
      <c r="DB641" s="1247" t="str">
        <f t="shared" si="87"/>
        <v/>
      </c>
      <c r="DC641" s="1247" t="str">
        <f t="shared" si="88"/>
        <v/>
      </c>
      <c r="DD641" s="1247" t="str">
        <f t="shared" si="89"/>
        <v/>
      </c>
      <c r="DE641" s="1247" t="str">
        <f t="shared" si="90"/>
        <v/>
      </c>
      <c r="DF641" s="1247" t="str">
        <f t="shared" si="91"/>
        <v/>
      </c>
      <c r="DG641" s="1247" t="str">
        <f t="shared" si="92"/>
        <v/>
      </c>
      <c r="DH641" s="1247" t="str">
        <f t="shared" si="93"/>
        <v/>
      </c>
      <c r="DI641" s="1247" t="str">
        <f t="shared" si="94"/>
        <v/>
      </c>
      <c r="DJ641" s="1247" t="str">
        <f t="shared" si="95"/>
        <v/>
      </c>
      <c r="DK641" s="1247" t="str">
        <f t="shared" si="96"/>
        <v/>
      </c>
      <c r="DL641" s="1247" t="str">
        <f t="shared" si="97"/>
        <v/>
      </c>
      <c r="DM641" s="1247" t="str">
        <f t="shared" si="98"/>
        <v/>
      </c>
      <c r="DN641" s="1247" t="str">
        <f t="shared" si="99"/>
        <v/>
      </c>
      <c r="DO641" s="1247" t="str">
        <f t="shared" si="100"/>
        <v/>
      </c>
      <c r="DP641" s="1247" t="str">
        <f t="shared" si="101"/>
        <v/>
      </c>
      <c r="DQ641" s="1247" t="str">
        <f t="shared" si="102"/>
        <v/>
      </c>
      <c r="DR641" s="1247" t="str">
        <f t="shared" si="103"/>
        <v/>
      </c>
      <c r="DS641" s="1247" t="str">
        <f t="shared" si="104"/>
        <v/>
      </c>
      <c r="DT641" s="1247" t="str">
        <f t="shared" si="105"/>
        <v/>
      </c>
      <c r="DU641" s="1247" t="str">
        <f t="shared" si="106"/>
        <v/>
      </c>
      <c r="DV641" s="1247" t="str">
        <f t="shared" si="107"/>
        <v/>
      </c>
      <c r="DW641" s="1247" t="str">
        <f t="shared" si="108"/>
        <v/>
      </c>
      <c r="DX641" s="1247" t="str">
        <f t="shared" si="109"/>
        <v/>
      </c>
      <c r="DY641" s="1247" t="str">
        <f t="shared" si="110"/>
        <v/>
      </c>
      <c r="DZ641" s="1247" t="str">
        <f t="shared" si="111"/>
        <v/>
      </c>
      <c r="EA641" s="1247" t="str">
        <f t="shared" si="112"/>
        <v/>
      </c>
      <c r="EB641" s="1247" t="str">
        <f t="shared" si="113"/>
        <v/>
      </c>
      <c r="EC641" s="1247" t="str">
        <f t="shared" si="114"/>
        <v/>
      </c>
      <c r="ED641" s="1247" t="str">
        <f t="shared" si="115"/>
        <v/>
      </c>
      <c r="EE641" s="1247" t="str">
        <f t="shared" si="116"/>
        <v/>
      </c>
      <c r="EF641" s="1247" t="str">
        <f t="shared" si="117"/>
        <v/>
      </c>
      <c r="EG641" s="1247" t="str">
        <f t="shared" si="118"/>
        <v/>
      </c>
      <c r="EH641" s="1247" t="str">
        <f t="shared" si="119"/>
        <v/>
      </c>
      <c r="EI641" s="1247" t="str">
        <f t="shared" si="120"/>
        <v/>
      </c>
      <c r="EJ641" s="1247" t="str">
        <f t="shared" si="121"/>
        <v/>
      </c>
      <c r="EK641" s="1247" t="str">
        <f t="shared" si="122"/>
        <v/>
      </c>
      <c r="EL641" s="1247" t="str">
        <f t="shared" si="123"/>
        <v/>
      </c>
      <c r="EM641" s="1247" t="str">
        <f t="shared" si="124"/>
        <v/>
      </c>
      <c r="EN641" s="1247" t="str">
        <f t="shared" si="125"/>
        <v/>
      </c>
      <c r="EO641" s="1247" t="str">
        <f t="shared" si="126"/>
        <v/>
      </c>
      <c r="EP641" s="1247" t="str">
        <f t="shared" si="127"/>
        <v/>
      </c>
      <c r="EQ641" s="1247" t="str">
        <f t="shared" si="128"/>
        <v/>
      </c>
      <c r="ER641" s="1247" t="str">
        <f t="shared" si="129"/>
        <v/>
      </c>
      <c r="ES641" s="1247" t="str">
        <f t="shared" si="130"/>
        <v/>
      </c>
      <c r="ET641" s="1247" t="str">
        <f t="shared" si="131"/>
        <v/>
      </c>
      <c r="EU641" s="1247" t="str">
        <f t="shared" si="132"/>
        <v/>
      </c>
      <c r="EV641" s="2909" t="str">
        <f t="shared" si="133"/>
        <v/>
      </c>
      <c r="EW641" s="2909" t="str">
        <f t="shared" si="134"/>
        <v/>
      </c>
      <c r="EX641" s="2909" t="str">
        <f t="shared" si="135"/>
        <v/>
      </c>
      <c r="EY641" s="2909" t="str">
        <f t="shared" si="136"/>
        <v/>
      </c>
      <c r="EZ641" s="2909" t="str">
        <f t="shared" si="137"/>
        <v/>
      </c>
      <c r="FA641" s="2909" t="str">
        <f t="shared" si="138"/>
        <v/>
      </c>
      <c r="FB641" s="2909" t="str">
        <f t="shared" si="139"/>
        <v/>
      </c>
      <c r="FC641" s="2909" t="str">
        <f t="shared" si="140"/>
        <v/>
      </c>
      <c r="FD641" s="2909" t="str">
        <f t="shared" si="141"/>
        <v/>
      </c>
      <c r="FE641" s="2909" t="str">
        <f t="shared" si="142"/>
        <v/>
      </c>
      <c r="FF641" s="2909" t="str">
        <f t="shared" si="143"/>
        <v/>
      </c>
      <c r="FG641" s="2909" t="str">
        <f t="shared" si="144"/>
        <v/>
      </c>
      <c r="FH641" s="2909" t="str">
        <f t="shared" si="145"/>
        <v/>
      </c>
      <c r="FI641" s="2909" t="str">
        <f t="shared" si="146"/>
        <v/>
      </c>
      <c r="FJ641" s="2909" t="str">
        <f t="shared" si="147"/>
        <v/>
      </c>
      <c r="FK641" s="2909" t="str">
        <f t="shared" si="148"/>
        <v/>
      </c>
      <c r="FL641" s="2909" t="str">
        <f t="shared" si="149"/>
        <v/>
      </c>
      <c r="FM641" s="2909" t="str">
        <f t="shared" si="150"/>
        <v/>
      </c>
      <c r="FN641" s="2909" t="str">
        <f t="shared" si="151"/>
        <v/>
      </c>
      <c r="FO641" s="2909" t="str">
        <f t="shared" si="152"/>
        <v/>
      </c>
      <c r="FP641" s="2909" t="str">
        <f t="shared" si="153"/>
        <v/>
      </c>
      <c r="FQ641" s="2909" t="str">
        <f t="shared" si="154"/>
        <v/>
      </c>
      <c r="FR641" s="2909" t="str">
        <f t="shared" si="155"/>
        <v/>
      </c>
      <c r="FS641" s="2909" t="str">
        <f t="shared" si="156"/>
        <v/>
      </c>
      <c r="FT641" s="2909" t="str">
        <f t="shared" si="157"/>
        <v/>
      </c>
      <c r="FU641" s="2909" t="str">
        <f t="shared" si="158"/>
        <v/>
      </c>
      <c r="FV641" s="2909" t="str">
        <f t="shared" si="159"/>
        <v/>
      </c>
      <c r="FW641" s="2909" t="str">
        <f t="shared" si="160"/>
        <v/>
      </c>
      <c r="FX641" s="2909" t="str">
        <f t="shared" si="161"/>
        <v/>
      </c>
      <c r="FY641" s="2909" t="str">
        <f t="shared" si="162"/>
        <v/>
      </c>
      <c r="FZ641" s="2909" t="str">
        <f t="shared" si="163"/>
        <v/>
      </c>
      <c r="GA641" s="2909" t="str">
        <f t="shared" si="164"/>
        <v/>
      </c>
      <c r="GB641" s="2909" t="str">
        <f t="shared" si="165"/>
        <v/>
      </c>
      <c r="GC641" s="2909" t="str">
        <f t="shared" si="166"/>
        <v/>
      </c>
      <c r="GD641" s="2909" t="str">
        <f t="shared" si="167"/>
        <v/>
      </c>
      <c r="GE641" s="2909" t="str">
        <f t="shared" si="168"/>
        <v/>
      </c>
      <c r="GF641" s="2909" t="str">
        <f t="shared" si="169"/>
        <v/>
      </c>
      <c r="GG641" s="2909" t="str">
        <f t="shared" si="170"/>
        <v/>
      </c>
      <c r="GH641" s="2909" t="str">
        <f t="shared" si="171"/>
        <v/>
      </c>
      <c r="GI641" s="2909" t="str">
        <f t="shared" si="172"/>
        <v/>
      </c>
      <c r="GJ641" s="2909" t="str">
        <f t="shared" si="173"/>
        <v/>
      </c>
      <c r="GK641" s="2909" t="str">
        <f t="shared" si="174"/>
        <v/>
      </c>
      <c r="GL641" s="2909" t="str">
        <f t="shared" si="175"/>
        <v/>
      </c>
      <c r="GM641" s="2909" t="str">
        <f t="shared" si="176"/>
        <v/>
      </c>
      <c r="GN641" s="2909" t="str">
        <f t="shared" si="177"/>
        <v/>
      </c>
      <c r="GO641" s="2909" t="str">
        <f t="shared" si="178"/>
        <v/>
      </c>
      <c r="GP641" s="2909" t="str">
        <f t="shared" si="179"/>
        <v/>
      </c>
      <c r="GQ641" s="2909" t="str">
        <f t="shared" si="180"/>
        <v/>
      </c>
      <c r="GR641" s="2909" t="str">
        <f t="shared" si="181"/>
        <v/>
      </c>
      <c r="GS641" s="2909" t="str">
        <f t="shared" si="182"/>
        <v/>
      </c>
      <c r="GT641" s="2909" t="str">
        <f t="shared" si="183"/>
        <v/>
      </c>
      <c r="GU641" s="2909" t="str">
        <f t="shared" si="184"/>
        <v/>
      </c>
      <c r="GV641" s="2909" t="str">
        <f t="shared" si="185"/>
        <v/>
      </c>
      <c r="GW641" s="2909" t="str">
        <f t="shared" si="186"/>
        <v/>
      </c>
      <c r="GX641" s="2909" t="str">
        <f t="shared" si="187"/>
        <v/>
      </c>
      <c r="GY641" s="2909" t="str">
        <f t="shared" si="188"/>
        <v/>
      </c>
      <c r="GZ641" s="2909" t="str">
        <f t="shared" si="189"/>
        <v/>
      </c>
      <c r="HA641" s="2909" t="str">
        <f t="shared" si="190"/>
        <v/>
      </c>
      <c r="HB641" s="2909" t="str">
        <f t="shared" si="191"/>
        <v/>
      </c>
      <c r="HC641" s="2909" t="str">
        <f t="shared" si="192"/>
        <v/>
      </c>
      <c r="HD641" s="2909" t="str">
        <f t="shared" si="193"/>
        <v/>
      </c>
      <c r="HE641" s="2909" t="str">
        <f t="shared" si="194"/>
        <v/>
      </c>
      <c r="HF641" s="2909" t="str">
        <f t="shared" si="195"/>
        <v/>
      </c>
      <c r="HG641" s="2909" t="str">
        <f t="shared" si="196"/>
        <v/>
      </c>
      <c r="HH641" s="2909" t="str">
        <f t="shared" si="197"/>
        <v/>
      </c>
      <c r="HI641" s="2909" t="str">
        <f t="shared" si="198"/>
        <v/>
      </c>
      <c r="HJ641" s="2909" t="str">
        <f t="shared" si="199"/>
        <v/>
      </c>
      <c r="HK641" s="2909" t="str">
        <f t="shared" si="200"/>
        <v/>
      </c>
      <c r="HL641" s="2909" t="str">
        <f t="shared" si="201"/>
        <v/>
      </c>
      <c r="HM641" s="2909" t="str">
        <f t="shared" si="202"/>
        <v/>
      </c>
      <c r="HN641" s="2909" t="str">
        <f t="shared" si="203"/>
        <v/>
      </c>
      <c r="HO641" s="2909" t="str">
        <f t="shared" si="204"/>
        <v/>
      </c>
      <c r="HP641" s="2909" t="str">
        <f t="shared" si="205"/>
        <v/>
      </c>
      <c r="HQ641" s="2909" t="str">
        <f t="shared" si="206"/>
        <v/>
      </c>
      <c r="HR641" s="2909" t="str">
        <f t="shared" si="207"/>
        <v/>
      </c>
      <c r="HS641" s="2909" t="str">
        <f t="shared" si="208"/>
        <v/>
      </c>
      <c r="HT641" s="2909" t="str">
        <f t="shared" si="209"/>
        <v/>
      </c>
      <c r="HU641" s="2909" t="str">
        <f t="shared" si="210"/>
        <v/>
      </c>
      <c r="HV641" s="2909" t="str">
        <f t="shared" si="211"/>
        <v/>
      </c>
      <c r="HW641" s="2909" t="str">
        <f t="shared" si="212"/>
        <v/>
      </c>
      <c r="HX641" s="2909" t="str">
        <f t="shared" si="213"/>
        <v/>
      </c>
      <c r="HY641" s="2909" t="str">
        <f t="shared" si="214"/>
        <v/>
      </c>
      <c r="HZ641" s="2909" t="str">
        <f t="shared" si="215"/>
        <v/>
      </c>
      <c r="IA641" s="2909" t="str">
        <f t="shared" si="216"/>
        <v/>
      </c>
      <c r="IB641" s="2909" t="str">
        <f t="shared" si="217"/>
        <v/>
      </c>
      <c r="IC641" s="2879" t="str">
        <f t="shared" si="218"/>
        <v/>
      </c>
      <c r="ID641" s="2879" t="str">
        <f t="shared" si="219"/>
        <v/>
      </c>
      <c r="IE641" s="2879" t="str">
        <f t="shared" si="220"/>
        <v/>
      </c>
      <c r="IF641" s="2879" t="str">
        <f t="shared" si="221"/>
        <v/>
      </c>
      <c r="IG641" s="2879" t="str">
        <f t="shared" si="222"/>
        <v/>
      </c>
      <c r="IH641" s="1247" t="str">
        <f t="shared" si="223"/>
        <v/>
      </c>
      <c r="II641" s="1247" t="str">
        <f t="shared" si="224"/>
        <v/>
      </c>
      <c r="IJ641" s="1247" t="str">
        <f t="shared" si="225"/>
        <v/>
      </c>
      <c r="IK641" s="1247" t="str">
        <f t="shared" si="226"/>
        <v/>
      </c>
      <c r="IL641" s="1247" t="str">
        <f t="shared" si="227"/>
        <v/>
      </c>
      <c r="IM641" s="1247" t="str">
        <f t="shared" si="228"/>
        <v/>
      </c>
      <c r="IN641" s="1247" t="str">
        <f t="shared" si="229"/>
        <v/>
      </c>
      <c r="IO641" s="1247" t="str">
        <f t="shared" si="230"/>
        <v/>
      </c>
      <c r="IP641" s="1247" t="str">
        <f t="shared" si="231"/>
        <v/>
      </c>
      <c r="IQ641" s="1247" t="str">
        <f t="shared" si="232"/>
        <v/>
      </c>
      <c r="IR641" s="1247" t="str">
        <f t="shared" si="233"/>
        <v/>
      </c>
      <c r="IS641" s="1247" t="str">
        <f t="shared" si="234"/>
        <v/>
      </c>
      <c r="IT641" s="1247" t="str">
        <f t="shared" si="235"/>
        <v/>
      </c>
      <c r="IU641" s="1247" t="str">
        <f t="shared" si="236"/>
        <v/>
      </c>
      <c r="IV641" s="1247" t="str">
        <f t="shared" si="237"/>
        <v/>
      </c>
      <c r="IW641" s="1247" t="str">
        <f t="shared" si="238"/>
        <v/>
      </c>
      <c r="IX641" s="1247" t="str">
        <f t="shared" si="239"/>
        <v/>
      </c>
      <c r="IY641" s="1247" t="str">
        <f t="shared" si="240"/>
        <v/>
      </c>
      <c r="IZ641" s="1247" t="str">
        <f t="shared" si="241"/>
        <v/>
      </c>
      <c r="JA641" s="1247" t="str">
        <f t="shared" si="242"/>
        <v/>
      </c>
      <c r="JB641" s="2877">
        <f t="shared" si="243"/>
        <v>0</v>
      </c>
      <c r="JC641" s="2877">
        <f t="shared" si="244"/>
        <v>0</v>
      </c>
      <c r="JD641" s="2877">
        <f t="shared" si="245"/>
        <v>0</v>
      </c>
      <c r="JE641" s="2877">
        <f t="shared" si="246"/>
        <v>0</v>
      </c>
      <c r="JF641" s="2877">
        <f t="shared" si="247"/>
        <v>0</v>
      </c>
      <c r="JG641" s="2877">
        <f t="shared" si="248"/>
        <v>0</v>
      </c>
      <c r="JH641" s="2877">
        <f t="shared" si="249"/>
        <v>0</v>
      </c>
      <c r="JI641" s="2877">
        <f t="shared" si="250"/>
        <v>0</v>
      </c>
      <c r="JJ641" s="2877">
        <f t="shared" si="251"/>
        <v>0</v>
      </c>
      <c r="JK641" s="2877">
        <f t="shared" si="252"/>
        <v>0</v>
      </c>
      <c r="JL641" s="2877">
        <f t="shared" si="253"/>
        <v>0</v>
      </c>
      <c r="JM641" s="2877">
        <f t="shared" si="254"/>
        <v>0</v>
      </c>
      <c r="JN641" s="2877">
        <f t="shared" si="255"/>
        <v>0</v>
      </c>
      <c r="JO641" s="2877">
        <f t="shared" si="256"/>
        <v>0</v>
      </c>
      <c r="JP641" s="2877">
        <f t="shared" si="257"/>
        <v>0</v>
      </c>
    </row>
    <row r="642" spans="1:276" ht="12" customHeight="1">
      <c r="A642" s="2891" t="str">
        <f t="shared" si="0"/>
        <v/>
      </c>
      <c r="B642" s="2900" t="str">
        <f>'Part VI-Revenues &amp; Expenses'!B22</f>
        <v>&lt;&lt;Select&gt;&gt;</v>
      </c>
      <c r="C642" s="2901">
        <f>'Part VI-Revenues &amp; Expenses'!C22</f>
        <v>0</v>
      </c>
      <c r="D642" s="2902">
        <f>'Part VI-Revenues &amp; Expenses'!D22</f>
        <v>0</v>
      </c>
      <c r="E642" s="2903">
        <f>'Part VI-Revenues &amp; Expenses'!E22</f>
        <v>0</v>
      </c>
      <c r="F642" s="2903">
        <f>'Part VI-Revenues &amp; Expenses'!F22</f>
        <v>0</v>
      </c>
      <c r="G642" s="2903">
        <f>'Part VI-Revenues &amp; Expenses'!G22</f>
        <v>0</v>
      </c>
      <c r="H642" s="2903">
        <f>'Part VI-Revenues &amp; Expenses'!H22</f>
        <v>0</v>
      </c>
      <c r="I642" s="2903">
        <f>'Part VI-Revenues &amp; Expenses'!I22</f>
        <v>0</v>
      </c>
      <c r="J642" s="2904">
        <f>'Part VI-Revenues &amp; Expenses'!J22</f>
        <v>0</v>
      </c>
      <c r="K642" s="2905">
        <f t="shared" si="1"/>
        <v>0</v>
      </c>
      <c r="L642" s="2905">
        <f t="shared" si="2"/>
        <v>0</v>
      </c>
      <c r="M642" s="2886">
        <f>'Part VI-Revenues &amp; Expenses'!M22</f>
        <v>0</v>
      </c>
      <c r="N642" s="2886">
        <f>'Part VI-Revenues &amp; Expenses'!N22</f>
        <v>0</v>
      </c>
      <c r="O642" s="2886">
        <f>'Part VI-Revenues &amp; Expenses'!O22</f>
        <v>0</v>
      </c>
      <c r="P642" s="2886">
        <f>'Part VI-Revenues &amp; Expenses'!P22</f>
        <v>0</v>
      </c>
      <c r="Q642" s="2906">
        <f>IF(H642="","",P642/($O$626*VLOOKUP(C642,'DCA Underwriting Assumptions'!$J$118:$K$123,2,FALSE)))</f>
        <v>0</v>
      </c>
      <c r="R642" s="2907"/>
      <c r="S642" s="2906"/>
      <c r="T642" s="2908"/>
      <c r="U642" s="2908"/>
      <c r="V642" s="1247" t="str">
        <f t="shared" si="3"/>
        <v/>
      </c>
      <c r="W642" s="1247" t="str">
        <f t="shared" si="4"/>
        <v/>
      </c>
      <c r="X642" s="1247" t="str">
        <f t="shared" si="5"/>
        <v/>
      </c>
      <c r="Y642" s="1247" t="str">
        <f t="shared" si="6"/>
        <v/>
      </c>
      <c r="Z642" s="1247" t="str">
        <f t="shared" si="7"/>
        <v/>
      </c>
      <c r="AA642" s="1247" t="str">
        <f t="shared" si="8"/>
        <v/>
      </c>
      <c r="AB642" s="1247" t="str">
        <f t="shared" si="9"/>
        <v/>
      </c>
      <c r="AC642" s="1247" t="str">
        <f t="shared" si="10"/>
        <v/>
      </c>
      <c r="AD642" s="1247" t="str">
        <f t="shared" si="11"/>
        <v/>
      </c>
      <c r="AE642" s="1247" t="str">
        <f t="shared" si="12"/>
        <v/>
      </c>
      <c r="AF642" s="1247" t="str">
        <f t="shared" si="13"/>
        <v/>
      </c>
      <c r="AG642" s="1247" t="str">
        <f t="shared" si="14"/>
        <v/>
      </c>
      <c r="AH642" s="1247" t="str">
        <f t="shared" si="15"/>
        <v/>
      </c>
      <c r="AI642" s="1247" t="str">
        <f t="shared" si="16"/>
        <v/>
      </c>
      <c r="AJ642" s="1247" t="str">
        <f t="shared" si="17"/>
        <v/>
      </c>
      <c r="AK642" s="1247" t="str">
        <f t="shared" si="18"/>
        <v/>
      </c>
      <c r="AL642" s="1247" t="str">
        <f t="shared" si="19"/>
        <v/>
      </c>
      <c r="AM642" s="1247" t="str">
        <f t="shared" si="20"/>
        <v/>
      </c>
      <c r="AN642" s="1247" t="str">
        <f t="shared" si="21"/>
        <v/>
      </c>
      <c r="AO642" s="1247" t="str">
        <f t="shared" si="22"/>
        <v/>
      </c>
      <c r="AP642" s="1247" t="str">
        <f t="shared" si="23"/>
        <v/>
      </c>
      <c r="AQ642" s="1247" t="str">
        <f t="shared" si="24"/>
        <v/>
      </c>
      <c r="AR642" s="1247" t="str">
        <f t="shared" si="25"/>
        <v/>
      </c>
      <c r="AS642" s="1247" t="str">
        <f t="shared" si="26"/>
        <v/>
      </c>
      <c r="AT642" s="1247" t="str">
        <f t="shared" si="27"/>
        <v/>
      </c>
      <c r="AU642" s="1247" t="str">
        <f t="shared" si="28"/>
        <v/>
      </c>
      <c r="AV642" s="1247" t="str">
        <f t="shared" si="29"/>
        <v/>
      </c>
      <c r="AW642" s="1247" t="str">
        <f t="shared" si="30"/>
        <v/>
      </c>
      <c r="AX642" s="1247" t="str">
        <f t="shared" si="31"/>
        <v/>
      </c>
      <c r="AY642" s="1247" t="str">
        <f t="shared" si="32"/>
        <v/>
      </c>
      <c r="AZ642" s="1247" t="str">
        <f t="shared" si="33"/>
        <v/>
      </c>
      <c r="BA642" s="1247" t="str">
        <f t="shared" si="34"/>
        <v/>
      </c>
      <c r="BB642" s="1247" t="str">
        <f t="shared" si="35"/>
        <v/>
      </c>
      <c r="BC642" s="1247" t="str">
        <f t="shared" si="36"/>
        <v/>
      </c>
      <c r="BD642" s="1247" t="str">
        <f t="shared" si="37"/>
        <v/>
      </c>
      <c r="BE642" s="1247" t="str">
        <f t="shared" si="38"/>
        <v/>
      </c>
      <c r="BF642" s="1247" t="str">
        <f t="shared" si="39"/>
        <v/>
      </c>
      <c r="BG642" s="1247" t="str">
        <f t="shared" si="40"/>
        <v/>
      </c>
      <c r="BH642" s="1247" t="str">
        <f t="shared" si="41"/>
        <v/>
      </c>
      <c r="BI642" s="1247" t="str">
        <f t="shared" si="42"/>
        <v/>
      </c>
      <c r="BJ642" s="1247" t="str">
        <f t="shared" si="43"/>
        <v/>
      </c>
      <c r="BK642" s="1247" t="str">
        <f t="shared" si="44"/>
        <v/>
      </c>
      <c r="BL642" s="1247" t="str">
        <f t="shared" si="45"/>
        <v/>
      </c>
      <c r="BM642" s="1247" t="str">
        <f t="shared" si="46"/>
        <v/>
      </c>
      <c r="BN642" s="1247" t="str">
        <f t="shared" si="47"/>
        <v/>
      </c>
      <c r="BO642" s="1247" t="str">
        <f t="shared" si="48"/>
        <v/>
      </c>
      <c r="BP642" s="1247" t="str">
        <f t="shared" si="49"/>
        <v/>
      </c>
      <c r="BQ642" s="1247" t="str">
        <f t="shared" si="50"/>
        <v/>
      </c>
      <c r="BR642" s="1247" t="str">
        <f t="shared" si="51"/>
        <v/>
      </c>
      <c r="BS642" s="1247" t="str">
        <f t="shared" si="52"/>
        <v/>
      </c>
      <c r="BT642" s="1247" t="str">
        <f t="shared" si="53"/>
        <v/>
      </c>
      <c r="BU642" s="1247" t="str">
        <f t="shared" si="54"/>
        <v/>
      </c>
      <c r="BV642" s="1247" t="str">
        <f t="shared" si="55"/>
        <v/>
      </c>
      <c r="BW642" s="1247" t="str">
        <f t="shared" si="56"/>
        <v/>
      </c>
      <c r="BX642" s="1247" t="str">
        <f t="shared" si="57"/>
        <v/>
      </c>
      <c r="BY642" s="1247" t="str">
        <f t="shared" si="58"/>
        <v/>
      </c>
      <c r="BZ642" s="1247" t="str">
        <f t="shared" si="59"/>
        <v/>
      </c>
      <c r="CA642" s="1247" t="str">
        <f t="shared" si="60"/>
        <v/>
      </c>
      <c r="CB642" s="1247" t="str">
        <f t="shared" si="61"/>
        <v/>
      </c>
      <c r="CC642" s="1247" t="str">
        <f t="shared" si="62"/>
        <v/>
      </c>
      <c r="CD642" s="1247" t="str">
        <f t="shared" si="63"/>
        <v/>
      </c>
      <c r="CE642" s="1247" t="str">
        <f t="shared" si="64"/>
        <v/>
      </c>
      <c r="CF642" s="1247" t="str">
        <f t="shared" si="65"/>
        <v/>
      </c>
      <c r="CG642" s="1247" t="str">
        <f t="shared" si="66"/>
        <v/>
      </c>
      <c r="CH642" s="1247" t="str">
        <f t="shared" si="67"/>
        <v/>
      </c>
      <c r="CI642" s="1247" t="str">
        <f t="shared" si="68"/>
        <v/>
      </c>
      <c r="CJ642" s="1247" t="str">
        <f t="shared" si="69"/>
        <v/>
      </c>
      <c r="CK642" s="1247" t="str">
        <f t="shared" si="70"/>
        <v/>
      </c>
      <c r="CL642" s="1247" t="str">
        <f t="shared" si="71"/>
        <v/>
      </c>
      <c r="CM642" s="1247" t="str">
        <f t="shared" si="72"/>
        <v/>
      </c>
      <c r="CN642" s="1247" t="str">
        <f t="shared" si="73"/>
        <v/>
      </c>
      <c r="CO642" s="1247" t="str">
        <f t="shared" si="74"/>
        <v/>
      </c>
      <c r="CP642" s="1247" t="str">
        <f t="shared" si="75"/>
        <v/>
      </c>
      <c r="CQ642" s="1247" t="str">
        <f t="shared" si="76"/>
        <v/>
      </c>
      <c r="CR642" s="1247" t="str">
        <f t="shared" si="77"/>
        <v/>
      </c>
      <c r="CS642" s="1247" t="str">
        <f t="shared" si="78"/>
        <v/>
      </c>
      <c r="CT642" s="1247" t="str">
        <f t="shared" si="79"/>
        <v/>
      </c>
      <c r="CU642" s="1247" t="str">
        <f t="shared" si="80"/>
        <v/>
      </c>
      <c r="CV642" s="1247" t="str">
        <f t="shared" si="81"/>
        <v/>
      </c>
      <c r="CW642" s="1247" t="str">
        <f t="shared" si="82"/>
        <v/>
      </c>
      <c r="CX642" s="1247" t="str">
        <f t="shared" si="83"/>
        <v/>
      </c>
      <c r="CY642" s="1247" t="str">
        <f t="shared" si="84"/>
        <v/>
      </c>
      <c r="CZ642" s="1247" t="str">
        <f t="shared" si="85"/>
        <v/>
      </c>
      <c r="DA642" s="1247" t="str">
        <f t="shared" si="86"/>
        <v/>
      </c>
      <c r="DB642" s="1247" t="str">
        <f t="shared" si="87"/>
        <v/>
      </c>
      <c r="DC642" s="1247" t="str">
        <f t="shared" si="88"/>
        <v/>
      </c>
      <c r="DD642" s="1247" t="str">
        <f t="shared" si="89"/>
        <v/>
      </c>
      <c r="DE642" s="1247" t="str">
        <f t="shared" si="90"/>
        <v/>
      </c>
      <c r="DF642" s="1247" t="str">
        <f t="shared" si="91"/>
        <v/>
      </c>
      <c r="DG642" s="1247" t="str">
        <f t="shared" si="92"/>
        <v/>
      </c>
      <c r="DH642" s="1247" t="str">
        <f t="shared" si="93"/>
        <v/>
      </c>
      <c r="DI642" s="1247" t="str">
        <f t="shared" si="94"/>
        <v/>
      </c>
      <c r="DJ642" s="1247" t="str">
        <f t="shared" si="95"/>
        <v/>
      </c>
      <c r="DK642" s="1247" t="str">
        <f t="shared" si="96"/>
        <v/>
      </c>
      <c r="DL642" s="1247" t="str">
        <f t="shared" si="97"/>
        <v/>
      </c>
      <c r="DM642" s="1247" t="str">
        <f t="shared" si="98"/>
        <v/>
      </c>
      <c r="DN642" s="1247" t="str">
        <f t="shared" si="99"/>
        <v/>
      </c>
      <c r="DO642" s="1247" t="str">
        <f t="shared" si="100"/>
        <v/>
      </c>
      <c r="DP642" s="1247" t="str">
        <f t="shared" si="101"/>
        <v/>
      </c>
      <c r="DQ642" s="1247" t="str">
        <f t="shared" si="102"/>
        <v/>
      </c>
      <c r="DR642" s="1247" t="str">
        <f t="shared" si="103"/>
        <v/>
      </c>
      <c r="DS642" s="1247" t="str">
        <f t="shared" si="104"/>
        <v/>
      </c>
      <c r="DT642" s="1247" t="str">
        <f t="shared" si="105"/>
        <v/>
      </c>
      <c r="DU642" s="1247" t="str">
        <f t="shared" si="106"/>
        <v/>
      </c>
      <c r="DV642" s="1247" t="str">
        <f t="shared" si="107"/>
        <v/>
      </c>
      <c r="DW642" s="1247" t="str">
        <f t="shared" si="108"/>
        <v/>
      </c>
      <c r="DX642" s="1247" t="str">
        <f t="shared" si="109"/>
        <v/>
      </c>
      <c r="DY642" s="1247" t="str">
        <f t="shared" si="110"/>
        <v/>
      </c>
      <c r="DZ642" s="1247" t="str">
        <f t="shared" si="111"/>
        <v/>
      </c>
      <c r="EA642" s="1247" t="str">
        <f t="shared" si="112"/>
        <v/>
      </c>
      <c r="EB642" s="1247" t="str">
        <f t="shared" si="113"/>
        <v/>
      </c>
      <c r="EC642" s="1247" t="str">
        <f t="shared" si="114"/>
        <v/>
      </c>
      <c r="ED642" s="1247" t="str">
        <f t="shared" si="115"/>
        <v/>
      </c>
      <c r="EE642" s="1247" t="str">
        <f t="shared" si="116"/>
        <v/>
      </c>
      <c r="EF642" s="1247" t="str">
        <f t="shared" si="117"/>
        <v/>
      </c>
      <c r="EG642" s="1247" t="str">
        <f t="shared" si="118"/>
        <v/>
      </c>
      <c r="EH642" s="1247" t="str">
        <f t="shared" si="119"/>
        <v/>
      </c>
      <c r="EI642" s="1247" t="str">
        <f t="shared" si="120"/>
        <v/>
      </c>
      <c r="EJ642" s="1247" t="str">
        <f t="shared" si="121"/>
        <v/>
      </c>
      <c r="EK642" s="1247" t="str">
        <f t="shared" si="122"/>
        <v/>
      </c>
      <c r="EL642" s="1247" t="str">
        <f t="shared" si="123"/>
        <v/>
      </c>
      <c r="EM642" s="1247" t="str">
        <f t="shared" si="124"/>
        <v/>
      </c>
      <c r="EN642" s="1247" t="str">
        <f t="shared" si="125"/>
        <v/>
      </c>
      <c r="EO642" s="1247" t="str">
        <f t="shared" si="126"/>
        <v/>
      </c>
      <c r="EP642" s="1247" t="str">
        <f t="shared" si="127"/>
        <v/>
      </c>
      <c r="EQ642" s="1247" t="str">
        <f t="shared" si="128"/>
        <v/>
      </c>
      <c r="ER642" s="1247" t="str">
        <f t="shared" si="129"/>
        <v/>
      </c>
      <c r="ES642" s="1247" t="str">
        <f t="shared" si="130"/>
        <v/>
      </c>
      <c r="ET642" s="1247" t="str">
        <f t="shared" si="131"/>
        <v/>
      </c>
      <c r="EU642" s="1247" t="str">
        <f t="shared" si="132"/>
        <v/>
      </c>
      <c r="EV642" s="2909" t="str">
        <f t="shared" si="133"/>
        <v/>
      </c>
      <c r="EW642" s="2909" t="str">
        <f t="shared" si="134"/>
        <v/>
      </c>
      <c r="EX642" s="2909" t="str">
        <f t="shared" si="135"/>
        <v/>
      </c>
      <c r="EY642" s="2909" t="str">
        <f t="shared" si="136"/>
        <v/>
      </c>
      <c r="EZ642" s="2909" t="str">
        <f t="shared" si="137"/>
        <v/>
      </c>
      <c r="FA642" s="2909" t="str">
        <f t="shared" si="138"/>
        <v/>
      </c>
      <c r="FB642" s="2909" t="str">
        <f t="shared" si="139"/>
        <v/>
      </c>
      <c r="FC642" s="2909" t="str">
        <f t="shared" si="140"/>
        <v/>
      </c>
      <c r="FD642" s="2909" t="str">
        <f t="shared" si="141"/>
        <v/>
      </c>
      <c r="FE642" s="2909" t="str">
        <f t="shared" si="142"/>
        <v/>
      </c>
      <c r="FF642" s="2909" t="str">
        <f t="shared" si="143"/>
        <v/>
      </c>
      <c r="FG642" s="2909" t="str">
        <f t="shared" si="144"/>
        <v/>
      </c>
      <c r="FH642" s="2909" t="str">
        <f t="shared" si="145"/>
        <v/>
      </c>
      <c r="FI642" s="2909" t="str">
        <f t="shared" si="146"/>
        <v/>
      </c>
      <c r="FJ642" s="2909" t="str">
        <f t="shared" si="147"/>
        <v/>
      </c>
      <c r="FK642" s="2909" t="str">
        <f t="shared" si="148"/>
        <v/>
      </c>
      <c r="FL642" s="2909" t="str">
        <f t="shared" si="149"/>
        <v/>
      </c>
      <c r="FM642" s="2909" t="str">
        <f t="shared" si="150"/>
        <v/>
      </c>
      <c r="FN642" s="2909" t="str">
        <f t="shared" si="151"/>
        <v/>
      </c>
      <c r="FO642" s="2909" t="str">
        <f t="shared" si="152"/>
        <v/>
      </c>
      <c r="FP642" s="2909" t="str">
        <f t="shared" si="153"/>
        <v/>
      </c>
      <c r="FQ642" s="2909" t="str">
        <f t="shared" si="154"/>
        <v/>
      </c>
      <c r="FR642" s="2909" t="str">
        <f t="shared" si="155"/>
        <v/>
      </c>
      <c r="FS642" s="2909" t="str">
        <f t="shared" si="156"/>
        <v/>
      </c>
      <c r="FT642" s="2909" t="str">
        <f t="shared" si="157"/>
        <v/>
      </c>
      <c r="FU642" s="2909" t="str">
        <f t="shared" si="158"/>
        <v/>
      </c>
      <c r="FV642" s="2909" t="str">
        <f t="shared" si="159"/>
        <v/>
      </c>
      <c r="FW642" s="2909" t="str">
        <f t="shared" si="160"/>
        <v/>
      </c>
      <c r="FX642" s="2909" t="str">
        <f t="shared" si="161"/>
        <v/>
      </c>
      <c r="FY642" s="2909" t="str">
        <f t="shared" si="162"/>
        <v/>
      </c>
      <c r="FZ642" s="2909" t="str">
        <f t="shared" si="163"/>
        <v/>
      </c>
      <c r="GA642" s="2909" t="str">
        <f t="shared" si="164"/>
        <v/>
      </c>
      <c r="GB642" s="2909" t="str">
        <f t="shared" si="165"/>
        <v/>
      </c>
      <c r="GC642" s="2909" t="str">
        <f t="shared" si="166"/>
        <v/>
      </c>
      <c r="GD642" s="2909" t="str">
        <f t="shared" si="167"/>
        <v/>
      </c>
      <c r="GE642" s="2909" t="str">
        <f t="shared" si="168"/>
        <v/>
      </c>
      <c r="GF642" s="2909" t="str">
        <f t="shared" si="169"/>
        <v/>
      </c>
      <c r="GG642" s="2909" t="str">
        <f t="shared" si="170"/>
        <v/>
      </c>
      <c r="GH642" s="2909" t="str">
        <f t="shared" si="171"/>
        <v/>
      </c>
      <c r="GI642" s="2909" t="str">
        <f t="shared" si="172"/>
        <v/>
      </c>
      <c r="GJ642" s="2909" t="str">
        <f t="shared" si="173"/>
        <v/>
      </c>
      <c r="GK642" s="2909" t="str">
        <f t="shared" si="174"/>
        <v/>
      </c>
      <c r="GL642" s="2909" t="str">
        <f t="shared" si="175"/>
        <v/>
      </c>
      <c r="GM642" s="2909" t="str">
        <f t="shared" si="176"/>
        <v/>
      </c>
      <c r="GN642" s="2909" t="str">
        <f t="shared" si="177"/>
        <v/>
      </c>
      <c r="GO642" s="2909" t="str">
        <f t="shared" si="178"/>
        <v/>
      </c>
      <c r="GP642" s="2909" t="str">
        <f t="shared" si="179"/>
        <v/>
      </c>
      <c r="GQ642" s="2909" t="str">
        <f t="shared" si="180"/>
        <v/>
      </c>
      <c r="GR642" s="2909" t="str">
        <f t="shared" si="181"/>
        <v/>
      </c>
      <c r="GS642" s="2909" t="str">
        <f t="shared" si="182"/>
        <v/>
      </c>
      <c r="GT642" s="2909" t="str">
        <f t="shared" si="183"/>
        <v/>
      </c>
      <c r="GU642" s="2909" t="str">
        <f t="shared" si="184"/>
        <v/>
      </c>
      <c r="GV642" s="2909" t="str">
        <f t="shared" si="185"/>
        <v/>
      </c>
      <c r="GW642" s="2909" t="str">
        <f t="shared" si="186"/>
        <v/>
      </c>
      <c r="GX642" s="2909" t="str">
        <f t="shared" si="187"/>
        <v/>
      </c>
      <c r="GY642" s="2909" t="str">
        <f t="shared" si="188"/>
        <v/>
      </c>
      <c r="GZ642" s="2909" t="str">
        <f t="shared" si="189"/>
        <v/>
      </c>
      <c r="HA642" s="2909" t="str">
        <f t="shared" si="190"/>
        <v/>
      </c>
      <c r="HB642" s="2909" t="str">
        <f t="shared" si="191"/>
        <v/>
      </c>
      <c r="HC642" s="2909" t="str">
        <f t="shared" si="192"/>
        <v/>
      </c>
      <c r="HD642" s="2909" t="str">
        <f t="shared" si="193"/>
        <v/>
      </c>
      <c r="HE642" s="2909" t="str">
        <f t="shared" si="194"/>
        <v/>
      </c>
      <c r="HF642" s="2909" t="str">
        <f t="shared" si="195"/>
        <v/>
      </c>
      <c r="HG642" s="2909" t="str">
        <f t="shared" si="196"/>
        <v/>
      </c>
      <c r="HH642" s="2909" t="str">
        <f t="shared" si="197"/>
        <v/>
      </c>
      <c r="HI642" s="2909" t="str">
        <f t="shared" si="198"/>
        <v/>
      </c>
      <c r="HJ642" s="2909" t="str">
        <f t="shared" si="199"/>
        <v/>
      </c>
      <c r="HK642" s="2909" t="str">
        <f t="shared" si="200"/>
        <v/>
      </c>
      <c r="HL642" s="2909" t="str">
        <f t="shared" si="201"/>
        <v/>
      </c>
      <c r="HM642" s="2909" t="str">
        <f t="shared" si="202"/>
        <v/>
      </c>
      <c r="HN642" s="2909" t="str">
        <f t="shared" si="203"/>
        <v/>
      </c>
      <c r="HO642" s="2909" t="str">
        <f t="shared" si="204"/>
        <v/>
      </c>
      <c r="HP642" s="2909" t="str">
        <f t="shared" si="205"/>
        <v/>
      </c>
      <c r="HQ642" s="2909" t="str">
        <f t="shared" si="206"/>
        <v/>
      </c>
      <c r="HR642" s="2909" t="str">
        <f t="shared" si="207"/>
        <v/>
      </c>
      <c r="HS642" s="2909" t="str">
        <f t="shared" si="208"/>
        <v/>
      </c>
      <c r="HT642" s="2909" t="str">
        <f t="shared" si="209"/>
        <v/>
      </c>
      <c r="HU642" s="2909" t="str">
        <f t="shared" si="210"/>
        <v/>
      </c>
      <c r="HV642" s="2909" t="str">
        <f t="shared" si="211"/>
        <v/>
      </c>
      <c r="HW642" s="2909" t="str">
        <f t="shared" si="212"/>
        <v/>
      </c>
      <c r="HX642" s="2909" t="str">
        <f t="shared" si="213"/>
        <v/>
      </c>
      <c r="HY642" s="2909" t="str">
        <f t="shared" si="214"/>
        <v/>
      </c>
      <c r="HZ642" s="2909" t="str">
        <f t="shared" si="215"/>
        <v/>
      </c>
      <c r="IA642" s="2909" t="str">
        <f t="shared" si="216"/>
        <v/>
      </c>
      <c r="IB642" s="2909" t="str">
        <f t="shared" si="217"/>
        <v/>
      </c>
      <c r="IC642" s="2879" t="str">
        <f t="shared" si="218"/>
        <v/>
      </c>
      <c r="ID642" s="2879" t="str">
        <f t="shared" si="219"/>
        <v/>
      </c>
      <c r="IE642" s="2879" t="str">
        <f t="shared" si="220"/>
        <v/>
      </c>
      <c r="IF642" s="2879" t="str">
        <f t="shared" si="221"/>
        <v/>
      </c>
      <c r="IG642" s="2879" t="str">
        <f t="shared" si="222"/>
        <v/>
      </c>
      <c r="IH642" s="1247" t="str">
        <f t="shared" si="223"/>
        <v/>
      </c>
      <c r="II642" s="1247" t="str">
        <f t="shared" si="224"/>
        <v/>
      </c>
      <c r="IJ642" s="1247" t="str">
        <f t="shared" si="225"/>
        <v/>
      </c>
      <c r="IK642" s="1247" t="str">
        <f t="shared" si="226"/>
        <v/>
      </c>
      <c r="IL642" s="1247" t="str">
        <f t="shared" si="227"/>
        <v/>
      </c>
      <c r="IM642" s="1247" t="str">
        <f t="shared" si="228"/>
        <v/>
      </c>
      <c r="IN642" s="1247" t="str">
        <f t="shared" si="229"/>
        <v/>
      </c>
      <c r="IO642" s="1247" t="str">
        <f t="shared" si="230"/>
        <v/>
      </c>
      <c r="IP642" s="1247" t="str">
        <f t="shared" si="231"/>
        <v/>
      </c>
      <c r="IQ642" s="1247" t="str">
        <f t="shared" si="232"/>
        <v/>
      </c>
      <c r="IR642" s="1247" t="str">
        <f t="shared" si="233"/>
        <v/>
      </c>
      <c r="IS642" s="1247" t="str">
        <f t="shared" si="234"/>
        <v/>
      </c>
      <c r="IT642" s="1247" t="str">
        <f t="shared" si="235"/>
        <v/>
      </c>
      <c r="IU642" s="1247" t="str">
        <f t="shared" si="236"/>
        <v/>
      </c>
      <c r="IV642" s="1247" t="str">
        <f t="shared" si="237"/>
        <v/>
      </c>
      <c r="IW642" s="1247" t="str">
        <f t="shared" si="238"/>
        <v/>
      </c>
      <c r="IX642" s="1247" t="str">
        <f t="shared" si="239"/>
        <v/>
      </c>
      <c r="IY642" s="1247" t="str">
        <f t="shared" si="240"/>
        <v/>
      </c>
      <c r="IZ642" s="1247" t="str">
        <f t="shared" si="241"/>
        <v/>
      </c>
      <c r="JA642" s="1247" t="str">
        <f t="shared" si="242"/>
        <v/>
      </c>
      <c r="JB642" s="2877">
        <f t="shared" si="243"/>
        <v>0</v>
      </c>
      <c r="JC642" s="2877">
        <f t="shared" si="244"/>
        <v>0</v>
      </c>
      <c r="JD642" s="2877">
        <f t="shared" si="245"/>
        <v>0</v>
      </c>
      <c r="JE642" s="2877">
        <f t="shared" si="246"/>
        <v>0</v>
      </c>
      <c r="JF642" s="2877">
        <f t="shared" si="247"/>
        <v>0</v>
      </c>
      <c r="JG642" s="2877">
        <f t="shared" si="248"/>
        <v>0</v>
      </c>
      <c r="JH642" s="2877">
        <f t="shared" si="249"/>
        <v>0</v>
      </c>
      <c r="JI642" s="2877">
        <f t="shared" si="250"/>
        <v>0</v>
      </c>
      <c r="JJ642" s="2877">
        <f t="shared" si="251"/>
        <v>0</v>
      </c>
      <c r="JK642" s="2877">
        <f t="shared" si="252"/>
        <v>0</v>
      </c>
      <c r="JL642" s="2877">
        <f t="shared" si="253"/>
        <v>0</v>
      </c>
      <c r="JM642" s="2877">
        <f t="shared" si="254"/>
        <v>0</v>
      </c>
      <c r="JN642" s="2877">
        <f t="shared" si="255"/>
        <v>0</v>
      </c>
      <c r="JO642" s="2877">
        <f t="shared" si="256"/>
        <v>0</v>
      </c>
      <c r="JP642" s="2877">
        <f t="shared" si="257"/>
        <v>0</v>
      </c>
    </row>
    <row r="643" spans="1:276" ht="12" customHeight="1">
      <c r="A643" s="2891" t="str">
        <f t="shared" si="0"/>
        <v/>
      </c>
      <c r="B643" s="2900" t="str">
        <f>'Part VI-Revenues &amp; Expenses'!B23</f>
        <v>&lt;&lt;Select&gt;&gt;</v>
      </c>
      <c r="C643" s="2901">
        <f>'Part VI-Revenues &amp; Expenses'!C23</f>
        <v>0</v>
      </c>
      <c r="D643" s="2902">
        <f>'Part VI-Revenues &amp; Expenses'!D23</f>
        <v>0</v>
      </c>
      <c r="E643" s="2903">
        <f>'Part VI-Revenues &amp; Expenses'!E23</f>
        <v>0</v>
      </c>
      <c r="F643" s="2903">
        <f>'Part VI-Revenues &amp; Expenses'!F23</f>
        <v>0</v>
      </c>
      <c r="G643" s="2903">
        <f>'Part VI-Revenues &amp; Expenses'!G23</f>
        <v>0</v>
      </c>
      <c r="H643" s="2903">
        <f>'Part VI-Revenues &amp; Expenses'!H23</f>
        <v>0</v>
      </c>
      <c r="I643" s="2903">
        <f>'Part VI-Revenues &amp; Expenses'!I23</f>
        <v>0</v>
      </c>
      <c r="J643" s="2904">
        <f>'Part VI-Revenues &amp; Expenses'!J23</f>
        <v>0</v>
      </c>
      <c r="K643" s="2905">
        <f t="shared" si="1"/>
        <v>0</v>
      </c>
      <c r="L643" s="2905">
        <f t="shared" si="2"/>
        <v>0</v>
      </c>
      <c r="M643" s="2886">
        <f>'Part VI-Revenues &amp; Expenses'!M23</f>
        <v>0</v>
      </c>
      <c r="N643" s="2886">
        <f>'Part VI-Revenues &amp; Expenses'!N23</f>
        <v>0</v>
      </c>
      <c r="O643" s="2886">
        <f>'Part VI-Revenues &amp; Expenses'!O23</f>
        <v>0</v>
      </c>
      <c r="P643" s="2886">
        <f>'Part VI-Revenues &amp; Expenses'!P23</f>
        <v>0</v>
      </c>
      <c r="Q643" s="2906">
        <f>IF(H643="","",P643/($O$626*VLOOKUP(C643,'DCA Underwriting Assumptions'!$J$118:$K$123,2,FALSE)))</f>
        <v>0</v>
      </c>
      <c r="R643" s="2907"/>
      <c r="S643" s="2906"/>
      <c r="T643" s="2908"/>
      <c r="U643" s="2908"/>
      <c r="V643" s="1247" t="str">
        <f t="shared" si="3"/>
        <v/>
      </c>
      <c r="W643" s="1247" t="str">
        <f t="shared" si="4"/>
        <v/>
      </c>
      <c r="X643" s="1247" t="str">
        <f t="shared" si="5"/>
        <v/>
      </c>
      <c r="Y643" s="1247" t="str">
        <f t="shared" si="6"/>
        <v/>
      </c>
      <c r="Z643" s="1247" t="str">
        <f t="shared" si="7"/>
        <v/>
      </c>
      <c r="AA643" s="1247" t="str">
        <f t="shared" si="8"/>
        <v/>
      </c>
      <c r="AB643" s="1247" t="str">
        <f t="shared" si="9"/>
        <v/>
      </c>
      <c r="AC643" s="1247" t="str">
        <f t="shared" si="10"/>
        <v/>
      </c>
      <c r="AD643" s="1247" t="str">
        <f t="shared" si="11"/>
        <v/>
      </c>
      <c r="AE643" s="1247" t="str">
        <f t="shared" si="12"/>
        <v/>
      </c>
      <c r="AF643" s="1247" t="str">
        <f t="shared" si="13"/>
        <v/>
      </c>
      <c r="AG643" s="1247" t="str">
        <f t="shared" si="14"/>
        <v/>
      </c>
      <c r="AH643" s="1247" t="str">
        <f t="shared" si="15"/>
        <v/>
      </c>
      <c r="AI643" s="1247" t="str">
        <f t="shared" si="16"/>
        <v/>
      </c>
      <c r="AJ643" s="1247" t="str">
        <f t="shared" si="17"/>
        <v/>
      </c>
      <c r="AK643" s="1247" t="str">
        <f t="shared" si="18"/>
        <v/>
      </c>
      <c r="AL643" s="1247" t="str">
        <f t="shared" si="19"/>
        <v/>
      </c>
      <c r="AM643" s="1247" t="str">
        <f t="shared" si="20"/>
        <v/>
      </c>
      <c r="AN643" s="1247" t="str">
        <f t="shared" si="21"/>
        <v/>
      </c>
      <c r="AO643" s="1247" t="str">
        <f t="shared" si="22"/>
        <v/>
      </c>
      <c r="AP643" s="1247" t="str">
        <f t="shared" si="23"/>
        <v/>
      </c>
      <c r="AQ643" s="1247" t="str">
        <f t="shared" si="24"/>
        <v/>
      </c>
      <c r="AR643" s="1247" t="str">
        <f t="shared" si="25"/>
        <v/>
      </c>
      <c r="AS643" s="1247" t="str">
        <f t="shared" si="26"/>
        <v/>
      </c>
      <c r="AT643" s="1247" t="str">
        <f t="shared" si="27"/>
        <v/>
      </c>
      <c r="AU643" s="1247" t="str">
        <f t="shared" si="28"/>
        <v/>
      </c>
      <c r="AV643" s="1247" t="str">
        <f t="shared" si="29"/>
        <v/>
      </c>
      <c r="AW643" s="1247" t="str">
        <f t="shared" si="30"/>
        <v/>
      </c>
      <c r="AX643" s="1247" t="str">
        <f t="shared" si="31"/>
        <v/>
      </c>
      <c r="AY643" s="1247" t="str">
        <f t="shared" si="32"/>
        <v/>
      </c>
      <c r="AZ643" s="1247" t="str">
        <f t="shared" si="33"/>
        <v/>
      </c>
      <c r="BA643" s="1247" t="str">
        <f t="shared" si="34"/>
        <v/>
      </c>
      <c r="BB643" s="1247" t="str">
        <f t="shared" si="35"/>
        <v/>
      </c>
      <c r="BC643" s="1247" t="str">
        <f t="shared" si="36"/>
        <v/>
      </c>
      <c r="BD643" s="1247" t="str">
        <f t="shared" si="37"/>
        <v/>
      </c>
      <c r="BE643" s="1247" t="str">
        <f t="shared" si="38"/>
        <v/>
      </c>
      <c r="BF643" s="1247" t="str">
        <f t="shared" si="39"/>
        <v/>
      </c>
      <c r="BG643" s="1247" t="str">
        <f t="shared" si="40"/>
        <v/>
      </c>
      <c r="BH643" s="1247" t="str">
        <f t="shared" si="41"/>
        <v/>
      </c>
      <c r="BI643" s="1247" t="str">
        <f t="shared" si="42"/>
        <v/>
      </c>
      <c r="BJ643" s="1247" t="str">
        <f t="shared" si="43"/>
        <v/>
      </c>
      <c r="BK643" s="1247" t="str">
        <f t="shared" si="44"/>
        <v/>
      </c>
      <c r="BL643" s="1247" t="str">
        <f t="shared" si="45"/>
        <v/>
      </c>
      <c r="BM643" s="1247" t="str">
        <f t="shared" si="46"/>
        <v/>
      </c>
      <c r="BN643" s="1247" t="str">
        <f t="shared" si="47"/>
        <v/>
      </c>
      <c r="BO643" s="1247" t="str">
        <f t="shared" si="48"/>
        <v/>
      </c>
      <c r="BP643" s="1247" t="str">
        <f t="shared" si="49"/>
        <v/>
      </c>
      <c r="BQ643" s="1247" t="str">
        <f t="shared" si="50"/>
        <v/>
      </c>
      <c r="BR643" s="1247" t="str">
        <f t="shared" si="51"/>
        <v/>
      </c>
      <c r="BS643" s="1247" t="str">
        <f t="shared" si="52"/>
        <v/>
      </c>
      <c r="BT643" s="1247" t="str">
        <f t="shared" si="53"/>
        <v/>
      </c>
      <c r="BU643" s="1247" t="str">
        <f t="shared" si="54"/>
        <v/>
      </c>
      <c r="BV643" s="1247" t="str">
        <f t="shared" si="55"/>
        <v/>
      </c>
      <c r="BW643" s="1247" t="str">
        <f t="shared" si="56"/>
        <v/>
      </c>
      <c r="BX643" s="1247" t="str">
        <f t="shared" si="57"/>
        <v/>
      </c>
      <c r="BY643" s="1247" t="str">
        <f t="shared" si="58"/>
        <v/>
      </c>
      <c r="BZ643" s="1247" t="str">
        <f t="shared" si="59"/>
        <v/>
      </c>
      <c r="CA643" s="1247" t="str">
        <f t="shared" si="60"/>
        <v/>
      </c>
      <c r="CB643" s="1247" t="str">
        <f t="shared" si="61"/>
        <v/>
      </c>
      <c r="CC643" s="1247" t="str">
        <f t="shared" si="62"/>
        <v/>
      </c>
      <c r="CD643" s="1247" t="str">
        <f t="shared" si="63"/>
        <v/>
      </c>
      <c r="CE643" s="1247" t="str">
        <f t="shared" si="64"/>
        <v/>
      </c>
      <c r="CF643" s="1247" t="str">
        <f t="shared" si="65"/>
        <v/>
      </c>
      <c r="CG643" s="1247" t="str">
        <f t="shared" si="66"/>
        <v/>
      </c>
      <c r="CH643" s="1247" t="str">
        <f t="shared" si="67"/>
        <v/>
      </c>
      <c r="CI643" s="1247" t="str">
        <f t="shared" si="68"/>
        <v/>
      </c>
      <c r="CJ643" s="1247" t="str">
        <f t="shared" si="69"/>
        <v/>
      </c>
      <c r="CK643" s="1247" t="str">
        <f t="shared" si="70"/>
        <v/>
      </c>
      <c r="CL643" s="1247" t="str">
        <f t="shared" si="71"/>
        <v/>
      </c>
      <c r="CM643" s="1247" t="str">
        <f t="shared" si="72"/>
        <v/>
      </c>
      <c r="CN643" s="1247" t="str">
        <f t="shared" si="73"/>
        <v/>
      </c>
      <c r="CO643" s="1247" t="str">
        <f t="shared" si="74"/>
        <v/>
      </c>
      <c r="CP643" s="1247" t="str">
        <f t="shared" si="75"/>
        <v/>
      </c>
      <c r="CQ643" s="1247" t="str">
        <f t="shared" si="76"/>
        <v/>
      </c>
      <c r="CR643" s="1247" t="str">
        <f t="shared" si="77"/>
        <v/>
      </c>
      <c r="CS643" s="1247" t="str">
        <f t="shared" si="78"/>
        <v/>
      </c>
      <c r="CT643" s="1247" t="str">
        <f t="shared" si="79"/>
        <v/>
      </c>
      <c r="CU643" s="1247" t="str">
        <f t="shared" si="80"/>
        <v/>
      </c>
      <c r="CV643" s="1247" t="str">
        <f t="shared" si="81"/>
        <v/>
      </c>
      <c r="CW643" s="1247" t="str">
        <f t="shared" si="82"/>
        <v/>
      </c>
      <c r="CX643" s="1247" t="str">
        <f t="shared" si="83"/>
        <v/>
      </c>
      <c r="CY643" s="1247" t="str">
        <f t="shared" si="84"/>
        <v/>
      </c>
      <c r="CZ643" s="1247" t="str">
        <f t="shared" si="85"/>
        <v/>
      </c>
      <c r="DA643" s="1247" t="str">
        <f t="shared" si="86"/>
        <v/>
      </c>
      <c r="DB643" s="1247" t="str">
        <f t="shared" si="87"/>
        <v/>
      </c>
      <c r="DC643" s="1247" t="str">
        <f t="shared" si="88"/>
        <v/>
      </c>
      <c r="DD643" s="1247" t="str">
        <f t="shared" si="89"/>
        <v/>
      </c>
      <c r="DE643" s="1247" t="str">
        <f t="shared" si="90"/>
        <v/>
      </c>
      <c r="DF643" s="1247" t="str">
        <f t="shared" si="91"/>
        <v/>
      </c>
      <c r="DG643" s="1247" t="str">
        <f t="shared" si="92"/>
        <v/>
      </c>
      <c r="DH643" s="1247" t="str">
        <f t="shared" si="93"/>
        <v/>
      </c>
      <c r="DI643" s="1247" t="str">
        <f t="shared" si="94"/>
        <v/>
      </c>
      <c r="DJ643" s="1247" t="str">
        <f t="shared" si="95"/>
        <v/>
      </c>
      <c r="DK643" s="1247" t="str">
        <f t="shared" si="96"/>
        <v/>
      </c>
      <c r="DL643" s="1247" t="str">
        <f t="shared" si="97"/>
        <v/>
      </c>
      <c r="DM643" s="1247" t="str">
        <f t="shared" si="98"/>
        <v/>
      </c>
      <c r="DN643" s="1247" t="str">
        <f t="shared" si="99"/>
        <v/>
      </c>
      <c r="DO643" s="1247" t="str">
        <f t="shared" si="100"/>
        <v/>
      </c>
      <c r="DP643" s="1247" t="str">
        <f t="shared" si="101"/>
        <v/>
      </c>
      <c r="DQ643" s="1247" t="str">
        <f t="shared" si="102"/>
        <v/>
      </c>
      <c r="DR643" s="1247" t="str">
        <f t="shared" si="103"/>
        <v/>
      </c>
      <c r="DS643" s="1247" t="str">
        <f t="shared" si="104"/>
        <v/>
      </c>
      <c r="DT643" s="1247" t="str">
        <f t="shared" si="105"/>
        <v/>
      </c>
      <c r="DU643" s="1247" t="str">
        <f t="shared" si="106"/>
        <v/>
      </c>
      <c r="DV643" s="1247" t="str">
        <f t="shared" si="107"/>
        <v/>
      </c>
      <c r="DW643" s="1247" t="str">
        <f t="shared" si="108"/>
        <v/>
      </c>
      <c r="DX643" s="1247" t="str">
        <f t="shared" si="109"/>
        <v/>
      </c>
      <c r="DY643" s="1247" t="str">
        <f t="shared" si="110"/>
        <v/>
      </c>
      <c r="DZ643" s="1247" t="str">
        <f t="shared" si="111"/>
        <v/>
      </c>
      <c r="EA643" s="1247" t="str">
        <f t="shared" si="112"/>
        <v/>
      </c>
      <c r="EB643" s="1247" t="str">
        <f t="shared" si="113"/>
        <v/>
      </c>
      <c r="EC643" s="1247" t="str">
        <f t="shared" si="114"/>
        <v/>
      </c>
      <c r="ED643" s="1247" t="str">
        <f t="shared" si="115"/>
        <v/>
      </c>
      <c r="EE643" s="1247" t="str">
        <f t="shared" si="116"/>
        <v/>
      </c>
      <c r="EF643" s="1247" t="str">
        <f t="shared" si="117"/>
        <v/>
      </c>
      <c r="EG643" s="1247" t="str">
        <f t="shared" si="118"/>
        <v/>
      </c>
      <c r="EH643" s="1247" t="str">
        <f t="shared" si="119"/>
        <v/>
      </c>
      <c r="EI643" s="1247" t="str">
        <f t="shared" si="120"/>
        <v/>
      </c>
      <c r="EJ643" s="1247" t="str">
        <f t="shared" si="121"/>
        <v/>
      </c>
      <c r="EK643" s="1247" t="str">
        <f t="shared" si="122"/>
        <v/>
      </c>
      <c r="EL643" s="1247" t="str">
        <f t="shared" si="123"/>
        <v/>
      </c>
      <c r="EM643" s="1247" t="str">
        <f t="shared" si="124"/>
        <v/>
      </c>
      <c r="EN643" s="1247" t="str">
        <f t="shared" si="125"/>
        <v/>
      </c>
      <c r="EO643" s="1247" t="str">
        <f t="shared" si="126"/>
        <v/>
      </c>
      <c r="EP643" s="1247" t="str">
        <f t="shared" si="127"/>
        <v/>
      </c>
      <c r="EQ643" s="1247" t="str">
        <f t="shared" si="128"/>
        <v/>
      </c>
      <c r="ER643" s="1247" t="str">
        <f t="shared" si="129"/>
        <v/>
      </c>
      <c r="ES643" s="1247" t="str">
        <f t="shared" si="130"/>
        <v/>
      </c>
      <c r="ET643" s="1247" t="str">
        <f t="shared" si="131"/>
        <v/>
      </c>
      <c r="EU643" s="1247" t="str">
        <f t="shared" si="132"/>
        <v/>
      </c>
      <c r="EV643" s="2909" t="str">
        <f t="shared" si="133"/>
        <v/>
      </c>
      <c r="EW643" s="2909" t="str">
        <f t="shared" si="134"/>
        <v/>
      </c>
      <c r="EX643" s="2909" t="str">
        <f t="shared" si="135"/>
        <v/>
      </c>
      <c r="EY643" s="2909" t="str">
        <f t="shared" si="136"/>
        <v/>
      </c>
      <c r="EZ643" s="2909" t="str">
        <f t="shared" si="137"/>
        <v/>
      </c>
      <c r="FA643" s="2909" t="str">
        <f t="shared" si="138"/>
        <v/>
      </c>
      <c r="FB643" s="2909" t="str">
        <f t="shared" si="139"/>
        <v/>
      </c>
      <c r="FC643" s="2909" t="str">
        <f t="shared" si="140"/>
        <v/>
      </c>
      <c r="FD643" s="2909" t="str">
        <f t="shared" si="141"/>
        <v/>
      </c>
      <c r="FE643" s="2909" t="str">
        <f t="shared" si="142"/>
        <v/>
      </c>
      <c r="FF643" s="2909" t="str">
        <f t="shared" si="143"/>
        <v/>
      </c>
      <c r="FG643" s="2909" t="str">
        <f t="shared" si="144"/>
        <v/>
      </c>
      <c r="FH643" s="2909" t="str">
        <f t="shared" si="145"/>
        <v/>
      </c>
      <c r="FI643" s="2909" t="str">
        <f t="shared" si="146"/>
        <v/>
      </c>
      <c r="FJ643" s="2909" t="str">
        <f t="shared" si="147"/>
        <v/>
      </c>
      <c r="FK643" s="2909" t="str">
        <f t="shared" si="148"/>
        <v/>
      </c>
      <c r="FL643" s="2909" t="str">
        <f t="shared" si="149"/>
        <v/>
      </c>
      <c r="FM643" s="2909" t="str">
        <f t="shared" si="150"/>
        <v/>
      </c>
      <c r="FN643" s="2909" t="str">
        <f t="shared" si="151"/>
        <v/>
      </c>
      <c r="FO643" s="2909" t="str">
        <f t="shared" si="152"/>
        <v/>
      </c>
      <c r="FP643" s="2909" t="str">
        <f t="shared" si="153"/>
        <v/>
      </c>
      <c r="FQ643" s="2909" t="str">
        <f t="shared" si="154"/>
        <v/>
      </c>
      <c r="FR643" s="2909" t="str">
        <f t="shared" si="155"/>
        <v/>
      </c>
      <c r="FS643" s="2909" t="str">
        <f t="shared" si="156"/>
        <v/>
      </c>
      <c r="FT643" s="2909" t="str">
        <f t="shared" si="157"/>
        <v/>
      </c>
      <c r="FU643" s="2909" t="str">
        <f t="shared" si="158"/>
        <v/>
      </c>
      <c r="FV643" s="2909" t="str">
        <f t="shared" si="159"/>
        <v/>
      </c>
      <c r="FW643" s="2909" t="str">
        <f t="shared" si="160"/>
        <v/>
      </c>
      <c r="FX643" s="2909" t="str">
        <f t="shared" si="161"/>
        <v/>
      </c>
      <c r="FY643" s="2909" t="str">
        <f t="shared" si="162"/>
        <v/>
      </c>
      <c r="FZ643" s="2909" t="str">
        <f t="shared" si="163"/>
        <v/>
      </c>
      <c r="GA643" s="2909" t="str">
        <f t="shared" si="164"/>
        <v/>
      </c>
      <c r="GB643" s="2909" t="str">
        <f t="shared" si="165"/>
        <v/>
      </c>
      <c r="GC643" s="2909" t="str">
        <f t="shared" si="166"/>
        <v/>
      </c>
      <c r="GD643" s="2909" t="str">
        <f t="shared" si="167"/>
        <v/>
      </c>
      <c r="GE643" s="2909" t="str">
        <f t="shared" si="168"/>
        <v/>
      </c>
      <c r="GF643" s="2909" t="str">
        <f t="shared" si="169"/>
        <v/>
      </c>
      <c r="GG643" s="2909" t="str">
        <f t="shared" si="170"/>
        <v/>
      </c>
      <c r="GH643" s="2909" t="str">
        <f t="shared" si="171"/>
        <v/>
      </c>
      <c r="GI643" s="2909" t="str">
        <f t="shared" si="172"/>
        <v/>
      </c>
      <c r="GJ643" s="2909" t="str">
        <f t="shared" si="173"/>
        <v/>
      </c>
      <c r="GK643" s="2909" t="str">
        <f t="shared" si="174"/>
        <v/>
      </c>
      <c r="GL643" s="2909" t="str">
        <f t="shared" si="175"/>
        <v/>
      </c>
      <c r="GM643" s="2909" t="str">
        <f t="shared" si="176"/>
        <v/>
      </c>
      <c r="GN643" s="2909" t="str">
        <f t="shared" si="177"/>
        <v/>
      </c>
      <c r="GO643" s="2909" t="str">
        <f t="shared" si="178"/>
        <v/>
      </c>
      <c r="GP643" s="2909" t="str">
        <f t="shared" si="179"/>
        <v/>
      </c>
      <c r="GQ643" s="2909" t="str">
        <f t="shared" si="180"/>
        <v/>
      </c>
      <c r="GR643" s="2909" t="str">
        <f t="shared" si="181"/>
        <v/>
      </c>
      <c r="GS643" s="2909" t="str">
        <f t="shared" si="182"/>
        <v/>
      </c>
      <c r="GT643" s="2909" t="str">
        <f t="shared" si="183"/>
        <v/>
      </c>
      <c r="GU643" s="2909" t="str">
        <f t="shared" si="184"/>
        <v/>
      </c>
      <c r="GV643" s="2909" t="str">
        <f t="shared" si="185"/>
        <v/>
      </c>
      <c r="GW643" s="2909" t="str">
        <f t="shared" si="186"/>
        <v/>
      </c>
      <c r="GX643" s="2909" t="str">
        <f t="shared" si="187"/>
        <v/>
      </c>
      <c r="GY643" s="2909" t="str">
        <f t="shared" si="188"/>
        <v/>
      </c>
      <c r="GZ643" s="2909" t="str">
        <f t="shared" si="189"/>
        <v/>
      </c>
      <c r="HA643" s="2909" t="str">
        <f t="shared" si="190"/>
        <v/>
      </c>
      <c r="HB643" s="2909" t="str">
        <f t="shared" si="191"/>
        <v/>
      </c>
      <c r="HC643" s="2909" t="str">
        <f t="shared" si="192"/>
        <v/>
      </c>
      <c r="HD643" s="2909" t="str">
        <f t="shared" si="193"/>
        <v/>
      </c>
      <c r="HE643" s="2909" t="str">
        <f t="shared" si="194"/>
        <v/>
      </c>
      <c r="HF643" s="2909" t="str">
        <f t="shared" si="195"/>
        <v/>
      </c>
      <c r="HG643" s="2909" t="str">
        <f t="shared" si="196"/>
        <v/>
      </c>
      <c r="HH643" s="2909" t="str">
        <f t="shared" si="197"/>
        <v/>
      </c>
      <c r="HI643" s="2909" t="str">
        <f t="shared" si="198"/>
        <v/>
      </c>
      <c r="HJ643" s="2909" t="str">
        <f t="shared" si="199"/>
        <v/>
      </c>
      <c r="HK643" s="2909" t="str">
        <f t="shared" si="200"/>
        <v/>
      </c>
      <c r="HL643" s="2909" t="str">
        <f t="shared" si="201"/>
        <v/>
      </c>
      <c r="HM643" s="2909" t="str">
        <f t="shared" si="202"/>
        <v/>
      </c>
      <c r="HN643" s="2909" t="str">
        <f t="shared" si="203"/>
        <v/>
      </c>
      <c r="HO643" s="2909" t="str">
        <f t="shared" si="204"/>
        <v/>
      </c>
      <c r="HP643" s="2909" t="str">
        <f t="shared" si="205"/>
        <v/>
      </c>
      <c r="HQ643" s="2909" t="str">
        <f t="shared" si="206"/>
        <v/>
      </c>
      <c r="HR643" s="2909" t="str">
        <f t="shared" si="207"/>
        <v/>
      </c>
      <c r="HS643" s="2909" t="str">
        <f t="shared" si="208"/>
        <v/>
      </c>
      <c r="HT643" s="2909" t="str">
        <f t="shared" si="209"/>
        <v/>
      </c>
      <c r="HU643" s="2909" t="str">
        <f t="shared" si="210"/>
        <v/>
      </c>
      <c r="HV643" s="2909" t="str">
        <f t="shared" si="211"/>
        <v/>
      </c>
      <c r="HW643" s="2909" t="str">
        <f t="shared" si="212"/>
        <v/>
      </c>
      <c r="HX643" s="2909" t="str">
        <f t="shared" si="213"/>
        <v/>
      </c>
      <c r="HY643" s="2909" t="str">
        <f t="shared" si="214"/>
        <v/>
      </c>
      <c r="HZ643" s="2909" t="str">
        <f t="shared" si="215"/>
        <v/>
      </c>
      <c r="IA643" s="2909" t="str">
        <f t="shared" si="216"/>
        <v/>
      </c>
      <c r="IB643" s="2909" t="str">
        <f t="shared" si="217"/>
        <v/>
      </c>
      <c r="IC643" s="2879" t="str">
        <f t="shared" si="218"/>
        <v/>
      </c>
      <c r="ID643" s="2879" t="str">
        <f t="shared" si="219"/>
        <v/>
      </c>
      <c r="IE643" s="2879" t="str">
        <f t="shared" si="220"/>
        <v/>
      </c>
      <c r="IF643" s="2879" t="str">
        <f t="shared" si="221"/>
        <v/>
      </c>
      <c r="IG643" s="2879" t="str">
        <f t="shared" si="222"/>
        <v/>
      </c>
      <c r="IH643" s="1247" t="str">
        <f t="shared" si="223"/>
        <v/>
      </c>
      <c r="II643" s="1247" t="str">
        <f t="shared" si="224"/>
        <v/>
      </c>
      <c r="IJ643" s="1247" t="str">
        <f t="shared" si="225"/>
        <v/>
      </c>
      <c r="IK643" s="1247" t="str">
        <f t="shared" si="226"/>
        <v/>
      </c>
      <c r="IL643" s="1247" t="str">
        <f t="shared" si="227"/>
        <v/>
      </c>
      <c r="IM643" s="1247" t="str">
        <f t="shared" si="228"/>
        <v/>
      </c>
      <c r="IN643" s="1247" t="str">
        <f t="shared" si="229"/>
        <v/>
      </c>
      <c r="IO643" s="1247" t="str">
        <f t="shared" si="230"/>
        <v/>
      </c>
      <c r="IP643" s="1247" t="str">
        <f t="shared" si="231"/>
        <v/>
      </c>
      <c r="IQ643" s="1247" t="str">
        <f t="shared" si="232"/>
        <v/>
      </c>
      <c r="IR643" s="1247" t="str">
        <f t="shared" si="233"/>
        <v/>
      </c>
      <c r="IS643" s="1247" t="str">
        <f t="shared" si="234"/>
        <v/>
      </c>
      <c r="IT643" s="1247" t="str">
        <f t="shared" si="235"/>
        <v/>
      </c>
      <c r="IU643" s="1247" t="str">
        <f t="shared" si="236"/>
        <v/>
      </c>
      <c r="IV643" s="1247" t="str">
        <f t="shared" si="237"/>
        <v/>
      </c>
      <c r="IW643" s="1247" t="str">
        <f t="shared" si="238"/>
        <v/>
      </c>
      <c r="IX643" s="1247" t="str">
        <f t="shared" si="239"/>
        <v/>
      </c>
      <c r="IY643" s="1247" t="str">
        <f t="shared" si="240"/>
        <v/>
      </c>
      <c r="IZ643" s="1247" t="str">
        <f t="shared" si="241"/>
        <v/>
      </c>
      <c r="JA643" s="1247" t="str">
        <f t="shared" si="242"/>
        <v/>
      </c>
      <c r="JB643" s="2877">
        <f t="shared" si="243"/>
        <v>0</v>
      </c>
      <c r="JC643" s="2877">
        <f t="shared" si="244"/>
        <v>0</v>
      </c>
      <c r="JD643" s="2877">
        <f t="shared" si="245"/>
        <v>0</v>
      </c>
      <c r="JE643" s="2877">
        <f t="shared" si="246"/>
        <v>0</v>
      </c>
      <c r="JF643" s="2877">
        <f t="shared" si="247"/>
        <v>0</v>
      </c>
      <c r="JG643" s="2877">
        <f t="shared" si="248"/>
        <v>0</v>
      </c>
      <c r="JH643" s="2877">
        <f t="shared" si="249"/>
        <v>0</v>
      </c>
      <c r="JI643" s="2877">
        <f t="shared" si="250"/>
        <v>0</v>
      </c>
      <c r="JJ643" s="2877">
        <f t="shared" si="251"/>
        <v>0</v>
      </c>
      <c r="JK643" s="2877">
        <f t="shared" si="252"/>
        <v>0</v>
      </c>
      <c r="JL643" s="2877">
        <f t="shared" si="253"/>
        <v>0</v>
      </c>
      <c r="JM643" s="2877">
        <f t="shared" si="254"/>
        <v>0</v>
      </c>
      <c r="JN643" s="2877">
        <f t="shared" si="255"/>
        <v>0</v>
      </c>
      <c r="JO643" s="2877">
        <f t="shared" si="256"/>
        <v>0</v>
      </c>
      <c r="JP643" s="2877">
        <f t="shared" si="257"/>
        <v>0</v>
      </c>
    </row>
    <row r="644" spans="1:276" ht="12" customHeight="1">
      <c r="A644" s="2891" t="str">
        <f t="shared" si="0"/>
        <v/>
      </c>
      <c r="B644" s="2900" t="str">
        <f>'Part VI-Revenues &amp; Expenses'!B24</f>
        <v>&lt;&lt;Select&gt;&gt;</v>
      </c>
      <c r="C644" s="2901">
        <f>'Part VI-Revenues &amp; Expenses'!C24</f>
        <v>0</v>
      </c>
      <c r="D644" s="2902">
        <f>'Part VI-Revenues &amp; Expenses'!D24</f>
        <v>0</v>
      </c>
      <c r="E644" s="2903">
        <f>'Part VI-Revenues &amp; Expenses'!E24</f>
        <v>0</v>
      </c>
      <c r="F644" s="2903">
        <f>'Part VI-Revenues &amp; Expenses'!F24</f>
        <v>0</v>
      </c>
      <c r="G644" s="2903">
        <f>'Part VI-Revenues &amp; Expenses'!G24</f>
        <v>0</v>
      </c>
      <c r="H644" s="2903">
        <f>'Part VI-Revenues &amp; Expenses'!H24</f>
        <v>0</v>
      </c>
      <c r="I644" s="2903">
        <f>'Part VI-Revenues &amp; Expenses'!I24</f>
        <v>0</v>
      </c>
      <c r="J644" s="2904">
        <f>'Part VI-Revenues &amp; Expenses'!J24</f>
        <v>0</v>
      </c>
      <c r="K644" s="2905">
        <f t="shared" si="1"/>
        <v>0</v>
      </c>
      <c r="L644" s="2905">
        <f t="shared" si="2"/>
        <v>0</v>
      </c>
      <c r="M644" s="2886">
        <f>'Part VI-Revenues &amp; Expenses'!M24</f>
        <v>0</v>
      </c>
      <c r="N644" s="2886">
        <f>'Part VI-Revenues &amp; Expenses'!N24</f>
        <v>0</v>
      </c>
      <c r="O644" s="2886">
        <f>'Part VI-Revenues &amp; Expenses'!O24</f>
        <v>0</v>
      </c>
      <c r="P644" s="2886">
        <f>'Part VI-Revenues &amp; Expenses'!P24</f>
        <v>0</v>
      </c>
      <c r="Q644" s="2906">
        <f>IF(H644="","",P644/($O$626*VLOOKUP(C644,'DCA Underwriting Assumptions'!$J$118:$K$123,2,FALSE)))</f>
        <v>0</v>
      </c>
      <c r="R644" s="2907"/>
      <c r="S644" s="2906"/>
      <c r="T644" s="2908"/>
      <c r="U644" s="2908"/>
      <c r="V644" s="1247" t="str">
        <f t="shared" si="3"/>
        <v/>
      </c>
      <c r="W644" s="1247" t="str">
        <f t="shared" si="4"/>
        <v/>
      </c>
      <c r="X644" s="1247" t="str">
        <f t="shared" si="5"/>
        <v/>
      </c>
      <c r="Y644" s="1247" t="str">
        <f t="shared" si="6"/>
        <v/>
      </c>
      <c r="Z644" s="1247" t="str">
        <f t="shared" si="7"/>
        <v/>
      </c>
      <c r="AA644" s="1247" t="str">
        <f t="shared" si="8"/>
        <v/>
      </c>
      <c r="AB644" s="1247" t="str">
        <f t="shared" si="9"/>
        <v/>
      </c>
      <c r="AC644" s="1247" t="str">
        <f t="shared" si="10"/>
        <v/>
      </c>
      <c r="AD644" s="1247" t="str">
        <f t="shared" si="11"/>
        <v/>
      </c>
      <c r="AE644" s="1247" t="str">
        <f t="shared" si="12"/>
        <v/>
      </c>
      <c r="AF644" s="1247" t="str">
        <f t="shared" si="13"/>
        <v/>
      </c>
      <c r="AG644" s="1247" t="str">
        <f t="shared" si="14"/>
        <v/>
      </c>
      <c r="AH644" s="1247" t="str">
        <f t="shared" si="15"/>
        <v/>
      </c>
      <c r="AI644" s="1247" t="str">
        <f t="shared" si="16"/>
        <v/>
      </c>
      <c r="AJ644" s="1247" t="str">
        <f t="shared" si="17"/>
        <v/>
      </c>
      <c r="AK644" s="1247" t="str">
        <f t="shared" si="18"/>
        <v/>
      </c>
      <c r="AL644" s="1247" t="str">
        <f t="shared" si="19"/>
        <v/>
      </c>
      <c r="AM644" s="1247" t="str">
        <f t="shared" si="20"/>
        <v/>
      </c>
      <c r="AN644" s="1247" t="str">
        <f t="shared" si="21"/>
        <v/>
      </c>
      <c r="AO644" s="1247" t="str">
        <f t="shared" si="22"/>
        <v/>
      </c>
      <c r="AP644" s="1247" t="str">
        <f t="shared" si="23"/>
        <v/>
      </c>
      <c r="AQ644" s="1247" t="str">
        <f t="shared" si="24"/>
        <v/>
      </c>
      <c r="AR644" s="1247" t="str">
        <f t="shared" si="25"/>
        <v/>
      </c>
      <c r="AS644" s="1247" t="str">
        <f t="shared" si="26"/>
        <v/>
      </c>
      <c r="AT644" s="1247" t="str">
        <f t="shared" si="27"/>
        <v/>
      </c>
      <c r="AU644" s="1247" t="str">
        <f t="shared" si="28"/>
        <v/>
      </c>
      <c r="AV644" s="1247" t="str">
        <f t="shared" si="29"/>
        <v/>
      </c>
      <c r="AW644" s="1247" t="str">
        <f t="shared" si="30"/>
        <v/>
      </c>
      <c r="AX644" s="1247" t="str">
        <f t="shared" si="31"/>
        <v/>
      </c>
      <c r="AY644" s="1247" t="str">
        <f t="shared" si="32"/>
        <v/>
      </c>
      <c r="AZ644" s="1247" t="str">
        <f t="shared" si="33"/>
        <v/>
      </c>
      <c r="BA644" s="1247" t="str">
        <f t="shared" si="34"/>
        <v/>
      </c>
      <c r="BB644" s="1247" t="str">
        <f t="shared" si="35"/>
        <v/>
      </c>
      <c r="BC644" s="1247" t="str">
        <f t="shared" si="36"/>
        <v/>
      </c>
      <c r="BD644" s="1247" t="str">
        <f t="shared" si="37"/>
        <v/>
      </c>
      <c r="BE644" s="1247" t="str">
        <f t="shared" si="38"/>
        <v/>
      </c>
      <c r="BF644" s="1247" t="str">
        <f t="shared" si="39"/>
        <v/>
      </c>
      <c r="BG644" s="1247" t="str">
        <f t="shared" si="40"/>
        <v/>
      </c>
      <c r="BH644" s="1247" t="str">
        <f t="shared" si="41"/>
        <v/>
      </c>
      <c r="BI644" s="1247" t="str">
        <f t="shared" si="42"/>
        <v/>
      </c>
      <c r="BJ644" s="1247" t="str">
        <f t="shared" si="43"/>
        <v/>
      </c>
      <c r="BK644" s="1247" t="str">
        <f t="shared" si="44"/>
        <v/>
      </c>
      <c r="BL644" s="1247" t="str">
        <f t="shared" si="45"/>
        <v/>
      </c>
      <c r="BM644" s="1247" t="str">
        <f t="shared" si="46"/>
        <v/>
      </c>
      <c r="BN644" s="1247" t="str">
        <f t="shared" si="47"/>
        <v/>
      </c>
      <c r="BO644" s="1247" t="str">
        <f t="shared" si="48"/>
        <v/>
      </c>
      <c r="BP644" s="1247" t="str">
        <f t="shared" si="49"/>
        <v/>
      </c>
      <c r="BQ644" s="1247" t="str">
        <f t="shared" si="50"/>
        <v/>
      </c>
      <c r="BR644" s="1247" t="str">
        <f t="shared" si="51"/>
        <v/>
      </c>
      <c r="BS644" s="1247" t="str">
        <f t="shared" si="52"/>
        <v/>
      </c>
      <c r="BT644" s="1247" t="str">
        <f t="shared" si="53"/>
        <v/>
      </c>
      <c r="BU644" s="1247" t="str">
        <f t="shared" si="54"/>
        <v/>
      </c>
      <c r="BV644" s="1247" t="str">
        <f t="shared" si="55"/>
        <v/>
      </c>
      <c r="BW644" s="1247" t="str">
        <f t="shared" si="56"/>
        <v/>
      </c>
      <c r="BX644" s="1247" t="str">
        <f t="shared" si="57"/>
        <v/>
      </c>
      <c r="BY644" s="1247" t="str">
        <f t="shared" si="58"/>
        <v/>
      </c>
      <c r="BZ644" s="1247" t="str">
        <f t="shared" si="59"/>
        <v/>
      </c>
      <c r="CA644" s="1247" t="str">
        <f t="shared" si="60"/>
        <v/>
      </c>
      <c r="CB644" s="1247" t="str">
        <f t="shared" si="61"/>
        <v/>
      </c>
      <c r="CC644" s="1247" t="str">
        <f t="shared" si="62"/>
        <v/>
      </c>
      <c r="CD644" s="1247" t="str">
        <f t="shared" si="63"/>
        <v/>
      </c>
      <c r="CE644" s="1247" t="str">
        <f t="shared" si="64"/>
        <v/>
      </c>
      <c r="CF644" s="1247" t="str">
        <f t="shared" si="65"/>
        <v/>
      </c>
      <c r="CG644" s="1247" t="str">
        <f t="shared" si="66"/>
        <v/>
      </c>
      <c r="CH644" s="1247" t="str">
        <f t="shared" si="67"/>
        <v/>
      </c>
      <c r="CI644" s="1247" t="str">
        <f t="shared" si="68"/>
        <v/>
      </c>
      <c r="CJ644" s="1247" t="str">
        <f t="shared" si="69"/>
        <v/>
      </c>
      <c r="CK644" s="1247" t="str">
        <f t="shared" si="70"/>
        <v/>
      </c>
      <c r="CL644" s="1247" t="str">
        <f t="shared" si="71"/>
        <v/>
      </c>
      <c r="CM644" s="1247" t="str">
        <f t="shared" si="72"/>
        <v/>
      </c>
      <c r="CN644" s="1247" t="str">
        <f t="shared" si="73"/>
        <v/>
      </c>
      <c r="CO644" s="1247" t="str">
        <f t="shared" si="74"/>
        <v/>
      </c>
      <c r="CP644" s="1247" t="str">
        <f t="shared" si="75"/>
        <v/>
      </c>
      <c r="CQ644" s="1247" t="str">
        <f t="shared" si="76"/>
        <v/>
      </c>
      <c r="CR644" s="1247" t="str">
        <f t="shared" si="77"/>
        <v/>
      </c>
      <c r="CS644" s="1247" t="str">
        <f t="shared" si="78"/>
        <v/>
      </c>
      <c r="CT644" s="1247" t="str">
        <f t="shared" si="79"/>
        <v/>
      </c>
      <c r="CU644" s="1247" t="str">
        <f t="shared" si="80"/>
        <v/>
      </c>
      <c r="CV644" s="1247" t="str">
        <f t="shared" si="81"/>
        <v/>
      </c>
      <c r="CW644" s="1247" t="str">
        <f t="shared" si="82"/>
        <v/>
      </c>
      <c r="CX644" s="1247" t="str">
        <f t="shared" si="83"/>
        <v/>
      </c>
      <c r="CY644" s="1247" t="str">
        <f t="shared" si="84"/>
        <v/>
      </c>
      <c r="CZ644" s="1247" t="str">
        <f t="shared" si="85"/>
        <v/>
      </c>
      <c r="DA644" s="1247" t="str">
        <f t="shared" si="86"/>
        <v/>
      </c>
      <c r="DB644" s="1247" t="str">
        <f t="shared" si="87"/>
        <v/>
      </c>
      <c r="DC644" s="1247" t="str">
        <f t="shared" si="88"/>
        <v/>
      </c>
      <c r="DD644" s="1247" t="str">
        <f t="shared" si="89"/>
        <v/>
      </c>
      <c r="DE644" s="1247" t="str">
        <f t="shared" si="90"/>
        <v/>
      </c>
      <c r="DF644" s="1247" t="str">
        <f t="shared" si="91"/>
        <v/>
      </c>
      <c r="DG644" s="1247" t="str">
        <f t="shared" si="92"/>
        <v/>
      </c>
      <c r="DH644" s="1247" t="str">
        <f t="shared" si="93"/>
        <v/>
      </c>
      <c r="DI644" s="1247" t="str">
        <f t="shared" si="94"/>
        <v/>
      </c>
      <c r="DJ644" s="1247" t="str">
        <f t="shared" si="95"/>
        <v/>
      </c>
      <c r="DK644" s="1247" t="str">
        <f t="shared" si="96"/>
        <v/>
      </c>
      <c r="DL644" s="1247" t="str">
        <f t="shared" si="97"/>
        <v/>
      </c>
      <c r="DM644" s="1247" t="str">
        <f t="shared" si="98"/>
        <v/>
      </c>
      <c r="DN644" s="1247" t="str">
        <f t="shared" si="99"/>
        <v/>
      </c>
      <c r="DO644" s="1247" t="str">
        <f t="shared" si="100"/>
        <v/>
      </c>
      <c r="DP644" s="1247" t="str">
        <f t="shared" si="101"/>
        <v/>
      </c>
      <c r="DQ644" s="1247" t="str">
        <f t="shared" si="102"/>
        <v/>
      </c>
      <c r="DR644" s="1247" t="str">
        <f t="shared" si="103"/>
        <v/>
      </c>
      <c r="DS644" s="1247" t="str">
        <f t="shared" si="104"/>
        <v/>
      </c>
      <c r="DT644" s="1247" t="str">
        <f t="shared" si="105"/>
        <v/>
      </c>
      <c r="DU644" s="1247" t="str">
        <f t="shared" si="106"/>
        <v/>
      </c>
      <c r="DV644" s="1247" t="str">
        <f t="shared" si="107"/>
        <v/>
      </c>
      <c r="DW644" s="1247" t="str">
        <f t="shared" si="108"/>
        <v/>
      </c>
      <c r="DX644" s="1247" t="str">
        <f t="shared" si="109"/>
        <v/>
      </c>
      <c r="DY644" s="1247" t="str">
        <f t="shared" si="110"/>
        <v/>
      </c>
      <c r="DZ644" s="1247" t="str">
        <f t="shared" si="111"/>
        <v/>
      </c>
      <c r="EA644" s="1247" t="str">
        <f t="shared" si="112"/>
        <v/>
      </c>
      <c r="EB644" s="1247" t="str">
        <f t="shared" si="113"/>
        <v/>
      </c>
      <c r="EC644" s="1247" t="str">
        <f t="shared" si="114"/>
        <v/>
      </c>
      <c r="ED644" s="1247" t="str">
        <f t="shared" si="115"/>
        <v/>
      </c>
      <c r="EE644" s="1247" t="str">
        <f t="shared" si="116"/>
        <v/>
      </c>
      <c r="EF644" s="1247" t="str">
        <f t="shared" si="117"/>
        <v/>
      </c>
      <c r="EG644" s="1247" t="str">
        <f t="shared" si="118"/>
        <v/>
      </c>
      <c r="EH644" s="1247" t="str">
        <f t="shared" si="119"/>
        <v/>
      </c>
      <c r="EI644" s="1247" t="str">
        <f t="shared" si="120"/>
        <v/>
      </c>
      <c r="EJ644" s="1247" t="str">
        <f t="shared" si="121"/>
        <v/>
      </c>
      <c r="EK644" s="1247" t="str">
        <f t="shared" si="122"/>
        <v/>
      </c>
      <c r="EL644" s="1247" t="str">
        <f t="shared" si="123"/>
        <v/>
      </c>
      <c r="EM644" s="1247" t="str">
        <f t="shared" si="124"/>
        <v/>
      </c>
      <c r="EN644" s="1247" t="str">
        <f t="shared" si="125"/>
        <v/>
      </c>
      <c r="EO644" s="1247" t="str">
        <f t="shared" si="126"/>
        <v/>
      </c>
      <c r="EP644" s="1247" t="str">
        <f t="shared" si="127"/>
        <v/>
      </c>
      <c r="EQ644" s="1247" t="str">
        <f t="shared" si="128"/>
        <v/>
      </c>
      <c r="ER644" s="1247" t="str">
        <f t="shared" si="129"/>
        <v/>
      </c>
      <c r="ES644" s="1247" t="str">
        <f t="shared" si="130"/>
        <v/>
      </c>
      <c r="ET644" s="1247" t="str">
        <f t="shared" si="131"/>
        <v/>
      </c>
      <c r="EU644" s="1247" t="str">
        <f t="shared" si="132"/>
        <v/>
      </c>
      <c r="EV644" s="2909" t="str">
        <f t="shared" si="133"/>
        <v/>
      </c>
      <c r="EW644" s="2909" t="str">
        <f t="shared" si="134"/>
        <v/>
      </c>
      <c r="EX644" s="2909" t="str">
        <f t="shared" si="135"/>
        <v/>
      </c>
      <c r="EY644" s="2909" t="str">
        <f t="shared" si="136"/>
        <v/>
      </c>
      <c r="EZ644" s="2909" t="str">
        <f t="shared" si="137"/>
        <v/>
      </c>
      <c r="FA644" s="2909" t="str">
        <f t="shared" si="138"/>
        <v/>
      </c>
      <c r="FB644" s="2909" t="str">
        <f t="shared" si="139"/>
        <v/>
      </c>
      <c r="FC644" s="2909" t="str">
        <f t="shared" si="140"/>
        <v/>
      </c>
      <c r="FD644" s="2909" t="str">
        <f t="shared" si="141"/>
        <v/>
      </c>
      <c r="FE644" s="2909" t="str">
        <f t="shared" si="142"/>
        <v/>
      </c>
      <c r="FF644" s="2909" t="str">
        <f t="shared" si="143"/>
        <v/>
      </c>
      <c r="FG644" s="2909" t="str">
        <f t="shared" si="144"/>
        <v/>
      </c>
      <c r="FH644" s="2909" t="str">
        <f t="shared" si="145"/>
        <v/>
      </c>
      <c r="FI644" s="2909" t="str">
        <f t="shared" si="146"/>
        <v/>
      </c>
      <c r="FJ644" s="2909" t="str">
        <f t="shared" si="147"/>
        <v/>
      </c>
      <c r="FK644" s="2909" t="str">
        <f t="shared" si="148"/>
        <v/>
      </c>
      <c r="FL644" s="2909" t="str">
        <f t="shared" si="149"/>
        <v/>
      </c>
      <c r="FM644" s="2909" t="str">
        <f t="shared" si="150"/>
        <v/>
      </c>
      <c r="FN644" s="2909" t="str">
        <f t="shared" si="151"/>
        <v/>
      </c>
      <c r="FO644" s="2909" t="str">
        <f t="shared" si="152"/>
        <v/>
      </c>
      <c r="FP644" s="2909" t="str">
        <f t="shared" si="153"/>
        <v/>
      </c>
      <c r="FQ644" s="2909" t="str">
        <f t="shared" si="154"/>
        <v/>
      </c>
      <c r="FR644" s="2909" t="str">
        <f t="shared" si="155"/>
        <v/>
      </c>
      <c r="FS644" s="2909" t="str">
        <f t="shared" si="156"/>
        <v/>
      </c>
      <c r="FT644" s="2909" t="str">
        <f t="shared" si="157"/>
        <v/>
      </c>
      <c r="FU644" s="2909" t="str">
        <f t="shared" si="158"/>
        <v/>
      </c>
      <c r="FV644" s="2909" t="str">
        <f t="shared" si="159"/>
        <v/>
      </c>
      <c r="FW644" s="2909" t="str">
        <f t="shared" si="160"/>
        <v/>
      </c>
      <c r="FX644" s="2909" t="str">
        <f t="shared" si="161"/>
        <v/>
      </c>
      <c r="FY644" s="2909" t="str">
        <f t="shared" si="162"/>
        <v/>
      </c>
      <c r="FZ644" s="2909" t="str">
        <f t="shared" si="163"/>
        <v/>
      </c>
      <c r="GA644" s="2909" t="str">
        <f t="shared" si="164"/>
        <v/>
      </c>
      <c r="GB644" s="2909" t="str">
        <f t="shared" si="165"/>
        <v/>
      </c>
      <c r="GC644" s="2909" t="str">
        <f t="shared" si="166"/>
        <v/>
      </c>
      <c r="GD644" s="2909" t="str">
        <f t="shared" si="167"/>
        <v/>
      </c>
      <c r="GE644" s="2909" t="str">
        <f t="shared" si="168"/>
        <v/>
      </c>
      <c r="GF644" s="2909" t="str">
        <f t="shared" si="169"/>
        <v/>
      </c>
      <c r="GG644" s="2909" t="str">
        <f t="shared" si="170"/>
        <v/>
      </c>
      <c r="GH644" s="2909" t="str">
        <f t="shared" si="171"/>
        <v/>
      </c>
      <c r="GI644" s="2909" t="str">
        <f t="shared" si="172"/>
        <v/>
      </c>
      <c r="GJ644" s="2909" t="str">
        <f t="shared" si="173"/>
        <v/>
      </c>
      <c r="GK644" s="2909" t="str">
        <f t="shared" si="174"/>
        <v/>
      </c>
      <c r="GL644" s="2909" t="str">
        <f t="shared" si="175"/>
        <v/>
      </c>
      <c r="GM644" s="2909" t="str">
        <f t="shared" si="176"/>
        <v/>
      </c>
      <c r="GN644" s="2909" t="str">
        <f t="shared" si="177"/>
        <v/>
      </c>
      <c r="GO644" s="2909" t="str">
        <f t="shared" si="178"/>
        <v/>
      </c>
      <c r="GP644" s="2909" t="str">
        <f t="shared" si="179"/>
        <v/>
      </c>
      <c r="GQ644" s="2909" t="str">
        <f t="shared" si="180"/>
        <v/>
      </c>
      <c r="GR644" s="2909" t="str">
        <f t="shared" si="181"/>
        <v/>
      </c>
      <c r="GS644" s="2909" t="str">
        <f t="shared" si="182"/>
        <v/>
      </c>
      <c r="GT644" s="2909" t="str">
        <f t="shared" si="183"/>
        <v/>
      </c>
      <c r="GU644" s="2909" t="str">
        <f t="shared" si="184"/>
        <v/>
      </c>
      <c r="GV644" s="2909" t="str">
        <f t="shared" si="185"/>
        <v/>
      </c>
      <c r="GW644" s="2909" t="str">
        <f t="shared" si="186"/>
        <v/>
      </c>
      <c r="GX644" s="2909" t="str">
        <f t="shared" si="187"/>
        <v/>
      </c>
      <c r="GY644" s="2909" t="str">
        <f t="shared" si="188"/>
        <v/>
      </c>
      <c r="GZ644" s="2909" t="str">
        <f t="shared" si="189"/>
        <v/>
      </c>
      <c r="HA644" s="2909" t="str">
        <f t="shared" si="190"/>
        <v/>
      </c>
      <c r="HB644" s="2909" t="str">
        <f t="shared" si="191"/>
        <v/>
      </c>
      <c r="HC644" s="2909" t="str">
        <f t="shared" si="192"/>
        <v/>
      </c>
      <c r="HD644" s="2909" t="str">
        <f t="shared" si="193"/>
        <v/>
      </c>
      <c r="HE644" s="2909" t="str">
        <f t="shared" si="194"/>
        <v/>
      </c>
      <c r="HF644" s="2909" t="str">
        <f t="shared" si="195"/>
        <v/>
      </c>
      <c r="HG644" s="2909" t="str">
        <f t="shared" si="196"/>
        <v/>
      </c>
      <c r="HH644" s="2909" t="str">
        <f t="shared" si="197"/>
        <v/>
      </c>
      <c r="HI644" s="2909" t="str">
        <f t="shared" si="198"/>
        <v/>
      </c>
      <c r="HJ644" s="2909" t="str">
        <f t="shared" si="199"/>
        <v/>
      </c>
      <c r="HK644" s="2909" t="str">
        <f t="shared" si="200"/>
        <v/>
      </c>
      <c r="HL644" s="2909" t="str">
        <f t="shared" si="201"/>
        <v/>
      </c>
      <c r="HM644" s="2909" t="str">
        <f t="shared" si="202"/>
        <v/>
      </c>
      <c r="HN644" s="2909" t="str">
        <f t="shared" si="203"/>
        <v/>
      </c>
      <c r="HO644" s="2909" t="str">
        <f t="shared" si="204"/>
        <v/>
      </c>
      <c r="HP644" s="2909" t="str">
        <f t="shared" si="205"/>
        <v/>
      </c>
      <c r="HQ644" s="2909" t="str">
        <f t="shared" si="206"/>
        <v/>
      </c>
      <c r="HR644" s="2909" t="str">
        <f t="shared" si="207"/>
        <v/>
      </c>
      <c r="HS644" s="2909" t="str">
        <f t="shared" si="208"/>
        <v/>
      </c>
      <c r="HT644" s="2909" t="str">
        <f t="shared" si="209"/>
        <v/>
      </c>
      <c r="HU644" s="2909" t="str">
        <f t="shared" si="210"/>
        <v/>
      </c>
      <c r="HV644" s="2909" t="str">
        <f t="shared" si="211"/>
        <v/>
      </c>
      <c r="HW644" s="2909" t="str">
        <f t="shared" si="212"/>
        <v/>
      </c>
      <c r="HX644" s="2909" t="str">
        <f t="shared" si="213"/>
        <v/>
      </c>
      <c r="HY644" s="2909" t="str">
        <f t="shared" si="214"/>
        <v/>
      </c>
      <c r="HZ644" s="2909" t="str">
        <f t="shared" si="215"/>
        <v/>
      </c>
      <c r="IA644" s="2909" t="str">
        <f t="shared" si="216"/>
        <v/>
      </c>
      <c r="IB644" s="2909" t="str">
        <f t="shared" si="217"/>
        <v/>
      </c>
      <c r="IC644" s="2879" t="str">
        <f t="shared" si="218"/>
        <v/>
      </c>
      <c r="ID644" s="2879" t="str">
        <f t="shared" si="219"/>
        <v/>
      </c>
      <c r="IE644" s="2879" t="str">
        <f t="shared" si="220"/>
        <v/>
      </c>
      <c r="IF644" s="2879" t="str">
        <f t="shared" si="221"/>
        <v/>
      </c>
      <c r="IG644" s="2879" t="str">
        <f t="shared" si="222"/>
        <v/>
      </c>
      <c r="IH644" s="1247" t="str">
        <f t="shared" si="223"/>
        <v/>
      </c>
      <c r="II644" s="1247" t="str">
        <f t="shared" si="224"/>
        <v/>
      </c>
      <c r="IJ644" s="1247" t="str">
        <f t="shared" si="225"/>
        <v/>
      </c>
      <c r="IK644" s="1247" t="str">
        <f t="shared" si="226"/>
        <v/>
      </c>
      <c r="IL644" s="1247" t="str">
        <f t="shared" si="227"/>
        <v/>
      </c>
      <c r="IM644" s="1247" t="str">
        <f t="shared" si="228"/>
        <v/>
      </c>
      <c r="IN644" s="1247" t="str">
        <f t="shared" si="229"/>
        <v/>
      </c>
      <c r="IO644" s="1247" t="str">
        <f t="shared" si="230"/>
        <v/>
      </c>
      <c r="IP644" s="1247" t="str">
        <f t="shared" si="231"/>
        <v/>
      </c>
      <c r="IQ644" s="1247" t="str">
        <f t="shared" si="232"/>
        <v/>
      </c>
      <c r="IR644" s="1247" t="str">
        <f t="shared" si="233"/>
        <v/>
      </c>
      <c r="IS644" s="1247" t="str">
        <f t="shared" si="234"/>
        <v/>
      </c>
      <c r="IT644" s="1247" t="str">
        <f t="shared" si="235"/>
        <v/>
      </c>
      <c r="IU644" s="1247" t="str">
        <f t="shared" si="236"/>
        <v/>
      </c>
      <c r="IV644" s="1247" t="str">
        <f t="shared" si="237"/>
        <v/>
      </c>
      <c r="IW644" s="1247" t="str">
        <f t="shared" si="238"/>
        <v/>
      </c>
      <c r="IX644" s="1247" t="str">
        <f t="shared" si="239"/>
        <v/>
      </c>
      <c r="IY644" s="1247" t="str">
        <f t="shared" si="240"/>
        <v/>
      </c>
      <c r="IZ644" s="1247" t="str">
        <f t="shared" si="241"/>
        <v/>
      </c>
      <c r="JA644" s="1247" t="str">
        <f t="shared" si="242"/>
        <v/>
      </c>
      <c r="JB644" s="2877">
        <f t="shared" si="243"/>
        <v>0</v>
      </c>
      <c r="JC644" s="2877">
        <f t="shared" si="244"/>
        <v>0</v>
      </c>
      <c r="JD644" s="2877">
        <f t="shared" si="245"/>
        <v>0</v>
      </c>
      <c r="JE644" s="2877">
        <f t="shared" si="246"/>
        <v>0</v>
      </c>
      <c r="JF644" s="2877">
        <f t="shared" si="247"/>
        <v>0</v>
      </c>
      <c r="JG644" s="2877">
        <f t="shared" si="248"/>
        <v>0</v>
      </c>
      <c r="JH644" s="2877">
        <f t="shared" si="249"/>
        <v>0</v>
      </c>
      <c r="JI644" s="2877">
        <f t="shared" si="250"/>
        <v>0</v>
      </c>
      <c r="JJ644" s="2877">
        <f t="shared" si="251"/>
        <v>0</v>
      </c>
      <c r="JK644" s="2877">
        <f t="shared" si="252"/>
        <v>0</v>
      </c>
      <c r="JL644" s="2877">
        <f t="shared" si="253"/>
        <v>0</v>
      </c>
      <c r="JM644" s="2877">
        <f t="shared" si="254"/>
        <v>0</v>
      </c>
      <c r="JN644" s="2877">
        <f t="shared" si="255"/>
        <v>0</v>
      </c>
      <c r="JO644" s="2877">
        <f t="shared" si="256"/>
        <v>0</v>
      </c>
      <c r="JP644" s="2877">
        <f t="shared" si="257"/>
        <v>0</v>
      </c>
    </row>
    <row r="645" spans="1:276" ht="12" customHeight="1">
      <c r="A645" s="2891" t="str">
        <f t="shared" si="0"/>
        <v/>
      </c>
      <c r="B645" s="2900" t="str">
        <f>'Part VI-Revenues &amp; Expenses'!B25</f>
        <v>&lt;&lt;Select&gt;&gt;</v>
      </c>
      <c r="C645" s="2901">
        <f>'Part VI-Revenues &amp; Expenses'!C25</f>
        <v>0</v>
      </c>
      <c r="D645" s="2902">
        <f>'Part VI-Revenues &amp; Expenses'!D25</f>
        <v>0</v>
      </c>
      <c r="E645" s="2903">
        <f>'Part VI-Revenues &amp; Expenses'!E25</f>
        <v>0</v>
      </c>
      <c r="F645" s="2903">
        <f>'Part VI-Revenues &amp; Expenses'!F25</f>
        <v>0</v>
      </c>
      <c r="G645" s="2903">
        <f>'Part VI-Revenues &amp; Expenses'!G25</f>
        <v>0</v>
      </c>
      <c r="H645" s="2903">
        <f>'Part VI-Revenues &amp; Expenses'!H25</f>
        <v>0</v>
      </c>
      <c r="I645" s="2903">
        <f>'Part VI-Revenues &amp; Expenses'!I25</f>
        <v>0</v>
      </c>
      <c r="J645" s="2904">
        <f>'Part VI-Revenues &amp; Expenses'!J25</f>
        <v>0</v>
      </c>
      <c r="K645" s="2905">
        <f t="shared" si="1"/>
        <v>0</v>
      </c>
      <c r="L645" s="2905">
        <f t="shared" si="2"/>
        <v>0</v>
      </c>
      <c r="M645" s="2886">
        <f>'Part VI-Revenues &amp; Expenses'!M25</f>
        <v>0</v>
      </c>
      <c r="N645" s="2886">
        <f>'Part VI-Revenues &amp; Expenses'!N25</f>
        <v>0</v>
      </c>
      <c r="O645" s="2886">
        <f>'Part VI-Revenues &amp; Expenses'!O25</f>
        <v>0</v>
      </c>
      <c r="P645" s="2886">
        <f>'Part VI-Revenues &amp; Expenses'!P25</f>
        <v>0</v>
      </c>
      <c r="Q645" s="2906">
        <f>IF(H645="","",P645/($O$626*VLOOKUP(C645,'DCA Underwriting Assumptions'!$J$118:$K$123,2,FALSE)))</f>
        <v>0</v>
      </c>
      <c r="R645" s="2907"/>
      <c r="S645" s="2906"/>
      <c r="T645" s="2908"/>
      <c r="U645" s="2908"/>
      <c r="V645" s="1247" t="str">
        <f t="shared" si="3"/>
        <v/>
      </c>
      <c r="W645" s="1247" t="str">
        <f t="shared" si="4"/>
        <v/>
      </c>
      <c r="X645" s="1247" t="str">
        <f t="shared" si="5"/>
        <v/>
      </c>
      <c r="Y645" s="1247" t="str">
        <f t="shared" si="6"/>
        <v/>
      </c>
      <c r="Z645" s="1247" t="str">
        <f t="shared" si="7"/>
        <v/>
      </c>
      <c r="AA645" s="1247" t="str">
        <f t="shared" si="8"/>
        <v/>
      </c>
      <c r="AB645" s="1247" t="str">
        <f t="shared" si="9"/>
        <v/>
      </c>
      <c r="AC645" s="1247" t="str">
        <f t="shared" si="10"/>
        <v/>
      </c>
      <c r="AD645" s="1247" t="str">
        <f t="shared" si="11"/>
        <v/>
      </c>
      <c r="AE645" s="1247" t="str">
        <f t="shared" si="12"/>
        <v/>
      </c>
      <c r="AF645" s="1247" t="str">
        <f t="shared" si="13"/>
        <v/>
      </c>
      <c r="AG645" s="1247" t="str">
        <f t="shared" si="14"/>
        <v/>
      </c>
      <c r="AH645" s="1247" t="str">
        <f t="shared" si="15"/>
        <v/>
      </c>
      <c r="AI645" s="1247" t="str">
        <f t="shared" si="16"/>
        <v/>
      </c>
      <c r="AJ645" s="1247" t="str">
        <f t="shared" si="17"/>
        <v/>
      </c>
      <c r="AK645" s="1247" t="str">
        <f t="shared" si="18"/>
        <v/>
      </c>
      <c r="AL645" s="1247" t="str">
        <f t="shared" si="19"/>
        <v/>
      </c>
      <c r="AM645" s="1247" t="str">
        <f t="shared" si="20"/>
        <v/>
      </c>
      <c r="AN645" s="1247" t="str">
        <f t="shared" si="21"/>
        <v/>
      </c>
      <c r="AO645" s="1247" t="str">
        <f t="shared" si="22"/>
        <v/>
      </c>
      <c r="AP645" s="1247" t="str">
        <f t="shared" si="23"/>
        <v/>
      </c>
      <c r="AQ645" s="1247" t="str">
        <f t="shared" si="24"/>
        <v/>
      </c>
      <c r="AR645" s="1247" t="str">
        <f t="shared" si="25"/>
        <v/>
      </c>
      <c r="AS645" s="1247" t="str">
        <f t="shared" si="26"/>
        <v/>
      </c>
      <c r="AT645" s="1247" t="str">
        <f t="shared" si="27"/>
        <v/>
      </c>
      <c r="AU645" s="1247" t="str">
        <f t="shared" si="28"/>
        <v/>
      </c>
      <c r="AV645" s="1247" t="str">
        <f t="shared" si="29"/>
        <v/>
      </c>
      <c r="AW645" s="1247" t="str">
        <f t="shared" si="30"/>
        <v/>
      </c>
      <c r="AX645" s="1247" t="str">
        <f t="shared" si="31"/>
        <v/>
      </c>
      <c r="AY645" s="1247" t="str">
        <f t="shared" si="32"/>
        <v/>
      </c>
      <c r="AZ645" s="1247" t="str">
        <f t="shared" si="33"/>
        <v/>
      </c>
      <c r="BA645" s="1247" t="str">
        <f t="shared" si="34"/>
        <v/>
      </c>
      <c r="BB645" s="1247" t="str">
        <f t="shared" si="35"/>
        <v/>
      </c>
      <c r="BC645" s="1247" t="str">
        <f t="shared" si="36"/>
        <v/>
      </c>
      <c r="BD645" s="1247" t="str">
        <f t="shared" si="37"/>
        <v/>
      </c>
      <c r="BE645" s="1247" t="str">
        <f t="shared" si="38"/>
        <v/>
      </c>
      <c r="BF645" s="1247" t="str">
        <f t="shared" si="39"/>
        <v/>
      </c>
      <c r="BG645" s="1247" t="str">
        <f t="shared" si="40"/>
        <v/>
      </c>
      <c r="BH645" s="1247" t="str">
        <f t="shared" si="41"/>
        <v/>
      </c>
      <c r="BI645" s="1247" t="str">
        <f t="shared" si="42"/>
        <v/>
      </c>
      <c r="BJ645" s="1247" t="str">
        <f t="shared" si="43"/>
        <v/>
      </c>
      <c r="BK645" s="1247" t="str">
        <f t="shared" si="44"/>
        <v/>
      </c>
      <c r="BL645" s="1247" t="str">
        <f t="shared" si="45"/>
        <v/>
      </c>
      <c r="BM645" s="1247" t="str">
        <f t="shared" si="46"/>
        <v/>
      </c>
      <c r="BN645" s="1247" t="str">
        <f t="shared" si="47"/>
        <v/>
      </c>
      <c r="BO645" s="1247" t="str">
        <f t="shared" si="48"/>
        <v/>
      </c>
      <c r="BP645" s="1247" t="str">
        <f t="shared" si="49"/>
        <v/>
      </c>
      <c r="BQ645" s="1247" t="str">
        <f t="shared" si="50"/>
        <v/>
      </c>
      <c r="BR645" s="1247" t="str">
        <f t="shared" si="51"/>
        <v/>
      </c>
      <c r="BS645" s="1247" t="str">
        <f t="shared" si="52"/>
        <v/>
      </c>
      <c r="BT645" s="1247" t="str">
        <f t="shared" si="53"/>
        <v/>
      </c>
      <c r="BU645" s="1247" t="str">
        <f t="shared" si="54"/>
        <v/>
      </c>
      <c r="BV645" s="1247" t="str">
        <f t="shared" si="55"/>
        <v/>
      </c>
      <c r="BW645" s="1247" t="str">
        <f t="shared" si="56"/>
        <v/>
      </c>
      <c r="BX645" s="1247" t="str">
        <f t="shared" si="57"/>
        <v/>
      </c>
      <c r="BY645" s="1247" t="str">
        <f t="shared" si="58"/>
        <v/>
      </c>
      <c r="BZ645" s="1247" t="str">
        <f t="shared" si="59"/>
        <v/>
      </c>
      <c r="CA645" s="1247" t="str">
        <f t="shared" si="60"/>
        <v/>
      </c>
      <c r="CB645" s="1247" t="str">
        <f t="shared" si="61"/>
        <v/>
      </c>
      <c r="CC645" s="1247" t="str">
        <f t="shared" si="62"/>
        <v/>
      </c>
      <c r="CD645" s="1247" t="str">
        <f t="shared" si="63"/>
        <v/>
      </c>
      <c r="CE645" s="1247" t="str">
        <f t="shared" si="64"/>
        <v/>
      </c>
      <c r="CF645" s="1247" t="str">
        <f t="shared" si="65"/>
        <v/>
      </c>
      <c r="CG645" s="1247" t="str">
        <f t="shared" si="66"/>
        <v/>
      </c>
      <c r="CH645" s="1247" t="str">
        <f t="shared" si="67"/>
        <v/>
      </c>
      <c r="CI645" s="1247" t="str">
        <f t="shared" si="68"/>
        <v/>
      </c>
      <c r="CJ645" s="1247" t="str">
        <f t="shared" si="69"/>
        <v/>
      </c>
      <c r="CK645" s="1247" t="str">
        <f t="shared" si="70"/>
        <v/>
      </c>
      <c r="CL645" s="1247" t="str">
        <f t="shared" si="71"/>
        <v/>
      </c>
      <c r="CM645" s="1247" t="str">
        <f t="shared" si="72"/>
        <v/>
      </c>
      <c r="CN645" s="1247" t="str">
        <f t="shared" si="73"/>
        <v/>
      </c>
      <c r="CO645" s="1247" t="str">
        <f t="shared" si="74"/>
        <v/>
      </c>
      <c r="CP645" s="1247" t="str">
        <f t="shared" si="75"/>
        <v/>
      </c>
      <c r="CQ645" s="1247" t="str">
        <f t="shared" si="76"/>
        <v/>
      </c>
      <c r="CR645" s="1247" t="str">
        <f t="shared" si="77"/>
        <v/>
      </c>
      <c r="CS645" s="1247" t="str">
        <f t="shared" si="78"/>
        <v/>
      </c>
      <c r="CT645" s="1247" t="str">
        <f t="shared" si="79"/>
        <v/>
      </c>
      <c r="CU645" s="1247" t="str">
        <f t="shared" si="80"/>
        <v/>
      </c>
      <c r="CV645" s="1247" t="str">
        <f t="shared" si="81"/>
        <v/>
      </c>
      <c r="CW645" s="1247" t="str">
        <f t="shared" si="82"/>
        <v/>
      </c>
      <c r="CX645" s="1247" t="str">
        <f t="shared" si="83"/>
        <v/>
      </c>
      <c r="CY645" s="1247" t="str">
        <f t="shared" si="84"/>
        <v/>
      </c>
      <c r="CZ645" s="1247" t="str">
        <f t="shared" si="85"/>
        <v/>
      </c>
      <c r="DA645" s="1247" t="str">
        <f t="shared" si="86"/>
        <v/>
      </c>
      <c r="DB645" s="1247" t="str">
        <f t="shared" si="87"/>
        <v/>
      </c>
      <c r="DC645" s="1247" t="str">
        <f t="shared" si="88"/>
        <v/>
      </c>
      <c r="DD645" s="1247" t="str">
        <f t="shared" si="89"/>
        <v/>
      </c>
      <c r="DE645" s="1247" t="str">
        <f t="shared" si="90"/>
        <v/>
      </c>
      <c r="DF645" s="1247" t="str">
        <f t="shared" si="91"/>
        <v/>
      </c>
      <c r="DG645" s="1247" t="str">
        <f t="shared" si="92"/>
        <v/>
      </c>
      <c r="DH645" s="1247" t="str">
        <f t="shared" si="93"/>
        <v/>
      </c>
      <c r="DI645" s="1247" t="str">
        <f t="shared" si="94"/>
        <v/>
      </c>
      <c r="DJ645" s="1247" t="str">
        <f t="shared" si="95"/>
        <v/>
      </c>
      <c r="DK645" s="1247" t="str">
        <f t="shared" si="96"/>
        <v/>
      </c>
      <c r="DL645" s="1247" t="str">
        <f t="shared" si="97"/>
        <v/>
      </c>
      <c r="DM645" s="1247" t="str">
        <f t="shared" si="98"/>
        <v/>
      </c>
      <c r="DN645" s="1247" t="str">
        <f t="shared" si="99"/>
        <v/>
      </c>
      <c r="DO645" s="1247" t="str">
        <f t="shared" si="100"/>
        <v/>
      </c>
      <c r="DP645" s="1247" t="str">
        <f t="shared" si="101"/>
        <v/>
      </c>
      <c r="DQ645" s="1247" t="str">
        <f t="shared" si="102"/>
        <v/>
      </c>
      <c r="DR645" s="1247" t="str">
        <f t="shared" si="103"/>
        <v/>
      </c>
      <c r="DS645" s="1247" t="str">
        <f t="shared" si="104"/>
        <v/>
      </c>
      <c r="DT645" s="1247" t="str">
        <f t="shared" si="105"/>
        <v/>
      </c>
      <c r="DU645" s="1247" t="str">
        <f t="shared" si="106"/>
        <v/>
      </c>
      <c r="DV645" s="1247" t="str">
        <f t="shared" si="107"/>
        <v/>
      </c>
      <c r="DW645" s="1247" t="str">
        <f t="shared" si="108"/>
        <v/>
      </c>
      <c r="DX645" s="1247" t="str">
        <f t="shared" si="109"/>
        <v/>
      </c>
      <c r="DY645" s="1247" t="str">
        <f t="shared" si="110"/>
        <v/>
      </c>
      <c r="DZ645" s="1247" t="str">
        <f t="shared" si="111"/>
        <v/>
      </c>
      <c r="EA645" s="1247" t="str">
        <f t="shared" si="112"/>
        <v/>
      </c>
      <c r="EB645" s="1247" t="str">
        <f t="shared" si="113"/>
        <v/>
      </c>
      <c r="EC645" s="1247" t="str">
        <f t="shared" si="114"/>
        <v/>
      </c>
      <c r="ED645" s="1247" t="str">
        <f t="shared" si="115"/>
        <v/>
      </c>
      <c r="EE645" s="1247" t="str">
        <f t="shared" si="116"/>
        <v/>
      </c>
      <c r="EF645" s="1247" t="str">
        <f t="shared" si="117"/>
        <v/>
      </c>
      <c r="EG645" s="1247" t="str">
        <f t="shared" si="118"/>
        <v/>
      </c>
      <c r="EH645" s="1247" t="str">
        <f t="shared" si="119"/>
        <v/>
      </c>
      <c r="EI645" s="1247" t="str">
        <f t="shared" si="120"/>
        <v/>
      </c>
      <c r="EJ645" s="1247" t="str">
        <f t="shared" si="121"/>
        <v/>
      </c>
      <c r="EK645" s="1247" t="str">
        <f t="shared" si="122"/>
        <v/>
      </c>
      <c r="EL645" s="1247" t="str">
        <f t="shared" si="123"/>
        <v/>
      </c>
      <c r="EM645" s="1247" t="str">
        <f t="shared" si="124"/>
        <v/>
      </c>
      <c r="EN645" s="1247" t="str">
        <f t="shared" si="125"/>
        <v/>
      </c>
      <c r="EO645" s="1247" t="str">
        <f t="shared" si="126"/>
        <v/>
      </c>
      <c r="EP645" s="1247" t="str">
        <f t="shared" si="127"/>
        <v/>
      </c>
      <c r="EQ645" s="1247" t="str">
        <f t="shared" si="128"/>
        <v/>
      </c>
      <c r="ER645" s="1247" t="str">
        <f t="shared" si="129"/>
        <v/>
      </c>
      <c r="ES645" s="1247" t="str">
        <f t="shared" si="130"/>
        <v/>
      </c>
      <c r="ET645" s="1247" t="str">
        <f t="shared" si="131"/>
        <v/>
      </c>
      <c r="EU645" s="1247" t="str">
        <f t="shared" si="132"/>
        <v/>
      </c>
      <c r="EV645" s="2909" t="str">
        <f t="shared" si="133"/>
        <v/>
      </c>
      <c r="EW645" s="2909" t="str">
        <f t="shared" si="134"/>
        <v/>
      </c>
      <c r="EX645" s="2909" t="str">
        <f t="shared" si="135"/>
        <v/>
      </c>
      <c r="EY645" s="2909" t="str">
        <f t="shared" si="136"/>
        <v/>
      </c>
      <c r="EZ645" s="2909" t="str">
        <f t="shared" si="137"/>
        <v/>
      </c>
      <c r="FA645" s="2909" t="str">
        <f t="shared" si="138"/>
        <v/>
      </c>
      <c r="FB645" s="2909" t="str">
        <f t="shared" si="139"/>
        <v/>
      </c>
      <c r="FC645" s="2909" t="str">
        <f t="shared" si="140"/>
        <v/>
      </c>
      <c r="FD645" s="2909" t="str">
        <f t="shared" si="141"/>
        <v/>
      </c>
      <c r="FE645" s="2909" t="str">
        <f t="shared" si="142"/>
        <v/>
      </c>
      <c r="FF645" s="2909" t="str">
        <f t="shared" si="143"/>
        <v/>
      </c>
      <c r="FG645" s="2909" t="str">
        <f t="shared" si="144"/>
        <v/>
      </c>
      <c r="FH645" s="2909" t="str">
        <f t="shared" si="145"/>
        <v/>
      </c>
      <c r="FI645" s="2909" t="str">
        <f t="shared" si="146"/>
        <v/>
      </c>
      <c r="FJ645" s="2909" t="str">
        <f t="shared" si="147"/>
        <v/>
      </c>
      <c r="FK645" s="2909" t="str">
        <f t="shared" si="148"/>
        <v/>
      </c>
      <c r="FL645" s="2909" t="str">
        <f t="shared" si="149"/>
        <v/>
      </c>
      <c r="FM645" s="2909" t="str">
        <f t="shared" si="150"/>
        <v/>
      </c>
      <c r="FN645" s="2909" t="str">
        <f t="shared" si="151"/>
        <v/>
      </c>
      <c r="FO645" s="2909" t="str">
        <f t="shared" si="152"/>
        <v/>
      </c>
      <c r="FP645" s="2909" t="str">
        <f t="shared" si="153"/>
        <v/>
      </c>
      <c r="FQ645" s="2909" t="str">
        <f t="shared" si="154"/>
        <v/>
      </c>
      <c r="FR645" s="2909" t="str">
        <f t="shared" si="155"/>
        <v/>
      </c>
      <c r="FS645" s="2909" t="str">
        <f t="shared" si="156"/>
        <v/>
      </c>
      <c r="FT645" s="2909" t="str">
        <f t="shared" si="157"/>
        <v/>
      </c>
      <c r="FU645" s="2909" t="str">
        <f t="shared" si="158"/>
        <v/>
      </c>
      <c r="FV645" s="2909" t="str">
        <f t="shared" si="159"/>
        <v/>
      </c>
      <c r="FW645" s="2909" t="str">
        <f t="shared" si="160"/>
        <v/>
      </c>
      <c r="FX645" s="2909" t="str">
        <f t="shared" si="161"/>
        <v/>
      </c>
      <c r="FY645" s="2909" t="str">
        <f t="shared" si="162"/>
        <v/>
      </c>
      <c r="FZ645" s="2909" t="str">
        <f t="shared" si="163"/>
        <v/>
      </c>
      <c r="GA645" s="2909" t="str">
        <f t="shared" si="164"/>
        <v/>
      </c>
      <c r="GB645" s="2909" t="str">
        <f t="shared" si="165"/>
        <v/>
      </c>
      <c r="GC645" s="2909" t="str">
        <f t="shared" si="166"/>
        <v/>
      </c>
      <c r="GD645" s="2909" t="str">
        <f t="shared" si="167"/>
        <v/>
      </c>
      <c r="GE645" s="2909" t="str">
        <f t="shared" si="168"/>
        <v/>
      </c>
      <c r="GF645" s="2909" t="str">
        <f t="shared" si="169"/>
        <v/>
      </c>
      <c r="GG645" s="2909" t="str">
        <f t="shared" si="170"/>
        <v/>
      </c>
      <c r="GH645" s="2909" t="str">
        <f t="shared" si="171"/>
        <v/>
      </c>
      <c r="GI645" s="2909" t="str">
        <f t="shared" si="172"/>
        <v/>
      </c>
      <c r="GJ645" s="2909" t="str">
        <f t="shared" si="173"/>
        <v/>
      </c>
      <c r="GK645" s="2909" t="str">
        <f t="shared" si="174"/>
        <v/>
      </c>
      <c r="GL645" s="2909" t="str">
        <f t="shared" si="175"/>
        <v/>
      </c>
      <c r="GM645" s="2909" t="str">
        <f t="shared" si="176"/>
        <v/>
      </c>
      <c r="GN645" s="2909" t="str">
        <f t="shared" si="177"/>
        <v/>
      </c>
      <c r="GO645" s="2909" t="str">
        <f t="shared" si="178"/>
        <v/>
      </c>
      <c r="GP645" s="2909" t="str">
        <f t="shared" si="179"/>
        <v/>
      </c>
      <c r="GQ645" s="2909" t="str">
        <f t="shared" si="180"/>
        <v/>
      </c>
      <c r="GR645" s="2909" t="str">
        <f t="shared" si="181"/>
        <v/>
      </c>
      <c r="GS645" s="2909" t="str">
        <f t="shared" si="182"/>
        <v/>
      </c>
      <c r="GT645" s="2909" t="str">
        <f t="shared" si="183"/>
        <v/>
      </c>
      <c r="GU645" s="2909" t="str">
        <f t="shared" si="184"/>
        <v/>
      </c>
      <c r="GV645" s="2909" t="str">
        <f t="shared" si="185"/>
        <v/>
      </c>
      <c r="GW645" s="2909" t="str">
        <f t="shared" si="186"/>
        <v/>
      </c>
      <c r="GX645" s="2909" t="str">
        <f t="shared" si="187"/>
        <v/>
      </c>
      <c r="GY645" s="2909" t="str">
        <f t="shared" si="188"/>
        <v/>
      </c>
      <c r="GZ645" s="2909" t="str">
        <f t="shared" si="189"/>
        <v/>
      </c>
      <c r="HA645" s="2909" t="str">
        <f t="shared" si="190"/>
        <v/>
      </c>
      <c r="HB645" s="2909" t="str">
        <f t="shared" si="191"/>
        <v/>
      </c>
      <c r="HC645" s="2909" t="str">
        <f t="shared" si="192"/>
        <v/>
      </c>
      <c r="HD645" s="2909" t="str">
        <f t="shared" si="193"/>
        <v/>
      </c>
      <c r="HE645" s="2909" t="str">
        <f t="shared" si="194"/>
        <v/>
      </c>
      <c r="HF645" s="2909" t="str">
        <f t="shared" si="195"/>
        <v/>
      </c>
      <c r="HG645" s="2909" t="str">
        <f t="shared" si="196"/>
        <v/>
      </c>
      <c r="HH645" s="2909" t="str">
        <f t="shared" si="197"/>
        <v/>
      </c>
      <c r="HI645" s="2909" t="str">
        <f t="shared" si="198"/>
        <v/>
      </c>
      <c r="HJ645" s="2909" t="str">
        <f t="shared" si="199"/>
        <v/>
      </c>
      <c r="HK645" s="2909" t="str">
        <f t="shared" si="200"/>
        <v/>
      </c>
      <c r="HL645" s="2909" t="str">
        <f t="shared" si="201"/>
        <v/>
      </c>
      <c r="HM645" s="2909" t="str">
        <f t="shared" si="202"/>
        <v/>
      </c>
      <c r="HN645" s="2909" t="str">
        <f t="shared" si="203"/>
        <v/>
      </c>
      <c r="HO645" s="2909" t="str">
        <f t="shared" si="204"/>
        <v/>
      </c>
      <c r="HP645" s="2909" t="str">
        <f t="shared" si="205"/>
        <v/>
      </c>
      <c r="HQ645" s="2909" t="str">
        <f t="shared" si="206"/>
        <v/>
      </c>
      <c r="HR645" s="2909" t="str">
        <f t="shared" si="207"/>
        <v/>
      </c>
      <c r="HS645" s="2909" t="str">
        <f t="shared" si="208"/>
        <v/>
      </c>
      <c r="HT645" s="2909" t="str">
        <f t="shared" si="209"/>
        <v/>
      </c>
      <c r="HU645" s="2909" t="str">
        <f t="shared" si="210"/>
        <v/>
      </c>
      <c r="HV645" s="2909" t="str">
        <f t="shared" si="211"/>
        <v/>
      </c>
      <c r="HW645" s="2909" t="str">
        <f t="shared" si="212"/>
        <v/>
      </c>
      <c r="HX645" s="2909" t="str">
        <f t="shared" si="213"/>
        <v/>
      </c>
      <c r="HY645" s="2909" t="str">
        <f t="shared" si="214"/>
        <v/>
      </c>
      <c r="HZ645" s="2909" t="str">
        <f t="shared" si="215"/>
        <v/>
      </c>
      <c r="IA645" s="2909" t="str">
        <f t="shared" si="216"/>
        <v/>
      </c>
      <c r="IB645" s="2909" t="str">
        <f t="shared" si="217"/>
        <v/>
      </c>
      <c r="IC645" s="2879" t="str">
        <f t="shared" si="218"/>
        <v/>
      </c>
      <c r="ID645" s="2879" t="str">
        <f t="shared" si="219"/>
        <v/>
      </c>
      <c r="IE645" s="2879" t="str">
        <f t="shared" si="220"/>
        <v/>
      </c>
      <c r="IF645" s="2879" t="str">
        <f t="shared" si="221"/>
        <v/>
      </c>
      <c r="IG645" s="2879" t="str">
        <f t="shared" si="222"/>
        <v/>
      </c>
      <c r="IH645" s="1247" t="str">
        <f t="shared" si="223"/>
        <v/>
      </c>
      <c r="II645" s="1247" t="str">
        <f t="shared" si="224"/>
        <v/>
      </c>
      <c r="IJ645" s="1247" t="str">
        <f t="shared" si="225"/>
        <v/>
      </c>
      <c r="IK645" s="1247" t="str">
        <f t="shared" si="226"/>
        <v/>
      </c>
      <c r="IL645" s="1247" t="str">
        <f t="shared" si="227"/>
        <v/>
      </c>
      <c r="IM645" s="1247" t="str">
        <f t="shared" si="228"/>
        <v/>
      </c>
      <c r="IN645" s="1247" t="str">
        <f t="shared" si="229"/>
        <v/>
      </c>
      <c r="IO645" s="1247" t="str">
        <f t="shared" si="230"/>
        <v/>
      </c>
      <c r="IP645" s="1247" t="str">
        <f t="shared" si="231"/>
        <v/>
      </c>
      <c r="IQ645" s="1247" t="str">
        <f t="shared" si="232"/>
        <v/>
      </c>
      <c r="IR645" s="1247" t="str">
        <f t="shared" si="233"/>
        <v/>
      </c>
      <c r="IS645" s="1247" t="str">
        <f t="shared" si="234"/>
        <v/>
      </c>
      <c r="IT645" s="1247" t="str">
        <f t="shared" si="235"/>
        <v/>
      </c>
      <c r="IU645" s="1247" t="str">
        <f t="shared" si="236"/>
        <v/>
      </c>
      <c r="IV645" s="1247" t="str">
        <f t="shared" si="237"/>
        <v/>
      </c>
      <c r="IW645" s="1247" t="str">
        <f t="shared" si="238"/>
        <v/>
      </c>
      <c r="IX645" s="1247" t="str">
        <f t="shared" si="239"/>
        <v/>
      </c>
      <c r="IY645" s="1247" t="str">
        <f t="shared" si="240"/>
        <v/>
      </c>
      <c r="IZ645" s="1247" t="str">
        <f t="shared" si="241"/>
        <v/>
      </c>
      <c r="JA645" s="1247" t="str">
        <f t="shared" si="242"/>
        <v/>
      </c>
      <c r="JB645" s="2877">
        <f t="shared" si="243"/>
        <v>0</v>
      </c>
      <c r="JC645" s="2877">
        <f t="shared" si="244"/>
        <v>0</v>
      </c>
      <c r="JD645" s="2877">
        <f t="shared" si="245"/>
        <v>0</v>
      </c>
      <c r="JE645" s="2877">
        <f t="shared" si="246"/>
        <v>0</v>
      </c>
      <c r="JF645" s="2877">
        <f t="shared" si="247"/>
        <v>0</v>
      </c>
      <c r="JG645" s="2877">
        <f t="shared" si="248"/>
        <v>0</v>
      </c>
      <c r="JH645" s="2877">
        <f t="shared" si="249"/>
        <v>0</v>
      </c>
      <c r="JI645" s="2877">
        <f t="shared" si="250"/>
        <v>0</v>
      </c>
      <c r="JJ645" s="2877">
        <f t="shared" si="251"/>
        <v>0</v>
      </c>
      <c r="JK645" s="2877">
        <f t="shared" si="252"/>
        <v>0</v>
      </c>
      <c r="JL645" s="2877">
        <f t="shared" si="253"/>
        <v>0</v>
      </c>
      <c r="JM645" s="2877">
        <f t="shared" si="254"/>
        <v>0</v>
      </c>
      <c r="JN645" s="2877">
        <f t="shared" si="255"/>
        <v>0</v>
      </c>
      <c r="JO645" s="2877">
        <f t="shared" si="256"/>
        <v>0</v>
      </c>
      <c r="JP645" s="2877">
        <f t="shared" si="257"/>
        <v>0</v>
      </c>
    </row>
    <row r="646" spans="1:276" ht="12" customHeight="1">
      <c r="A646" s="2891" t="str">
        <f t="shared" si="0"/>
        <v/>
      </c>
      <c r="B646" s="2900" t="str">
        <f>'Part VI-Revenues &amp; Expenses'!B26</f>
        <v>&lt;&lt;Select&gt;&gt;</v>
      </c>
      <c r="C646" s="2901">
        <f>'Part VI-Revenues &amp; Expenses'!C26</f>
        <v>0</v>
      </c>
      <c r="D646" s="2902">
        <f>'Part VI-Revenues &amp; Expenses'!D26</f>
        <v>0</v>
      </c>
      <c r="E646" s="2903">
        <f>'Part VI-Revenues &amp; Expenses'!E26</f>
        <v>0</v>
      </c>
      <c r="F646" s="2903">
        <f>'Part VI-Revenues &amp; Expenses'!F26</f>
        <v>0</v>
      </c>
      <c r="G646" s="2903">
        <f>'Part VI-Revenues &amp; Expenses'!G26</f>
        <v>0</v>
      </c>
      <c r="H646" s="2903">
        <f>'Part VI-Revenues &amp; Expenses'!H26</f>
        <v>0</v>
      </c>
      <c r="I646" s="2903">
        <f>'Part VI-Revenues &amp; Expenses'!I26</f>
        <v>0</v>
      </c>
      <c r="J646" s="2904">
        <f>'Part VI-Revenues &amp; Expenses'!J26</f>
        <v>0</v>
      </c>
      <c r="K646" s="2905">
        <f t="shared" si="1"/>
        <v>0</v>
      </c>
      <c r="L646" s="2905">
        <f t="shared" si="2"/>
        <v>0</v>
      </c>
      <c r="M646" s="2886">
        <f>'Part VI-Revenues &amp; Expenses'!M26</f>
        <v>0</v>
      </c>
      <c r="N646" s="2886">
        <f>'Part VI-Revenues &amp; Expenses'!N26</f>
        <v>0</v>
      </c>
      <c r="O646" s="2886">
        <f>'Part VI-Revenues &amp; Expenses'!O26</f>
        <v>0</v>
      </c>
      <c r="P646" s="2886">
        <f>'Part VI-Revenues &amp; Expenses'!P26</f>
        <v>0</v>
      </c>
      <c r="Q646" s="2906">
        <f>IF(H646="","",P646/($O$626*VLOOKUP(C646,'DCA Underwriting Assumptions'!$J$118:$K$123,2,FALSE)))</f>
        <v>0</v>
      </c>
      <c r="R646" s="2907"/>
      <c r="S646" s="2906"/>
      <c r="T646" s="2908"/>
      <c r="U646" s="2908"/>
      <c r="V646" s="1247" t="str">
        <f t="shared" si="3"/>
        <v/>
      </c>
      <c r="W646" s="1247" t="str">
        <f t="shared" si="4"/>
        <v/>
      </c>
      <c r="X646" s="1247" t="str">
        <f t="shared" si="5"/>
        <v/>
      </c>
      <c r="Y646" s="1247" t="str">
        <f t="shared" si="6"/>
        <v/>
      </c>
      <c r="Z646" s="1247" t="str">
        <f t="shared" si="7"/>
        <v/>
      </c>
      <c r="AA646" s="1247" t="str">
        <f t="shared" si="8"/>
        <v/>
      </c>
      <c r="AB646" s="1247" t="str">
        <f t="shared" si="9"/>
        <v/>
      </c>
      <c r="AC646" s="1247" t="str">
        <f t="shared" si="10"/>
        <v/>
      </c>
      <c r="AD646" s="1247" t="str">
        <f t="shared" si="11"/>
        <v/>
      </c>
      <c r="AE646" s="1247" t="str">
        <f t="shared" si="12"/>
        <v/>
      </c>
      <c r="AF646" s="1247" t="str">
        <f t="shared" si="13"/>
        <v/>
      </c>
      <c r="AG646" s="1247" t="str">
        <f t="shared" si="14"/>
        <v/>
      </c>
      <c r="AH646" s="1247" t="str">
        <f t="shared" si="15"/>
        <v/>
      </c>
      <c r="AI646" s="1247" t="str">
        <f t="shared" si="16"/>
        <v/>
      </c>
      <c r="AJ646" s="1247" t="str">
        <f t="shared" si="17"/>
        <v/>
      </c>
      <c r="AK646" s="1247" t="str">
        <f t="shared" si="18"/>
        <v/>
      </c>
      <c r="AL646" s="1247" t="str">
        <f t="shared" si="19"/>
        <v/>
      </c>
      <c r="AM646" s="1247" t="str">
        <f t="shared" si="20"/>
        <v/>
      </c>
      <c r="AN646" s="1247" t="str">
        <f t="shared" si="21"/>
        <v/>
      </c>
      <c r="AO646" s="1247" t="str">
        <f t="shared" si="22"/>
        <v/>
      </c>
      <c r="AP646" s="1247" t="str">
        <f t="shared" si="23"/>
        <v/>
      </c>
      <c r="AQ646" s="1247" t="str">
        <f t="shared" si="24"/>
        <v/>
      </c>
      <c r="AR646" s="1247" t="str">
        <f t="shared" si="25"/>
        <v/>
      </c>
      <c r="AS646" s="1247" t="str">
        <f t="shared" si="26"/>
        <v/>
      </c>
      <c r="AT646" s="1247" t="str">
        <f t="shared" si="27"/>
        <v/>
      </c>
      <c r="AU646" s="1247" t="str">
        <f t="shared" si="28"/>
        <v/>
      </c>
      <c r="AV646" s="1247" t="str">
        <f t="shared" si="29"/>
        <v/>
      </c>
      <c r="AW646" s="1247" t="str">
        <f t="shared" si="30"/>
        <v/>
      </c>
      <c r="AX646" s="1247" t="str">
        <f t="shared" si="31"/>
        <v/>
      </c>
      <c r="AY646" s="1247" t="str">
        <f t="shared" si="32"/>
        <v/>
      </c>
      <c r="AZ646" s="1247" t="str">
        <f t="shared" si="33"/>
        <v/>
      </c>
      <c r="BA646" s="1247" t="str">
        <f t="shared" si="34"/>
        <v/>
      </c>
      <c r="BB646" s="1247" t="str">
        <f t="shared" si="35"/>
        <v/>
      </c>
      <c r="BC646" s="1247" t="str">
        <f t="shared" si="36"/>
        <v/>
      </c>
      <c r="BD646" s="1247" t="str">
        <f t="shared" si="37"/>
        <v/>
      </c>
      <c r="BE646" s="1247" t="str">
        <f t="shared" si="38"/>
        <v/>
      </c>
      <c r="BF646" s="1247" t="str">
        <f t="shared" si="39"/>
        <v/>
      </c>
      <c r="BG646" s="1247" t="str">
        <f t="shared" si="40"/>
        <v/>
      </c>
      <c r="BH646" s="1247" t="str">
        <f t="shared" si="41"/>
        <v/>
      </c>
      <c r="BI646" s="1247" t="str">
        <f t="shared" si="42"/>
        <v/>
      </c>
      <c r="BJ646" s="1247" t="str">
        <f t="shared" si="43"/>
        <v/>
      </c>
      <c r="BK646" s="1247" t="str">
        <f t="shared" si="44"/>
        <v/>
      </c>
      <c r="BL646" s="1247" t="str">
        <f t="shared" si="45"/>
        <v/>
      </c>
      <c r="BM646" s="1247" t="str">
        <f t="shared" si="46"/>
        <v/>
      </c>
      <c r="BN646" s="1247" t="str">
        <f t="shared" si="47"/>
        <v/>
      </c>
      <c r="BO646" s="1247" t="str">
        <f t="shared" si="48"/>
        <v/>
      </c>
      <c r="BP646" s="1247" t="str">
        <f t="shared" si="49"/>
        <v/>
      </c>
      <c r="BQ646" s="1247" t="str">
        <f t="shared" si="50"/>
        <v/>
      </c>
      <c r="BR646" s="1247" t="str">
        <f t="shared" si="51"/>
        <v/>
      </c>
      <c r="BS646" s="1247" t="str">
        <f t="shared" si="52"/>
        <v/>
      </c>
      <c r="BT646" s="1247" t="str">
        <f t="shared" si="53"/>
        <v/>
      </c>
      <c r="BU646" s="1247" t="str">
        <f t="shared" si="54"/>
        <v/>
      </c>
      <c r="BV646" s="1247" t="str">
        <f t="shared" si="55"/>
        <v/>
      </c>
      <c r="BW646" s="1247" t="str">
        <f t="shared" si="56"/>
        <v/>
      </c>
      <c r="BX646" s="1247" t="str">
        <f t="shared" si="57"/>
        <v/>
      </c>
      <c r="BY646" s="1247" t="str">
        <f t="shared" si="58"/>
        <v/>
      </c>
      <c r="BZ646" s="1247" t="str">
        <f t="shared" si="59"/>
        <v/>
      </c>
      <c r="CA646" s="1247" t="str">
        <f t="shared" si="60"/>
        <v/>
      </c>
      <c r="CB646" s="1247" t="str">
        <f t="shared" si="61"/>
        <v/>
      </c>
      <c r="CC646" s="1247" t="str">
        <f t="shared" si="62"/>
        <v/>
      </c>
      <c r="CD646" s="1247" t="str">
        <f t="shared" si="63"/>
        <v/>
      </c>
      <c r="CE646" s="1247" t="str">
        <f t="shared" si="64"/>
        <v/>
      </c>
      <c r="CF646" s="1247" t="str">
        <f t="shared" si="65"/>
        <v/>
      </c>
      <c r="CG646" s="1247" t="str">
        <f t="shared" si="66"/>
        <v/>
      </c>
      <c r="CH646" s="1247" t="str">
        <f t="shared" si="67"/>
        <v/>
      </c>
      <c r="CI646" s="1247" t="str">
        <f t="shared" si="68"/>
        <v/>
      </c>
      <c r="CJ646" s="1247" t="str">
        <f t="shared" si="69"/>
        <v/>
      </c>
      <c r="CK646" s="1247" t="str">
        <f t="shared" si="70"/>
        <v/>
      </c>
      <c r="CL646" s="1247" t="str">
        <f t="shared" si="71"/>
        <v/>
      </c>
      <c r="CM646" s="1247" t="str">
        <f t="shared" si="72"/>
        <v/>
      </c>
      <c r="CN646" s="1247" t="str">
        <f t="shared" si="73"/>
        <v/>
      </c>
      <c r="CO646" s="1247" t="str">
        <f t="shared" si="74"/>
        <v/>
      </c>
      <c r="CP646" s="1247" t="str">
        <f t="shared" si="75"/>
        <v/>
      </c>
      <c r="CQ646" s="1247" t="str">
        <f t="shared" si="76"/>
        <v/>
      </c>
      <c r="CR646" s="1247" t="str">
        <f t="shared" si="77"/>
        <v/>
      </c>
      <c r="CS646" s="1247" t="str">
        <f t="shared" si="78"/>
        <v/>
      </c>
      <c r="CT646" s="1247" t="str">
        <f t="shared" si="79"/>
        <v/>
      </c>
      <c r="CU646" s="1247" t="str">
        <f t="shared" si="80"/>
        <v/>
      </c>
      <c r="CV646" s="1247" t="str">
        <f t="shared" si="81"/>
        <v/>
      </c>
      <c r="CW646" s="1247" t="str">
        <f t="shared" si="82"/>
        <v/>
      </c>
      <c r="CX646" s="1247" t="str">
        <f t="shared" si="83"/>
        <v/>
      </c>
      <c r="CY646" s="1247" t="str">
        <f t="shared" si="84"/>
        <v/>
      </c>
      <c r="CZ646" s="1247" t="str">
        <f t="shared" si="85"/>
        <v/>
      </c>
      <c r="DA646" s="1247" t="str">
        <f t="shared" si="86"/>
        <v/>
      </c>
      <c r="DB646" s="1247" t="str">
        <f t="shared" si="87"/>
        <v/>
      </c>
      <c r="DC646" s="1247" t="str">
        <f t="shared" si="88"/>
        <v/>
      </c>
      <c r="DD646" s="1247" t="str">
        <f t="shared" si="89"/>
        <v/>
      </c>
      <c r="DE646" s="1247" t="str">
        <f t="shared" si="90"/>
        <v/>
      </c>
      <c r="DF646" s="1247" t="str">
        <f t="shared" si="91"/>
        <v/>
      </c>
      <c r="DG646" s="1247" t="str">
        <f t="shared" si="92"/>
        <v/>
      </c>
      <c r="DH646" s="1247" t="str">
        <f t="shared" si="93"/>
        <v/>
      </c>
      <c r="DI646" s="1247" t="str">
        <f t="shared" si="94"/>
        <v/>
      </c>
      <c r="DJ646" s="1247" t="str">
        <f t="shared" si="95"/>
        <v/>
      </c>
      <c r="DK646" s="1247" t="str">
        <f t="shared" si="96"/>
        <v/>
      </c>
      <c r="DL646" s="1247" t="str">
        <f t="shared" si="97"/>
        <v/>
      </c>
      <c r="DM646" s="1247" t="str">
        <f t="shared" si="98"/>
        <v/>
      </c>
      <c r="DN646" s="1247" t="str">
        <f t="shared" si="99"/>
        <v/>
      </c>
      <c r="DO646" s="1247" t="str">
        <f t="shared" si="100"/>
        <v/>
      </c>
      <c r="DP646" s="1247" t="str">
        <f t="shared" si="101"/>
        <v/>
      </c>
      <c r="DQ646" s="1247" t="str">
        <f t="shared" si="102"/>
        <v/>
      </c>
      <c r="DR646" s="1247" t="str">
        <f t="shared" si="103"/>
        <v/>
      </c>
      <c r="DS646" s="1247" t="str">
        <f t="shared" si="104"/>
        <v/>
      </c>
      <c r="DT646" s="1247" t="str">
        <f t="shared" si="105"/>
        <v/>
      </c>
      <c r="DU646" s="1247" t="str">
        <f t="shared" si="106"/>
        <v/>
      </c>
      <c r="DV646" s="1247" t="str">
        <f t="shared" si="107"/>
        <v/>
      </c>
      <c r="DW646" s="1247" t="str">
        <f t="shared" si="108"/>
        <v/>
      </c>
      <c r="DX646" s="1247" t="str">
        <f t="shared" si="109"/>
        <v/>
      </c>
      <c r="DY646" s="1247" t="str">
        <f t="shared" si="110"/>
        <v/>
      </c>
      <c r="DZ646" s="1247" t="str">
        <f t="shared" si="111"/>
        <v/>
      </c>
      <c r="EA646" s="1247" t="str">
        <f t="shared" si="112"/>
        <v/>
      </c>
      <c r="EB646" s="1247" t="str">
        <f t="shared" si="113"/>
        <v/>
      </c>
      <c r="EC646" s="1247" t="str">
        <f t="shared" si="114"/>
        <v/>
      </c>
      <c r="ED646" s="1247" t="str">
        <f t="shared" si="115"/>
        <v/>
      </c>
      <c r="EE646" s="1247" t="str">
        <f t="shared" si="116"/>
        <v/>
      </c>
      <c r="EF646" s="1247" t="str">
        <f t="shared" si="117"/>
        <v/>
      </c>
      <c r="EG646" s="1247" t="str">
        <f t="shared" si="118"/>
        <v/>
      </c>
      <c r="EH646" s="1247" t="str">
        <f t="shared" si="119"/>
        <v/>
      </c>
      <c r="EI646" s="1247" t="str">
        <f t="shared" si="120"/>
        <v/>
      </c>
      <c r="EJ646" s="1247" t="str">
        <f t="shared" si="121"/>
        <v/>
      </c>
      <c r="EK646" s="1247" t="str">
        <f t="shared" si="122"/>
        <v/>
      </c>
      <c r="EL646" s="1247" t="str">
        <f t="shared" si="123"/>
        <v/>
      </c>
      <c r="EM646" s="1247" t="str">
        <f t="shared" si="124"/>
        <v/>
      </c>
      <c r="EN646" s="1247" t="str">
        <f t="shared" si="125"/>
        <v/>
      </c>
      <c r="EO646" s="1247" t="str">
        <f t="shared" si="126"/>
        <v/>
      </c>
      <c r="EP646" s="1247" t="str">
        <f t="shared" si="127"/>
        <v/>
      </c>
      <c r="EQ646" s="1247" t="str">
        <f t="shared" si="128"/>
        <v/>
      </c>
      <c r="ER646" s="1247" t="str">
        <f t="shared" si="129"/>
        <v/>
      </c>
      <c r="ES646" s="1247" t="str">
        <f t="shared" si="130"/>
        <v/>
      </c>
      <c r="ET646" s="1247" t="str">
        <f t="shared" si="131"/>
        <v/>
      </c>
      <c r="EU646" s="1247" t="str">
        <f t="shared" si="132"/>
        <v/>
      </c>
      <c r="EV646" s="2909" t="str">
        <f t="shared" si="133"/>
        <v/>
      </c>
      <c r="EW646" s="2909" t="str">
        <f t="shared" si="134"/>
        <v/>
      </c>
      <c r="EX646" s="2909" t="str">
        <f t="shared" si="135"/>
        <v/>
      </c>
      <c r="EY646" s="2909" t="str">
        <f t="shared" si="136"/>
        <v/>
      </c>
      <c r="EZ646" s="2909" t="str">
        <f t="shared" si="137"/>
        <v/>
      </c>
      <c r="FA646" s="2909" t="str">
        <f t="shared" si="138"/>
        <v/>
      </c>
      <c r="FB646" s="2909" t="str">
        <f t="shared" si="139"/>
        <v/>
      </c>
      <c r="FC646" s="2909" t="str">
        <f t="shared" si="140"/>
        <v/>
      </c>
      <c r="FD646" s="2909" t="str">
        <f t="shared" si="141"/>
        <v/>
      </c>
      <c r="FE646" s="2909" t="str">
        <f t="shared" si="142"/>
        <v/>
      </c>
      <c r="FF646" s="2909" t="str">
        <f t="shared" si="143"/>
        <v/>
      </c>
      <c r="FG646" s="2909" t="str">
        <f t="shared" si="144"/>
        <v/>
      </c>
      <c r="FH646" s="2909" t="str">
        <f t="shared" si="145"/>
        <v/>
      </c>
      <c r="FI646" s="2909" t="str">
        <f t="shared" si="146"/>
        <v/>
      </c>
      <c r="FJ646" s="2909" t="str">
        <f t="shared" si="147"/>
        <v/>
      </c>
      <c r="FK646" s="2909" t="str">
        <f t="shared" si="148"/>
        <v/>
      </c>
      <c r="FL646" s="2909" t="str">
        <f t="shared" si="149"/>
        <v/>
      </c>
      <c r="FM646" s="2909" t="str">
        <f t="shared" si="150"/>
        <v/>
      </c>
      <c r="FN646" s="2909" t="str">
        <f t="shared" si="151"/>
        <v/>
      </c>
      <c r="FO646" s="2909" t="str">
        <f t="shared" si="152"/>
        <v/>
      </c>
      <c r="FP646" s="2909" t="str">
        <f t="shared" si="153"/>
        <v/>
      </c>
      <c r="FQ646" s="2909" t="str">
        <f t="shared" si="154"/>
        <v/>
      </c>
      <c r="FR646" s="2909" t="str">
        <f t="shared" si="155"/>
        <v/>
      </c>
      <c r="FS646" s="2909" t="str">
        <f t="shared" si="156"/>
        <v/>
      </c>
      <c r="FT646" s="2909" t="str">
        <f t="shared" si="157"/>
        <v/>
      </c>
      <c r="FU646" s="2909" t="str">
        <f t="shared" si="158"/>
        <v/>
      </c>
      <c r="FV646" s="2909" t="str">
        <f t="shared" si="159"/>
        <v/>
      </c>
      <c r="FW646" s="2909" t="str">
        <f t="shared" si="160"/>
        <v/>
      </c>
      <c r="FX646" s="2909" t="str">
        <f t="shared" si="161"/>
        <v/>
      </c>
      <c r="FY646" s="2909" t="str">
        <f t="shared" si="162"/>
        <v/>
      </c>
      <c r="FZ646" s="2909" t="str">
        <f t="shared" si="163"/>
        <v/>
      </c>
      <c r="GA646" s="2909" t="str">
        <f t="shared" si="164"/>
        <v/>
      </c>
      <c r="GB646" s="2909" t="str">
        <f t="shared" si="165"/>
        <v/>
      </c>
      <c r="GC646" s="2909" t="str">
        <f t="shared" si="166"/>
        <v/>
      </c>
      <c r="GD646" s="2909" t="str">
        <f t="shared" si="167"/>
        <v/>
      </c>
      <c r="GE646" s="2909" t="str">
        <f t="shared" si="168"/>
        <v/>
      </c>
      <c r="GF646" s="2909" t="str">
        <f t="shared" si="169"/>
        <v/>
      </c>
      <c r="GG646" s="2909" t="str">
        <f t="shared" si="170"/>
        <v/>
      </c>
      <c r="GH646" s="2909" t="str">
        <f t="shared" si="171"/>
        <v/>
      </c>
      <c r="GI646" s="2909" t="str">
        <f t="shared" si="172"/>
        <v/>
      </c>
      <c r="GJ646" s="2909" t="str">
        <f t="shared" si="173"/>
        <v/>
      </c>
      <c r="GK646" s="2909" t="str">
        <f t="shared" si="174"/>
        <v/>
      </c>
      <c r="GL646" s="2909" t="str">
        <f t="shared" si="175"/>
        <v/>
      </c>
      <c r="GM646" s="2909" t="str">
        <f t="shared" si="176"/>
        <v/>
      </c>
      <c r="GN646" s="2909" t="str">
        <f t="shared" si="177"/>
        <v/>
      </c>
      <c r="GO646" s="2909" t="str">
        <f t="shared" si="178"/>
        <v/>
      </c>
      <c r="GP646" s="2909" t="str">
        <f t="shared" si="179"/>
        <v/>
      </c>
      <c r="GQ646" s="2909" t="str">
        <f t="shared" si="180"/>
        <v/>
      </c>
      <c r="GR646" s="2909" t="str">
        <f t="shared" si="181"/>
        <v/>
      </c>
      <c r="GS646" s="2909" t="str">
        <f t="shared" si="182"/>
        <v/>
      </c>
      <c r="GT646" s="2909" t="str">
        <f t="shared" si="183"/>
        <v/>
      </c>
      <c r="GU646" s="2909" t="str">
        <f t="shared" si="184"/>
        <v/>
      </c>
      <c r="GV646" s="2909" t="str">
        <f t="shared" si="185"/>
        <v/>
      </c>
      <c r="GW646" s="2909" t="str">
        <f t="shared" si="186"/>
        <v/>
      </c>
      <c r="GX646" s="2909" t="str">
        <f t="shared" si="187"/>
        <v/>
      </c>
      <c r="GY646" s="2909" t="str">
        <f t="shared" si="188"/>
        <v/>
      </c>
      <c r="GZ646" s="2909" t="str">
        <f t="shared" si="189"/>
        <v/>
      </c>
      <c r="HA646" s="2909" t="str">
        <f t="shared" si="190"/>
        <v/>
      </c>
      <c r="HB646" s="2909" t="str">
        <f t="shared" si="191"/>
        <v/>
      </c>
      <c r="HC646" s="2909" t="str">
        <f t="shared" si="192"/>
        <v/>
      </c>
      <c r="HD646" s="2909" t="str">
        <f t="shared" si="193"/>
        <v/>
      </c>
      <c r="HE646" s="2909" t="str">
        <f t="shared" si="194"/>
        <v/>
      </c>
      <c r="HF646" s="2909" t="str">
        <f t="shared" si="195"/>
        <v/>
      </c>
      <c r="HG646" s="2909" t="str">
        <f t="shared" si="196"/>
        <v/>
      </c>
      <c r="HH646" s="2909" t="str">
        <f t="shared" si="197"/>
        <v/>
      </c>
      <c r="HI646" s="2909" t="str">
        <f t="shared" si="198"/>
        <v/>
      </c>
      <c r="HJ646" s="2909" t="str">
        <f t="shared" si="199"/>
        <v/>
      </c>
      <c r="HK646" s="2909" t="str">
        <f t="shared" si="200"/>
        <v/>
      </c>
      <c r="HL646" s="2909" t="str">
        <f t="shared" si="201"/>
        <v/>
      </c>
      <c r="HM646" s="2909" t="str">
        <f t="shared" si="202"/>
        <v/>
      </c>
      <c r="HN646" s="2909" t="str">
        <f t="shared" si="203"/>
        <v/>
      </c>
      <c r="HO646" s="2909" t="str">
        <f t="shared" si="204"/>
        <v/>
      </c>
      <c r="HP646" s="2909" t="str">
        <f t="shared" si="205"/>
        <v/>
      </c>
      <c r="HQ646" s="2909" t="str">
        <f t="shared" si="206"/>
        <v/>
      </c>
      <c r="HR646" s="2909" t="str">
        <f t="shared" si="207"/>
        <v/>
      </c>
      <c r="HS646" s="2909" t="str">
        <f t="shared" si="208"/>
        <v/>
      </c>
      <c r="HT646" s="2909" t="str">
        <f t="shared" si="209"/>
        <v/>
      </c>
      <c r="HU646" s="2909" t="str">
        <f t="shared" si="210"/>
        <v/>
      </c>
      <c r="HV646" s="2909" t="str">
        <f t="shared" si="211"/>
        <v/>
      </c>
      <c r="HW646" s="2909" t="str">
        <f t="shared" si="212"/>
        <v/>
      </c>
      <c r="HX646" s="2909" t="str">
        <f t="shared" si="213"/>
        <v/>
      </c>
      <c r="HY646" s="2909" t="str">
        <f t="shared" si="214"/>
        <v/>
      </c>
      <c r="HZ646" s="2909" t="str">
        <f t="shared" si="215"/>
        <v/>
      </c>
      <c r="IA646" s="2909" t="str">
        <f t="shared" si="216"/>
        <v/>
      </c>
      <c r="IB646" s="2909" t="str">
        <f t="shared" si="217"/>
        <v/>
      </c>
      <c r="IC646" s="2879" t="str">
        <f t="shared" si="218"/>
        <v/>
      </c>
      <c r="ID646" s="2879" t="str">
        <f t="shared" si="219"/>
        <v/>
      </c>
      <c r="IE646" s="2879" t="str">
        <f t="shared" si="220"/>
        <v/>
      </c>
      <c r="IF646" s="2879" t="str">
        <f t="shared" si="221"/>
        <v/>
      </c>
      <c r="IG646" s="2879" t="str">
        <f t="shared" si="222"/>
        <v/>
      </c>
      <c r="IH646" s="1247" t="str">
        <f t="shared" si="223"/>
        <v/>
      </c>
      <c r="II646" s="1247" t="str">
        <f t="shared" si="224"/>
        <v/>
      </c>
      <c r="IJ646" s="1247" t="str">
        <f t="shared" si="225"/>
        <v/>
      </c>
      <c r="IK646" s="1247" t="str">
        <f t="shared" si="226"/>
        <v/>
      </c>
      <c r="IL646" s="1247" t="str">
        <f t="shared" si="227"/>
        <v/>
      </c>
      <c r="IM646" s="1247" t="str">
        <f t="shared" si="228"/>
        <v/>
      </c>
      <c r="IN646" s="1247" t="str">
        <f t="shared" si="229"/>
        <v/>
      </c>
      <c r="IO646" s="1247" t="str">
        <f t="shared" si="230"/>
        <v/>
      </c>
      <c r="IP646" s="1247" t="str">
        <f t="shared" si="231"/>
        <v/>
      </c>
      <c r="IQ646" s="1247" t="str">
        <f t="shared" si="232"/>
        <v/>
      </c>
      <c r="IR646" s="1247" t="str">
        <f t="shared" si="233"/>
        <v/>
      </c>
      <c r="IS646" s="1247" t="str">
        <f t="shared" si="234"/>
        <v/>
      </c>
      <c r="IT646" s="1247" t="str">
        <f t="shared" si="235"/>
        <v/>
      </c>
      <c r="IU646" s="1247" t="str">
        <f t="shared" si="236"/>
        <v/>
      </c>
      <c r="IV646" s="1247" t="str">
        <f t="shared" si="237"/>
        <v/>
      </c>
      <c r="IW646" s="1247" t="str">
        <f t="shared" si="238"/>
        <v/>
      </c>
      <c r="IX646" s="1247" t="str">
        <f t="shared" si="239"/>
        <v/>
      </c>
      <c r="IY646" s="1247" t="str">
        <f t="shared" si="240"/>
        <v/>
      </c>
      <c r="IZ646" s="1247" t="str">
        <f t="shared" si="241"/>
        <v/>
      </c>
      <c r="JA646" s="1247" t="str">
        <f t="shared" si="242"/>
        <v/>
      </c>
      <c r="JB646" s="2877">
        <f t="shared" si="243"/>
        <v>0</v>
      </c>
      <c r="JC646" s="2877">
        <f t="shared" si="244"/>
        <v>0</v>
      </c>
      <c r="JD646" s="2877">
        <f t="shared" si="245"/>
        <v>0</v>
      </c>
      <c r="JE646" s="2877">
        <f t="shared" si="246"/>
        <v>0</v>
      </c>
      <c r="JF646" s="2877">
        <f t="shared" si="247"/>
        <v>0</v>
      </c>
      <c r="JG646" s="2877">
        <f t="shared" si="248"/>
        <v>0</v>
      </c>
      <c r="JH646" s="2877">
        <f t="shared" si="249"/>
        <v>0</v>
      </c>
      <c r="JI646" s="2877">
        <f t="shared" si="250"/>
        <v>0</v>
      </c>
      <c r="JJ646" s="2877">
        <f t="shared" si="251"/>
        <v>0</v>
      </c>
      <c r="JK646" s="2877">
        <f t="shared" si="252"/>
        <v>0</v>
      </c>
      <c r="JL646" s="2877">
        <f t="shared" si="253"/>
        <v>0</v>
      </c>
      <c r="JM646" s="2877">
        <f t="shared" si="254"/>
        <v>0</v>
      </c>
      <c r="JN646" s="2877">
        <f t="shared" si="255"/>
        <v>0</v>
      </c>
      <c r="JO646" s="2877">
        <f t="shared" si="256"/>
        <v>0</v>
      </c>
      <c r="JP646" s="2877">
        <f t="shared" si="257"/>
        <v>0</v>
      </c>
    </row>
    <row r="647" spans="1:276" ht="12" customHeight="1">
      <c r="A647" s="2891" t="str">
        <f t="shared" si="0"/>
        <v/>
      </c>
      <c r="B647" s="2900" t="str">
        <f>'Part VI-Revenues &amp; Expenses'!B27</f>
        <v>&lt;&lt;Select&gt;&gt;</v>
      </c>
      <c r="C647" s="2901">
        <f>'Part VI-Revenues &amp; Expenses'!C27</f>
        <v>0</v>
      </c>
      <c r="D647" s="2902">
        <f>'Part VI-Revenues &amp; Expenses'!D27</f>
        <v>0</v>
      </c>
      <c r="E647" s="2903">
        <f>'Part VI-Revenues &amp; Expenses'!E27</f>
        <v>0</v>
      </c>
      <c r="F647" s="2903">
        <f>'Part VI-Revenues &amp; Expenses'!F27</f>
        <v>0</v>
      </c>
      <c r="G647" s="2903">
        <f>'Part VI-Revenues &amp; Expenses'!G27</f>
        <v>0</v>
      </c>
      <c r="H647" s="2903">
        <f>'Part VI-Revenues &amp; Expenses'!H27</f>
        <v>0</v>
      </c>
      <c r="I647" s="2903">
        <f>'Part VI-Revenues &amp; Expenses'!I27</f>
        <v>0</v>
      </c>
      <c r="J647" s="2904">
        <f>'Part VI-Revenues &amp; Expenses'!J27</f>
        <v>0</v>
      </c>
      <c r="K647" s="2905">
        <f t="shared" si="1"/>
        <v>0</v>
      </c>
      <c r="L647" s="2905">
        <f t="shared" si="2"/>
        <v>0</v>
      </c>
      <c r="M647" s="2886">
        <f>'Part VI-Revenues &amp; Expenses'!M27</f>
        <v>0</v>
      </c>
      <c r="N647" s="2886">
        <f>'Part VI-Revenues &amp; Expenses'!N27</f>
        <v>0</v>
      </c>
      <c r="O647" s="2886">
        <f>'Part VI-Revenues &amp; Expenses'!O27</f>
        <v>0</v>
      </c>
      <c r="P647" s="2886">
        <f>'Part VI-Revenues &amp; Expenses'!P27</f>
        <v>0</v>
      </c>
      <c r="Q647" s="2906">
        <f>IF(H647="","",P647/($O$626*VLOOKUP(C647,'DCA Underwriting Assumptions'!$J$118:$K$123,2,FALSE)))</f>
        <v>0</v>
      </c>
      <c r="R647" s="2907"/>
      <c r="S647" s="2906"/>
      <c r="T647" s="2908"/>
      <c r="U647" s="2908"/>
      <c r="V647" s="1247" t="str">
        <f t="shared" si="3"/>
        <v/>
      </c>
      <c r="W647" s="1247" t="str">
        <f t="shared" si="4"/>
        <v/>
      </c>
      <c r="X647" s="1247" t="str">
        <f t="shared" si="5"/>
        <v/>
      </c>
      <c r="Y647" s="1247" t="str">
        <f t="shared" si="6"/>
        <v/>
      </c>
      <c r="Z647" s="1247" t="str">
        <f t="shared" si="7"/>
        <v/>
      </c>
      <c r="AA647" s="1247" t="str">
        <f t="shared" si="8"/>
        <v/>
      </c>
      <c r="AB647" s="1247" t="str">
        <f t="shared" si="9"/>
        <v/>
      </c>
      <c r="AC647" s="1247" t="str">
        <f t="shared" si="10"/>
        <v/>
      </c>
      <c r="AD647" s="1247" t="str">
        <f t="shared" si="11"/>
        <v/>
      </c>
      <c r="AE647" s="1247" t="str">
        <f t="shared" si="12"/>
        <v/>
      </c>
      <c r="AF647" s="1247" t="str">
        <f t="shared" si="13"/>
        <v/>
      </c>
      <c r="AG647" s="1247" t="str">
        <f t="shared" si="14"/>
        <v/>
      </c>
      <c r="AH647" s="1247" t="str">
        <f t="shared" si="15"/>
        <v/>
      </c>
      <c r="AI647" s="1247" t="str">
        <f t="shared" si="16"/>
        <v/>
      </c>
      <c r="AJ647" s="1247" t="str">
        <f t="shared" si="17"/>
        <v/>
      </c>
      <c r="AK647" s="1247" t="str">
        <f t="shared" si="18"/>
        <v/>
      </c>
      <c r="AL647" s="1247" t="str">
        <f t="shared" si="19"/>
        <v/>
      </c>
      <c r="AM647" s="1247" t="str">
        <f t="shared" si="20"/>
        <v/>
      </c>
      <c r="AN647" s="1247" t="str">
        <f t="shared" si="21"/>
        <v/>
      </c>
      <c r="AO647" s="1247" t="str">
        <f t="shared" si="22"/>
        <v/>
      </c>
      <c r="AP647" s="1247" t="str">
        <f t="shared" si="23"/>
        <v/>
      </c>
      <c r="AQ647" s="1247" t="str">
        <f t="shared" si="24"/>
        <v/>
      </c>
      <c r="AR647" s="1247" t="str">
        <f t="shared" si="25"/>
        <v/>
      </c>
      <c r="AS647" s="1247" t="str">
        <f t="shared" si="26"/>
        <v/>
      </c>
      <c r="AT647" s="1247" t="str">
        <f t="shared" si="27"/>
        <v/>
      </c>
      <c r="AU647" s="1247" t="str">
        <f t="shared" si="28"/>
        <v/>
      </c>
      <c r="AV647" s="1247" t="str">
        <f t="shared" si="29"/>
        <v/>
      </c>
      <c r="AW647" s="1247" t="str">
        <f t="shared" si="30"/>
        <v/>
      </c>
      <c r="AX647" s="1247" t="str">
        <f t="shared" si="31"/>
        <v/>
      </c>
      <c r="AY647" s="1247" t="str">
        <f t="shared" si="32"/>
        <v/>
      </c>
      <c r="AZ647" s="1247" t="str">
        <f t="shared" si="33"/>
        <v/>
      </c>
      <c r="BA647" s="1247" t="str">
        <f t="shared" si="34"/>
        <v/>
      </c>
      <c r="BB647" s="1247" t="str">
        <f t="shared" si="35"/>
        <v/>
      </c>
      <c r="BC647" s="1247" t="str">
        <f t="shared" si="36"/>
        <v/>
      </c>
      <c r="BD647" s="1247" t="str">
        <f t="shared" si="37"/>
        <v/>
      </c>
      <c r="BE647" s="1247" t="str">
        <f t="shared" si="38"/>
        <v/>
      </c>
      <c r="BF647" s="1247" t="str">
        <f t="shared" si="39"/>
        <v/>
      </c>
      <c r="BG647" s="1247" t="str">
        <f t="shared" si="40"/>
        <v/>
      </c>
      <c r="BH647" s="1247" t="str">
        <f t="shared" si="41"/>
        <v/>
      </c>
      <c r="BI647" s="1247" t="str">
        <f t="shared" si="42"/>
        <v/>
      </c>
      <c r="BJ647" s="1247" t="str">
        <f t="shared" si="43"/>
        <v/>
      </c>
      <c r="BK647" s="1247" t="str">
        <f t="shared" si="44"/>
        <v/>
      </c>
      <c r="BL647" s="1247" t="str">
        <f t="shared" si="45"/>
        <v/>
      </c>
      <c r="BM647" s="1247" t="str">
        <f t="shared" si="46"/>
        <v/>
      </c>
      <c r="BN647" s="1247" t="str">
        <f t="shared" si="47"/>
        <v/>
      </c>
      <c r="BO647" s="1247" t="str">
        <f t="shared" si="48"/>
        <v/>
      </c>
      <c r="BP647" s="1247" t="str">
        <f t="shared" si="49"/>
        <v/>
      </c>
      <c r="BQ647" s="1247" t="str">
        <f t="shared" si="50"/>
        <v/>
      </c>
      <c r="BR647" s="1247" t="str">
        <f t="shared" si="51"/>
        <v/>
      </c>
      <c r="BS647" s="1247" t="str">
        <f t="shared" si="52"/>
        <v/>
      </c>
      <c r="BT647" s="1247" t="str">
        <f t="shared" si="53"/>
        <v/>
      </c>
      <c r="BU647" s="1247" t="str">
        <f t="shared" si="54"/>
        <v/>
      </c>
      <c r="BV647" s="1247" t="str">
        <f t="shared" si="55"/>
        <v/>
      </c>
      <c r="BW647" s="1247" t="str">
        <f t="shared" si="56"/>
        <v/>
      </c>
      <c r="BX647" s="1247" t="str">
        <f t="shared" si="57"/>
        <v/>
      </c>
      <c r="BY647" s="1247" t="str">
        <f t="shared" si="58"/>
        <v/>
      </c>
      <c r="BZ647" s="1247" t="str">
        <f t="shared" si="59"/>
        <v/>
      </c>
      <c r="CA647" s="1247" t="str">
        <f t="shared" si="60"/>
        <v/>
      </c>
      <c r="CB647" s="1247" t="str">
        <f t="shared" si="61"/>
        <v/>
      </c>
      <c r="CC647" s="1247" t="str">
        <f t="shared" si="62"/>
        <v/>
      </c>
      <c r="CD647" s="1247" t="str">
        <f t="shared" si="63"/>
        <v/>
      </c>
      <c r="CE647" s="1247" t="str">
        <f t="shared" si="64"/>
        <v/>
      </c>
      <c r="CF647" s="1247" t="str">
        <f t="shared" si="65"/>
        <v/>
      </c>
      <c r="CG647" s="1247" t="str">
        <f t="shared" si="66"/>
        <v/>
      </c>
      <c r="CH647" s="1247" t="str">
        <f t="shared" si="67"/>
        <v/>
      </c>
      <c r="CI647" s="1247" t="str">
        <f t="shared" si="68"/>
        <v/>
      </c>
      <c r="CJ647" s="1247" t="str">
        <f t="shared" si="69"/>
        <v/>
      </c>
      <c r="CK647" s="1247" t="str">
        <f t="shared" si="70"/>
        <v/>
      </c>
      <c r="CL647" s="1247" t="str">
        <f t="shared" si="71"/>
        <v/>
      </c>
      <c r="CM647" s="1247" t="str">
        <f t="shared" si="72"/>
        <v/>
      </c>
      <c r="CN647" s="1247" t="str">
        <f t="shared" si="73"/>
        <v/>
      </c>
      <c r="CO647" s="1247" t="str">
        <f t="shared" si="74"/>
        <v/>
      </c>
      <c r="CP647" s="1247" t="str">
        <f t="shared" si="75"/>
        <v/>
      </c>
      <c r="CQ647" s="1247" t="str">
        <f t="shared" si="76"/>
        <v/>
      </c>
      <c r="CR647" s="1247" t="str">
        <f t="shared" si="77"/>
        <v/>
      </c>
      <c r="CS647" s="1247" t="str">
        <f t="shared" si="78"/>
        <v/>
      </c>
      <c r="CT647" s="1247" t="str">
        <f t="shared" si="79"/>
        <v/>
      </c>
      <c r="CU647" s="1247" t="str">
        <f t="shared" si="80"/>
        <v/>
      </c>
      <c r="CV647" s="1247" t="str">
        <f t="shared" si="81"/>
        <v/>
      </c>
      <c r="CW647" s="1247" t="str">
        <f t="shared" si="82"/>
        <v/>
      </c>
      <c r="CX647" s="1247" t="str">
        <f t="shared" si="83"/>
        <v/>
      </c>
      <c r="CY647" s="1247" t="str">
        <f t="shared" si="84"/>
        <v/>
      </c>
      <c r="CZ647" s="1247" t="str">
        <f t="shared" si="85"/>
        <v/>
      </c>
      <c r="DA647" s="1247" t="str">
        <f t="shared" si="86"/>
        <v/>
      </c>
      <c r="DB647" s="1247" t="str">
        <f t="shared" si="87"/>
        <v/>
      </c>
      <c r="DC647" s="1247" t="str">
        <f t="shared" si="88"/>
        <v/>
      </c>
      <c r="DD647" s="1247" t="str">
        <f t="shared" si="89"/>
        <v/>
      </c>
      <c r="DE647" s="1247" t="str">
        <f t="shared" si="90"/>
        <v/>
      </c>
      <c r="DF647" s="1247" t="str">
        <f t="shared" si="91"/>
        <v/>
      </c>
      <c r="DG647" s="1247" t="str">
        <f t="shared" si="92"/>
        <v/>
      </c>
      <c r="DH647" s="1247" t="str">
        <f t="shared" si="93"/>
        <v/>
      </c>
      <c r="DI647" s="1247" t="str">
        <f t="shared" si="94"/>
        <v/>
      </c>
      <c r="DJ647" s="1247" t="str">
        <f t="shared" si="95"/>
        <v/>
      </c>
      <c r="DK647" s="1247" t="str">
        <f t="shared" si="96"/>
        <v/>
      </c>
      <c r="DL647" s="1247" t="str">
        <f t="shared" si="97"/>
        <v/>
      </c>
      <c r="DM647" s="1247" t="str">
        <f t="shared" si="98"/>
        <v/>
      </c>
      <c r="DN647" s="1247" t="str">
        <f t="shared" si="99"/>
        <v/>
      </c>
      <c r="DO647" s="1247" t="str">
        <f t="shared" si="100"/>
        <v/>
      </c>
      <c r="DP647" s="1247" t="str">
        <f t="shared" si="101"/>
        <v/>
      </c>
      <c r="DQ647" s="1247" t="str">
        <f t="shared" si="102"/>
        <v/>
      </c>
      <c r="DR647" s="1247" t="str">
        <f t="shared" si="103"/>
        <v/>
      </c>
      <c r="DS647" s="1247" t="str">
        <f t="shared" si="104"/>
        <v/>
      </c>
      <c r="DT647" s="1247" t="str">
        <f t="shared" si="105"/>
        <v/>
      </c>
      <c r="DU647" s="1247" t="str">
        <f t="shared" si="106"/>
        <v/>
      </c>
      <c r="DV647" s="1247" t="str">
        <f t="shared" si="107"/>
        <v/>
      </c>
      <c r="DW647" s="1247" t="str">
        <f t="shared" si="108"/>
        <v/>
      </c>
      <c r="DX647" s="1247" t="str">
        <f t="shared" si="109"/>
        <v/>
      </c>
      <c r="DY647" s="1247" t="str">
        <f t="shared" si="110"/>
        <v/>
      </c>
      <c r="DZ647" s="1247" t="str">
        <f t="shared" si="111"/>
        <v/>
      </c>
      <c r="EA647" s="1247" t="str">
        <f t="shared" si="112"/>
        <v/>
      </c>
      <c r="EB647" s="1247" t="str">
        <f t="shared" si="113"/>
        <v/>
      </c>
      <c r="EC647" s="1247" t="str">
        <f t="shared" si="114"/>
        <v/>
      </c>
      <c r="ED647" s="1247" t="str">
        <f t="shared" si="115"/>
        <v/>
      </c>
      <c r="EE647" s="1247" t="str">
        <f t="shared" si="116"/>
        <v/>
      </c>
      <c r="EF647" s="1247" t="str">
        <f t="shared" si="117"/>
        <v/>
      </c>
      <c r="EG647" s="1247" t="str">
        <f t="shared" si="118"/>
        <v/>
      </c>
      <c r="EH647" s="1247" t="str">
        <f t="shared" si="119"/>
        <v/>
      </c>
      <c r="EI647" s="1247" t="str">
        <f t="shared" si="120"/>
        <v/>
      </c>
      <c r="EJ647" s="1247" t="str">
        <f t="shared" si="121"/>
        <v/>
      </c>
      <c r="EK647" s="1247" t="str">
        <f t="shared" si="122"/>
        <v/>
      </c>
      <c r="EL647" s="1247" t="str">
        <f t="shared" si="123"/>
        <v/>
      </c>
      <c r="EM647" s="1247" t="str">
        <f t="shared" si="124"/>
        <v/>
      </c>
      <c r="EN647" s="1247" t="str">
        <f t="shared" si="125"/>
        <v/>
      </c>
      <c r="EO647" s="1247" t="str">
        <f t="shared" si="126"/>
        <v/>
      </c>
      <c r="EP647" s="1247" t="str">
        <f t="shared" si="127"/>
        <v/>
      </c>
      <c r="EQ647" s="1247" t="str">
        <f t="shared" si="128"/>
        <v/>
      </c>
      <c r="ER647" s="1247" t="str">
        <f t="shared" si="129"/>
        <v/>
      </c>
      <c r="ES647" s="1247" t="str">
        <f t="shared" si="130"/>
        <v/>
      </c>
      <c r="ET647" s="1247" t="str">
        <f t="shared" si="131"/>
        <v/>
      </c>
      <c r="EU647" s="1247" t="str">
        <f t="shared" si="132"/>
        <v/>
      </c>
      <c r="EV647" s="2909" t="str">
        <f t="shared" si="133"/>
        <v/>
      </c>
      <c r="EW647" s="2909" t="str">
        <f t="shared" si="134"/>
        <v/>
      </c>
      <c r="EX647" s="2909" t="str">
        <f t="shared" si="135"/>
        <v/>
      </c>
      <c r="EY647" s="2909" t="str">
        <f t="shared" si="136"/>
        <v/>
      </c>
      <c r="EZ647" s="2909" t="str">
        <f t="shared" si="137"/>
        <v/>
      </c>
      <c r="FA647" s="2909" t="str">
        <f t="shared" si="138"/>
        <v/>
      </c>
      <c r="FB647" s="2909" t="str">
        <f t="shared" si="139"/>
        <v/>
      </c>
      <c r="FC647" s="2909" t="str">
        <f t="shared" si="140"/>
        <v/>
      </c>
      <c r="FD647" s="2909" t="str">
        <f t="shared" si="141"/>
        <v/>
      </c>
      <c r="FE647" s="2909" t="str">
        <f t="shared" si="142"/>
        <v/>
      </c>
      <c r="FF647" s="2909" t="str">
        <f t="shared" si="143"/>
        <v/>
      </c>
      <c r="FG647" s="2909" t="str">
        <f t="shared" si="144"/>
        <v/>
      </c>
      <c r="FH647" s="2909" t="str">
        <f t="shared" si="145"/>
        <v/>
      </c>
      <c r="FI647" s="2909" t="str">
        <f t="shared" si="146"/>
        <v/>
      </c>
      <c r="FJ647" s="2909" t="str">
        <f t="shared" si="147"/>
        <v/>
      </c>
      <c r="FK647" s="2909" t="str">
        <f t="shared" si="148"/>
        <v/>
      </c>
      <c r="FL647" s="2909" t="str">
        <f t="shared" si="149"/>
        <v/>
      </c>
      <c r="FM647" s="2909" t="str">
        <f t="shared" si="150"/>
        <v/>
      </c>
      <c r="FN647" s="2909" t="str">
        <f t="shared" si="151"/>
        <v/>
      </c>
      <c r="FO647" s="2909" t="str">
        <f t="shared" si="152"/>
        <v/>
      </c>
      <c r="FP647" s="2909" t="str">
        <f t="shared" si="153"/>
        <v/>
      </c>
      <c r="FQ647" s="2909" t="str">
        <f t="shared" si="154"/>
        <v/>
      </c>
      <c r="FR647" s="2909" t="str">
        <f t="shared" si="155"/>
        <v/>
      </c>
      <c r="FS647" s="2909" t="str">
        <f t="shared" si="156"/>
        <v/>
      </c>
      <c r="FT647" s="2909" t="str">
        <f t="shared" si="157"/>
        <v/>
      </c>
      <c r="FU647" s="2909" t="str">
        <f t="shared" si="158"/>
        <v/>
      </c>
      <c r="FV647" s="2909" t="str">
        <f t="shared" si="159"/>
        <v/>
      </c>
      <c r="FW647" s="2909" t="str">
        <f t="shared" si="160"/>
        <v/>
      </c>
      <c r="FX647" s="2909" t="str">
        <f t="shared" si="161"/>
        <v/>
      </c>
      <c r="FY647" s="2909" t="str">
        <f t="shared" si="162"/>
        <v/>
      </c>
      <c r="FZ647" s="2909" t="str">
        <f t="shared" si="163"/>
        <v/>
      </c>
      <c r="GA647" s="2909" t="str">
        <f t="shared" si="164"/>
        <v/>
      </c>
      <c r="GB647" s="2909" t="str">
        <f t="shared" si="165"/>
        <v/>
      </c>
      <c r="GC647" s="2909" t="str">
        <f t="shared" si="166"/>
        <v/>
      </c>
      <c r="GD647" s="2909" t="str">
        <f t="shared" si="167"/>
        <v/>
      </c>
      <c r="GE647" s="2909" t="str">
        <f t="shared" si="168"/>
        <v/>
      </c>
      <c r="GF647" s="2909" t="str">
        <f t="shared" si="169"/>
        <v/>
      </c>
      <c r="GG647" s="2909" t="str">
        <f t="shared" si="170"/>
        <v/>
      </c>
      <c r="GH647" s="2909" t="str">
        <f t="shared" si="171"/>
        <v/>
      </c>
      <c r="GI647" s="2909" t="str">
        <f t="shared" si="172"/>
        <v/>
      </c>
      <c r="GJ647" s="2909" t="str">
        <f t="shared" si="173"/>
        <v/>
      </c>
      <c r="GK647" s="2909" t="str">
        <f t="shared" si="174"/>
        <v/>
      </c>
      <c r="GL647" s="2909" t="str">
        <f t="shared" si="175"/>
        <v/>
      </c>
      <c r="GM647" s="2909" t="str">
        <f t="shared" si="176"/>
        <v/>
      </c>
      <c r="GN647" s="2909" t="str">
        <f t="shared" si="177"/>
        <v/>
      </c>
      <c r="GO647" s="2909" t="str">
        <f t="shared" si="178"/>
        <v/>
      </c>
      <c r="GP647" s="2909" t="str">
        <f t="shared" si="179"/>
        <v/>
      </c>
      <c r="GQ647" s="2909" t="str">
        <f t="shared" si="180"/>
        <v/>
      </c>
      <c r="GR647" s="2909" t="str">
        <f t="shared" si="181"/>
        <v/>
      </c>
      <c r="GS647" s="2909" t="str">
        <f t="shared" si="182"/>
        <v/>
      </c>
      <c r="GT647" s="2909" t="str">
        <f t="shared" si="183"/>
        <v/>
      </c>
      <c r="GU647" s="2909" t="str">
        <f t="shared" si="184"/>
        <v/>
      </c>
      <c r="GV647" s="2909" t="str">
        <f t="shared" si="185"/>
        <v/>
      </c>
      <c r="GW647" s="2909" t="str">
        <f t="shared" si="186"/>
        <v/>
      </c>
      <c r="GX647" s="2909" t="str">
        <f t="shared" si="187"/>
        <v/>
      </c>
      <c r="GY647" s="2909" t="str">
        <f t="shared" si="188"/>
        <v/>
      </c>
      <c r="GZ647" s="2909" t="str">
        <f t="shared" si="189"/>
        <v/>
      </c>
      <c r="HA647" s="2909" t="str">
        <f t="shared" si="190"/>
        <v/>
      </c>
      <c r="HB647" s="2909" t="str">
        <f t="shared" si="191"/>
        <v/>
      </c>
      <c r="HC647" s="2909" t="str">
        <f t="shared" si="192"/>
        <v/>
      </c>
      <c r="HD647" s="2909" t="str">
        <f t="shared" si="193"/>
        <v/>
      </c>
      <c r="HE647" s="2909" t="str">
        <f t="shared" si="194"/>
        <v/>
      </c>
      <c r="HF647" s="2909" t="str">
        <f t="shared" si="195"/>
        <v/>
      </c>
      <c r="HG647" s="2909" t="str">
        <f t="shared" si="196"/>
        <v/>
      </c>
      <c r="HH647" s="2909" t="str">
        <f t="shared" si="197"/>
        <v/>
      </c>
      <c r="HI647" s="2909" t="str">
        <f t="shared" si="198"/>
        <v/>
      </c>
      <c r="HJ647" s="2909" t="str">
        <f t="shared" si="199"/>
        <v/>
      </c>
      <c r="HK647" s="2909" t="str">
        <f t="shared" si="200"/>
        <v/>
      </c>
      <c r="HL647" s="2909" t="str">
        <f t="shared" si="201"/>
        <v/>
      </c>
      <c r="HM647" s="2909" t="str">
        <f t="shared" si="202"/>
        <v/>
      </c>
      <c r="HN647" s="2909" t="str">
        <f t="shared" si="203"/>
        <v/>
      </c>
      <c r="HO647" s="2909" t="str">
        <f t="shared" si="204"/>
        <v/>
      </c>
      <c r="HP647" s="2909" t="str">
        <f t="shared" si="205"/>
        <v/>
      </c>
      <c r="HQ647" s="2909" t="str">
        <f t="shared" si="206"/>
        <v/>
      </c>
      <c r="HR647" s="2909" t="str">
        <f t="shared" si="207"/>
        <v/>
      </c>
      <c r="HS647" s="2909" t="str">
        <f t="shared" si="208"/>
        <v/>
      </c>
      <c r="HT647" s="2909" t="str">
        <f t="shared" si="209"/>
        <v/>
      </c>
      <c r="HU647" s="2909" t="str">
        <f t="shared" si="210"/>
        <v/>
      </c>
      <c r="HV647" s="2909" t="str">
        <f t="shared" si="211"/>
        <v/>
      </c>
      <c r="HW647" s="2909" t="str">
        <f t="shared" si="212"/>
        <v/>
      </c>
      <c r="HX647" s="2909" t="str">
        <f t="shared" si="213"/>
        <v/>
      </c>
      <c r="HY647" s="2909" t="str">
        <f t="shared" si="214"/>
        <v/>
      </c>
      <c r="HZ647" s="2909" t="str">
        <f t="shared" si="215"/>
        <v/>
      </c>
      <c r="IA647" s="2909" t="str">
        <f t="shared" si="216"/>
        <v/>
      </c>
      <c r="IB647" s="2909" t="str">
        <f t="shared" si="217"/>
        <v/>
      </c>
      <c r="IC647" s="2879" t="str">
        <f t="shared" si="218"/>
        <v/>
      </c>
      <c r="ID647" s="2879" t="str">
        <f t="shared" si="219"/>
        <v/>
      </c>
      <c r="IE647" s="2879" t="str">
        <f t="shared" si="220"/>
        <v/>
      </c>
      <c r="IF647" s="2879" t="str">
        <f t="shared" si="221"/>
        <v/>
      </c>
      <c r="IG647" s="2879" t="str">
        <f t="shared" si="222"/>
        <v/>
      </c>
      <c r="IH647" s="1247" t="str">
        <f t="shared" si="223"/>
        <v/>
      </c>
      <c r="II647" s="1247" t="str">
        <f t="shared" si="224"/>
        <v/>
      </c>
      <c r="IJ647" s="1247" t="str">
        <f t="shared" si="225"/>
        <v/>
      </c>
      <c r="IK647" s="1247" t="str">
        <f t="shared" si="226"/>
        <v/>
      </c>
      <c r="IL647" s="1247" t="str">
        <f t="shared" si="227"/>
        <v/>
      </c>
      <c r="IM647" s="1247" t="str">
        <f t="shared" si="228"/>
        <v/>
      </c>
      <c r="IN647" s="1247" t="str">
        <f t="shared" si="229"/>
        <v/>
      </c>
      <c r="IO647" s="1247" t="str">
        <f t="shared" si="230"/>
        <v/>
      </c>
      <c r="IP647" s="1247" t="str">
        <f t="shared" si="231"/>
        <v/>
      </c>
      <c r="IQ647" s="1247" t="str">
        <f t="shared" si="232"/>
        <v/>
      </c>
      <c r="IR647" s="1247" t="str">
        <f t="shared" si="233"/>
        <v/>
      </c>
      <c r="IS647" s="1247" t="str">
        <f t="shared" si="234"/>
        <v/>
      </c>
      <c r="IT647" s="1247" t="str">
        <f t="shared" si="235"/>
        <v/>
      </c>
      <c r="IU647" s="1247" t="str">
        <f t="shared" si="236"/>
        <v/>
      </c>
      <c r="IV647" s="1247" t="str">
        <f t="shared" si="237"/>
        <v/>
      </c>
      <c r="IW647" s="1247" t="str">
        <f t="shared" si="238"/>
        <v/>
      </c>
      <c r="IX647" s="1247" t="str">
        <f t="shared" si="239"/>
        <v/>
      </c>
      <c r="IY647" s="1247" t="str">
        <f t="shared" si="240"/>
        <v/>
      </c>
      <c r="IZ647" s="1247" t="str">
        <f t="shared" si="241"/>
        <v/>
      </c>
      <c r="JA647" s="1247" t="str">
        <f t="shared" si="242"/>
        <v/>
      </c>
      <c r="JB647" s="2877">
        <f t="shared" si="243"/>
        <v>0</v>
      </c>
      <c r="JC647" s="2877">
        <f t="shared" si="244"/>
        <v>0</v>
      </c>
      <c r="JD647" s="2877">
        <f t="shared" si="245"/>
        <v>0</v>
      </c>
      <c r="JE647" s="2877">
        <f t="shared" si="246"/>
        <v>0</v>
      </c>
      <c r="JF647" s="2877">
        <f t="shared" si="247"/>
        <v>0</v>
      </c>
      <c r="JG647" s="2877">
        <f t="shared" si="248"/>
        <v>0</v>
      </c>
      <c r="JH647" s="2877">
        <f t="shared" si="249"/>
        <v>0</v>
      </c>
      <c r="JI647" s="2877">
        <f t="shared" si="250"/>
        <v>0</v>
      </c>
      <c r="JJ647" s="2877">
        <f t="shared" si="251"/>
        <v>0</v>
      </c>
      <c r="JK647" s="2877">
        <f t="shared" si="252"/>
        <v>0</v>
      </c>
      <c r="JL647" s="2877">
        <f t="shared" si="253"/>
        <v>0</v>
      </c>
      <c r="JM647" s="2877">
        <f t="shared" si="254"/>
        <v>0</v>
      </c>
      <c r="JN647" s="2877">
        <f t="shared" si="255"/>
        <v>0</v>
      </c>
      <c r="JO647" s="2877">
        <f t="shared" si="256"/>
        <v>0</v>
      </c>
      <c r="JP647" s="2877">
        <f t="shared" si="257"/>
        <v>0</v>
      </c>
    </row>
    <row r="648" spans="1:276" ht="12" customHeight="1">
      <c r="A648" s="2891" t="str">
        <f t="shared" si="0"/>
        <v/>
      </c>
      <c r="B648" s="2900" t="str">
        <f>'Part VI-Revenues &amp; Expenses'!B28</f>
        <v>&lt;&lt;Select&gt;&gt;</v>
      </c>
      <c r="C648" s="2901">
        <f>'Part VI-Revenues &amp; Expenses'!C28</f>
        <v>0</v>
      </c>
      <c r="D648" s="2902">
        <f>'Part VI-Revenues &amp; Expenses'!D28</f>
        <v>0</v>
      </c>
      <c r="E648" s="2903">
        <f>'Part VI-Revenues &amp; Expenses'!E28</f>
        <v>0</v>
      </c>
      <c r="F648" s="2903">
        <f>'Part VI-Revenues &amp; Expenses'!F28</f>
        <v>0</v>
      </c>
      <c r="G648" s="2903">
        <f>'Part VI-Revenues &amp; Expenses'!G28</f>
        <v>0</v>
      </c>
      <c r="H648" s="2903">
        <f>'Part VI-Revenues &amp; Expenses'!H28</f>
        <v>0</v>
      </c>
      <c r="I648" s="2903">
        <f>'Part VI-Revenues &amp; Expenses'!I28</f>
        <v>0</v>
      </c>
      <c r="J648" s="2904">
        <f>'Part VI-Revenues &amp; Expenses'!J28</f>
        <v>0</v>
      </c>
      <c r="K648" s="2905">
        <f t="shared" si="1"/>
        <v>0</v>
      </c>
      <c r="L648" s="2905">
        <f t="shared" si="2"/>
        <v>0</v>
      </c>
      <c r="M648" s="2886">
        <f>'Part VI-Revenues &amp; Expenses'!M28</f>
        <v>0</v>
      </c>
      <c r="N648" s="2886">
        <f>'Part VI-Revenues &amp; Expenses'!N28</f>
        <v>0</v>
      </c>
      <c r="O648" s="2886">
        <f>'Part VI-Revenues &amp; Expenses'!O28</f>
        <v>0</v>
      </c>
      <c r="P648" s="2886">
        <f>'Part VI-Revenues &amp; Expenses'!P28</f>
        <v>0</v>
      </c>
      <c r="Q648" s="2906">
        <f>IF(H648="","",P648/($O$626*VLOOKUP(C648,'DCA Underwriting Assumptions'!$J$118:$K$123,2,FALSE)))</f>
        <v>0</v>
      </c>
      <c r="R648" s="2907"/>
      <c r="S648" s="2906"/>
      <c r="T648" s="2908"/>
      <c r="U648" s="2908"/>
      <c r="V648" s="1247" t="str">
        <f t="shared" si="3"/>
        <v/>
      </c>
      <c r="W648" s="1247" t="str">
        <f t="shared" si="4"/>
        <v/>
      </c>
      <c r="X648" s="1247" t="str">
        <f t="shared" si="5"/>
        <v/>
      </c>
      <c r="Y648" s="1247" t="str">
        <f t="shared" si="6"/>
        <v/>
      </c>
      <c r="Z648" s="1247" t="str">
        <f t="shared" si="7"/>
        <v/>
      </c>
      <c r="AA648" s="1247" t="str">
        <f t="shared" si="8"/>
        <v/>
      </c>
      <c r="AB648" s="1247" t="str">
        <f t="shared" si="9"/>
        <v/>
      </c>
      <c r="AC648" s="1247" t="str">
        <f t="shared" si="10"/>
        <v/>
      </c>
      <c r="AD648" s="1247" t="str">
        <f t="shared" si="11"/>
        <v/>
      </c>
      <c r="AE648" s="1247" t="str">
        <f t="shared" si="12"/>
        <v/>
      </c>
      <c r="AF648" s="1247" t="str">
        <f t="shared" si="13"/>
        <v/>
      </c>
      <c r="AG648" s="1247" t="str">
        <f t="shared" si="14"/>
        <v/>
      </c>
      <c r="AH648" s="1247" t="str">
        <f t="shared" si="15"/>
        <v/>
      </c>
      <c r="AI648" s="1247" t="str">
        <f t="shared" si="16"/>
        <v/>
      </c>
      <c r="AJ648" s="1247" t="str">
        <f t="shared" si="17"/>
        <v/>
      </c>
      <c r="AK648" s="1247" t="str">
        <f t="shared" si="18"/>
        <v/>
      </c>
      <c r="AL648" s="1247" t="str">
        <f t="shared" si="19"/>
        <v/>
      </c>
      <c r="AM648" s="1247" t="str">
        <f t="shared" si="20"/>
        <v/>
      </c>
      <c r="AN648" s="1247" t="str">
        <f t="shared" si="21"/>
        <v/>
      </c>
      <c r="AO648" s="1247" t="str">
        <f t="shared" si="22"/>
        <v/>
      </c>
      <c r="AP648" s="1247" t="str">
        <f t="shared" si="23"/>
        <v/>
      </c>
      <c r="AQ648" s="1247" t="str">
        <f t="shared" si="24"/>
        <v/>
      </c>
      <c r="AR648" s="1247" t="str">
        <f t="shared" si="25"/>
        <v/>
      </c>
      <c r="AS648" s="1247" t="str">
        <f t="shared" si="26"/>
        <v/>
      </c>
      <c r="AT648" s="1247" t="str">
        <f t="shared" si="27"/>
        <v/>
      </c>
      <c r="AU648" s="1247" t="str">
        <f t="shared" si="28"/>
        <v/>
      </c>
      <c r="AV648" s="1247" t="str">
        <f t="shared" si="29"/>
        <v/>
      </c>
      <c r="AW648" s="1247" t="str">
        <f t="shared" si="30"/>
        <v/>
      </c>
      <c r="AX648" s="1247" t="str">
        <f t="shared" si="31"/>
        <v/>
      </c>
      <c r="AY648" s="1247" t="str">
        <f t="shared" si="32"/>
        <v/>
      </c>
      <c r="AZ648" s="1247" t="str">
        <f t="shared" si="33"/>
        <v/>
      </c>
      <c r="BA648" s="1247" t="str">
        <f t="shared" si="34"/>
        <v/>
      </c>
      <c r="BB648" s="1247" t="str">
        <f t="shared" si="35"/>
        <v/>
      </c>
      <c r="BC648" s="1247" t="str">
        <f t="shared" si="36"/>
        <v/>
      </c>
      <c r="BD648" s="1247" t="str">
        <f t="shared" si="37"/>
        <v/>
      </c>
      <c r="BE648" s="1247" t="str">
        <f t="shared" si="38"/>
        <v/>
      </c>
      <c r="BF648" s="1247" t="str">
        <f t="shared" si="39"/>
        <v/>
      </c>
      <c r="BG648" s="1247" t="str">
        <f t="shared" si="40"/>
        <v/>
      </c>
      <c r="BH648" s="1247" t="str">
        <f t="shared" si="41"/>
        <v/>
      </c>
      <c r="BI648" s="1247" t="str">
        <f t="shared" si="42"/>
        <v/>
      </c>
      <c r="BJ648" s="1247" t="str">
        <f t="shared" si="43"/>
        <v/>
      </c>
      <c r="BK648" s="1247" t="str">
        <f t="shared" si="44"/>
        <v/>
      </c>
      <c r="BL648" s="1247" t="str">
        <f t="shared" si="45"/>
        <v/>
      </c>
      <c r="BM648" s="1247" t="str">
        <f t="shared" si="46"/>
        <v/>
      </c>
      <c r="BN648" s="1247" t="str">
        <f t="shared" si="47"/>
        <v/>
      </c>
      <c r="BO648" s="1247" t="str">
        <f t="shared" si="48"/>
        <v/>
      </c>
      <c r="BP648" s="1247" t="str">
        <f t="shared" si="49"/>
        <v/>
      </c>
      <c r="BQ648" s="1247" t="str">
        <f t="shared" si="50"/>
        <v/>
      </c>
      <c r="BR648" s="1247" t="str">
        <f t="shared" si="51"/>
        <v/>
      </c>
      <c r="BS648" s="1247" t="str">
        <f t="shared" si="52"/>
        <v/>
      </c>
      <c r="BT648" s="1247" t="str">
        <f t="shared" si="53"/>
        <v/>
      </c>
      <c r="BU648" s="1247" t="str">
        <f t="shared" si="54"/>
        <v/>
      </c>
      <c r="BV648" s="1247" t="str">
        <f t="shared" si="55"/>
        <v/>
      </c>
      <c r="BW648" s="1247" t="str">
        <f t="shared" si="56"/>
        <v/>
      </c>
      <c r="BX648" s="1247" t="str">
        <f t="shared" si="57"/>
        <v/>
      </c>
      <c r="BY648" s="1247" t="str">
        <f t="shared" si="58"/>
        <v/>
      </c>
      <c r="BZ648" s="1247" t="str">
        <f t="shared" si="59"/>
        <v/>
      </c>
      <c r="CA648" s="1247" t="str">
        <f t="shared" si="60"/>
        <v/>
      </c>
      <c r="CB648" s="1247" t="str">
        <f t="shared" si="61"/>
        <v/>
      </c>
      <c r="CC648" s="1247" t="str">
        <f t="shared" si="62"/>
        <v/>
      </c>
      <c r="CD648" s="1247" t="str">
        <f t="shared" si="63"/>
        <v/>
      </c>
      <c r="CE648" s="1247" t="str">
        <f t="shared" si="64"/>
        <v/>
      </c>
      <c r="CF648" s="1247" t="str">
        <f t="shared" si="65"/>
        <v/>
      </c>
      <c r="CG648" s="1247" t="str">
        <f t="shared" si="66"/>
        <v/>
      </c>
      <c r="CH648" s="1247" t="str">
        <f t="shared" si="67"/>
        <v/>
      </c>
      <c r="CI648" s="1247" t="str">
        <f t="shared" si="68"/>
        <v/>
      </c>
      <c r="CJ648" s="1247" t="str">
        <f t="shared" si="69"/>
        <v/>
      </c>
      <c r="CK648" s="1247" t="str">
        <f t="shared" si="70"/>
        <v/>
      </c>
      <c r="CL648" s="1247" t="str">
        <f t="shared" si="71"/>
        <v/>
      </c>
      <c r="CM648" s="1247" t="str">
        <f t="shared" si="72"/>
        <v/>
      </c>
      <c r="CN648" s="1247" t="str">
        <f t="shared" si="73"/>
        <v/>
      </c>
      <c r="CO648" s="1247" t="str">
        <f t="shared" si="74"/>
        <v/>
      </c>
      <c r="CP648" s="1247" t="str">
        <f t="shared" si="75"/>
        <v/>
      </c>
      <c r="CQ648" s="1247" t="str">
        <f t="shared" si="76"/>
        <v/>
      </c>
      <c r="CR648" s="1247" t="str">
        <f t="shared" si="77"/>
        <v/>
      </c>
      <c r="CS648" s="1247" t="str">
        <f t="shared" si="78"/>
        <v/>
      </c>
      <c r="CT648" s="1247" t="str">
        <f t="shared" si="79"/>
        <v/>
      </c>
      <c r="CU648" s="1247" t="str">
        <f t="shared" si="80"/>
        <v/>
      </c>
      <c r="CV648" s="1247" t="str">
        <f t="shared" si="81"/>
        <v/>
      </c>
      <c r="CW648" s="1247" t="str">
        <f t="shared" si="82"/>
        <v/>
      </c>
      <c r="CX648" s="1247" t="str">
        <f t="shared" si="83"/>
        <v/>
      </c>
      <c r="CY648" s="1247" t="str">
        <f t="shared" si="84"/>
        <v/>
      </c>
      <c r="CZ648" s="1247" t="str">
        <f t="shared" si="85"/>
        <v/>
      </c>
      <c r="DA648" s="1247" t="str">
        <f t="shared" si="86"/>
        <v/>
      </c>
      <c r="DB648" s="1247" t="str">
        <f t="shared" si="87"/>
        <v/>
      </c>
      <c r="DC648" s="1247" t="str">
        <f t="shared" si="88"/>
        <v/>
      </c>
      <c r="DD648" s="1247" t="str">
        <f t="shared" si="89"/>
        <v/>
      </c>
      <c r="DE648" s="1247" t="str">
        <f t="shared" si="90"/>
        <v/>
      </c>
      <c r="DF648" s="1247" t="str">
        <f t="shared" si="91"/>
        <v/>
      </c>
      <c r="DG648" s="1247" t="str">
        <f t="shared" si="92"/>
        <v/>
      </c>
      <c r="DH648" s="1247" t="str">
        <f t="shared" si="93"/>
        <v/>
      </c>
      <c r="DI648" s="1247" t="str">
        <f t="shared" si="94"/>
        <v/>
      </c>
      <c r="DJ648" s="1247" t="str">
        <f t="shared" si="95"/>
        <v/>
      </c>
      <c r="DK648" s="1247" t="str">
        <f t="shared" si="96"/>
        <v/>
      </c>
      <c r="DL648" s="1247" t="str">
        <f t="shared" si="97"/>
        <v/>
      </c>
      <c r="DM648" s="1247" t="str">
        <f t="shared" si="98"/>
        <v/>
      </c>
      <c r="DN648" s="1247" t="str">
        <f t="shared" si="99"/>
        <v/>
      </c>
      <c r="DO648" s="1247" t="str">
        <f t="shared" si="100"/>
        <v/>
      </c>
      <c r="DP648" s="1247" t="str">
        <f t="shared" si="101"/>
        <v/>
      </c>
      <c r="DQ648" s="1247" t="str">
        <f t="shared" si="102"/>
        <v/>
      </c>
      <c r="DR648" s="1247" t="str">
        <f t="shared" si="103"/>
        <v/>
      </c>
      <c r="DS648" s="1247" t="str">
        <f t="shared" si="104"/>
        <v/>
      </c>
      <c r="DT648" s="1247" t="str">
        <f t="shared" si="105"/>
        <v/>
      </c>
      <c r="DU648" s="1247" t="str">
        <f t="shared" si="106"/>
        <v/>
      </c>
      <c r="DV648" s="1247" t="str">
        <f t="shared" si="107"/>
        <v/>
      </c>
      <c r="DW648" s="1247" t="str">
        <f t="shared" si="108"/>
        <v/>
      </c>
      <c r="DX648" s="1247" t="str">
        <f t="shared" si="109"/>
        <v/>
      </c>
      <c r="DY648" s="1247" t="str">
        <f t="shared" si="110"/>
        <v/>
      </c>
      <c r="DZ648" s="1247" t="str">
        <f t="shared" si="111"/>
        <v/>
      </c>
      <c r="EA648" s="1247" t="str">
        <f t="shared" si="112"/>
        <v/>
      </c>
      <c r="EB648" s="1247" t="str">
        <f t="shared" si="113"/>
        <v/>
      </c>
      <c r="EC648" s="1247" t="str">
        <f t="shared" si="114"/>
        <v/>
      </c>
      <c r="ED648" s="1247" t="str">
        <f t="shared" si="115"/>
        <v/>
      </c>
      <c r="EE648" s="1247" t="str">
        <f t="shared" si="116"/>
        <v/>
      </c>
      <c r="EF648" s="1247" t="str">
        <f t="shared" si="117"/>
        <v/>
      </c>
      <c r="EG648" s="1247" t="str">
        <f t="shared" si="118"/>
        <v/>
      </c>
      <c r="EH648" s="1247" t="str">
        <f t="shared" si="119"/>
        <v/>
      </c>
      <c r="EI648" s="1247" t="str">
        <f t="shared" si="120"/>
        <v/>
      </c>
      <c r="EJ648" s="1247" t="str">
        <f t="shared" si="121"/>
        <v/>
      </c>
      <c r="EK648" s="1247" t="str">
        <f t="shared" si="122"/>
        <v/>
      </c>
      <c r="EL648" s="1247" t="str">
        <f t="shared" si="123"/>
        <v/>
      </c>
      <c r="EM648" s="1247" t="str">
        <f t="shared" si="124"/>
        <v/>
      </c>
      <c r="EN648" s="1247" t="str">
        <f t="shared" si="125"/>
        <v/>
      </c>
      <c r="EO648" s="1247" t="str">
        <f t="shared" si="126"/>
        <v/>
      </c>
      <c r="EP648" s="1247" t="str">
        <f t="shared" si="127"/>
        <v/>
      </c>
      <c r="EQ648" s="1247" t="str">
        <f t="shared" si="128"/>
        <v/>
      </c>
      <c r="ER648" s="1247" t="str">
        <f t="shared" si="129"/>
        <v/>
      </c>
      <c r="ES648" s="1247" t="str">
        <f t="shared" si="130"/>
        <v/>
      </c>
      <c r="ET648" s="1247" t="str">
        <f t="shared" si="131"/>
        <v/>
      </c>
      <c r="EU648" s="1247" t="str">
        <f t="shared" si="132"/>
        <v/>
      </c>
      <c r="EV648" s="2909" t="str">
        <f t="shared" si="133"/>
        <v/>
      </c>
      <c r="EW648" s="2909" t="str">
        <f t="shared" si="134"/>
        <v/>
      </c>
      <c r="EX648" s="2909" t="str">
        <f t="shared" si="135"/>
        <v/>
      </c>
      <c r="EY648" s="2909" t="str">
        <f t="shared" si="136"/>
        <v/>
      </c>
      <c r="EZ648" s="2909" t="str">
        <f t="shared" si="137"/>
        <v/>
      </c>
      <c r="FA648" s="2909" t="str">
        <f t="shared" si="138"/>
        <v/>
      </c>
      <c r="FB648" s="2909" t="str">
        <f t="shared" si="139"/>
        <v/>
      </c>
      <c r="FC648" s="2909" t="str">
        <f t="shared" si="140"/>
        <v/>
      </c>
      <c r="FD648" s="2909" t="str">
        <f t="shared" si="141"/>
        <v/>
      </c>
      <c r="FE648" s="2909" t="str">
        <f t="shared" si="142"/>
        <v/>
      </c>
      <c r="FF648" s="2909" t="str">
        <f t="shared" si="143"/>
        <v/>
      </c>
      <c r="FG648" s="2909" t="str">
        <f t="shared" si="144"/>
        <v/>
      </c>
      <c r="FH648" s="2909" t="str">
        <f t="shared" si="145"/>
        <v/>
      </c>
      <c r="FI648" s="2909" t="str">
        <f t="shared" si="146"/>
        <v/>
      </c>
      <c r="FJ648" s="2909" t="str">
        <f t="shared" si="147"/>
        <v/>
      </c>
      <c r="FK648" s="2909" t="str">
        <f t="shared" si="148"/>
        <v/>
      </c>
      <c r="FL648" s="2909" t="str">
        <f t="shared" si="149"/>
        <v/>
      </c>
      <c r="FM648" s="2909" t="str">
        <f t="shared" si="150"/>
        <v/>
      </c>
      <c r="FN648" s="2909" t="str">
        <f t="shared" si="151"/>
        <v/>
      </c>
      <c r="FO648" s="2909" t="str">
        <f t="shared" si="152"/>
        <v/>
      </c>
      <c r="FP648" s="2909" t="str">
        <f t="shared" si="153"/>
        <v/>
      </c>
      <c r="FQ648" s="2909" t="str">
        <f t="shared" si="154"/>
        <v/>
      </c>
      <c r="FR648" s="2909" t="str">
        <f t="shared" si="155"/>
        <v/>
      </c>
      <c r="FS648" s="2909" t="str">
        <f t="shared" si="156"/>
        <v/>
      </c>
      <c r="FT648" s="2909" t="str">
        <f t="shared" si="157"/>
        <v/>
      </c>
      <c r="FU648" s="2909" t="str">
        <f t="shared" si="158"/>
        <v/>
      </c>
      <c r="FV648" s="2909" t="str">
        <f t="shared" si="159"/>
        <v/>
      </c>
      <c r="FW648" s="2909" t="str">
        <f t="shared" si="160"/>
        <v/>
      </c>
      <c r="FX648" s="2909" t="str">
        <f t="shared" si="161"/>
        <v/>
      </c>
      <c r="FY648" s="2909" t="str">
        <f t="shared" si="162"/>
        <v/>
      </c>
      <c r="FZ648" s="2909" t="str">
        <f t="shared" si="163"/>
        <v/>
      </c>
      <c r="GA648" s="2909" t="str">
        <f t="shared" si="164"/>
        <v/>
      </c>
      <c r="GB648" s="2909" t="str">
        <f t="shared" si="165"/>
        <v/>
      </c>
      <c r="GC648" s="2909" t="str">
        <f t="shared" si="166"/>
        <v/>
      </c>
      <c r="GD648" s="2909" t="str">
        <f t="shared" si="167"/>
        <v/>
      </c>
      <c r="GE648" s="2909" t="str">
        <f t="shared" si="168"/>
        <v/>
      </c>
      <c r="GF648" s="2909" t="str">
        <f t="shared" si="169"/>
        <v/>
      </c>
      <c r="GG648" s="2909" t="str">
        <f t="shared" si="170"/>
        <v/>
      </c>
      <c r="GH648" s="2909" t="str">
        <f t="shared" si="171"/>
        <v/>
      </c>
      <c r="GI648" s="2909" t="str">
        <f t="shared" si="172"/>
        <v/>
      </c>
      <c r="GJ648" s="2909" t="str">
        <f t="shared" si="173"/>
        <v/>
      </c>
      <c r="GK648" s="2909" t="str">
        <f t="shared" si="174"/>
        <v/>
      </c>
      <c r="GL648" s="2909" t="str">
        <f t="shared" si="175"/>
        <v/>
      </c>
      <c r="GM648" s="2909" t="str">
        <f t="shared" si="176"/>
        <v/>
      </c>
      <c r="GN648" s="2909" t="str">
        <f t="shared" si="177"/>
        <v/>
      </c>
      <c r="GO648" s="2909" t="str">
        <f t="shared" si="178"/>
        <v/>
      </c>
      <c r="GP648" s="2909" t="str">
        <f t="shared" si="179"/>
        <v/>
      </c>
      <c r="GQ648" s="2909" t="str">
        <f t="shared" si="180"/>
        <v/>
      </c>
      <c r="GR648" s="2909" t="str">
        <f t="shared" si="181"/>
        <v/>
      </c>
      <c r="GS648" s="2909" t="str">
        <f t="shared" si="182"/>
        <v/>
      </c>
      <c r="GT648" s="2909" t="str">
        <f t="shared" si="183"/>
        <v/>
      </c>
      <c r="GU648" s="2909" t="str">
        <f t="shared" si="184"/>
        <v/>
      </c>
      <c r="GV648" s="2909" t="str">
        <f t="shared" si="185"/>
        <v/>
      </c>
      <c r="GW648" s="2909" t="str">
        <f t="shared" si="186"/>
        <v/>
      </c>
      <c r="GX648" s="2909" t="str">
        <f t="shared" si="187"/>
        <v/>
      </c>
      <c r="GY648" s="2909" t="str">
        <f t="shared" si="188"/>
        <v/>
      </c>
      <c r="GZ648" s="2909" t="str">
        <f t="shared" si="189"/>
        <v/>
      </c>
      <c r="HA648" s="2909" t="str">
        <f t="shared" si="190"/>
        <v/>
      </c>
      <c r="HB648" s="2909" t="str">
        <f t="shared" si="191"/>
        <v/>
      </c>
      <c r="HC648" s="2909" t="str">
        <f t="shared" si="192"/>
        <v/>
      </c>
      <c r="HD648" s="2909" t="str">
        <f t="shared" si="193"/>
        <v/>
      </c>
      <c r="HE648" s="2909" t="str">
        <f t="shared" si="194"/>
        <v/>
      </c>
      <c r="HF648" s="2909" t="str">
        <f t="shared" si="195"/>
        <v/>
      </c>
      <c r="HG648" s="2909" t="str">
        <f t="shared" si="196"/>
        <v/>
      </c>
      <c r="HH648" s="2909" t="str">
        <f t="shared" si="197"/>
        <v/>
      </c>
      <c r="HI648" s="2909" t="str">
        <f t="shared" si="198"/>
        <v/>
      </c>
      <c r="HJ648" s="2909" t="str">
        <f t="shared" si="199"/>
        <v/>
      </c>
      <c r="HK648" s="2909" t="str">
        <f t="shared" si="200"/>
        <v/>
      </c>
      <c r="HL648" s="2909" t="str">
        <f t="shared" si="201"/>
        <v/>
      </c>
      <c r="HM648" s="2909" t="str">
        <f t="shared" si="202"/>
        <v/>
      </c>
      <c r="HN648" s="2909" t="str">
        <f t="shared" si="203"/>
        <v/>
      </c>
      <c r="HO648" s="2909" t="str">
        <f t="shared" si="204"/>
        <v/>
      </c>
      <c r="HP648" s="2909" t="str">
        <f t="shared" si="205"/>
        <v/>
      </c>
      <c r="HQ648" s="2909" t="str">
        <f t="shared" si="206"/>
        <v/>
      </c>
      <c r="HR648" s="2909" t="str">
        <f t="shared" si="207"/>
        <v/>
      </c>
      <c r="HS648" s="2909" t="str">
        <f t="shared" si="208"/>
        <v/>
      </c>
      <c r="HT648" s="2909" t="str">
        <f t="shared" si="209"/>
        <v/>
      </c>
      <c r="HU648" s="2909" t="str">
        <f t="shared" si="210"/>
        <v/>
      </c>
      <c r="HV648" s="2909" t="str">
        <f t="shared" si="211"/>
        <v/>
      </c>
      <c r="HW648" s="2909" t="str">
        <f t="shared" si="212"/>
        <v/>
      </c>
      <c r="HX648" s="2909" t="str">
        <f t="shared" si="213"/>
        <v/>
      </c>
      <c r="HY648" s="2909" t="str">
        <f t="shared" si="214"/>
        <v/>
      </c>
      <c r="HZ648" s="2909" t="str">
        <f t="shared" si="215"/>
        <v/>
      </c>
      <c r="IA648" s="2909" t="str">
        <f t="shared" si="216"/>
        <v/>
      </c>
      <c r="IB648" s="2909" t="str">
        <f t="shared" si="217"/>
        <v/>
      </c>
      <c r="IC648" s="2879" t="str">
        <f t="shared" si="218"/>
        <v/>
      </c>
      <c r="ID648" s="2879" t="str">
        <f t="shared" si="219"/>
        <v/>
      </c>
      <c r="IE648" s="2879" t="str">
        <f t="shared" si="220"/>
        <v/>
      </c>
      <c r="IF648" s="2879" t="str">
        <f t="shared" si="221"/>
        <v/>
      </c>
      <c r="IG648" s="2879" t="str">
        <f t="shared" si="222"/>
        <v/>
      </c>
      <c r="IH648" s="1247" t="str">
        <f t="shared" si="223"/>
        <v/>
      </c>
      <c r="II648" s="1247" t="str">
        <f t="shared" si="224"/>
        <v/>
      </c>
      <c r="IJ648" s="1247" t="str">
        <f t="shared" si="225"/>
        <v/>
      </c>
      <c r="IK648" s="1247" t="str">
        <f t="shared" si="226"/>
        <v/>
      </c>
      <c r="IL648" s="1247" t="str">
        <f t="shared" si="227"/>
        <v/>
      </c>
      <c r="IM648" s="1247" t="str">
        <f t="shared" si="228"/>
        <v/>
      </c>
      <c r="IN648" s="1247" t="str">
        <f t="shared" si="229"/>
        <v/>
      </c>
      <c r="IO648" s="1247" t="str">
        <f t="shared" si="230"/>
        <v/>
      </c>
      <c r="IP648" s="1247" t="str">
        <f t="shared" si="231"/>
        <v/>
      </c>
      <c r="IQ648" s="1247" t="str">
        <f t="shared" si="232"/>
        <v/>
      </c>
      <c r="IR648" s="1247" t="str">
        <f t="shared" si="233"/>
        <v/>
      </c>
      <c r="IS648" s="1247" t="str">
        <f t="shared" si="234"/>
        <v/>
      </c>
      <c r="IT648" s="1247" t="str">
        <f t="shared" si="235"/>
        <v/>
      </c>
      <c r="IU648" s="1247" t="str">
        <f t="shared" si="236"/>
        <v/>
      </c>
      <c r="IV648" s="1247" t="str">
        <f t="shared" si="237"/>
        <v/>
      </c>
      <c r="IW648" s="1247" t="str">
        <f t="shared" si="238"/>
        <v/>
      </c>
      <c r="IX648" s="1247" t="str">
        <f t="shared" si="239"/>
        <v/>
      </c>
      <c r="IY648" s="1247" t="str">
        <f t="shared" si="240"/>
        <v/>
      </c>
      <c r="IZ648" s="1247" t="str">
        <f t="shared" si="241"/>
        <v/>
      </c>
      <c r="JA648" s="1247" t="str">
        <f t="shared" si="242"/>
        <v/>
      </c>
      <c r="JB648" s="2877">
        <f t="shared" si="243"/>
        <v>0</v>
      </c>
      <c r="JC648" s="2877">
        <f t="shared" si="244"/>
        <v>0</v>
      </c>
      <c r="JD648" s="2877">
        <f t="shared" si="245"/>
        <v>0</v>
      </c>
      <c r="JE648" s="2877">
        <f t="shared" si="246"/>
        <v>0</v>
      </c>
      <c r="JF648" s="2877">
        <f t="shared" si="247"/>
        <v>0</v>
      </c>
      <c r="JG648" s="2877">
        <f t="shared" si="248"/>
        <v>0</v>
      </c>
      <c r="JH648" s="2877">
        <f t="shared" si="249"/>
        <v>0</v>
      </c>
      <c r="JI648" s="2877">
        <f t="shared" si="250"/>
        <v>0</v>
      </c>
      <c r="JJ648" s="2877">
        <f t="shared" si="251"/>
        <v>0</v>
      </c>
      <c r="JK648" s="2877">
        <f t="shared" si="252"/>
        <v>0</v>
      </c>
      <c r="JL648" s="2877">
        <f t="shared" si="253"/>
        <v>0</v>
      </c>
      <c r="JM648" s="2877">
        <f t="shared" si="254"/>
        <v>0</v>
      </c>
      <c r="JN648" s="2877">
        <f t="shared" si="255"/>
        <v>0</v>
      </c>
      <c r="JO648" s="2877">
        <f t="shared" si="256"/>
        <v>0</v>
      </c>
      <c r="JP648" s="2877">
        <f t="shared" si="257"/>
        <v>0</v>
      </c>
    </row>
    <row r="649" spans="1:276" ht="12" customHeight="1">
      <c r="A649" s="2891" t="str">
        <f t="shared" si="0"/>
        <v/>
      </c>
      <c r="B649" s="2900" t="str">
        <f>'Part VI-Revenues &amp; Expenses'!B29</f>
        <v>&lt;&lt;Select&gt;&gt;</v>
      </c>
      <c r="C649" s="2901">
        <f>'Part VI-Revenues &amp; Expenses'!C29</f>
        <v>0</v>
      </c>
      <c r="D649" s="2902">
        <f>'Part VI-Revenues &amp; Expenses'!D29</f>
        <v>0</v>
      </c>
      <c r="E649" s="2903">
        <f>'Part VI-Revenues &amp; Expenses'!E29</f>
        <v>0</v>
      </c>
      <c r="F649" s="2903">
        <f>'Part VI-Revenues &amp; Expenses'!F29</f>
        <v>0</v>
      </c>
      <c r="G649" s="2903">
        <f>'Part VI-Revenues &amp; Expenses'!G29</f>
        <v>0</v>
      </c>
      <c r="H649" s="2903">
        <f>'Part VI-Revenues &amp; Expenses'!H29</f>
        <v>0</v>
      </c>
      <c r="I649" s="2903">
        <f>'Part VI-Revenues &amp; Expenses'!I29</f>
        <v>0</v>
      </c>
      <c r="J649" s="2904">
        <f>'Part VI-Revenues &amp; Expenses'!J29</f>
        <v>0</v>
      </c>
      <c r="K649" s="2905">
        <f t="shared" si="1"/>
        <v>0</v>
      </c>
      <c r="L649" s="2905">
        <f t="shared" si="2"/>
        <v>0</v>
      </c>
      <c r="M649" s="2886">
        <f>'Part VI-Revenues &amp; Expenses'!M29</f>
        <v>0</v>
      </c>
      <c r="N649" s="2886">
        <f>'Part VI-Revenues &amp; Expenses'!N29</f>
        <v>0</v>
      </c>
      <c r="O649" s="2886">
        <f>'Part VI-Revenues &amp; Expenses'!O29</f>
        <v>0</v>
      </c>
      <c r="P649" s="2886">
        <f>'Part VI-Revenues &amp; Expenses'!P29</f>
        <v>0</v>
      </c>
      <c r="Q649" s="2906">
        <f>IF(H649="","",P649/($O$626*VLOOKUP(C649,'DCA Underwriting Assumptions'!$J$118:$K$123,2,FALSE)))</f>
        <v>0</v>
      </c>
      <c r="R649" s="2907"/>
      <c r="S649" s="2906"/>
      <c r="T649" s="2908"/>
      <c r="U649" s="2908"/>
      <c r="V649" s="1247" t="str">
        <f t="shared" si="3"/>
        <v/>
      </c>
      <c r="W649" s="1247" t="str">
        <f t="shared" si="4"/>
        <v/>
      </c>
      <c r="X649" s="1247" t="str">
        <f t="shared" si="5"/>
        <v/>
      </c>
      <c r="Y649" s="1247" t="str">
        <f t="shared" si="6"/>
        <v/>
      </c>
      <c r="Z649" s="1247" t="str">
        <f t="shared" si="7"/>
        <v/>
      </c>
      <c r="AA649" s="1247" t="str">
        <f t="shared" si="8"/>
        <v/>
      </c>
      <c r="AB649" s="1247" t="str">
        <f t="shared" si="9"/>
        <v/>
      </c>
      <c r="AC649" s="1247" t="str">
        <f t="shared" si="10"/>
        <v/>
      </c>
      <c r="AD649" s="1247" t="str">
        <f t="shared" si="11"/>
        <v/>
      </c>
      <c r="AE649" s="1247" t="str">
        <f t="shared" si="12"/>
        <v/>
      </c>
      <c r="AF649" s="1247" t="str">
        <f t="shared" si="13"/>
        <v/>
      </c>
      <c r="AG649" s="1247" t="str">
        <f t="shared" si="14"/>
        <v/>
      </c>
      <c r="AH649" s="1247" t="str">
        <f t="shared" si="15"/>
        <v/>
      </c>
      <c r="AI649" s="1247" t="str">
        <f t="shared" si="16"/>
        <v/>
      </c>
      <c r="AJ649" s="1247" t="str">
        <f t="shared" si="17"/>
        <v/>
      </c>
      <c r="AK649" s="1247" t="str">
        <f t="shared" si="18"/>
        <v/>
      </c>
      <c r="AL649" s="1247" t="str">
        <f t="shared" si="19"/>
        <v/>
      </c>
      <c r="AM649" s="1247" t="str">
        <f t="shared" si="20"/>
        <v/>
      </c>
      <c r="AN649" s="1247" t="str">
        <f t="shared" si="21"/>
        <v/>
      </c>
      <c r="AO649" s="1247" t="str">
        <f t="shared" si="22"/>
        <v/>
      </c>
      <c r="AP649" s="1247" t="str">
        <f t="shared" si="23"/>
        <v/>
      </c>
      <c r="AQ649" s="1247" t="str">
        <f t="shared" si="24"/>
        <v/>
      </c>
      <c r="AR649" s="1247" t="str">
        <f t="shared" si="25"/>
        <v/>
      </c>
      <c r="AS649" s="1247" t="str">
        <f t="shared" si="26"/>
        <v/>
      </c>
      <c r="AT649" s="1247" t="str">
        <f t="shared" si="27"/>
        <v/>
      </c>
      <c r="AU649" s="1247" t="str">
        <f t="shared" si="28"/>
        <v/>
      </c>
      <c r="AV649" s="1247" t="str">
        <f t="shared" si="29"/>
        <v/>
      </c>
      <c r="AW649" s="1247" t="str">
        <f t="shared" si="30"/>
        <v/>
      </c>
      <c r="AX649" s="1247" t="str">
        <f t="shared" si="31"/>
        <v/>
      </c>
      <c r="AY649" s="1247" t="str">
        <f t="shared" si="32"/>
        <v/>
      </c>
      <c r="AZ649" s="1247" t="str">
        <f t="shared" si="33"/>
        <v/>
      </c>
      <c r="BA649" s="1247" t="str">
        <f t="shared" si="34"/>
        <v/>
      </c>
      <c r="BB649" s="1247" t="str">
        <f t="shared" si="35"/>
        <v/>
      </c>
      <c r="BC649" s="1247" t="str">
        <f t="shared" si="36"/>
        <v/>
      </c>
      <c r="BD649" s="1247" t="str">
        <f t="shared" si="37"/>
        <v/>
      </c>
      <c r="BE649" s="1247" t="str">
        <f t="shared" si="38"/>
        <v/>
      </c>
      <c r="BF649" s="1247" t="str">
        <f t="shared" si="39"/>
        <v/>
      </c>
      <c r="BG649" s="1247" t="str">
        <f t="shared" si="40"/>
        <v/>
      </c>
      <c r="BH649" s="1247" t="str">
        <f t="shared" si="41"/>
        <v/>
      </c>
      <c r="BI649" s="1247" t="str">
        <f t="shared" si="42"/>
        <v/>
      </c>
      <c r="BJ649" s="1247" t="str">
        <f t="shared" si="43"/>
        <v/>
      </c>
      <c r="BK649" s="1247" t="str">
        <f t="shared" si="44"/>
        <v/>
      </c>
      <c r="BL649" s="1247" t="str">
        <f t="shared" si="45"/>
        <v/>
      </c>
      <c r="BM649" s="1247" t="str">
        <f t="shared" si="46"/>
        <v/>
      </c>
      <c r="BN649" s="1247" t="str">
        <f t="shared" si="47"/>
        <v/>
      </c>
      <c r="BO649" s="1247" t="str">
        <f t="shared" si="48"/>
        <v/>
      </c>
      <c r="BP649" s="1247" t="str">
        <f t="shared" si="49"/>
        <v/>
      </c>
      <c r="BQ649" s="1247" t="str">
        <f t="shared" si="50"/>
        <v/>
      </c>
      <c r="BR649" s="1247" t="str">
        <f t="shared" si="51"/>
        <v/>
      </c>
      <c r="BS649" s="1247" t="str">
        <f t="shared" si="52"/>
        <v/>
      </c>
      <c r="BT649" s="1247" t="str">
        <f t="shared" si="53"/>
        <v/>
      </c>
      <c r="BU649" s="1247" t="str">
        <f t="shared" si="54"/>
        <v/>
      </c>
      <c r="BV649" s="1247" t="str">
        <f t="shared" si="55"/>
        <v/>
      </c>
      <c r="BW649" s="1247" t="str">
        <f t="shared" si="56"/>
        <v/>
      </c>
      <c r="BX649" s="1247" t="str">
        <f t="shared" si="57"/>
        <v/>
      </c>
      <c r="BY649" s="1247" t="str">
        <f t="shared" si="58"/>
        <v/>
      </c>
      <c r="BZ649" s="1247" t="str">
        <f t="shared" si="59"/>
        <v/>
      </c>
      <c r="CA649" s="1247" t="str">
        <f t="shared" si="60"/>
        <v/>
      </c>
      <c r="CB649" s="1247" t="str">
        <f t="shared" si="61"/>
        <v/>
      </c>
      <c r="CC649" s="1247" t="str">
        <f t="shared" si="62"/>
        <v/>
      </c>
      <c r="CD649" s="1247" t="str">
        <f t="shared" si="63"/>
        <v/>
      </c>
      <c r="CE649" s="1247" t="str">
        <f t="shared" si="64"/>
        <v/>
      </c>
      <c r="CF649" s="1247" t="str">
        <f t="shared" si="65"/>
        <v/>
      </c>
      <c r="CG649" s="1247" t="str">
        <f t="shared" si="66"/>
        <v/>
      </c>
      <c r="CH649" s="1247" t="str">
        <f t="shared" si="67"/>
        <v/>
      </c>
      <c r="CI649" s="1247" t="str">
        <f t="shared" si="68"/>
        <v/>
      </c>
      <c r="CJ649" s="1247" t="str">
        <f t="shared" si="69"/>
        <v/>
      </c>
      <c r="CK649" s="1247" t="str">
        <f t="shared" si="70"/>
        <v/>
      </c>
      <c r="CL649" s="1247" t="str">
        <f t="shared" si="71"/>
        <v/>
      </c>
      <c r="CM649" s="1247" t="str">
        <f t="shared" si="72"/>
        <v/>
      </c>
      <c r="CN649" s="1247" t="str">
        <f t="shared" si="73"/>
        <v/>
      </c>
      <c r="CO649" s="1247" t="str">
        <f t="shared" si="74"/>
        <v/>
      </c>
      <c r="CP649" s="1247" t="str">
        <f t="shared" si="75"/>
        <v/>
      </c>
      <c r="CQ649" s="1247" t="str">
        <f t="shared" si="76"/>
        <v/>
      </c>
      <c r="CR649" s="1247" t="str">
        <f t="shared" si="77"/>
        <v/>
      </c>
      <c r="CS649" s="1247" t="str">
        <f t="shared" si="78"/>
        <v/>
      </c>
      <c r="CT649" s="1247" t="str">
        <f t="shared" si="79"/>
        <v/>
      </c>
      <c r="CU649" s="1247" t="str">
        <f t="shared" si="80"/>
        <v/>
      </c>
      <c r="CV649" s="1247" t="str">
        <f t="shared" si="81"/>
        <v/>
      </c>
      <c r="CW649" s="1247" t="str">
        <f t="shared" si="82"/>
        <v/>
      </c>
      <c r="CX649" s="1247" t="str">
        <f t="shared" si="83"/>
        <v/>
      </c>
      <c r="CY649" s="1247" t="str">
        <f t="shared" si="84"/>
        <v/>
      </c>
      <c r="CZ649" s="1247" t="str">
        <f t="shared" si="85"/>
        <v/>
      </c>
      <c r="DA649" s="1247" t="str">
        <f t="shared" si="86"/>
        <v/>
      </c>
      <c r="DB649" s="1247" t="str">
        <f t="shared" si="87"/>
        <v/>
      </c>
      <c r="DC649" s="1247" t="str">
        <f t="shared" si="88"/>
        <v/>
      </c>
      <c r="DD649" s="1247" t="str">
        <f t="shared" si="89"/>
        <v/>
      </c>
      <c r="DE649" s="1247" t="str">
        <f t="shared" si="90"/>
        <v/>
      </c>
      <c r="DF649" s="1247" t="str">
        <f t="shared" si="91"/>
        <v/>
      </c>
      <c r="DG649" s="1247" t="str">
        <f t="shared" si="92"/>
        <v/>
      </c>
      <c r="DH649" s="1247" t="str">
        <f t="shared" si="93"/>
        <v/>
      </c>
      <c r="DI649" s="1247" t="str">
        <f t="shared" si="94"/>
        <v/>
      </c>
      <c r="DJ649" s="1247" t="str">
        <f t="shared" si="95"/>
        <v/>
      </c>
      <c r="DK649" s="1247" t="str">
        <f t="shared" si="96"/>
        <v/>
      </c>
      <c r="DL649" s="1247" t="str">
        <f t="shared" si="97"/>
        <v/>
      </c>
      <c r="DM649" s="1247" t="str">
        <f t="shared" si="98"/>
        <v/>
      </c>
      <c r="DN649" s="1247" t="str">
        <f t="shared" si="99"/>
        <v/>
      </c>
      <c r="DO649" s="1247" t="str">
        <f t="shared" si="100"/>
        <v/>
      </c>
      <c r="DP649" s="1247" t="str">
        <f t="shared" si="101"/>
        <v/>
      </c>
      <c r="DQ649" s="1247" t="str">
        <f t="shared" si="102"/>
        <v/>
      </c>
      <c r="DR649" s="1247" t="str">
        <f t="shared" si="103"/>
        <v/>
      </c>
      <c r="DS649" s="1247" t="str">
        <f t="shared" si="104"/>
        <v/>
      </c>
      <c r="DT649" s="1247" t="str">
        <f t="shared" si="105"/>
        <v/>
      </c>
      <c r="DU649" s="1247" t="str">
        <f t="shared" si="106"/>
        <v/>
      </c>
      <c r="DV649" s="1247" t="str">
        <f t="shared" si="107"/>
        <v/>
      </c>
      <c r="DW649" s="1247" t="str">
        <f t="shared" si="108"/>
        <v/>
      </c>
      <c r="DX649" s="1247" t="str">
        <f t="shared" si="109"/>
        <v/>
      </c>
      <c r="DY649" s="1247" t="str">
        <f t="shared" si="110"/>
        <v/>
      </c>
      <c r="DZ649" s="1247" t="str">
        <f t="shared" si="111"/>
        <v/>
      </c>
      <c r="EA649" s="1247" t="str">
        <f t="shared" si="112"/>
        <v/>
      </c>
      <c r="EB649" s="1247" t="str">
        <f t="shared" si="113"/>
        <v/>
      </c>
      <c r="EC649" s="1247" t="str">
        <f t="shared" si="114"/>
        <v/>
      </c>
      <c r="ED649" s="1247" t="str">
        <f t="shared" si="115"/>
        <v/>
      </c>
      <c r="EE649" s="1247" t="str">
        <f t="shared" si="116"/>
        <v/>
      </c>
      <c r="EF649" s="1247" t="str">
        <f t="shared" si="117"/>
        <v/>
      </c>
      <c r="EG649" s="1247" t="str">
        <f t="shared" si="118"/>
        <v/>
      </c>
      <c r="EH649" s="1247" t="str">
        <f t="shared" si="119"/>
        <v/>
      </c>
      <c r="EI649" s="1247" t="str">
        <f t="shared" si="120"/>
        <v/>
      </c>
      <c r="EJ649" s="1247" t="str">
        <f t="shared" si="121"/>
        <v/>
      </c>
      <c r="EK649" s="1247" t="str">
        <f t="shared" si="122"/>
        <v/>
      </c>
      <c r="EL649" s="1247" t="str">
        <f t="shared" si="123"/>
        <v/>
      </c>
      <c r="EM649" s="1247" t="str">
        <f t="shared" si="124"/>
        <v/>
      </c>
      <c r="EN649" s="1247" t="str">
        <f t="shared" si="125"/>
        <v/>
      </c>
      <c r="EO649" s="1247" t="str">
        <f t="shared" si="126"/>
        <v/>
      </c>
      <c r="EP649" s="1247" t="str">
        <f t="shared" si="127"/>
        <v/>
      </c>
      <c r="EQ649" s="1247" t="str">
        <f t="shared" si="128"/>
        <v/>
      </c>
      <c r="ER649" s="1247" t="str">
        <f t="shared" si="129"/>
        <v/>
      </c>
      <c r="ES649" s="1247" t="str">
        <f t="shared" si="130"/>
        <v/>
      </c>
      <c r="ET649" s="1247" t="str">
        <f t="shared" si="131"/>
        <v/>
      </c>
      <c r="EU649" s="1247" t="str">
        <f t="shared" si="132"/>
        <v/>
      </c>
      <c r="EV649" s="2909" t="str">
        <f t="shared" si="133"/>
        <v/>
      </c>
      <c r="EW649" s="2909" t="str">
        <f t="shared" si="134"/>
        <v/>
      </c>
      <c r="EX649" s="2909" t="str">
        <f t="shared" si="135"/>
        <v/>
      </c>
      <c r="EY649" s="2909" t="str">
        <f t="shared" si="136"/>
        <v/>
      </c>
      <c r="EZ649" s="2909" t="str">
        <f t="shared" si="137"/>
        <v/>
      </c>
      <c r="FA649" s="2909" t="str">
        <f t="shared" si="138"/>
        <v/>
      </c>
      <c r="FB649" s="2909" t="str">
        <f t="shared" si="139"/>
        <v/>
      </c>
      <c r="FC649" s="2909" t="str">
        <f t="shared" si="140"/>
        <v/>
      </c>
      <c r="FD649" s="2909" t="str">
        <f t="shared" si="141"/>
        <v/>
      </c>
      <c r="FE649" s="2909" t="str">
        <f t="shared" si="142"/>
        <v/>
      </c>
      <c r="FF649" s="2909" t="str">
        <f t="shared" si="143"/>
        <v/>
      </c>
      <c r="FG649" s="2909" t="str">
        <f t="shared" si="144"/>
        <v/>
      </c>
      <c r="FH649" s="2909" t="str">
        <f t="shared" si="145"/>
        <v/>
      </c>
      <c r="FI649" s="2909" t="str">
        <f t="shared" si="146"/>
        <v/>
      </c>
      <c r="FJ649" s="2909" t="str">
        <f t="shared" si="147"/>
        <v/>
      </c>
      <c r="FK649" s="2909" t="str">
        <f t="shared" si="148"/>
        <v/>
      </c>
      <c r="FL649" s="2909" t="str">
        <f t="shared" si="149"/>
        <v/>
      </c>
      <c r="FM649" s="2909" t="str">
        <f t="shared" si="150"/>
        <v/>
      </c>
      <c r="FN649" s="2909" t="str">
        <f t="shared" si="151"/>
        <v/>
      </c>
      <c r="FO649" s="2909" t="str">
        <f t="shared" si="152"/>
        <v/>
      </c>
      <c r="FP649" s="2909" t="str">
        <f t="shared" si="153"/>
        <v/>
      </c>
      <c r="FQ649" s="2909" t="str">
        <f t="shared" si="154"/>
        <v/>
      </c>
      <c r="FR649" s="2909" t="str">
        <f t="shared" si="155"/>
        <v/>
      </c>
      <c r="FS649" s="2909" t="str">
        <f t="shared" si="156"/>
        <v/>
      </c>
      <c r="FT649" s="2909" t="str">
        <f t="shared" si="157"/>
        <v/>
      </c>
      <c r="FU649" s="2909" t="str">
        <f t="shared" si="158"/>
        <v/>
      </c>
      <c r="FV649" s="2909" t="str">
        <f t="shared" si="159"/>
        <v/>
      </c>
      <c r="FW649" s="2909" t="str">
        <f t="shared" si="160"/>
        <v/>
      </c>
      <c r="FX649" s="2909" t="str">
        <f t="shared" si="161"/>
        <v/>
      </c>
      <c r="FY649" s="2909" t="str">
        <f t="shared" si="162"/>
        <v/>
      </c>
      <c r="FZ649" s="2909" t="str">
        <f t="shared" si="163"/>
        <v/>
      </c>
      <c r="GA649" s="2909" t="str">
        <f t="shared" si="164"/>
        <v/>
      </c>
      <c r="GB649" s="2909" t="str">
        <f t="shared" si="165"/>
        <v/>
      </c>
      <c r="GC649" s="2909" t="str">
        <f t="shared" si="166"/>
        <v/>
      </c>
      <c r="GD649" s="2909" t="str">
        <f t="shared" si="167"/>
        <v/>
      </c>
      <c r="GE649" s="2909" t="str">
        <f t="shared" si="168"/>
        <v/>
      </c>
      <c r="GF649" s="2909" t="str">
        <f t="shared" si="169"/>
        <v/>
      </c>
      <c r="GG649" s="2909" t="str">
        <f t="shared" si="170"/>
        <v/>
      </c>
      <c r="GH649" s="2909" t="str">
        <f t="shared" si="171"/>
        <v/>
      </c>
      <c r="GI649" s="2909" t="str">
        <f t="shared" si="172"/>
        <v/>
      </c>
      <c r="GJ649" s="2909" t="str">
        <f t="shared" si="173"/>
        <v/>
      </c>
      <c r="GK649" s="2909" t="str">
        <f t="shared" si="174"/>
        <v/>
      </c>
      <c r="GL649" s="2909" t="str">
        <f t="shared" si="175"/>
        <v/>
      </c>
      <c r="GM649" s="2909" t="str">
        <f t="shared" si="176"/>
        <v/>
      </c>
      <c r="GN649" s="2909" t="str">
        <f t="shared" si="177"/>
        <v/>
      </c>
      <c r="GO649" s="2909" t="str">
        <f t="shared" si="178"/>
        <v/>
      </c>
      <c r="GP649" s="2909" t="str">
        <f t="shared" si="179"/>
        <v/>
      </c>
      <c r="GQ649" s="2909" t="str">
        <f t="shared" si="180"/>
        <v/>
      </c>
      <c r="GR649" s="2909" t="str">
        <f t="shared" si="181"/>
        <v/>
      </c>
      <c r="GS649" s="2909" t="str">
        <f t="shared" si="182"/>
        <v/>
      </c>
      <c r="GT649" s="2909" t="str">
        <f t="shared" si="183"/>
        <v/>
      </c>
      <c r="GU649" s="2909" t="str">
        <f t="shared" si="184"/>
        <v/>
      </c>
      <c r="GV649" s="2909" t="str">
        <f t="shared" si="185"/>
        <v/>
      </c>
      <c r="GW649" s="2909" t="str">
        <f t="shared" si="186"/>
        <v/>
      </c>
      <c r="GX649" s="2909" t="str">
        <f t="shared" si="187"/>
        <v/>
      </c>
      <c r="GY649" s="2909" t="str">
        <f t="shared" si="188"/>
        <v/>
      </c>
      <c r="GZ649" s="2909" t="str">
        <f t="shared" si="189"/>
        <v/>
      </c>
      <c r="HA649" s="2909" t="str">
        <f t="shared" si="190"/>
        <v/>
      </c>
      <c r="HB649" s="2909" t="str">
        <f t="shared" si="191"/>
        <v/>
      </c>
      <c r="HC649" s="2909" t="str">
        <f t="shared" si="192"/>
        <v/>
      </c>
      <c r="HD649" s="2909" t="str">
        <f t="shared" si="193"/>
        <v/>
      </c>
      <c r="HE649" s="2909" t="str">
        <f t="shared" si="194"/>
        <v/>
      </c>
      <c r="HF649" s="2909" t="str">
        <f t="shared" si="195"/>
        <v/>
      </c>
      <c r="HG649" s="2909" t="str">
        <f t="shared" si="196"/>
        <v/>
      </c>
      <c r="HH649" s="2909" t="str">
        <f t="shared" si="197"/>
        <v/>
      </c>
      <c r="HI649" s="2909" t="str">
        <f t="shared" si="198"/>
        <v/>
      </c>
      <c r="HJ649" s="2909" t="str">
        <f t="shared" si="199"/>
        <v/>
      </c>
      <c r="HK649" s="2909" t="str">
        <f t="shared" si="200"/>
        <v/>
      </c>
      <c r="HL649" s="2909" t="str">
        <f t="shared" si="201"/>
        <v/>
      </c>
      <c r="HM649" s="2909" t="str">
        <f t="shared" si="202"/>
        <v/>
      </c>
      <c r="HN649" s="2909" t="str">
        <f t="shared" si="203"/>
        <v/>
      </c>
      <c r="HO649" s="2909" t="str">
        <f t="shared" si="204"/>
        <v/>
      </c>
      <c r="HP649" s="2909" t="str">
        <f t="shared" si="205"/>
        <v/>
      </c>
      <c r="HQ649" s="2909" t="str">
        <f t="shared" si="206"/>
        <v/>
      </c>
      <c r="HR649" s="2909" t="str">
        <f t="shared" si="207"/>
        <v/>
      </c>
      <c r="HS649" s="2909" t="str">
        <f t="shared" si="208"/>
        <v/>
      </c>
      <c r="HT649" s="2909" t="str">
        <f t="shared" si="209"/>
        <v/>
      </c>
      <c r="HU649" s="2909" t="str">
        <f t="shared" si="210"/>
        <v/>
      </c>
      <c r="HV649" s="2909" t="str">
        <f t="shared" si="211"/>
        <v/>
      </c>
      <c r="HW649" s="2909" t="str">
        <f t="shared" si="212"/>
        <v/>
      </c>
      <c r="HX649" s="2909" t="str">
        <f t="shared" si="213"/>
        <v/>
      </c>
      <c r="HY649" s="2909" t="str">
        <f t="shared" si="214"/>
        <v/>
      </c>
      <c r="HZ649" s="2909" t="str">
        <f t="shared" si="215"/>
        <v/>
      </c>
      <c r="IA649" s="2909" t="str">
        <f t="shared" si="216"/>
        <v/>
      </c>
      <c r="IB649" s="2909" t="str">
        <f t="shared" si="217"/>
        <v/>
      </c>
      <c r="IC649" s="2879" t="str">
        <f t="shared" si="218"/>
        <v/>
      </c>
      <c r="ID649" s="2879" t="str">
        <f t="shared" si="219"/>
        <v/>
      </c>
      <c r="IE649" s="2879" t="str">
        <f t="shared" si="220"/>
        <v/>
      </c>
      <c r="IF649" s="2879" t="str">
        <f t="shared" si="221"/>
        <v/>
      </c>
      <c r="IG649" s="2879" t="str">
        <f t="shared" si="222"/>
        <v/>
      </c>
      <c r="IH649" s="1247" t="str">
        <f t="shared" si="223"/>
        <v/>
      </c>
      <c r="II649" s="1247" t="str">
        <f t="shared" si="224"/>
        <v/>
      </c>
      <c r="IJ649" s="1247" t="str">
        <f t="shared" si="225"/>
        <v/>
      </c>
      <c r="IK649" s="1247" t="str">
        <f t="shared" si="226"/>
        <v/>
      </c>
      <c r="IL649" s="1247" t="str">
        <f t="shared" si="227"/>
        <v/>
      </c>
      <c r="IM649" s="1247" t="str">
        <f t="shared" si="228"/>
        <v/>
      </c>
      <c r="IN649" s="1247" t="str">
        <f t="shared" si="229"/>
        <v/>
      </c>
      <c r="IO649" s="1247" t="str">
        <f t="shared" si="230"/>
        <v/>
      </c>
      <c r="IP649" s="1247" t="str">
        <f t="shared" si="231"/>
        <v/>
      </c>
      <c r="IQ649" s="1247" t="str">
        <f t="shared" si="232"/>
        <v/>
      </c>
      <c r="IR649" s="1247" t="str">
        <f t="shared" si="233"/>
        <v/>
      </c>
      <c r="IS649" s="1247" t="str">
        <f t="shared" si="234"/>
        <v/>
      </c>
      <c r="IT649" s="1247" t="str">
        <f t="shared" si="235"/>
        <v/>
      </c>
      <c r="IU649" s="1247" t="str">
        <f t="shared" si="236"/>
        <v/>
      </c>
      <c r="IV649" s="1247" t="str">
        <f t="shared" si="237"/>
        <v/>
      </c>
      <c r="IW649" s="1247" t="str">
        <f t="shared" si="238"/>
        <v/>
      </c>
      <c r="IX649" s="1247" t="str">
        <f t="shared" si="239"/>
        <v/>
      </c>
      <c r="IY649" s="1247" t="str">
        <f t="shared" si="240"/>
        <v/>
      </c>
      <c r="IZ649" s="1247" t="str">
        <f t="shared" si="241"/>
        <v/>
      </c>
      <c r="JA649" s="1247" t="str">
        <f t="shared" si="242"/>
        <v/>
      </c>
      <c r="JB649" s="2877">
        <f t="shared" si="243"/>
        <v>0</v>
      </c>
      <c r="JC649" s="2877">
        <f t="shared" si="244"/>
        <v>0</v>
      </c>
      <c r="JD649" s="2877">
        <f t="shared" si="245"/>
        <v>0</v>
      </c>
      <c r="JE649" s="2877">
        <f t="shared" si="246"/>
        <v>0</v>
      </c>
      <c r="JF649" s="2877">
        <f t="shared" si="247"/>
        <v>0</v>
      </c>
      <c r="JG649" s="2877">
        <f t="shared" si="248"/>
        <v>0</v>
      </c>
      <c r="JH649" s="2877">
        <f t="shared" si="249"/>
        <v>0</v>
      </c>
      <c r="JI649" s="2877">
        <f t="shared" si="250"/>
        <v>0</v>
      </c>
      <c r="JJ649" s="2877">
        <f t="shared" si="251"/>
        <v>0</v>
      </c>
      <c r="JK649" s="2877">
        <f t="shared" si="252"/>
        <v>0</v>
      </c>
      <c r="JL649" s="2877">
        <f t="shared" si="253"/>
        <v>0</v>
      </c>
      <c r="JM649" s="2877">
        <f t="shared" si="254"/>
        <v>0</v>
      </c>
      <c r="JN649" s="2877">
        <f t="shared" si="255"/>
        <v>0</v>
      </c>
      <c r="JO649" s="2877">
        <f t="shared" si="256"/>
        <v>0</v>
      </c>
      <c r="JP649" s="2877">
        <f t="shared" si="257"/>
        <v>0</v>
      </c>
    </row>
    <row r="650" spans="1:276" ht="12" customHeight="1">
      <c r="A650" s="2891" t="str">
        <f t="shared" si="0"/>
        <v/>
      </c>
      <c r="B650" s="2900" t="str">
        <f>'Part VI-Revenues &amp; Expenses'!B30</f>
        <v>&lt;&lt;Select&gt;&gt;</v>
      </c>
      <c r="C650" s="2901">
        <f>'Part VI-Revenues &amp; Expenses'!C30</f>
        <v>0</v>
      </c>
      <c r="D650" s="2902">
        <f>'Part VI-Revenues &amp; Expenses'!D30</f>
        <v>0</v>
      </c>
      <c r="E650" s="2903">
        <f>'Part VI-Revenues &amp; Expenses'!E30</f>
        <v>0</v>
      </c>
      <c r="F650" s="2903">
        <f>'Part VI-Revenues &amp; Expenses'!F30</f>
        <v>0</v>
      </c>
      <c r="G650" s="2903">
        <f>'Part VI-Revenues &amp; Expenses'!G30</f>
        <v>0</v>
      </c>
      <c r="H650" s="2903">
        <f>'Part VI-Revenues &amp; Expenses'!H30</f>
        <v>0</v>
      </c>
      <c r="I650" s="2903">
        <f>'Part VI-Revenues &amp; Expenses'!I30</f>
        <v>0</v>
      </c>
      <c r="J650" s="2904">
        <f>'Part VI-Revenues &amp; Expenses'!J30</f>
        <v>0</v>
      </c>
      <c r="K650" s="2905">
        <f t="shared" si="1"/>
        <v>0</v>
      </c>
      <c r="L650" s="2905">
        <f t="shared" si="2"/>
        <v>0</v>
      </c>
      <c r="M650" s="2886">
        <f>'Part VI-Revenues &amp; Expenses'!M30</f>
        <v>0</v>
      </c>
      <c r="N650" s="2886">
        <f>'Part VI-Revenues &amp; Expenses'!N30</f>
        <v>0</v>
      </c>
      <c r="O650" s="2886">
        <f>'Part VI-Revenues &amp; Expenses'!O30</f>
        <v>0</v>
      </c>
      <c r="P650" s="2886">
        <f>'Part VI-Revenues &amp; Expenses'!P30</f>
        <v>0</v>
      </c>
      <c r="Q650" s="2906">
        <f>IF(H650="","",P650/($O$626*VLOOKUP(C650,'DCA Underwriting Assumptions'!$J$118:$K$123,2,FALSE)))</f>
        <v>0</v>
      </c>
      <c r="R650" s="2907"/>
      <c r="S650" s="2906"/>
      <c r="T650" s="2908"/>
      <c r="U650" s="2908"/>
      <c r="V650" s="1247" t="str">
        <f t="shared" si="3"/>
        <v/>
      </c>
      <c r="W650" s="1247" t="str">
        <f t="shared" si="4"/>
        <v/>
      </c>
      <c r="X650" s="1247" t="str">
        <f t="shared" si="5"/>
        <v/>
      </c>
      <c r="Y650" s="1247" t="str">
        <f t="shared" si="6"/>
        <v/>
      </c>
      <c r="Z650" s="1247" t="str">
        <f t="shared" si="7"/>
        <v/>
      </c>
      <c r="AA650" s="1247" t="str">
        <f t="shared" si="8"/>
        <v/>
      </c>
      <c r="AB650" s="1247" t="str">
        <f t="shared" si="9"/>
        <v/>
      </c>
      <c r="AC650" s="1247" t="str">
        <f t="shared" si="10"/>
        <v/>
      </c>
      <c r="AD650" s="1247" t="str">
        <f t="shared" si="11"/>
        <v/>
      </c>
      <c r="AE650" s="1247" t="str">
        <f t="shared" si="12"/>
        <v/>
      </c>
      <c r="AF650" s="1247" t="str">
        <f t="shared" si="13"/>
        <v/>
      </c>
      <c r="AG650" s="1247" t="str">
        <f t="shared" si="14"/>
        <v/>
      </c>
      <c r="AH650" s="1247" t="str">
        <f t="shared" si="15"/>
        <v/>
      </c>
      <c r="AI650" s="1247" t="str">
        <f t="shared" si="16"/>
        <v/>
      </c>
      <c r="AJ650" s="1247" t="str">
        <f t="shared" si="17"/>
        <v/>
      </c>
      <c r="AK650" s="1247" t="str">
        <f t="shared" si="18"/>
        <v/>
      </c>
      <c r="AL650" s="1247" t="str">
        <f t="shared" si="19"/>
        <v/>
      </c>
      <c r="AM650" s="1247" t="str">
        <f t="shared" si="20"/>
        <v/>
      </c>
      <c r="AN650" s="1247" t="str">
        <f t="shared" si="21"/>
        <v/>
      </c>
      <c r="AO650" s="1247" t="str">
        <f t="shared" si="22"/>
        <v/>
      </c>
      <c r="AP650" s="1247" t="str">
        <f t="shared" si="23"/>
        <v/>
      </c>
      <c r="AQ650" s="1247" t="str">
        <f t="shared" si="24"/>
        <v/>
      </c>
      <c r="AR650" s="1247" t="str">
        <f t="shared" si="25"/>
        <v/>
      </c>
      <c r="AS650" s="1247" t="str">
        <f t="shared" si="26"/>
        <v/>
      </c>
      <c r="AT650" s="1247" t="str">
        <f t="shared" si="27"/>
        <v/>
      </c>
      <c r="AU650" s="1247" t="str">
        <f t="shared" si="28"/>
        <v/>
      </c>
      <c r="AV650" s="1247" t="str">
        <f t="shared" si="29"/>
        <v/>
      </c>
      <c r="AW650" s="1247" t="str">
        <f t="shared" si="30"/>
        <v/>
      </c>
      <c r="AX650" s="1247" t="str">
        <f t="shared" si="31"/>
        <v/>
      </c>
      <c r="AY650" s="1247" t="str">
        <f t="shared" si="32"/>
        <v/>
      </c>
      <c r="AZ650" s="1247" t="str">
        <f t="shared" si="33"/>
        <v/>
      </c>
      <c r="BA650" s="1247" t="str">
        <f t="shared" si="34"/>
        <v/>
      </c>
      <c r="BB650" s="1247" t="str">
        <f t="shared" si="35"/>
        <v/>
      </c>
      <c r="BC650" s="1247" t="str">
        <f t="shared" si="36"/>
        <v/>
      </c>
      <c r="BD650" s="1247" t="str">
        <f t="shared" si="37"/>
        <v/>
      </c>
      <c r="BE650" s="1247" t="str">
        <f t="shared" si="38"/>
        <v/>
      </c>
      <c r="BF650" s="1247" t="str">
        <f t="shared" si="39"/>
        <v/>
      </c>
      <c r="BG650" s="1247" t="str">
        <f t="shared" si="40"/>
        <v/>
      </c>
      <c r="BH650" s="1247" t="str">
        <f t="shared" si="41"/>
        <v/>
      </c>
      <c r="BI650" s="1247" t="str">
        <f t="shared" si="42"/>
        <v/>
      </c>
      <c r="BJ650" s="1247" t="str">
        <f t="shared" si="43"/>
        <v/>
      </c>
      <c r="BK650" s="1247" t="str">
        <f t="shared" si="44"/>
        <v/>
      </c>
      <c r="BL650" s="1247" t="str">
        <f t="shared" si="45"/>
        <v/>
      </c>
      <c r="BM650" s="1247" t="str">
        <f t="shared" si="46"/>
        <v/>
      </c>
      <c r="BN650" s="1247" t="str">
        <f t="shared" si="47"/>
        <v/>
      </c>
      <c r="BO650" s="1247" t="str">
        <f t="shared" si="48"/>
        <v/>
      </c>
      <c r="BP650" s="1247" t="str">
        <f t="shared" si="49"/>
        <v/>
      </c>
      <c r="BQ650" s="1247" t="str">
        <f t="shared" si="50"/>
        <v/>
      </c>
      <c r="BR650" s="1247" t="str">
        <f t="shared" si="51"/>
        <v/>
      </c>
      <c r="BS650" s="1247" t="str">
        <f t="shared" si="52"/>
        <v/>
      </c>
      <c r="BT650" s="1247" t="str">
        <f t="shared" si="53"/>
        <v/>
      </c>
      <c r="BU650" s="1247" t="str">
        <f t="shared" si="54"/>
        <v/>
      </c>
      <c r="BV650" s="1247" t="str">
        <f t="shared" si="55"/>
        <v/>
      </c>
      <c r="BW650" s="1247" t="str">
        <f t="shared" si="56"/>
        <v/>
      </c>
      <c r="BX650" s="1247" t="str">
        <f t="shared" si="57"/>
        <v/>
      </c>
      <c r="BY650" s="1247" t="str">
        <f t="shared" si="58"/>
        <v/>
      </c>
      <c r="BZ650" s="1247" t="str">
        <f t="shared" si="59"/>
        <v/>
      </c>
      <c r="CA650" s="1247" t="str">
        <f t="shared" si="60"/>
        <v/>
      </c>
      <c r="CB650" s="1247" t="str">
        <f t="shared" si="61"/>
        <v/>
      </c>
      <c r="CC650" s="1247" t="str">
        <f t="shared" si="62"/>
        <v/>
      </c>
      <c r="CD650" s="1247" t="str">
        <f t="shared" si="63"/>
        <v/>
      </c>
      <c r="CE650" s="1247" t="str">
        <f t="shared" si="64"/>
        <v/>
      </c>
      <c r="CF650" s="1247" t="str">
        <f t="shared" si="65"/>
        <v/>
      </c>
      <c r="CG650" s="1247" t="str">
        <f t="shared" si="66"/>
        <v/>
      </c>
      <c r="CH650" s="1247" t="str">
        <f t="shared" si="67"/>
        <v/>
      </c>
      <c r="CI650" s="1247" t="str">
        <f t="shared" si="68"/>
        <v/>
      </c>
      <c r="CJ650" s="1247" t="str">
        <f t="shared" si="69"/>
        <v/>
      </c>
      <c r="CK650" s="1247" t="str">
        <f t="shared" si="70"/>
        <v/>
      </c>
      <c r="CL650" s="1247" t="str">
        <f t="shared" si="71"/>
        <v/>
      </c>
      <c r="CM650" s="1247" t="str">
        <f t="shared" si="72"/>
        <v/>
      </c>
      <c r="CN650" s="1247" t="str">
        <f t="shared" si="73"/>
        <v/>
      </c>
      <c r="CO650" s="1247" t="str">
        <f t="shared" si="74"/>
        <v/>
      </c>
      <c r="CP650" s="1247" t="str">
        <f t="shared" si="75"/>
        <v/>
      </c>
      <c r="CQ650" s="1247" t="str">
        <f t="shared" si="76"/>
        <v/>
      </c>
      <c r="CR650" s="1247" t="str">
        <f t="shared" si="77"/>
        <v/>
      </c>
      <c r="CS650" s="1247" t="str">
        <f t="shared" si="78"/>
        <v/>
      </c>
      <c r="CT650" s="1247" t="str">
        <f t="shared" si="79"/>
        <v/>
      </c>
      <c r="CU650" s="1247" t="str">
        <f t="shared" si="80"/>
        <v/>
      </c>
      <c r="CV650" s="1247" t="str">
        <f t="shared" si="81"/>
        <v/>
      </c>
      <c r="CW650" s="1247" t="str">
        <f t="shared" si="82"/>
        <v/>
      </c>
      <c r="CX650" s="1247" t="str">
        <f t="shared" si="83"/>
        <v/>
      </c>
      <c r="CY650" s="1247" t="str">
        <f t="shared" si="84"/>
        <v/>
      </c>
      <c r="CZ650" s="1247" t="str">
        <f t="shared" si="85"/>
        <v/>
      </c>
      <c r="DA650" s="1247" t="str">
        <f t="shared" si="86"/>
        <v/>
      </c>
      <c r="DB650" s="1247" t="str">
        <f t="shared" si="87"/>
        <v/>
      </c>
      <c r="DC650" s="1247" t="str">
        <f t="shared" si="88"/>
        <v/>
      </c>
      <c r="DD650" s="1247" t="str">
        <f t="shared" si="89"/>
        <v/>
      </c>
      <c r="DE650" s="1247" t="str">
        <f t="shared" si="90"/>
        <v/>
      </c>
      <c r="DF650" s="1247" t="str">
        <f t="shared" si="91"/>
        <v/>
      </c>
      <c r="DG650" s="1247" t="str">
        <f t="shared" si="92"/>
        <v/>
      </c>
      <c r="DH650" s="1247" t="str">
        <f t="shared" si="93"/>
        <v/>
      </c>
      <c r="DI650" s="1247" t="str">
        <f t="shared" si="94"/>
        <v/>
      </c>
      <c r="DJ650" s="1247" t="str">
        <f t="shared" si="95"/>
        <v/>
      </c>
      <c r="DK650" s="1247" t="str">
        <f t="shared" si="96"/>
        <v/>
      </c>
      <c r="DL650" s="1247" t="str">
        <f t="shared" si="97"/>
        <v/>
      </c>
      <c r="DM650" s="1247" t="str">
        <f t="shared" si="98"/>
        <v/>
      </c>
      <c r="DN650" s="1247" t="str">
        <f t="shared" si="99"/>
        <v/>
      </c>
      <c r="DO650" s="1247" t="str">
        <f t="shared" si="100"/>
        <v/>
      </c>
      <c r="DP650" s="1247" t="str">
        <f t="shared" si="101"/>
        <v/>
      </c>
      <c r="DQ650" s="1247" t="str">
        <f t="shared" si="102"/>
        <v/>
      </c>
      <c r="DR650" s="1247" t="str">
        <f t="shared" si="103"/>
        <v/>
      </c>
      <c r="DS650" s="1247" t="str">
        <f t="shared" si="104"/>
        <v/>
      </c>
      <c r="DT650" s="1247" t="str">
        <f t="shared" si="105"/>
        <v/>
      </c>
      <c r="DU650" s="1247" t="str">
        <f t="shared" si="106"/>
        <v/>
      </c>
      <c r="DV650" s="1247" t="str">
        <f t="shared" si="107"/>
        <v/>
      </c>
      <c r="DW650" s="1247" t="str">
        <f t="shared" si="108"/>
        <v/>
      </c>
      <c r="DX650" s="1247" t="str">
        <f t="shared" si="109"/>
        <v/>
      </c>
      <c r="DY650" s="1247" t="str">
        <f t="shared" si="110"/>
        <v/>
      </c>
      <c r="DZ650" s="1247" t="str">
        <f t="shared" si="111"/>
        <v/>
      </c>
      <c r="EA650" s="1247" t="str">
        <f t="shared" si="112"/>
        <v/>
      </c>
      <c r="EB650" s="1247" t="str">
        <f t="shared" si="113"/>
        <v/>
      </c>
      <c r="EC650" s="1247" t="str">
        <f t="shared" si="114"/>
        <v/>
      </c>
      <c r="ED650" s="1247" t="str">
        <f t="shared" si="115"/>
        <v/>
      </c>
      <c r="EE650" s="1247" t="str">
        <f t="shared" si="116"/>
        <v/>
      </c>
      <c r="EF650" s="1247" t="str">
        <f t="shared" si="117"/>
        <v/>
      </c>
      <c r="EG650" s="1247" t="str">
        <f t="shared" si="118"/>
        <v/>
      </c>
      <c r="EH650" s="1247" t="str">
        <f t="shared" si="119"/>
        <v/>
      </c>
      <c r="EI650" s="1247" t="str">
        <f t="shared" si="120"/>
        <v/>
      </c>
      <c r="EJ650" s="1247" t="str">
        <f t="shared" si="121"/>
        <v/>
      </c>
      <c r="EK650" s="1247" t="str">
        <f t="shared" si="122"/>
        <v/>
      </c>
      <c r="EL650" s="1247" t="str">
        <f t="shared" si="123"/>
        <v/>
      </c>
      <c r="EM650" s="1247" t="str">
        <f t="shared" si="124"/>
        <v/>
      </c>
      <c r="EN650" s="1247" t="str">
        <f t="shared" si="125"/>
        <v/>
      </c>
      <c r="EO650" s="1247" t="str">
        <f t="shared" si="126"/>
        <v/>
      </c>
      <c r="EP650" s="1247" t="str">
        <f t="shared" si="127"/>
        <v/>
      </c>
      <c r="EQ650" s="1247" t="str">
        <f t="shared" si="128"/>
        <v/>
      </c>
      <c r="ER650" s="1247" t="str">
        <f t="shared" si="129"/>
        <v/>
      </c>
      <c r="ES650" s="1247" t="str">
        <f t="shared" si="130"/>
        <v/>
      </c>
      <c r="ET650" s="1247" t="str">
        <f t="shared" si="131"/>
        <v/>
      </c>
      <c r="EU650" s="1247" t="str">
        <f t="shared" si="132"/>
        <v/>
      </c>
      <c r="EV650" s="2909" t="str">
        <f t="shared" si="133"/>
        <v/>
      </c>
      <c r="EW650" s="2909" t="str">
        <f t="shared" si="134"/>
        <v/>
      </c>
      <c r="EX650" s="2909" t="str">
        <f t="shared" si="135"/>
        <v/>
      </c>
      <c r="EY650" s="2909" t="str">
        <f t="shared" si="136"/>
        <v/>
      </c>
      <c r="EZ650" s="2909" t="str">
        <f t="shared" si="137"/>
        <v/>
      </c>
      <c r="FA650" s="2909" t="str">
        <f t="shared" si="138"/>
        <v/>
      </c>
      <c r="FB650" s="2909" t="str">
        <f t="shared" si="139"/>
        <v/>
      </c>
      <c r="FC650" s="2909" t="str">
        <f t="shared" si="140"/>
        <v/>
      </c>
      <c r="FD650" s="2909" t="str">
        <f t="shared" si="141"/>
        <v/>
      </c>
      <c r="FE650" s="2909" t="str">
        <f t="shared" si="142"/>
        <v/>
      </c>
      <c r="FF650" s="2909" t="str">
        <f t="shared" si="143"/>
        <v/>
      </c>
      <c r="FG650" s="2909" t="str">
        <f t="shared" si="144"/>
        <v/>
      </c>
      <c r="FH650" s="2909" t="str">
        <f t="shared" si="145"/>
        <v/>
      </c>
      <c r="FI650" s="2909" t="str">
        <f t="shared" si="146"/>
        <v/>
      </c>
      <c r="FJ650" s="2909" t="str">
        <f t="shared" si="147"/>
        <v/>
      </c>
      <c r="FK650" s="2909" t="str">
        <f t="shared" si="148"/>
        <v/>
      </c>
      <c r="FL650" s="2909" t="str">
        <f t="shared" si="149"/>
        <v/>
      </c>
      <c r="FM650" s="2909" t="str">
        <f t="shared" si="150"/>
        <v/>
      </c>
      <c r="FN650" s="2909" t="str">
        <f t="shared" si="151"/>
        <v/>
      </c>
      <c r="FO650" s="2909" t="str">
        <f t="shared" si="152"/>
        <v/>
      </c>
      <c r="FP650" s="2909" t="str">
        <f t="shared" si="153"/>
        <v/>
      </c>
      <c r="FQ650" s="2909" t="str">
        <f t="shared" si="154"/>
        <v/>
      </c>
      <c r="FR650" s="2909" t="str">
        <f t="shared" si="155"/>
        <v/>
      </c>
      <c r="FS650" s="2909" t="str">
        <f t="shared" si="156"/>
        <v/>
      </c>
      <c r="FT650" s="2909" t="str">
        <f t="shared" si="157"/>
        <v/>
      </c>
      <c r="FU650" s="2909" t="str">
        <f t="shared" si="158"/>
        <v/>
      </c>
      <c r="FV650" s="2909" t="str">
        <f t="shared" si="159"/>
        <v/>
      </c>
      <c r="FW650" s="2909" t="str">
        <f t="shared" si="160"/>
        <v/>
      </c>
      <c r="FX650" s="2909" t="str">
        <f t="shared" si="161"/>
        <v/>
      </c>
      <c r="FY650" s="2909" t="str">
        <f t="shared" si="162"/>
        <v/>
      </c>
      <c r="FZ650" s="2909" t="str">
        <f t="shared" si="163"/>
        <v/>
      </c>
      <c r="GA650" s="2909" t="str">
        <f t="shared" si="164"/>
        <v/>
      </c>
      <c r="GB650" s="2909" t="str">
        <f t="shared" si="165"/>
        <v/>
      </c>
      <c r="GC650" s="2909" t="str">
        <f t="shared" si="166"/>
        <v/>
      </c>
      <c r="GD650" s="2909" t="str">
        <f t="shared" si="167"/>
        <v/>
      </c>
      <c r="GE650" s="2909" t="str">
        <f t="shared" si="168"/>
        <v/>
      </c>
      <c r="GF650" s="2909" t="str">
        <f t="shared" si="169"/>
        <v/>
      </c>
      <c r="GG650" s="2909" t="str">
        <f t="shared" si="170"/>
        <v/>
      </c>
      <c r="GH650" s="2909" t="str">
        <f t="shared" si="171"/>
        <v/>
      </c>
      <c r="GI650" s="2909" t="str">
        <f t="shared" si="172"/>
        <v/>
      </c>
      <c r="GJ650" s="2909" t="str">
        <f t="shared" si="173"/>
        <v/>
      </c>
      <c r="GK650" s="2909" t="str">
        <f t="shared" si="174"/>
        <v/>
      </c>
      <c r="GL650" s="2909" t="str">
        <f t="shared" si="175"/>
        <v/>
      </c>
      <c r="GM650" s="2909" t="str">
        <f t="shared" si="176"/>
        <v/>
      </c>
      <c r="GN650" s="2909" t="str">
        <f t="shared" si="177"/>
        <v/>
      </c>
      <c r="GO650" s="2909" t="str">
        <f t="shared" si="178"/>
        <v/>
      </c>
      <c r="GP650" s="2909" t="str">
        <f t="shared" si="179"/>
        <v/>
      </c>
      <c r="GQ650" s="2909" t="str">
        <f t="shared" si="180"/>
        <v/>
      </c>
      <c r="GR650" s="2909" t="str">
        <f t="shared" si="181"/>
        <v/>
      </c>
      <c r="GS650" s="2909" t="str">
        <f t="shared" si="182"/>
        <v/>
      </c>
      <c r="GT650" s="2909" t="str">
        <f t="shared" si="183"/>
        <v/>
      </c>
      <c r="GU650" s="2909" t="str">
        <f t="shared" si="184"/>
        <v/>
      </c>
      <c r="GV650" s="2909" t="str">
        <f t="shared" si="185"/>
        <v/>
      </c>
      <c r="GW650" s="2909" t="str">
        <f t="shared" si="186"/>
        <v/>
      </c>
      <c r="GX650" s="2909" t="str">
        <f t="shared" si="187"/>
        <v/>
      </c>
      <c r="GY650" s="2909" t="str">
        <f t="shared" si="188"/>
        <v/>
      </c>
      <c r="GZ650" s="2909" t="str">
        <f t="shared" si="189"/>
        <v/>
      </c>
      <c r="HA650" s="2909" t="str">
        <f t="shared" si="190"/>
        <v/>
      </c>
      <c r="HB650" s="2909" t="str">
        <f t="shared" si="191"/>
        <v/>
      </c>
      <c r="HC650" s="2909" t="str">
        <f t="shared" si="192"/>
        <v/>
      </c>
      <c r="HD650" s="2909" t="str">
        <f t="shared" si="193"/>
        <v/>
      </c>
      <c r="HE650" s="2909" t="str">
        <f t="shared" si="194"/>
        <v/>
      </c>
      <c r="HF650" s="2909" t="str">
        <f t="shared" si="195"/>
        <v/>
      </c>
      <c r="HG650" s="2909" t="str">
        <f t="shared" si="196"/>
        <v/>
      </c>
      <c r="HH650" s="2909" t="str">
        <f t="shared" si="197"/>
        <v/>
      </c>
      <c r="HI650" s="2909" t="str">
        <f t="shared" si="198"/>
        <v/>
      </c>
      <c r="HJ650" s="2909" t="str">
        <f t="shared" si="199"/>
        <v/>
      </c>
      <c r="HK650" s="2909" t="str">
        <f t="shared" si="200"/>
        <v/>
      </c>
      <c r="HL650" s="2909" t="str">
        <f t="shared" si="201"/>
        <v/>
      </c>
      <c r="HM650" s="2909" t="str">
        <f t="shared" si="202"/>
        <v/>
      </c>
      <c r="HN650" s="2909" t="str">
        <f t="shared" si="203"/>
        <v/>
      </c>
      <c r="HO650" s="2909" t="str">
        <f t="shared" si="204"/>
        <v/>
      </c>
      <c r="HP650" s="2909" t="str">
        <f t="shared" si="205"/>
        <v/>
      </c>
      <c r="HQ650" s="2909" t="str">
        <f t="shared" si="206"/>
        <v/>
      </c>
      <c r="HR650" s="2909" t="str">
        <f t="shared" si="207"/>
        <v/>
      </c>
      <c r="HS650" s="2909" t="str">
        <f t="shared" si="208"/>
        <v/>
      </c>
      <c r="HT650" s="2909" t="str">
        <f t="shared" si="209"/>
        <v/>
      </c>
      <c r="HU650" s="2909" t="str">
        <f t="shared" si="210"/>
        <v/>
      </c>
      <c r="HV650" s="2909" t="str">
        <f t="shared" si="211"/>
        <v/>
      </c>
      <c r="HW650" s="2909" t="str">
        <f t="shared" si="212"/>
        <v/>
      </c>
      <c r="HX650" s="2909" t="str">
        <f t="shared" si="213"/>
        <v/>
      </c>
      <c r="HY650" s="2909" t="str">
        <f t="shared" si="214"/>
        <v/>
      </c>
      <c r="HZ650" s="2909" t="str">
        <f t="shared" si="215"/>
        <v/>
      </c>
      <c r="IA650" s="2909" t="str">
        <f t="shared" si="216"/>
        <v/>
      </c>
      <c r="IB650" s="2909" t="str">
        <f t="shared" si="217"/>
        <v/>
      </c>
      <c r="IC650" s="2879" t="str">
        <f t="shared" si="218"/>
        <v/>
      </c>
      <c r="ID650" s="2879" t="str">
        <f t="shared" si="219"/>
        <v/>
      </c>
      <c r="IE650" s="2879" t="str">
        <f t="shared" si="220"/>
        <v/>
      </c>
      <c r="IF650" s="2879" t="str">
        <f t="shared" si="221"/>
        <v/>
      </c>
      <c r="IG650" s="2879" t="str">
        <f t="shared" si="222"/>
        <v/>
      </c>
      <c r="IH650" s="1247" t="str">
        <f t="shared" si="223"/>
        <v/>
      </c>
      <c r="II650" s="1247" t="str">
        <f t="shared" si="224"/>
        <v/>
      </c>
      <c r="IJ650" s="1247" t="str">
        <f t="shared" si="225"/>
        <v/>
      </c>
      <c r="IK650" s="1247" t="str">
        <f t="shared" si="226"/>
        <v/>
      </c>
      <c r="IL650" s="1247" t="str">
        <f t="shared" si="227"/>
        <v/>
      </c>
      <c r="IM650" s="1247" t="str">
        <f t="shared" si="228"/>
        <v/>
      </c>
      <c r="IN650" s="1247" t="str">
        <f t="shared" si="229"/>
        <v/>
      </c>
      <c r="IO650" s="1247" t="str">
        <f t="shared" si="230"/>
        <v/>
      </c>
      <c r="IP650" s="1247" t="str">
        <f t="shared" si="231"/>
        <v/>
      </c>
      <c r="IQ650" s="1247" t="str">
        <f t="shared" si="232"/>
        <v/>
      </c>
      <c r="IR650" s="1247" t="str">
        <f t="shared" si="233"/>
        <v/>
      </c>
      <c r="IS650" s="1247" t="str">
        <f t="shared" si="234"/>
        <v/>
      </c>
      <c r="IT650" s="1247" t="str">
        <f t="shared" si="235"/>
        <v/>
      </c>
      <c r="IU650" s="1247" t="str">
        <f t="shared" si="236"/>
        <v/>
      </c>
      <c r="IV650" s="1247" t="str">
        <f t="shared" si="237"/>
        <v/>
      </c>
      <c r="IW650" s="1247" t="str">
        <f t="shared" si="238"/>
        <v/>
      </c>
      <c r="IX650" s="1247" t="str">
        <f t="shared" si="239"/>
        <v/>
      </c>
      <c r="IY650" s="1247" t="str">
        <f t="shared" si="240"/>
        <v/>
      </c>
      <c r="IZ650" s="1247" t="str">
        <f t="shared" si="241"/>
        <v/>
      </c>
      <c r="JA650" s="1247" t="str">
        <f t="shared" si="242"/>
        <v/>
      </c>
      <c r="JB650" s="2877">
        <f t="shared" si="243"/>
        <v>0</v>
      </c>
      <c r="JC650" s="2877">
        <f t="shared" si="244"/>
        <v>0</v>
      </c>
      <c r="JD650" s="2877">
        <f t="shared" si="245"/>
        <v>0</v>
      </c>
      <c r="JE650" s="2877">
        <f t="shared" si="246"/>
        <v>0</v>
      </c>
      <c r="JF650" s="2877">
        <f t="shared" si="247"/>
        <v>0</v>
      </c>
      <c r="JG650" s="2877">
        <f t="shared" si="248"/>
        <v>0</v>
      </c>
      <c r="JH650" s="2877">
        <f t="shared" si="249"/>
        <v>0</v>
      </c>
      <c r="JI650" s="2877">
        <f t="shared" si="250"/>
        <v>0</v>
      </c>
      <c r="JJ650" s="2877">
        <f t="shared" si="251"/>
        <v>0</v>
      </c>
      <c r="JK650" s="2877">
        <f t="shared" si="252"/>
        <v>0</v>
      </c>
      <c r="JL650" s="2877">
        <f t="shared" si="253"/>
        <v>0</v>
      </c>
      <c r="JM650" s="2877">
        <f t="shared" si="254"/>
        <v>0</v>
      </c>
      <c r="JN650" s="2877">
        <f t="shared" si="255"/>
        <v>0</v>
      </c>
      <c r="JO650" s="2877">
        <f t="shared" si="256"/>
        <v>0</v>
      </c>
      <c r="JP650" s="2877">
        <f t="shared" si="257"/>
        <v>0</v>
      </c>
    </row>
    <row r="651" spans="1:276" ht="12" customHeight="1">
      <c r="A651" s="2891" t="str">
        <f t="shared" si="0"/>
        <v/>
      </c>
      <c r="B651" s="2900" t="str">
        <f>'Part VI-Revenues &amp; Expenses'!B31</f>
        <v>&lt;&lt;Select&gt;&gt;</v>
      </c>
      <c r="C651" s="2901">
        <f>'Part VI-Revenues &amp; Expenses'!C31</f>
        <v>0</v>
      </c>
      <c r="D651" s="2902">
        <f>'Part VI-Revenues &amp; Expenses'!D31</f>
        <v>0</v>
      </c>
      <c r="E651" s="2903">
        <f>'Part VI-Revenues &amp; Expenses'!E31</f>
        <v>0</v>
      </c>
      <c r="F651" s="2903">
        <f>'Part VI-Revenues &amp; Expenses'!F31</f>
        <v>0</v>
      </c>
      <c r="G651" s="2903">
        <f>'Part VI-Revenues &amp; Expenses'!G31</f>
        <v>0</v>
      </c>
      <c r="H651" s="2903">
        <f>'Part VI-Revenues &amp; Expenses'!H31</f>
        <v>0</v>
      </c>
      <c r="I651" s="2903">
        <f>'Part VI-Revenues &amp; Expenses'!I31</f>
        <v>0</v>
      </c>
      <c r="J651" s="2904">
        <f>'Part VI-Revenues &amp; Expenses'!J31</f>
        <v>0</v>
      </c>
      <c r="K651" s="2905">
        <f t="shared" si="1"/>
        <v>0</v>
      </c>
      <c r="L651" s="2905">
        <f t="shared" si="2"/>
        <v>0</v>
      </c>
      <c r="M651" s="2886">
        <f>'Part VI-Revenues &amp; Expenses'!M31</f>
        <v>0</v>
      </c>
      <c r="N651" s="2886">
        <f>'Part VI-Revenues &amp; Expenses'!N31</f>
        <v>0</v>
      </c>
      <c r="O651" s="2886">
        <f>'Part VI-Revenues &amp; Expenses'!O31</f>
        <v>0</v>
      </c>
      <c r="P651" s="2886">
        <f>'Part VI-Revenues &amp; Expenses'!P31</f>
        <v>0</v>
      </c>
      <c r="Q651" s="2906">
        <f>IF(H651="","",P651/($O$626*VLOOKUP(C651,'DCA Underwriting Assumptions'!$J$118:$K$123,2,FALSE)))</f>
        <v>0</v>
      </c>
      <c r="R651" s="2907"/>
      <c r="S651" s="2906"/>
      <c r="T651" s="2908"/>
      <c r="U651" s="2908"/>
      <c r="V651" s="1247" t="str">
        <f t="shared" si="3"/>
        <v/>
      </c>
      <c r="W651" s="1247" t="str">
        <f t="shared" si="4"/>
        <v/>
      </c>
      <c r="X651" s="1247" t="str">
        <f t="shared" si="5"/>
        <v/>
      </c>
      <c r="Y651" s="1247" t="str">
        <f t="shared" si="6"/>
        <v/>
      </c>
      <c r="Z651" s="1247" t="str">
        <f t="shared" si="7"/>
        <v/>
      </c>
      <c r="AA651" s="1247" t="str">
        <f t="shared" si="8"/>
        <v/>
      </c>
      <c r="AB651" s="1247" t="str">
        <f t="shared" si="9"/>
        <v/>
      </c>
      <c r="AC651" s="1247" t="str">
        <f t="shared" si="10"/>
        <v/>
      </c>
      <c r="AD651" s="1247" t="str">
        <f t="shared" si="11"/>
        <v/>
      </c>
      <c r="AE651" s="1247" t="str">
        <f t="shared" si="12"/>
        <v/>
      </c>
      <c r="AF651" s="1247" t="str">
        <f t="shared" si="13"/>
        <v/>
      </c>
      <c r="AG651" s="1247" t="str">
        <f t="shared" si="14"/>
        <v/>
      </c>
      <c r="AH651" s="1247" t="str">
        <f t="shared" si="15"/>
        <v/>
      </c>
      <c r="AI651" s="1247" t="str">
        <f t="shared" si="16"/>
        <v/>
      </c>
      <c r="AJ651" s="1247" t="str">
        <f t="shared" si="17"/>
        <v/>
      </c>
      <c r="AK651" s="1247" t="str">
        <f t="shared" si="18"/>
        <v/>
      </c>
      <c r="AL651" s="1247" t="str">
        <f t="shared" si="19"/>
        <v/>
      </c>
      <c r="AM651" s="1247" t="str">
        <f t="shared" si="20"/>
        <v/>
      </c>
      <c r="AN651" s="1247" t="str">
        <f t="shared" si="21"/>
        <v/>
      </c>
      <c r="AO651" s="1247" t="str">
        <f t="shared" si="22"/>
        <v/>
      </c>
      <c r="AP651" s="1247" t="str">
        <f t="shared" si="23"/>
        <v/>
      </c>
      <c r="AQ651" s="1247" t="str">
        <f t="shared" si="24"/>
        <v/>
      </c>
      <c r="AR651" s="1247" t="str">
        <f t="shared" si="25"/>
        <v/>
      </c>
      <c r="AS651" s="1247" t="str">
        <f t="shared" si="26"/>
        <v/>
      </c>
      <c r="AT651" s="1247" t="str">
        <f t="shared" si="27"/>
        <v/>
      </c>
      <c r="AU651" s="1247" t="str">
        <f t="shared" si="28"/>
        <v/>
      </c>
      <c r="AV651" s="1247" t="str">
        <f t="shared" si="29"/>
        <v/>
      </c>
      <c r="AW651" s="1247" t="str">
        <f t="shared" si="30"/>
        <v/>
      </c>
      <c r="AX651" s="1247" t="str">
        <f t="shared" si="31"/>
        <v/>
      </c>
      <c r="AY651" s="1247" t="str">
        <f t="shared" si="32"/>
        <v/>
      </c>
      <c r="AZ651" s="1247" t="str">
        <f t="shared" si="33"/>
        <v/>
      </c>
      <c r="BA651" s="1247" t="str">
        <f t="shared" si="34"/>
        <v/>
      </c>
      <c r="BB651" s="1247" t="str">
        <f t="shared" si="35"/>
        <v/>
      </c>
      <c r="BC651" s="1247" t="str">
        <f t="shared" si="36"/>
        <v/>
      </c>
      <c r="BD651" s="1247" t="str">
        <f t="shared" si="37"/>
        <v/>
      </c>
      <c r="BE651" s="1247" t="str">
        <f t="shared" si="38"/>
        <v/>
      </c>
      <c r="BF651" s="1247" t="str">
        <f t="shared" si="39"/>
        <v/>
      </c>
      <c r="BG651" s="1247" t="str">
        <f t="shared" si="40"/>
        <v/>
      </c>
      <c r="BH651" s="1247" t="str">
        <f t="shared" si="41"/>
        <v/>
      </c>
      <c r="BI651" s="1247" t="str">
        <f t="shared" si="42"/>
        <v/>
      </c>
      <c r="BJ651" s="1247" t="str">
        <f t="shared" si="43"/>
        <v/>
      </c>
      <c r="BK651" s="1247" t="str">
        <f t="shared" si="44"/>
        <v/>
      </c>
      <c r="BL651" s="1247" t="str">
        <f t="shared" si="45"/>
        <v/>
      </c>
      <c r="BM651" s="1247" t="str">
        <f t="shared" si="46"/>
        <v/>
      </c>
      <c r="BN651" s="1247" t="str">
        <f t="shared" si="47"/>
        <v/>
      </c>
      <c r="BO651" s="1247" t="str">
        <f t="shared" si="48"/>
        <v/>
      </c>
      <c r="BP651" s="1247" t="str">
        <f t="shared" si="49"/>
        <v/>
      </c>
      <c r="BQ651" s="1247" t="str">
        <f t="shared" si="50"/>
        <v/>
      </c>
      <c r="BR651" s="1247" t="str">
        <f t="shared" si="51"/>
        <v/>
      </c>
      <c r="BS651" s="1247" t="str">
        <f t="shared" si="52"/>
        <v/>
      </c>
      <c r="BT651" s="1247" t="str">
        <f t="shared" si="53"/>
        <v/>
      </c>
      <c r="BU651" s="1247" t="str">
        <f t="shared" si="54"/>
        <v/>
      </c>
      <c r="BV651" s="1247" t="str">
        <f t="shared" si="55"/>
        <v/>
      </c>
      <c r="BW651" s="1247" t="str">
        <f t="shared" si="56"/>
        <v/>
      </c>
      <c r="BX651" s="1247" t="str">
        <f t="shared" si="57"/>
        <v/>
      </c>
      <c r="BY651" s="1247" t="str">
        <f t="shared" si="58"/>
        <v/>
      </c>
      <c r="BZ651" s="1247" t="str">
        <f t="shared" si="59"/>
        <v/>
      </c>
      <c r="CA651" s="1247" t="str">
        <f t="shared" si="60"/>
        <v/>
      </c>
      <c r="CB651" s="1247" t="str">
        <f t="shared" si="61"/>
        <v/>
      </c>
      <c r="CC651" s="1247" t="str">
        <f t="shared" si="62"/>
        <v/>
      </c>
      <c r="CD651" s="1247" t="str">
        <f t="shared" si="63"/>
        <v/>
      </c>
      <c r="CE651" s="1247" t="str">
        <f t="shared" si="64"/>
        <v/>
      </c>
      <c r="CF651" s="1247" t="str">
        <f t="shared" si="65"/>
        <v/>
      </c>
      <c r="CG651" s="1247" t="str">
        <f t="shared" si="66"/>
        <v/>
      </c>
      <c r="CH651" s="1247" t="str">
        <f t="shared" si="67"/>
        <v/>
      </c>
      <c r="CI651" s="1247" t="str">
        <f t="shared" si="68"/>
        <v/>
      </c>
      <c r="CJ651" s="1247" t="str">
        <f t="shared" si="69"/>
        <v/>
      </c>
      <c r="CK651" s="1247" t="str">
        <f t="shared" si="70"/>
        <v/>
      </c>
      <c r="CL651" s="1247" t="str">
        <f t="shared" si="71"/>
        <v/>
      </c>
      <c r="CM651" s="1247" t="str">
        <f t="shared" si="72"/>
        <v/>
      </c>
      <c r="CN651" s="1247" t="str">
        <f t="shared" si="73"/>
        <v/>
      </c>
      <c r="CO651" s="1247" t="str">
        <f t="shared" si="74"/>
        <v/>
      </c>
      <c r="CP651" s="1247" t="str">
        <f t="shared" si="75"/>
        <v/>
      </c>
      <c r="CQ651" s="1247" t="str">
        <f t="shared" si="76"/>
        <v/>
      </c>
      <c r="CR651" s="1247" t="str">
        <f t="shared" si="77"/>
        <v/>
      </c>
      <c r="CS651" s="1247" t="str">
        <f t="shared" si="78"/>
        <v/>
      </c>
      <c r="CT651" s="1247" t="str">
        <f t="shared" si="79"/>
        <v/>
      </c>
      <c r="CU651" s="1247" t="str">
        <f t="shared" si="80"/>
        <v/>
      </c>
      <c r="CV651" s="1247" t="str">
        <f t="shared" si="81"/>
        <v/>
      </c>
      <c r="CW651" s="1247" t="str">
        <f t="shared" si="82"/>
        <v/>
      </c>
      <c r="CX651" s="1247" t="str">
        <f t="shared" si="83"/>
        <v/>
      </c>
      <c r="CY651" s="1247" t="str">
        <f t="shared" si="84"/>
        <v/>
      </c>
      <c r="CZ651" s="1247" t="str">
        <f t="shared" si="85"/>
        <v/>
      </c>
      <c r="DA651" s="1247" t="str">
        <f t="shared" si="86"/>
        <v/>
      </c>
      <c r="DB651" s="1247" t="str">
        <f t="shared" si="87"/>
        <v/>
      </c>
      <c r="DC651" s="1247" t="str">
        <f t="shared" si="88"/>
        <v/>
      </c>
      <c r="DD651" s="1247" t="str">
        <f t="shared" si="89"/>
        <v/>
      </c>
      <c r="DE651" s="1247" t="str">
        <f t="shared" si="90"/>
        <v/>
      </c>
      <c r="DF651" s="1247" t="str">
        <f t="shared" si="91"/>
        <v/>
      </c>
      <c r="DG651" s="1247" t="str">
        <f t="shared" si="92"/>
        <v/>
      </c>
      <c r="DH651" s="1247" t="str">
        <f t="shared" si="93"/>
        <v/>
      </c>
      <c r="DI651" s="1247" t="str">
        <f t="shared" si="94"/>
        <v/>
      </c>
      <c r="DJ651" s="1247" t="str">
        <f t="shared" si="95"/>
        <v/>
      </c>
      <c r="DK651" s="1247" t="str">
        <f t="shared" si="96"/>
        <v/>
      </c>
      <c r="DL651" s="1247" t="str">
        <f t="shared" si="97"/>
        <v/>
      </c>
      <c r="DM651" s="1247" t="str">
        <f t="shared" si="98"/>
        <v/>
      </c>
      <c r="DN651" s="1247" t="str">
        <f t="shared" si="99"/>
        <v/>
      </c>
      <c r="DO651" s="1247" t="str">
        <f t="shared" si="100"/>
        <v/>
      </c>
      <c r="DP651" s="1247" t="str">
        <f t="shared" si="101"/>
        <v/>
      </c>
      <c r="DQ651" s="1247" t="str">
        <f t="shared" si="102"/>
        <v/>
      </c>
      <c r="DR651" s="1247" t="str">
        <f t="shared" si="103"/>
        <v/>
      </c>
      <c r="DS651" s="1247" t="str">
        <f t="shared" si="104"/>
        <v/>
      </c>
      <c r="DT651" s="1247" t="str">
        <f t="shared" si="105"/>
        <v/>
      </c>
      <c r="DU651" s="1247" t="str">
        <f t="shared" si="106"/>
        <v/>
      </c>
      <c r="DV651" s="1247" t="str">
        <f t="shared" si="107"/>
        <v/>
      </c>
      <c r="DW651" s="1247" t="str">
        <f t="shared" si="108"/>
        <v/>
      </c>
      <c r="DX651" s="1247" t="str">
        <f t="shared" si="109"/>
        <v/>
      </c>
      <c r="DY651" s="1247" t="str">
        <f t="shared" si="110"/>
        <v/>
      </c>
      <c r="DZ651" s="1247" t="str">
        <f t="shared" si="111"/>
        <v/>
      </c>
      <c r="EA651" s="1247" t="str">
        <f t="shared" si="112"/>
        <v/>
      </c>
      <c r="EB651" s="1247" t="str">
        <f t="shared" si="113"/>
        <v/>
      </c>
      <c r="EC651" s="1247" t="str">
        <f t="shared" si="114"/>
        <v/>
      </c>
      <c r="ED651" s="1247" t="str">
        <f t="shared" si="115"/>
        <v/>
      </c>
      <c r="EE651" s="1247" t="str">
        <f t="shared" si="116"/>
        <v/>
      </c>
      <c r="EF651" s="1247" t="str">
        <f t="shared" si="117"/>
        <v/>
      </c>
      <c r="EG651" s="1247" t="str">
        <f t="shared" si="118"/>
        <v/>
      </c>
      <c r="EH651" s="1247" t="str">
        <f t="shared" si="119"/>
        <v/>
      </c>
      <c r="EI651" s="1247" t="str">
        <f t="shared" si="120"/>
        <v/>
      </c>
      <c r="EJ651" s="1247" t="str">
        <f t="shared" si="121"/>
        <v/>
      </c>
      <c r="EK651" s="1247" t="str">
        <f t="shared" si="122"/>
        <v/>
      </c>
      <c r="EL651" s="1247" t="str">
        <f t="shared" si="123"/>
        <v/>
      </c>
      <c r="EM651" s="1247" t="str">
        <f t="shared" si="124"/>
        <v/>
      </c>
      <c r="EN651" s="1247" t="str">
        <f t="shared" si="125"/>
        <v/>
      </c>
      <c r="EO651" s="1247" t="str">
        <f t="shared" si="126"/>
        <v/>
      </c>
      <c r="EP651" s="1247" t="str">
        <f t="shared" si="127"/>
        <v/>
      </c>
      <c r="EQ651" s="1247" t="str">
        <f t="shared" si="128"/>
        <v/>
      </c>
      <c r="ER651" s="1247" t="str">
        <f t="shared" si="129"/>
        <v/>
      </c>
      <c r="ES651" s="1247" t="str">
        <f t="shared" si="130"/>
        <v/>
      </c>
      <c r="ET651" s="1247" t="str">
        <f t="shared" si="131"/>
        <v/>
      </c>
      <c r="EU651" s="1247" t="str">
        <f t="shared" si="132"/>
        <v/>
      </c>
      <c r="EV651" s="2909" t="str">
        <f t="shared" si="133"/>
        <v/>
      </c>
      <c r="EW651" s="2909" t="str">
        <f t="shared" si="134"/>
        <v/>
      </c>
      <c r="EX651" s="2909" t="str">
        <f t="shared" si="135"/>
        <v/>
      </c>
      <c r="EY651" s="2909" t="str">
        <f t="shared" si="136"/>
        <v/>
      </c>
      <c r="EZ651" s="2909" t="str">
        <f t="shared" si="137"/>
        <v/>
      </c>
      <c r="FA651" s="2909" t="str">
        <f t="shared" si="138"/>
        <v/>
      </c>
      <c r="FB651" s="2909" t="str">
        <f t="shared" si="139"/>
        <v/>
      </c>
      <c r="FC651" s="2909" t="str">
        <f t="shared" si="140"/>
        <v/>
      </c>
      <c r="FD651" s="2909" t="str">
        <f t="shared" si="141"/>
        <v/>
      </c>
      <c r="FE651" s="2909" t="str">
        <f t="shared" si="142"/>
        <v/>
      </c>
      <c r="FF651" s="2909" t="str">
        <f t="shared" si="143"/>
        <v/>
      </c>
      <c r="FG651" s="2909" t="str">
        <f t="shared" si="144"/>
        <v/>
      </c>
      <c r="FH651" s="2909" t="str">
        <f t="shared" si="145"/>
        <v/>
      </c>
      <c r="FI651" s="2909" t="str">
        <f t="shared" si="146"/>
        <v/>
      </c>
      <c r="FJ651" s="2909" t="str">
        <f t="shared" si="147"/>
        <v/>
      </c>
      <c r="FK651" s="2909" t="str">
        <f t="shared" si="148"/>
        <v/>
      </c>
      <c r="FL651" s="2909" t="str">
        <f t="shared" si="149"/>
        <v/>
      </c>
      <c r="FM651" s="2909" t="str">
        <f t="shared" si="150"/>
        <v/>
      </c>
      <c r="FN651" s="2909" t="str">
        <f t="shared" si="151"/>
        <v/>
      </c>
      <c r="FO651" s="2909" t="str">
        <f t="shared" si="152"/>
        <v/>
      </c>
      <c r="FP651" s="2909" t="str">
        <f t="shared" si="153"/>
        <v/>
      </c>
      <c r="FQ651" s="2909" t="str">
        <f t="shared" si="154"/>
        <v/>
      </c>
      <c r="FR651" s="2909" t="str">
        <f t="shared" si="155"/>
        <v/>
      </c>
      <c r="FS651" s="2909" t="str">
        <f t="shared" si="156"/>
        <v/>
      </c>
      <c r="FT651" s="2909" t="str">
        <f t="shared" si="157"/>
        <v/>
      </c>
      <c r="FU651" s="2909" t="str">
        <f t="shared" si="158"/>
        <v/>
      </c>
      <c r="FV651" s="2909" t="str">
        <f t="shared" si="159"/>
        <v/>
      </c>
      <c r="FW651" s="2909" t="str">
        <f t="shared" si="160"/>
        <v/>
      </c>
      <c r="FX651" s="2909" t="str">
        <f t="shared" si="161"/>
        <v/>
      </c>
      <c r="FY651" s="2909" t="str">
        <f t="shared" si="162"/>
        <v/>
      </c>
      <c r="FZ651" s="2909" t="str">
        <f t="shared" si="163"/>
        <v/>
      </c>
      <c r="GA651" s="2909" t="str">
        <f t="shared" si="164"/>
        <v/>
      </c>
      <c r="GB651" s="2909" t="str">
        <f t="shared" si="165"/>
        <v/>
      </c>
      <c r="GC651" s="2909" t="str">
        <f t="shared" si="166"/>
        <v/>
      </c>
      <c r="GD651" s="2909" t="str">
        <f t="shared" si="167"/>
        <v/>
      </c>
      <c r="GE651" s="2909" t="str">
        <f t="shared" si="168"/>
        <v/>
      </c>
      <c r="GF651" s="2909" t="str">
        <f t="shared" si="169"/>
        <v/>
      </c>
      <c r="GG651" s="2909" t="str">
        <f t="shared" si="170"/>
        <v/>
      </c>
      <c r="GH651" s="2909" t="str">
        <f t="shared" si="171"/>
        <v/>
      </c>
      <c r="GI651" s="2909" t="str">
        <f t="shared" si="172"/>
        <v/>
      </c>
      <c r="GJ651" s="2909" t="str">
        <f t="shared" si="173"/>
        <v/>
      </c>
      <c r="GK651" s="2909" t="str">
        <f t="shared" si="174"/>
        <v/>
      </c>
      <c r="GL651" s="2909" t="str">
        <f t="shared" si="175"/>
        <v/>
      </c>
      <c r="GM651" s="2909" t="str">
        <f t="shared" si="176"/>
        <v/>
      </c>
      <c r="GN651" s="2909" t="str">
        <f t="shared" si="177"/>
        <v/>
      </c>
      <c r="GO651" s="2909" t="str">
        <f t="shared" si="178"/>
        <v/>
      </c>
      <c r="GP651" s="2909" t="str">
        <f t="shared" si="179"/>
        <v/>
      </c>
      <c r="GQ651" s="2909" t="str">
        <f t="shared" si="180"/>
        <v/>
      </c>
      <c r="GR651" s="2909" t="str">
        <f t="shared" si="181"/>
        <v/>
      </c>
      <c r="GS651" s="2909" t="str">
        <f t="shared" si="182"/>
        <v/>
      </c>
      <c r="GT651" s="2909" t="str">
        <f t="shared" si="183"/>
        <v/>
      </c>
      <c r="GU651" s="2909" t="str">
        <f t="shared" si="184"/>
        <v/>
      </c>
      <c r="GV651" s="2909" t="str">
        <f t="shared" si="185"/>
        <v/>
      </c>
      <c r="GW651" s="2909" t="str">
        <f t="shared" si="186"/>
        <v/>
      </c>
      <c r="GX651" s="2909" t="str">
        <f t="shared" si="187"/>
        <v/>
      </c>
      <c r="GY651" s="2909" t="str">
        <f t="shared" si="188"/>
        <v/>
      </c>
      <c r="GZ651" s="2909" t="str">
        <f t="shared" si="189"/>
        <v/>
      </c>
      <c r="HA651" s="2909" t="str">
        <f t="shared" si="190"/>
        <v/>
      </c>
      <c r="HB651" s="2909" t="str">
        <f t="shared" si="191"/>
        <v/>
      </c>
      <c r="HC651" s="2909" t="str">
        <f t="shared" si="192"/>
        <v/>
      </c>
      <c r="HD651" s="2909" t="str">
        <f t="shared" si="193"/>
        <v/>
      </c>
      <c r="HE651" s="2909" t="str">
        <f t="shared" si="194"/>
        <v/>
      </c>
      <c r="HF651" s="2909" t="str">
        <f t="shared" si="195"/>
        <v/>
      </c>
      <c r="HG651" s="2909" t="str">
        <f t="shared" si="196"/>
        <v/>
      </c>
      <c r="HH651" s="2909" t="str">
        <f t="shared" si="197"/>
        <v/>
      </c>
      <c r="HI651" s="2909" t="str">
        <f t="shared" si="198"/>
        <v/>
      </c>
      <c r="HJ651" s="2909" t="str">
        <f t="shared" si="199"/>
        <v/>
      </c>
      <c r="HK651" s="2909" t="str">
        <f t="shared" si="200"/>
        <v/>
      </c>
      <c r="HL651" s="2909" t="str">
        <f t="shared" si="201"/>
        <v/>
      </c>
      <c r="HM651" s="2909" t="str">
        <f t="shared" si="202"/>
        <v/>
      </c>
      <c r="HN651" s="2909" t="str">
        <f t="shared" si="203"/>
        <v/>
      </c>
      <c r="HO651" s="2909" t="str">
        <f t="shared" si="204"/>
        <v/>
      </c>
      <c r="HP651" s="2909" t="str">
        <f t="shared" si="205"/>
        <v/>
      </c>
      <c r="HQ651" s="2909" t="str">
        <f t="shared" si="206"/>
        <v/>
      </c>
      <c r="HR651" s="2909" t="str">
        <f t="shared" si="207"/>
        <v/>
      </c>
      <c r="HS651" s="2909" t="str">
        <f t="shared" si="208"/>
        <v/>
      </c>
      <c r="HT651" s="2909" t="str">
        <f t="shared" si="209"/>
        <v/>
      </c>
      <c r="HU651" s="2909" t="str">
        <f t="shared" si="210"/>
        <v/>
      </c>
      <c r="HV651" s="2909" t="str">
        <f t="shared" si="211"/>
        <v/>
      </c>
      <c r="HW651" s="2909" t="str">
        <f t="shared" si="212"/>
        <v/>
      </c>
      <c r="HX651" s="2909" t="str">
        <f t="shared" si="213"/>
        <v/>
      </c>
      <c r="HY651" s="2909" t="str">
        <f t="shared" si="214"/>
        <v/>
      </c>
      <c r="HZ651" s="2909" t="str">
        <f t="shared" si="215"/>
        <v/>
      </c>
      <c r="IA651" s="2909" t="str">
        <f t="shared" si="216"/>
        <v/>
      </c>
      <c r="IB651" s="2909" t="str">
        <f t="shared" si="217"/>
        <v/>
      </c>
      <c r="IC651" s="2879" t="str">
        <f t="shared" si="218"/>
        <v/>
      </c>
      <c r="ID651" s="2879" t="str">
        <f t="shared" si="219"/>
        <v/>
      </c>
      <c r="IE651" s="2879" t="str">
        <f t="shared" si="220"/>
        <v/>
      </c>
      <c r="IF651" s="2879" t="str">
        <f t="shared" si="221"/>
        <v/>
      </c>
      <c r="IG651" s="2879" t="str">
        <f t="shared" si="222"/>
        <v/>
      </c>
      <c r="IH651" s="1247" t="str">
        <f t="shared" si="223"/>
        <v/>
      </c>
      <c r="II651" s="1247" t="str">
        <f t="shared" si="224"/>
        <v/>
      </c>
      <c r="IJ651" s="1247" t="str">
        <f t="shared" si="225"/>
        <v/>
      </c>
      <c r="IK651" s="1247" t="str">
        <f t="shared" si="226"/>
        <v/>
      </c>
      <c r="IL651" s="1247" t="str">
        <f t="shared" si="227"/>
        <v/>
      </c>
      <c r="IM651" s="1247" t="str">
        <f t="shared" si="228"/>
        <v/>
      </c>
      <c r="IN651" s="1247" t="str">
        <f t="shared" si="229"/>
        <v/>
      </c>
      <c r="IO651" s="1247" t="str">
        <f t="shared" si="230"/>
        <v/>
      </c>
      <c r="IP651" s="1247" t="str">
        <f t="shared" si="231"/>
        <v/>
      </c>
      <c r="IQ651" s="1247" t="str">
        <f t="shared" si="232"/>
        <v/>
      </c>
      <c r="IR651" s="1247" t="str">
        <f t="shared" si="233"/>
        <v/>
      </c>
      <c r="IS651" s="1247" t="str">
        <f t="shared" si="234"/>
        <v/>
      </c>
      <c r="IT651" s="1247" t="str">
        <f t="shared" si="235"/>
        <v/>
      </c>
      <c r="IU651" s="1247" t="str">
        <f t="shared" si="236"/>
        <v/>
      </c>
      <c r="IV651" s="1247" t="str">
        <f t="shared" si="237"/>
        <v/>
      </c>
      <c r="IW651" s="1247" t="str">
        <f t="shared" si="238"/>
        <v/>
      </c>
      <c r="IX651" s="1247" t="str">
        <f t="shared" si="239"/>
        <v/>
      </c>
      <c r="IY651" s="1247" t="str">
        <f t="shared" si="240"/>
        <v/>
      </c>
      <c r="IZ651" s="1247" t="str">
        <f t="shared" si="241"/>
        <v/>
      </c>
      <c r="JA651" s="1247" t="str">
        <f t="shared" si="242"/>
        <v/>
      </c>
      <c r="JB651" s="2877">
        <f t="shared" si="243"/>
        <v>0</v>
      </c>
      <c r="JC651" s="2877">
        <f t="shared" si="244"/>
        <v>0</v>
      </c>
      <c r="JD651" s="2877">
        <f t="shared" si="245"/>
        <v>0</v>
      </c>
      <c r="JE651" s="2877">
        <f t="shared" si="246"/>
        <v>0</v>
      </c>
      <c r="JF651" s="2877">
        <f t="shared" si="247"/>
        <v>0</v>
      </c>
      <c r="JG651" s="2877">
        <f t="shared" si="248"/>
        <v>0</v>
      </c>
      <c r="JH651" s="2877">
        <f t="shared" si="249"/>
        <v>0</v>
      </c>
      <c r="JI651" s="2877">
        <f t="shared" si="250"/>
        <v>0</v>
      </c>
      <c r="JJ651" s="2877">
        <f t="shared" si="251"/>
        <v>0</v>
      </c>
      <c r="JK651" s="2877">
        <f t="shared" si="252"/>
        <v>0</v>
      </c>
      <c r="JL651" s="2877">
        <f t="shared" si="253"/>
        <v>0</v>
      </c>
      <c r="JM651" s="2877">
        <f t="shared" si="254"/>
        <v>0</v>
      </c>
      <c r="JN651" s="2877">
        <f t="shared" si="255"/>
        <v>0</v>
      </c>
      <c r="JO651" s="2877">
        <f t="shared" si="256"/>
        <v>0</v>
      </c>
      <c r="JP651" s="2877">
        <f t="shared" si="257"/>
        <v>0</v>
      </c>
    </row>
    <row r="652" spans="1:276" ht="12" customHeight="1">
      <c r="A652" s="2891" t="str">
        <f t="shared" si="0"/>
        <v/>
      </c>
      <c r="B652" s="2900" t="str">
        <f>'Part VI-Revenues &amp; Expenses'!B32</f>
        <v>&lt;&lt;Select&gt;&gt;</v>
      </c>
      <c r="C652" s="2901">
        <f>'Part VI-Revenues &amp; Expenses'!C32</f>
        <v>0</v>
      </c>
      <c r="D652" s="2902">
        <f>'Part VI-Revenues &amp; Expenses'!D32</f>
        <v>0</v>
      </c>
      <c r="E652" s="2903">
        <f>'Part VI-Revenues &amp; Expenses'!E32</f>
        <v>0</v>
      </c>
      <c r="F652" s="2903">
        <f>'Part VI-Revenues &amp; Expenses'!F32</f>
        <v>0</v>
      </c>
      <c r="G652" s="2903">
        <f>'Part VI-Revenues &amp; Expenses'!G32</f>
        <v>0</v>
      </c>
      <c r="H652" s="2903">
        <f>'Part VI-Revenues &amp; Expenses'!H32</f>
        <v>0</v>
      </c>
      <c r="I652" s="2903">
        <f>'Part VI-Revenues &amp; Expenses'!I32</f>
        <v>0</v>
      </c>
      <c r="J652" s="2904">
        <f>'Part VI-Revenues &amp; Expenses'!J32</f>
        <v>0</v>
      </c>
      <c r="K652" s="2905">
        <f t="shared" si="1"/>
        <v>0</v>
      </c>
      <c r="L652" s="2905">
        <f t="shared" si="2"/>
        <v>0</v>
      </c>
      <c r="M652" s="2886">
        <f>'Part VI-Revenues &amp; Expenses'!M32</f>
        <v>0</v>
      </c>
      <c r="N652" s="2886">
        <f>'Part VI-Revenues &amp; Expenses'!N32</f>
        <v>0</v>
      </c>
      <c r="O652" s="2886">
        <f>'Part VI-Revenues &amp; Expenses'!O32</f>
        <v>0</v>
      </c>
      <c r="P652" s="2886">
        <f>'Part VI-Revenues &amp; Expenses'!P32</f>
        <v>0</v>
      </c>
      <c r="Q652" s="2906">
        <f>IF(H652="","",P652/($O$626*VLOOKUP(C652,'DCA Underwriting Assumptions'!$J$118:$K$123,2,FALSE)))</f>
        <v>0</v>
      </c>
      <c r="R652" s="2907"/>
      <c r="S652" s="2906"/>
      <c r="T652" s="2908"/>
      <c r="U652" s="2908"/>
      <c r="V652" s="1247" t="str">
        <f t="shared" si="3"/>
        <v/>
      </c>
      <c r="W652" s="1247" t="str">
        <f t="shared" si="4"/>
        <v/>
      </c>
      <c r="X652" s="1247" t="str">
        <f t="shared" si="5"/>
        <v/>
      </c>
      <c r="Y652" s="1247" t="str">
        <f t="shared" si="6"/>
        <v/>
      </c>
      <c r="Z652" s="1247" t="str">
        <f t="shared" si="7"/>
        <v/>
      </c>
      <c r="AA652" s="1247" t="str">
        <f t="shared" si="8"/>
        <v/>
      </c>
      <c r="AB652" s="1247" t="str">
        <f t="shared" si="9"/>
        <v/>
      </c>
      <c r="AC652" s="1247" t="str">
        <f t="shared" si="10"/>
        <v/>
      </c>
      <c r="AD652" s="1247" t="str">
        <f t="shared" si="11"/>
        <v/>
      </c>
      <c r="AE652" s="1247" t="str">
        <f t="shared" si="12"/>
        <v/>
      </c>
      <c r="AF652" s="1247" t="str">
        <f t="shared" si="13"/>
        <v/>
      </c>
      <c r="AG652" s="1247" t="str">
        <f t="shared" si="14"/>
        <v/>
      </c>
      <c r="AH652" s="1247" t="str">
        <f t="shared" si="15"/>
        <v/>
      </c>
      <c r="AI652" s="1247" t="str">
        <f t="shared" si="16"/>
        <v/>
      </c>
      <c r="AJ652" s="1247" t="str">
        <f t="shared" si="17"/>
        <v/>
      </c>
      <c r="AK652" s="1247" t="str">
        <f t="shared" si="18"/>
        <v/>
      </c>
      <c r="AL652" s="1247" t="str">
        <f t="shared" si="19"/>
        <v/>
      </c>
      <c r="AM652" s="1247" t="str">
        <f t="shared" si="20"/>
        <v/>
      </c>
      <c r="AN652" s="1247" t="str">
        <f t="shared" si="21"/>
        <v/>
      </c>
      <c r="AO652" s="1247" t="str">
        <f t="shared" si="22"/>
        <v/>
      </c>
      <c r="AP652" s="1247" t="str">
        <f t="shared" si="23"/>
        <v/>
      </c>
      <c r="AQ652" s="1247" t="str">
        <f t="shared" si="24"/>
        <v/>
      </c>
      <c r="AR652" s="1247" t="str">
        <f t="shared" si="25"/>
        <v/>
      </c>
      <c r="AS652" s="1247" t="str">
        <f t="shared" si="26"/>
        <v/>
      </c>
      <c r="AT652" s="1247" t="str">
        <f t="shared" si="27"/>
        <v/>
      </c>
      <c r="AU652" s="1247" t="str">
        <f t="shared" si="28"/>
        <v/>
      </c>
      <c r="AV652" s="1247" t="str">
        <f t="shared" si="29"/>
        <v/>
      </c>
      <c r="AW652" s="1247" t="str">
        <f t="shared" si="30"/>
        <v/>
      </c>
      <c r="AX652" s="1247" t="str">
        <f t="shared" si="31"/>
        <v/>
      </c>
      <c r="AY652" s="1247" t="str">
        <f t="shared" si="32"/>
        <v/>
      </c>
      <c r="AZ652" s="1247" t="str">
        <f t="shared" si="33"/>
        <v/>
      </c>
      <c r="BA652" s="1247" t="str">
        <f t="shared" si="34"/>
        <v/>
      </c>
      <c r="BB652" s="1247" t="str">
        <f t="shared" si="35"/>
        <v/>
      </c>
      <c r="BC652" s="1247" t="str">
        <f t="shared" si="36"/>
        <v/>
      </c>
      <c r="BD652" s="1247" t="str">
        <f t="shared" si="37"/>
        <v/>
      </c>
      <c r="BE652" s="1247" t="str">
        <f t="shared" si="38"/>
        <v/>
      </c>
      <c r="BF652" s="1247" t="str">
        <f t="shared" si="39"/>
        <v/>
      </c>
      <c r="BG652" s="1247" t="str">
        <f t="shared" si="40"/>
        <v/>
      </c>
      <c r="BH652" s="1247" t="str">
        <f t="shared" si="41"/>
        <v/>
      </c>
      <c r="BI652" s="1247" t="str">
        <f t="shared" si="42"/>
        <v/>
      </c>
      <c r="BJ652" s="1247" t="str">
        <f t="shared" si="43"/>
        <v/>
      </c>
      <c r="BK652" s="1247" t="str">
        <f t="shared" si="44"/>
        <v/>
      </c>
      <c r="BL652" s="1247" t="str">
        <f t="shared" si="45"/>
        <v/>
      </c>
      <c r="BM652" s="1247" t="str">
        <f t="shared" si="46"/>
        <v/>
      </c>
      <c r="BN652" s="1247" t="str">
        <f t="shared" si="47"/>
        <v/>
      </c>
      <c r="BO652" s="1247" t="str">
        <f t="shared" si="48"/>
        <v/>
      </c>
      <c r="BP652" s="1247" t="str">
        <f t="shared" si="49"/>
        <v/>
      </c>
      <c r="BQ652" s="1247" t="str">
        <f t="shared" si="50"/>
        <v/>
      </c>
      <c r="BR652" s="1247" t="str">
        <f t="shared" si="51"/>
        <v/>
      </c>
      <c r="BS652" s="1247" t="str">
        <f t="shared" si="52"/>
        <v/>
      </c>
      <c r="BT652" s="1247" t="str">
        <f t="shared" si="53"/>
        <v/>
      </c>
      <c r="BU652" s="1247" t="str">
        <f t="shared" si="54"/>
        <v/>
      </c>
      <c r="BV652" s="1247" t="str">
        <f t="shared" si="55"/>
        <v/>
      </c>
      <c r="BW652" s="1247" t="str">
        <f t="shared" si="56"/>
        <v/>
      </c>
      <c r="BX652" s="1247" t="str">
        <f t="shared" si="57"/>
        <v/>
      </c>
      <c r="BY652" s="1247" t="str">
        <f t="shared" si="58"/>
        <v/>
      </c>
      <c r="BZ652" s="1247" t="str">
        <f t="shared" si="59"/>
        <v/>
      </c>
      <c r="CA652" s="1247" t="str">
        <f t="shared" si="60"/>
        <v/>
      </c>
      <c r="CB652" s="1247" t="str">
        <f t="shared" si="61"/>
        <v/>
      </c>
      <c r="CC652" s="1247" t="str">
        <f t="shared" si="62"/>
        <v/>
      </c>
      <c r="CD652" s="1247" t="str">
        <f t="shared" si="63"/>
        <v/>
      </c>
      <c r="CE652" s="1247" t="str">
        <f t="shared" si="64"/>
        <v/>
      </c>
      <c r="CF652" s="1247" t="str">
        <f t="shared" si="65"/>
        <v/>
      </c>
      <c r="CG652" s="1247" t="str">
        <f t="shared" si="66"/>
        <v/>
      </c>
      <c r="CH652" s="1247" t="str">
        <f t="shared" si="67"/>
        <v/>
      </c>
      <c r="CI652" s="1247" t="str">
        <f t="shared" si="68"/>
        <v/>
      </c>
      <c r="CJ652" s="1247" t="str">
        <f t="shared" si="69"/>
        <v/>
      </c>
      <c r="CK652" s="1247" t="str">
        <f t="shared" si="70"/>
        <v/>
      </c>
      <c r="CL652" s="1247" t="str">
        <f t="shared" si="71"/>
        <v/>
      </c>
      <c r="CM652" s="1247" t="str">
        <f t="shared" si="72"/>
        <v/>
      </c>
      <c r="CN652" s="1247" t="str">
        <f t="shared" si="73"/>
        <v/>
      </c>
      <c r="CO652" s="1247" t="str">
        <f t="shared" si="74"/>
        <v/>
      </c>
      <c r="CP652" s="1247" t="str">
        <f t="shared" si="75"/>
        <v/>
      </c>
      <c r="CQ652" s="1247" t="str">
        <f t="shared" si="76"/>
        <v/>
      </c>
      <c r="CR652" s="1247" t="str">
        <f t="shared" si="77"/>
        <v/>
      </c>
      <c r="CS652" s="1247" t="str">
        <f t="shared" si="78"/>
        <v/>
      </c>
      <c r="CT652" s="1247" t="str">
        <f t="shared" si="79"/>
        <v/>
      </c>
      <c r="CU652" s="1247" t="str">
        <f t="shared" si="80"/>
        <v/>
      </c>
      <c r="CV652" s="1247" t="str">
        <f t="shared" si="81"/>
        <v/>
      </c>
      <c r="CW652" s="1247" t="str">
        <f t="shared" si="82"/>
        <v/>
      </c>
      <c r="CX652" s="1247" t="str">
        <f t="shared" si="83"/>
        <v/>
      </c>
      <c r="CY652" s="1247" t="str">
        <f t="shared" si="84"/>
        <v/>
      </c>
      <c r="CZ652" s="1247" t="str">
        <f t="shared" si="85"/>
        <v/>
      </c>
      <c r="DA652" s="1247" t="str">
        <f t="shared" si="86"/>
        <v/>
      </c>
      <c r="DB652" s="1247" t="str">
        <f t="shared" si="87"/>
        <v/>
      </c>
      <c r="DC652" s="1247" t="str">
        <f t="shared" si="88"/>
        <v/>
      </c>
      <c r="DD652" s="1247" t="str">
        <f t="shared" si="89"/>
        <v/>
      </c>
      <c r="DE652" s="1247" t="str">
        <f t="shared" si="90"/>
        <v/>
      </c>
      <c r="DF652" s="1247" t="str">
        <f t="shared" si="91"/>
        <v/>
      </c>
      <c r="DG652" s="1247" t="str">
        <f t="shared" si="92"/>
        <v/>
      </c>
      <c r="DH652" s="1247" t="str">
        <f t="shared" si="93"/>
        <v/>
      </c>
      <c r="DI652" s="1247" t="str">
        <f t="shared" si="94"/>
        <v/>
      </c>
      <c r="DJ652" s="1247" t="str">
        <f t="shared" si="95"/>
        <v/>
      </c>
      <c r="DK652" s="1247" t="str">
        <f t="shared" si="96"/>
        <v/>
      </c>
      <c r="DL652" s="1247" t="str">
        <f t="shared" si="97"/>
        <v/>
      </c>
      <c r="DM652" s="1247" t="str">
        <f t="shared" si="98"/>
        <v/>
      </c>
      <c r="DN652" s="1247" t="str">
        <f t="shared" si="99"/>
        <v/>
      </c>
      <c r="DO652" s="1247" t="str">
        <f t="shared" si="100"/>
        <v/>
      </c>
      <c r="DP652" s="1247" t="str">
        <f t="shared" si="101"/>
        <v/>
      </c>
      <c r="DQ652" s="1247" t="str">
        <f t="shared" si="102"/>
        <v/>
      </c>
      <c r="DR652" s="1247" t="str">
        <f t="shared" si="103"/>
        <v/>
      </c>
      <c r="DS652" s="1247" t="str">
        <f t="shared" si="104"/>
        <v/>
      </c>
      <c r="DT652" s="1247" t="str">
        <f t="shared" si="105"/>
        <v/>
      </c>
      <c r="DU652" s="1247" t="str">
        <f t="shared" si="106"/>
        <v/>
      </c>
      <c r="DV652" s="1247" t="str">
        <f t="shared" si="107"/>
        <v/>
      </c>
      <c r="DW652" s="1247" t="str">
        <f t="shared" si="108"/>
        <v/>
      </c>
      <c r="DX652" s="1247" t="str">
        <f t="shared" si="109"/>
        <v/>
      </c>
      <c r="DY652" s="1247" t="str">
        <f t="shared" si="110"/>
        <v/>
      </c>
      <c r="DZ652" s="1247" t="str">
        <f t="shared" si="111"/>
        <v/>
      </c>
      <c r="EA652" s="1247" t="str">
        <f t="shared" si="112"/>
        <v/>
      </c>
      <c r="EB652" s="1247" t="str">
        <f t="shared" si="113"/>
        <v/>
      </c>
      <c r="EC652" s="1247" t="str">
        <f t="shared" si="114"/>
        <v/>
      </c>
      <c r="ED652" s="1247" t="str">
        <f t="shared" si="115"/>
        <v/>
      </c>
      <c r="EE652" s="1247" t="str">
        <f t="shared" si="116"/>
        <v/>
      </c>
      <c r="EF652" s="1247" t="str">
        <f t="shared" si="117"/>
        <v/>
      </c>
      <c r="EG652" s="1247" t="str">
        <f t="shared" si="118"/>
        <v/>
      </c>
      <c r="EH652" s="1247" t="str">
        <f t="shared" si="119"/>
        <v/>
      </c>
      <c r="EI652" s="1247" t="str">
        <f t="shared" si="120"/>
        <v/>
      </c>
      <c r="EJ652" s="1247" t="str">
        <f t="shared" si="121"/>
        <v/>
      </c>
      <c r="EK652" s="1247" t="str">
        <f t="shared" si="122"/>
        <v/>
      </c>
      <c r="EL652" s="1247" t="str">
        <f t="shared" si="123"/>
        <v/>
      </c>
      <c r="EM652" s="1247" t="str">
        <f t="shared" si="124"/>
        <v/>
      </c>
      <c r="EN652" s="1247" t="str">
        <f t="shared" si="125"/>
        <v/>
      </c>
      <c r="EO652" s="1247" t="str">
        <f t="shared" si="126"/>
        <v/>
      </c>
      <c r="EP652" s="1247" t="str">
        <f t="shared" si="127"/>
        <v/>
      </c>
      <c r="EQ652" s="1247" t="str">
        <f t="shared" si="128"/>
        <v/>
      </c>
      <c r="ER652" s="1247" t="str">
        <f t="shared" si="129"/>
        <v/>
      </c>
      <c r="ES652" s="1247" t="str">
        <f t="shared" si="130"/>
        <v/>
      </c>
      <c r="ET652" s="1247" t="str">
        <f t="shared" si="131"/>
        <v/>
      </c>
      <c r="EU652" s="1247" t="str">
        <f t="shared" si="132"/>
        <v/>
      </c>
      <c r="EV652" s="2909" t="str">
        <f t="shared" si="133"/>
        <v/>
      </c>
      <c r="EW652" s="2909" t="str">
        <f t="shared" si="134"/>
        <v/>
      </c>
      <c r="EX652" s="2909" t="str">
        <f t="shared" si="135"/>
        <v/>
      </c>
      <c r="EY652" s="2909" t="str">
        <f t="shared" si="136"/>
        <v/>
      </c>
      <c r="EZ652" s="2909" t="str">
        <f t="shared" si="137"/>
        <v/>
      </c>
      <c r="FA652" s="2909" t="str">
        <f t="shared" si="138"/>
        <v/>
      </c>
      <c r="FB652" s="2909" t="str">
        <f t="shared" si="139"/>
        <v/>
      </c>
      <c r="FC652" s="2909" t="str">
        <f t="shared" si="140"/>
        <v/>
      </c>
      <c r="FD652" s="2909" t="str">
        <f t="shared" si="141"/>
        <v/>
      </c>
      <c r="FE652" s="2909" t="str">
        <f t="shared" si="142"/>
        <v/>
      </c>
      <c r="FF652" s="2909" t="str">
        <f t="shared" si="143"/>
        <v/>
      </c>
      <c r="FG652" s="2909" t="str">
        <f t="shared" si="144"/>
        <v/>
      </c>
      <c r="FH652" s="2909" t="str">
        <f t="shared" si="145"/>
        <v/>
      </c>
      <c r="FI652" s="2909" t="str">
        <f t="shared" si="146"/>
        <v/>
      </c>
      <c r="FJ652" s="2909" t="str">
        <f t="shared" si="147"/>
        <v/>
      </c>
      <c r="FK652" s="2909" t="str">
        <f t="shared" si="148"/>
        <v/>
      </c>
      <c r="FL652" s="2909" t="str">
        <f t="shared" si="149"/>
        <v/>
      </c>
      <c r="FM652" s="2909" t="str">
        <f t="shared" si="150"/>
        <v/>
      </c>
      <c r="FN652" s="2909" t="str">
        <f t="shared" si="151"/>
        <v/>
      </c>
      <c r="FO652" s="2909" t="str">
        <f t="shared" si="152"/>
        <v/>
      </c>
      <c r="FP652" s="2909" t="str">
        <f t="shared" si="153"/>
        <v/>
      </c>
      <c r="FQ652" s="2909" t="str">
        <f t="shared" si="154"/>
        <v/>
      </c>
      <c r="FR652" s="2909" t="str">
        <f t="shared" si="155"/>
        <v/>
      </c>
      <c r="FS652" s="2909" t="str">
        <f t="shared" si="156"/>
        <v/>
      </c>
      <c r="FT652" s="2909" t="str">
        <f t="shared" si="157"/>
        <v/>
      </c>
      <c r="FU652" s="2909" t="str">
        <f t="shared" si="158"/>
        <v/>
      </c>
      <c r="FV652" s="2909" t="str">
        <f t="shared" si="159"/>
        <v/>
      </c>
      <c r="FW652" s="2909" t="str">
        <f t="shared" si="160"/>
        <v/>
      </c>
      <c r="FX652" s="2909" t="str">
        <f t="shared" si="161"/>
        <v/>
      </c>
      <c r="FY652" s="2909" t="str">
        <f t="shared" si="162"/>
        <v/>
      </c>
      <c r="FZ652" s="2909" t="str">
        <f t="shared" si="163"/>
        <v/>
      </c>
      <c r="GA652" s="2909" t="str">
        <f t="shared" si="164"/>
        <v/>
      </c>
      <c r="GB652" s="2909" t="str">
        <f t="shared" si="165"/>
        <v/>
      </c>
      <c r="GC652" s="2909" t="str">
        <f t="shared" si="166"/>
        <v/>
      </c>
      <c r="GD652" s="2909" t="str">
        <f t="shared" si="167"/>
        <v/>
      </c>
      <c r="GE652" s="2909" t="str">
        <f t="shared" si="168"/>
        <v/>
      </c>
      <c r="GF652" s="2909" t="str">
        <f t="shared" si="169"/>
        <v/>
      </c>
      <c r="GG652" s="2909" t="str">
        <f t="shared" si="170"/>
        <v/>
      </c>
      <c r="GH652" s="2909" t="str">
        <f t="shared" si="171"/>
        <v/>
      </c>
      <c r="GI652" s="2909" t="str">
        <f t="shared" si="172"/>
        <v/>
      </c>
      <c r="GJ652" s="2909" t="str">
        <f t="shared" si="173"/>
        <v/>
      </c>
      <c r="GK652" s="2909" t="str">
        <f t="shared" si="174"/>
        <v/>
      </c>
      <c r="GL652" s="2909" t="str">
        <f t="shared" si="175"/>
        <v/>
      </c>
      <c r="GM652" s="2909" t="str">
        <f t="shared" si="176"/>
        <v/>
      </c>
      <c r="GN652" s="2909" t="str">
        <f t="shared" si="177"/>
        <v/>
      </c>
      <c r="GO652" s="2909" t="str">
        <f t="shared" si="178"/>
        <v/>
      </c>
      <c r="GP652" s="2909" t="str">
        <f t="shared" si="179"/>
        <v/>
      </c>
      <c r="GQ652" s="2909" t="str">
        <f t="shared" si="180"/>
        <v/>
      </c>
      <c r="GR652" s="2909" t="str">
        <f t="shared" si="181"/>
        <v/>
      </c>
      <c r="GS652" s="2909" t="str">
        <f t="shared" si="182"/>
        <v/>
      </c>
      <c r="GT652" s="2909" t="str">
        <f t="shared" si="183"/>
        <v/>
      </c>
      <c r="GU652" s="2909" t="str">
        <f t="shared" si="184"/>
        <v/>
      </c>
      <c r="GV652" s="2909" t="str">
        <f t="shared" si="185"/>
        <v/>
      </c>
      <c r="GW652" s="2909" t="str">
        <f t="shared" si="186"/>
        <v/>
      </c>
      <c r="GX652" s="2909" t="str">
        <f t="shared" si="187"/>
        <v/>
      </c>
      <c r="GY652" s="2909" t="str">
        <f t="shared" si="188"/>
        <v/>
      </c>
      <c r="GZ652" s="2909" t="str">
        <f t="shared" si="189"/>
        <v/>
      </c>
      <c r="HA652" s="2909" t="str">
        <f t="shared" si="190"/>
        <v/>
      </c>
      <c r="HB652" s="2909" t="str">
        <f t="shared" si="191"/>
        <v/>
      </c>
      <c r="HC652" s="2909" t="str">
        <f t="shared" si="192"/>
        <v/>
      </c>
      <c r="HD652" s="2909" t="str">
        <f t="shared" si="193"/>
        <v/>
      </c>
      <c r="HE652" s="2909" t="str">
        <f t="shared" si="194"/>
        <v/>
      </c>
      <c r="HF652" s="2909" t="str">
        <f t="shared" si="195"/>
        <v/>
      </c>
      <c r="HG652" s="2909" t="str">
        <f t="shared" si="196"/>
        <v/>
      </c>
      <c r="HH652" s="2909" t="str">
        <f t="shared" si="197"/>
        <v/>
      </c>
      <c r="HI652" s="2909" t="str">
        <f t="shared" si="198"/>
        <v/>
      </c>
      <c r="HJ652" s="2909" t="str">
        <f t="shared" si="199"/>
        <v/>
      </c>
      <c r="HK652" s="2909" t="str">
        <f t="shared" si="200"/>
        <v/>
      </c>
      <c r="HL652" s="2909" t="str">
        <f t="shared" si="201"/>
        <v/>
      </c>
      <c r="HM652" s="2909" t="str">
        <f t="shared" si="202"/>
        <v/>
      </c>
      <c r="HN652" s="2909" t="str">
        <f t="shared" si="203"/>
        <v/>
      </c>
      <c r="HO652" s="2909" t="str">
        <f t="shared" si="204"/>
        <v/>
      </c>
      <c r="HP652" s="2909" t="str">
        <f t="shared" si="205"/>
        <v/>
      </c>
      <c r="HQ652" s="2909" t="str">
        <f t="shared" si="206"/>
        <v/>
      </c>
      <c r="HR652" s="2909" t="str">
        <f t="shared" si="207"/>
        <v/>
      </c>
      <c r="HS652" s="2909" t="str">
        <f t="shared" si="208"/>
        <v/>
      </c>
      <c r="HT652" s="2909" t="str">
        <f t="shared" si="209"/>
        <v/>
      </c>
      <c r="HU652" s="2909" t="str">
        <f t="shared" si="210"/>
        <v/>
      </c>
      <c r="HV652" s="2909" t="str">
        <f t="shared" si="211"/>
        <v/>
      </c>
      <c r="HW652" s="2909" t="str">
        <f t="shared" si="212"/>
        <v/>
      </c>
      <c r="HX652" s="2909" t="str">
        <f t="shared" si="213"/>
        <v/>
      </c>
      <c r="HY652" s="2909" t="str">
        <f t="shared" si="214"/>
        <v/>
      </c>
      <c r="HZ652" s="2909" t="str">
        <f t="shared" si="215"/>
        <v/>
      </c>
      <c r="IA652" s="2909" t="str">
        <f t="shared" si="216"/>
        <v/>
      </c>
      <c r="IB652" s="2909" t="str">
        <f t="shared" si="217"/>
        <v/>
      </c>
      <c r="IC652" s="2879" t="str">
        <f t="shared" si="218"/>
        <v/>
      </c>
      <c r="ID652" s="2879" t="str">
        <f t="shared" si="219"/>
        <v/>
      </c>
      <c r="IE652" s="2879" t="str">
        <f t="shared" si="220"/>
        <v/>
      </c>
      <c r="IF652" s="2879" t="str">
        <f t="shared" si="221"/>
        <v/>
      </c>
      <c r="IG652" s="2879" t="str">
        <f t="shared" si="222"/>
        <v/>
      </c>
      <c r="IH652" s="1247" t="str">
        <f t="shared" si="223"/>
        <v/>
      </c>
      <c r="II652" s="1247" t="str">
        <f t="shared" si="224"/>
        <v/>
      </c>
      <c r="IJ652" s="1247" t="str">
        <f t="shared" si="225"/>
        <v/>
      </c>
      <c r="IK652" s="1247" t="str">
        <f t="shared" si="226"/>
        <v/>
      </c>
      <c r="IL652" s="1247" t="str">
        <f t="shared" si="227"/>
        <v/>
      </c>
      <c r="IM652" s="1247" t="str">
        <f t="shared" si="228"/>
        <v/>
      </c>
      <c r="IN652" s="1247" t="str">
        <f t="shared" si="229"/>
        <v/>
      </c>
      <c r="IO652" s="1247" t="str">
        <f t="shared" si="230"/>
        <v/>
      </c>
      <c r="IP652" s="1247" t="str">
        <f t="shared" si="231"/>
        <v/>
      </c>
      <c r="IQ652" s="1247" t="str">
        <f t="shared" si="232"/>
        <v/>
      </c>
      <c r="IR652" s="1247" t="str">
        <f t="shared" si="233"/>
        <v/>
      </c>
      <c r="IS652" s="1247" t="str">
        <f t="shared" si="234"/>
        <v/>
      </c>
      <c r="IT652" s="1247" t="str">
        <f t="shared" si="235"/>
        <v/>
      </c>
      <c r="IU652" s="1247" t="str">
        <f t="shared" si="236"/>
        <v/>
      </c>
      <c r="IV652" s="1247" t="str">
        <f t="shared" si="237"/>
        <v/>
      </c>
      <c r="IW652" s="1247" t="str">
        <f t="shared" si="238"/>
        <v/>
      </c>
      <c r="IX652" s="1247" t="str">
        <f t="shared" si="239"/>
        <v/>
      </c>
      <c r="IY652" s="1247" t="str">
        <f t="shared" si="240"/>
        <v/>
      </c>
      <c r="IZ652" s="1247" t="str">
        <f t="shared" si="241"/>
        <v/>
      </c>
      <c r="JA652" s="1247" t="str">
        <f t="shared" si="242"/>
        <v/>
      </c>
      <c r="JB652" s="2877">
        <f t="shared" si="243"/>
        <v>0</v>
      </c>
      <c r="JC652" s="2877">
        <f t="shared" si="244"/>
        <v>0</v>
      </c>
      <c r="JD652" s="2877">
        <f t="shared" si="245"/>
        <v>0</v>
      </c>
      <c r="JE652" s="2877">
        <f t="shared" si="246"/>
        <v>0</v>
      </c>
      <c r="JF652" s="2877">
        <f t="shared" si="247"/>
        <v>0</v>
      </c>
      <c r="JG652" s="2877">
        <f t="shared" si="248"/>
        <v>0</v>
      </c>
      <c r="JH652" s="2877">
        <f t="shared" si="249"/>
        <v>0</v>
      </c>
      <c r="JI652" s="2877">
        <f t="shared" si="250"/>
        <v>0</v>
      </c>
      <c r="JJ652" s="2877">
        <f t="shared" si="251"/>
        <v>0</v>
      </c>
      <c r="JK652" s="2877">
        <f t="shared" si="252"/>
        <v>0</v>
      </c>
      <c r="JL652" s="2877">
        <f t="shared" si="253"/>
        <v>0</v>
      </c>
      <c r="JM652" s="2877">
        <f t="shared" si="254"/>
        <v>0</v>
      </c>
      <c r="JN652" s="2877">
        <f t="shared" si="255"/>
        <v>0</v>
      </c>
      <c r="JO652" s="2877">
        <f t="shared" si="256"/>
        <v>0</v>
      </c>
      <c r="JP652" s="2877">
        <f t="shared" si="257"/>
        <v>0</v>
      </c>
    </row>
    <row r="653" spans="1:276" ht="12" customHeight="1">
      <c r="A653" s="2891" t="str">
        <f t="shared" si="0"/>
        <v/>
      </c>
      <c r="B653" s="2900" t="str">
        <f>'Part VI-Revenues &amp; Expenses'!B33</f>
        <v>&lt;&lt;Select&gt;&gt;</v>
      </c>
      <c r="C653" s="2901">
        <f>'Part VI-Revenues &amp; Expenses'!C33</f>
        <v>0</v>
      </c>
      <c r="D653" s="2902">
        <f>'Part VI-Revenues &amp; Expenses'!D33</f>
        <v>0</v>
      </c>
      <c r="E653" s="2903">
        <f>'Part VI-Revenues &amp; Expenses'!E33</f>
        <v>0</v>
      </c>
      <c r="F653" s="2903">
        <f>'Part VI-Revenues &amp; Expenses'!F33</f>
        <v>0</v>
      </c>
      <c r="G653" s="2903">
        <f>'Part VI-Revenues &amp; Expenses'!G33</f>
        <v>0</v>
      </c>
      <c r="H653" s="2903">
        <f>'Part VI-Revenues &amp; Expenses'!H33</f>
        <v>0</v>
      </c>
      <c r="I653" s="2903">
        <f>'Part VI-Revenues &amp; Expenses'!I33</f>
        <v>0</v>
      </c>
      <c r="J653" s="2904">
        <f>'Part VI-Revenues &amp; Expenses'!J33</f>
        <v>0</v>
      </c>
      <c r="K653" s="2905">
        <f t="shared" si="1"/>
        <v>0</v>
      </c>
      <c r="L653" s="2905">
        <f t="shared" si="2"/>
        <v>0</v>
      </c>
      <c r="M653" s="2886">
        <f>'Part VI-Revenues &amp; Expenses'!M33</f>
        <v>0</v>
      </c>
      <c r="N653" s="2886">
        <f>'Part VI-Revenues &amp; Expenses'!N33</f>
        <v>0</v>
      </c>
      <c r="O653" s="2886">
        <f>'Part VI-Revenues &amp; Expenses'!O33</f>
        <v>0</v>
      </c>
      <c r="P653" s="2886">
        <f>'Part VI-Revenues &amp; Expenses'!P33</f>
        <v>0</v>
      </c>
      <c r="Q653" s="2906">
        <f>IF(H653="","",P653/($O$626*VLOOKUP(C653,'DCA Underwriting Assumptions'!$J$118:$K$123,2,FALSE)))</f>
        <v>0</v>
      </c>
      <c r="R653" s="2907"/>
      <c r="S653" s="2906"/>
      <c r="T653" s="2908"/>
      <c r="U653" s="2908"/>
      <c r="V653" s="1247" t="str">
        <f t="shared" si="3"/>
        <v/>
      </c>
      <c r="W653" s="1247" t="str">
        <f t="shared" si="4"/>
        <v/>
      </c>
      <c r="X653" s="1247" t="str">
        <f t="shared" si="5"/>
        <v/>
      </c>
      <c r="Y653" s="1247" t="str">
        <f t="shared" si="6"/>
        <v/>
      </c>
      <c r="Z653" s="1247" t="str">
        <f t="shared" si="7"/>
        <v/>
      </c>
      <c r="AA653" s="1247" t="str">
        <f t="shared" si="8"/>
        <v/>
      </c>
      <c r="AB653" s="1247" t="str">
        <f t="shared" si="9"/>
        <v/>
      </c>
      <c r="AC653" s="1247" t="str">
        <f t="shared" si="10"/>
        <v/>
      </c>
      <c r="AD653" s="1247" t="str">
        <f t="shared" si="11"/>
        <v/>
      </c>
      <c r="AE653" s="1247" t="str">
        <f t="shared" si="12"/>
        <v/>
      </c>
      <c r="AF653" s="1247" t="str">
        <f t="shared" si="13"/>
        <v/>
      </c>
      <c r="AG653" s="1247" t="str">
        <f t="shared" si="14"/>
        <v/>
      </c>
      <c r="AH653" s="1247" t="str">
        <f t="shared" si="15"/>
        <v/>
      </c>
      <c r="AI653" s="1247" t="str">
        <f t="shared" si="16"/>
        <v/>
      </c>
      <c r="AJ653" s="1247" t="str">
        <f t="shared" si="17"/>
        <v/>
      </c>
      <c r="AK653" s="1247" t="str">
        <f t="shared" si="18"/>
        <v/>
      </c>
      <c r="AL653" s="1247" t="str">
        <f t="shared" si="19"/>
        <v/>
      </c>
      <c r="AM653" s="1247" t="str">
        <f t="shared" si="20"/>
        <v/>
      </c>
      <c r="AN653" s="1247" t="str">
        <f t="shared" si="21"/>
        <v/>
      </c>
      <c r="AO653" s="1247" t="str">
        <f t="shared" si="22"/>
        <v/>
      </c>
      <c r="AP653" s="1247" t="str">
        <f t="shared" si="23"/>
        <v/>
      </c>
      <c r="AQ653" s="1247" t="str">
        <f t="shared" si="24"/>
        <v/>
      </c>
      <c r="AR653" s="1247" t="str">
        <f t="shared" si="25"/>
        <v/>
      </c>
      <c r="AS653" s="1247" t="str">
        <f t="shared" si="26"/>
        <v/>
      </c>
      <c r="AT653" s="1247" t="str">
        <f t="shared" si="27"/>
        <v/>
      </c>
      <c r="AU653" s="1247" t="str">
        <f t="shared" si="28"/>
        <v/>
      </c>
      <c r="AV653" s="1247" t="str">
        <f t="shared" si="29"/>
        <v/>
      </c>
      <c r="AW653" s="1247" t="str">
        <f t="shared" si="30"/>
        <v/>
      </c>
      <c r="AX653" s="1247" t="str">
        <f t="shared" si="31"/>
        <v/>
      </c>
      <c r="AY653" s="1247" t="str">
        <f t="shared" si="32"/>
        <v/>
      </c>
      <c r="AZ653" s="1247" t="str">
        <f t="shared" si="33"/>
        <v/>
      </c>
      <c r="BA653" s="1247" t="str">
        <f t="shared" si="34"/>
        <v/>
      </c>
      <c r="BB653" s="1247" t="str">
        <f t="shared" si="35"/>
        <v/>
      </c>
      <c r="BC653" s="1247" t="str">
        <f t="shared" si="36"/>
        <v/>
      </c>
      <c r="BD653" s="1247" t="str">
        <f t="shared" si="37"/>
        <v/>
      </c>
      <c r="BE653" s="1247" t="str">
        <f t="shared" si="38"/>
        <v/>
      </c>
      <c r="BF653" s="1247" t="str">
        <f t="shared" si="39"/>
        <v/>
      </c>
      <c r="BG653" s="1247" t="str">
        <f t="shared" si="40"/>
        <v/>
      </c>
      <c r="BH653" s="1247" t="str">
        <f t="shared" si="41"/>
        <v/>
      </c>
      <c r="BI653" s="1247" t="str">
        <f t="shared" si="42"/>
        <v/>
      </c>
      <c r="BJ653" s="1247" t="str">
        <f t="shared" si="43"/>
        <v/>
      </c>
      <c r="BK653" s="1247" t="str">
        <f t="shared" si="44"/>
        <v/>
      </c>
      <c r="BL653" s="1247" t="str">
        <f t="shared" si="45"/>
        <v/>
      </c>
      <c r="BM653" s="1247" t="str">
        <f t="shared" si="46"/>
        <v/>
      </c>
      <c r="BN653" s="1247" t="str">
        <f t="shared" si="47"/>
        <v/>
      </c>
      <c r="BO653" s="1247" t="str">
        <f t="shared" si="48"/>
        <v/>
      </c>
      <c r="BP653" s="1247" t="str">
        <f t="shared" si="49"/>
        <v/>
      </c>
      <c r="BQ653" s="1247" t="str">
        <f t="shared" si="50"/>
        <v/>
      </c>
      <c r="BR653" s="1247" t="str">
        <f t="shared" si="51"/>
        <v/>
      </c>
      <c r="BS653" s="1247" t="str">
        <f t="shared" si="52"/>
        <v/>
      </c>
      <c r="BT653" s="1247" t="str">
        <f t="shared" si="53"/>
        <v/>
      </c>
      <c r="BU653" s="1247" t="str">
        <f t="shared" si="54"/>
        <v/>
      </c>
      <c r="BV653" s="1247" t="str">
        <f t="shared" si="55"/>
        <v/>
      </c>
      <c r="BW653" s="1247" t="str">
        <f t="shared" si="56"/>
        <v/>
      </c>
      <c r="BX653" s="1247" t="str">
        <f t="shared" si="57"/>
        <v/>
      </c>
      <c r="BY653" s="1247" t="str">
        <f t="shared" si="58"/>
        <v/>
      </c>
      <c r="BZ653" s="1247" t="str">
        <f t="shared" si="59"/>
        <v/>
      </c>
      <c r="CA653" s="1247" t="str">
        <f t="shared" si="60"/>
        <v/>
      </c>
      <c r="CB653" s="1247" t="str">
        <f t="shared" si="61"/>
        <v/>
      </c>
      <c r="CC653" s="1247" t="str">
        <f t="shared" si="62"/>
        <v/>
      </c>
      <c r="CD653" s="1247" t="str">
        <f t="shared" si="63"/>
        <v/>
      </c>
      <c r="CE653" s="1247" t="str">
        <f t="shared" si="64"/>
        <v/>
      </c>
      <c r="CF653" s="1247" t="str">
        <f t="shared" si="65"/>
        <v/>
      </c>
      <c r="CG653" s="1247" t="str">
        <f t="shared" si="66"/>
        <v/>
      </c>
      <c r="CH653" s="1247" t="str">
        <f t="shared" si="67"/>
        <v/>
      </c>
      <c r="CI653" s="1247" t="str">
        <f t="shared" si="68"/>
        <v/>
      </c>
      <c r="CJ653" s="1247" t="str">
        <f t="shared" si="69"/>
        <v/>
      </c>
      <c r="CK653" s="1247" t="str">
        <f t="shared" si="70"/>
        <v/>
      </c>
      <c r="CL653" s="1247" t="str">
        <f t="shared" si="71"/>
        <v/>
      </c>
      <c r="CM653" s="1247" t="str">
        <f t="shared" si="72"/>
        <v/>
      </c>
      <c r="CN653" s="1247" t="str">
        <f t="shared" si="73"/>
        <v/>
      </c>
      <c r="CO653" s="1247" t="str">
        <f t="shared" si="74"/>
        <v/>
      </c>
      <c r="CP653" s="1247" t="str">
        <f t="shared" si="75"/>
        <v/>
      </c>
      <c r="CQ653" s="1247" t="str">
        <f t="shared" si="76"/>
        <v/>
      </c>
      <c r="CR653" s="1247" t="str">
        <f t="shared" si="77"/>
        <v/>
      </c>
      <c r="CS653" s="1247" t="str">
        <f t="shared" si="78"/>
        <v/>
      </c>
      <c r="CT653" s="1247" t="str">
        <f t="shared" si="79"/>
        <v/>
      </c>
      <c r="CU653" s="1247" t="str">
        <f t="shared" si="80"/>
        <v/>
      </c>
      <c r="CV653" s="1247" t="str">
        <f t="shared" si="81"/>
        <v/>
      </c>
      <c r="CW653" s="1247" t="str">
        <f t="shared" si="82"/>
        <v/>
      </c>
      <c r="CX653" s="1247" t="str">
        <f t="shared" si="83"/>
        <v/>
      </c>
      <c r="CY653" s="1247" t="str">
        <f t="shared" si="84"/>
        <v/>
      </c>
      <c r="CZ653" s="1247" t="str">
        <f t="shared" si="85"/>
        <v/>
      </c>
      <c r="DA653" s="1247" t="str">
        <f t="shared" si="86"/>
        <v/>
      </c>
      <c r="DB653" s="1247" t="str">
        <f t="shared" si="87"/>
        <v/>
      </c>
      <c r="DC653" s="1247" t="str">
        <f t="shared" si="88"/>
        <v/>
      </c>
      <c r="DD653" s="1247" t="str">
        <f t="shared" si="89"/>
        <v/>
      </c>
      <c r="DE653" s="1247" t="str">
        <f t="shared" si="90"/>
        <v/>
      </c>
      <c r="DF653" s="1247" t="str">
        <f t="shared" si="91"/>
        <v/>
      </c>
      <c r="DG653" s="1247" t="str">
        <f t="shared" si="92"/>
        <v/>
      </c>
      <c r="DH653" s="1247" t="str">
        <f t="shared" si="93"/>
        <v/>
      </c>
      <c r="DI653" s="1247" t="str">
        <f t="shared" si="94"/>
        <v/>
      </c>
      <c r="DJ653" s="1247" t="str">
        <f t="shared" si="95"/>
        <v/>
      </c>
      <c r="DK653" s="1247" t="str">
        <f t="shared" si="96"/>
        <v/>
      </c>
      <c r="DL653" s="1247" t="str">
        <f t="shared" si="97"/>
        <v/>
      </c>
      <c r="DM653" s="1247" t="str">
        <f t="shared" si="98"/>
        <v/>
      </c>
      <c r="DN653" s="1247" t="str">
        <f t="shared" si="99"/>
        <v/>
      </c>
      <c r="DO653" s="1247" t="str">
        <f t="shared" si="100"/>
        <v/>
      </c>
      <c r="DP653" s="1247" t="str">
        <f t="shared" si="101"/>
        <v/>
      </c>
      <c r="DQ653" s="1247" t="str">
        <f t="shared" si="102"/>
        <v/>
      </c>
      <c r="DR653" s="1247" t="str">
        <f t="shared" si="103"/>
        <v/>
      </c>
      <c r="DS653" s="1247" t="str">
        <f t="shared" si="104"/>
        <v/>
      </c>
      <c r="DT653" s="1247" t="str">
        <f t="shared" si="105"/>
        <v/>
      </c>
      <c r="DU653" s="1247" t="str">
        <f t="shared" si="106"/>
        <v/>
      </c>
      <c r="DV653" s="1247" t="str">
        <f t="shared" si="107"/>
        <v/>
      </c>
      <c r="DW653" s="1247" t="str">
        <f t="shared" si="108"/>
        <v/>
      </c>
      <c r="DX653" s="1247" t="str">
        <f t="shared" si="109"/>
        <v/>
      </c>
      <c r="DY653" s="1247" t="str">
        <f t="shared" si="110"/>
        <v/>
      </c>
      <c r="DZ653" s="1247" t="str">
        <f t="shared" si="111"/>
        <v/>
      </c>
      <c r="EA653" s="1247" t="str">
        <f t="shared" si="112"/>
        <v/>
      </c>
      <c r="EB653" s="1247" t="str">
        <f t="shared" si="113"/>
        <v/>
      </c>
      <c r="EC653" s="1247" t="str">
        <f t="shared" si="114"/>
        <v/>
      </c>
      <c r="ED653" s="1247" t="str">
        <f t="shared" si="115"/>
        <v/>
      </c>
      <c r="EE653" s="1247" t="str">
        <f t="shared" si="116"/>
        <v/>
      </c>
      <c r="EF653" s="1247" t="str">
        <f t="shared" si="117"/>
        <v/>
      </c>
      <c r="EG653" s="1247" t="str">
        <f t="shared" si="118"/>
        <v/>
      </c>
      <c r="EH653" s="1247" t="str">
        <f t="shared" si="119"/>
        <v/>
      </c>
      <c r="EI653" s="1247" t="str">
        <f t="shared" si="120"/>
        <v/>
      </c>
      <c r="EJ653" s="1247" t="str">
        <f t="shared" si="121"/>
        <v/>
      </c>
      <c r="EK653" s="1247" t="str">
        <f t="shared" si="122"/>
        <v/>
      </c>
      <c r="EL653" s="1247" t="str">
        <f t="shared" si="123"/>
        <v/>
      </c>
      <c r="EM653" s="1247" t="str">
        <f t="shared" si="124"/>
        <v/>
      </c>
      <c r="EN653" s="1247" t="str">
        <f t="shared" si="125"/>
        <v/>
      </c>
      <c r="EO653" s="1247" t="str">
        <f t="shared" si="126"/>
        <v/>
      </c>
      <c r="EP653" s="1247" t="str">
        <f t="shared" si="127"/>
        <v/>
      </c>
      <c r="EQ653" s="1247" t="str">
        <f t="shared" si="128"/>
        <v/>
      </c>
      <c r="ER653" s="1247" t="str">
        <f t="shared" si="129"/>
        <v/>
      </c>
      <c r="ES653" s="1247" t="str">
        <f t="shared" si="130"/>
        <v/>
      </c>
      <c r="ET653" s="1247" t="str">
        <f t="shared" si="131"/>
        <v/>
      </c>
      <c r="EU653" s="1247" t="str">
        <f t="shared" si="132"/>
        <v/>
      </c>
      <c r="EV653" s="2909" t="str">
        <f t="shared" si="133"/>
        <v/>
      </c>
      <c r="EW653" s="2909" t="str">
        <f t="shared" si="134"/>
        <v/>
      </c>
      <c r="EX653" s="2909" t="str">
        <f t="shared" si="135"/>
        <v/>
      </c>
      <c r="EY653" s="2909" t="str">
        <f t="shared" si="136"/>
        <v/>
      </c>
      <c r="EZ653" s="2909" t="str">
        <f t="shared" si="137"/>
        <v/>
      </c>
      <c r="FA653" s="2909" t="str">
        <f t="shared" si="138"/>
        <v/>
      </c>
      <c r="FB653" s="2909" t="str">
        <f t="shared" si="139"/>
        <v/>
      </c>
      <c r="FC653" s="2909" t="str">
        <f t="shared" si="140"/>
        <v/>
      </c>
      <c r="FD653" s="2909" t="str">
        <f t="shared" si="141"/>
        <v/>
      </c>
      <c r="FE653" s="2909" t="str">
        <f t="shared" si="142"/>
        <v/>
      </c>
      <c r="FF653" s="2909" t="str">
        <f t="shared" si="143"/>
        <v/>
      </c>
      <c r="FG653" s="2909" t="str">
        <f t="shared" si="144"/>
        <v/>
      </c>
      <c r="FH653" s="2909" t="str">
        <f t="shared" si="145"/>
        <v/>
      </c>
      <c r="FI653" s="2909" t="str">
        <f t="shared" si="146"/>
        <v/>
      </c>
      <c r="FJ653" s="2909" t="str">
        <f t="shared" si="147"/>
        <v/>
      </c>
      <c r="FK653" s="2909" t="str">
        <f t="shared" si="148"/>
        <v/>
      </c>
      <c r="FL653" s="2909" t="str">
        <f t="shared" si="149"/>
        <v/>
      </c>
      <c r="FM653" s="2909" t="str">
        <f t="shared" si="150"/>
        <v/>
      </c>
      <c r="FN653" s="2909" t="str">
        <f t="shared" si="151"/>
        <v/>
      </c>
      <c r="FO653" s="2909" t="str">
        <f t="shared" si="152"/>
        <v/>
      </c>
      <c r="FP653" s="2909" t="str">
        <f t="shared" si="153"/>
        <v/>
      </c>
      <c r="FQ653" s="2909" t="str">
        <f t="shared" si="154"/>
        <v/>
      </c>
      <c r="FR653" s="2909" t="str">
        <f t="shared" si="155"/>
        <v/>
      </c>
      <c r="FS653" s="2909" t="str">
        <f t="shared" si="156"/>
        <v/>
      </c>
      <c r="FT653" s="2909" t="str">
        <f t="shared" si="157"/>
        <v/>
      </c>
      <c r="FU653" s="2909" t="str">
        <f t="shared" si="158"/>
        <v/>
      </c>
      <c r="FV653" s="2909" t="str">
        <f t="shared" si="159"/>
        <v/>
      </c>
      <c r="FW653" s="2909" t="str">
        <f t="shared" si="160"/>
        <v/>
      </c>
      <c r="FX653" s="2909" t="str">
        <f t="shared" si="161"/>
        <v/>
      </c>
      <c r="FY653" s="2909" t="str">
        <f t="shared" si="162"/>
        <v/>
      </c>
      <c r="FZ653" s="2909" t="str">
        <f t="shared" si="163"/>
        <v/>
      </c>
      <c r="GA653" s="2909" t="str">
        <f t="shared" si="164"/>
        <v/>
      </c>
      <c r="GB653" s="2909" t="str">
        <f t="shared" si="165"/>
        <v/>
      </c>
      <c r="GC653" s="2909" t="str">
        <f t="shared" si="166"/>
        <v/>
      </c>
      <c r="GD653" s="2909" t="str">
        <f t="shared" si="167"/>
        <v/>
      </c>
      <c r="GE653" s="2909" t="str">
        <f t="shared" si="168"/>
        <v/>
      </c>
      <c r="GF653" s="2909" t="str">
        <f t="shared" si="169"/>
        <v/>
      </c>
      <c r="GG653" s="2909" t="str">
        <f t="shared" si="170"/>
        <v/>
      </c>
      <c r="GH653" s="2909" t="str">
        <f t="shared" si="171"/>
        <v/>
      </c>
      <c r="GI653" s="2909" t="str">
        <f t="shared" si="172"/>
        <v/>
      </c>
      <c r="GJ653" s="2909" t="str">
        <f t="shared" si="173"/>
        <v/>
      </c>
      <c r="GK653" s="2909" t="str">
        <f t="shared" si="174"/>
        <v/>
      </c>
      <c r="GL653" s="2909" t="str">
        <f t="shared" si="175"/>
        <v/>
      </c>
      <c r="GM653" s="2909" t="str">
        <f t="shared" si="176"/>
        <v/>
      </c>
      <c r="GN653" s="2909" t="str">
        <f t="shared" si="177"/>
        <v/>
      </c>
      <c r="GO653" s="2909" t="str">
        <f t="shared" si="178"/>
        <v/>
      </c>
      <c r="GP653" s="2909" t="str">
        <f t="shared" si="179"/>
        <v/>
      </c>
      <c r="GQ653" s="2909" t="str">
        <f t="shared" si="180"/>
        <v/>
      </c>
      <c r="GR653" s="2909" t="str">
        <f t="shared" si="181"/>
        <v/>
      </c>
      <c r="GS653" s="2909" t="str">
        <f t="shared" si="182"/>
        <v/>
      </c>
      <c r="GT653" s="2909" t="str">
        <f t="shared" si="183"/>
        <v/>
      </c>
      <c r="GU653" s="2909" t="str">
        <f t="shared" si="184"/>
        <v/>
      </c>
      <c r="GV653" s="2909" t="str">
        <f t="shared" si="185"/>
        <v/>
      </c>
      <c r="GW653" s="2909" t="str">
        <f t="shared" si="186"/>
        <v/>
      </c>
      <c r="GX653" s="2909" t="str">
        <f t="shared" si="187"/>
        <v/>
      </c>
      <c r="GY653" s="2909" t="str">
        <f t="shared" si="188"/>
        <v/>
      </c>
      <c r="GZ653" s="2909" t="str">
        <f t="shared" si="189"/>
        <v/>
      </c>
      <c r="HA653" s="2909" t="str">
        <f t="shared" si="190"/>
        <v/>
      </c>
      <c r="HB653" s="2909" t="str">
        <f t="shared" si="191"/>
        <v/>
      </c>
      <c r="HC653" s="2909" t="str">
        <f t="shared" si="192"/>
        <v/>
      </c>
      <c r="HD653" s="2909" t="str">
        <f t="shared" si="193"/>
        <v/>
      </c>
      <c r="HE653" s="2909" t="str">
        <f t="shared" si="194"/>
        <v/>
      </c>
      <c r="HF653" s="2909" t="str">
        <f t="shared" si="195"/>
        <v/>
      </c>
      <c r="HG653" s="2909" t="str">
        <f t="shared" si="196"/>
        <v/>
      </c>
      <c r="HH653" s="2909" t="str">
        <f t="shared" si="197"/>
        <v/>
      </c>
      <c r="HI653" s="2909" t="str">
        <f t="shared" si="198"/>
        <v/>
      </c>
      <c r="HJ653" s="2909" t="str">
        <f t="shared" si="199"/>
        <v/>
      </c>
      <c r="HK653" s="2909" t="str">
        <f t="shared" si="200"/>
        <v/>
      </c>
      <c r="HL653" s="2909" t="str">
        <f t="shared" si="201"/>
        <v/>
      </c>
      <c r="HM653" s="2909" t="str">
        <f t="shared" si="202"/>
        <v/>
      </c>
      <c r="HN653" s="2909" t="str">
        <f t="shared" si="203"/>
        <v/>
      </c>
      <c r="HO653" s="2909" t="str">
        <f t="shared" si="204"/>
        <v/>
      </c>
      <c r="HP653" s="2909" t="str">
        <f t="shared" si="205"/>
        <v/>
      </c>
      <c r="HQ653" s="2909" t="str">
        <f t="shared" si="206"/>
        <v/>
      </c>
      <c r="HR653" s="2909" t="str">
        <f t="shared" si="207"/>
        <v/>
      </c>
      <c r="HS653" s="2909" t="str">
        <f t="shared" si="208"/>
        <v/>
      </c>
      <c r="HT653" s="2909" t="str">
        <f t="shared" si="209"/>
        <v/>
      </c>
      <c r="HU653" s="2909" t="str">
        <f t="shared" si="210"/>
        <v/>
      </c>
      <c r="HV653" s="2909" t="str">
        <f t="shared" si="211"/>
        <v/>
      </c>
      <c r="HW653" s="2909" t="str">
        <f t="shared" si="212"/>
        <v/>
      </c>
      <c r="HX653" s="2909" t="str">
        <f t="shared" si="213"/>
        <v/>
      </c>
      <c r="HY653" s="2909" t="str">
        <f t="shared" si="214"/>
        <v/>
      </c>
      <c r="HZ653" s="2909" t="str">
        <f t="shared" si="215"/>
        <v/>
      </c>
      <c r="IA653" s="2909" t="str">
        <f t="shared" si="216"/>
        <v/>
      </c>
      <c r="IB653" s="2909" t="str">
        <f t="shared" si="217"/>
        <v/>
      </c>
      <c r="IC653" s="2879" t="str">
        <f t="shared" si="218"/>
        <v/>
      </c>
      <c r="ID653" s="2879" t="str">
        <f t="shared" si="219"/>
        <v/>
      </c>
      <c r="IE653" s="2879" t="str">
        <f t="shared" si="220"/>
        <v/>
      </c>
      <c r="IF653" s="2879" t="str">
        <f t="shared" si="221"/>
        <v/>
      </c>
      <c r="IG653" s="2879" t="str">
        <f t="shared" si="222"/>
        <v/>
      </c>
      <c r="IH653" s="1247" t="str">
        <f t="shared" si="223"/>
        <v/>
      </c>
      <c r="II653" s="1247" t="str">
        <f t="shared" si="224"/>
        <v/>
      </c>
      <c r="IJ653" s="1247" t="str">
        <f t="shared" si="225"/>
        <v/>
      </c>
      <c r="IK653" s="1247" t="str">
        <f t="shared" si="226"/>
        <v/>
      </c>
      <c r="IL653" s="1247" t="str">
        <f t="shared" si="227"/>
        <v/>
      </c>
      <c r="IM653" s="1247" t="str">
        <f t="shared" si="228"/>
        <v/>
      </c>
      <c r="IN653" s="1247" t="str">
        <f t="shared" si="229"/>
        <v/>
      </c>
      <c r="IO653" s="1247" t="str">
        <f t="shared" si="230"/>
        <v/>
      </c>
      <c r="IP653" s="1247" t="str">
        <f t="shared" si="231"/>
        <v/>
      </c>
      <c r="IQ653" s="1247" t="str">
        <f t="shared" si="232"/>
        <v/>
      </c>
      <c r="IR653" s="1247" t="str">
        <f t="shared" si="233"/>
        <v/>
      </c>
      <c r="IS653" s="1247" t="str">
        <f t="shared" si="234"/>
        <v/>
      </c>
      <c r="IT653" s="1247" t="str">
        <f t="shared" si="235"/>
        <v/>
      </c>
      <c r="IU653" s="1247" t="str">
        <f t="shared" si="236"/>
        <v/>
      </c>
      <c r="IV653" s="1247" t="str">
        <f t="shared" si="237"/>
        <v/>
      </c>
      <c r="IW653" s="1247" t="str">
        <f t="shared" si="238"/>
        <v/>
      </c>
      <c r="IX653" s="1247" t="str">
        <f t="shared" si="239"/>
        <v/>
      </c>
      <c r="IY653" s="1247" t="str">
        <f t="shared" si="240"/>
        <v/>
      </c>
      <c r="IZ653" s="1247" t="str">
        <f t="shared" si="241"/>
        <v/>
      </c>
      <c r="JA653" s="1247" t="str">
        <f t="shared" si="242"/>
        <v/>
      </c>
      <c r="JB653" s="2877">
        <f t="shared" si="243"/>
        <v>0</v>
      </c>
      <c r="JC653" s="2877">
        <f t="shared" si="244"/>
        <v>0</v>
      </c>
      <c r="JD653" s="2877">
        <f t="shared" si="245"/>
        <v>0</v>
      </c>
      <c r="JE653" s="2877">
        <f t="shared" si="246"/>
        <v>0</v>
      </c>
      <c r="JF653" s="2877">
        <f t="shared" si="247"/>
        <v>0</v>
      </c>
      <c r="JG653" s="2877">
        <f t="shared" si="248"/>
        <v>0</v>
      </c>
      <c r="JH653" s="2877">
        <f t="shared" si="249"/>
        <v>0</v>
      </c>
      <c r="JI653" s="2877">
        <f t="shared" si="250"/>
        <v>0</v>
      </c>
      <c r="JJ653" s="2877">
        <f t="shared" si="251"/>
        <v>0</v>
      </c>
      <c r="JK653" s="2877">
        <f t="shared" si="252"/>
        <v>0</v>
      </c>
      <c r="JL653" s="2877">
        <f t="shared" si="253"/>
        <v>0</v>
      </c>
      <c r="JM653" s="2877">
        <f t="shared" si="254"/>
        <v>0</v>
      </c>
      <c r="JN653" s="2877">
        <f t="shared" si="255"/>
        <v>0</v>
      </c>
      <c r="JO653" s="2877">
        <f t="shared" si="256"/>
        <v>0</v>
      </c>
      <c r="JP653" s="2877">
        <f t="shared" si="257"/>
        <v>0</v>
      </c>
    </row>
    <row r="654" spans="1:276" ht="12" customHeight="1">
      <c r="A654" s="2891" t="str">
        <f t="shared" si="0"/>
        <v/>
      </c>
      <c r="B654" s="2900" t="str">
        <f>'Part VI-Revenues &amp; Expenses'!B34</f>
        <v>&lt;&lt;Select&gt;&gt;</v>
      </c>
      <c r="C654" s="2901">
        <f>'Part VI-Revenues &amp; Expenses'!C34</f>
        <v>0</v>
      </c>
      <c r="D654" s="2902">
        <f>'Part VI-Revenues &amp; Expenses'!D34</f>
        <v>0</v>
      </c>
      <c r="E654" s="2903">
        <f>'Part VI-Revenues &amp; Expenses'!E34</f>
        <v>0</v>
      </c>
      <c r="F654" s="2903">
        <f>'Part VI-Revenues &amp; Expenses'!F34</f>
        <v>0</v>
      </c>
      <c r="G654" s="2903">
        <f>'Part VI-Revenues &amp; Expenses'!G34</f>
        <v>0</v>
      </c>
      <c r="H654" s="2903">
        <f>'Part VI-Revenues &amp; Expenses'!H34</f>
        <v>0</v>
      </c>
      <c r="I654" s="2903">
        <f>'Part VI-Revenues &amp; Expenses'!I34</f>
        <v>0</v>
      </c>
      <c r="J654" s="2904">
        <f>'Part VI-Revenues &amp; Expenses'!J34</f>
        <v>0</v>
      </c>
      <c r="K654" s="2905">
        <f t="shared" si="1"/>
        <v>0</v>
      </c>
      <c r="L654" s="2905">
        <f t="shared" si="2"/>
        <v>0</v>
      </c>
      <c r="M654" s="2886">
        <f>'Part VI-Revenues &amp; Expenses'!M34</f>
        <v>0</v>
      </c>
      <c r="N654" s="2886">
        <f>'Part VI-Revenues &amp; Expenses'!N34</f>
        <v>0</v>
      </c>
      <c r="O654" s="2886">
        <f>'Part VI-Revenues &amp; Expenses'!O34</f>
        <v>0</v>
      </c>
      <c r="P654" s="2886">
        <f>'Part VI-Revenues &amp; Expenses'!P34</f>
        <v>0</v>
      </c>
      <c r="Q654" s="2906">
        <f>IF(H654="","",P654/($O$626*VLOOKUP(C654,'DCA Underwriting Assumptions'!$J$118:$K$123,2,FALSE)))</f>
        <v>0</v>
      </c>
      <c r="R654" s="2907"/>
      <c r="S654" s="2906"/>
      <c r="T654" s="2908"/>
      <c r="U654" s="2908"/>
      <c r="V654" s="1247" t="str">
        <f t="shared" si="3"/>
        <v/>
      </c>
      <c r="W654" s="1247" t="str">
        <f t="shared" si="4"/>
        <v/>
      </c>
      <c r="X654" s="1247" t="str">
        <f t="shared" si="5"/>
        <v/>
      </c>
      <c r="Y654" s="1247" t="str">
        <f t="shared" si="6"/>
        <v/>
      </c>
      <c r="Z654" s="1247" t="str">
        <f t="shared" si="7"/>
        <v/>
      </c>
      <c r="AA654" s="1247" t="str">
        <f t="shared" si="8"/>
        <v/>
      </c>
      <c r="AB654" s="1247" t="str">
        <f t="shared" si="9"/>
        <v/>
      </c>
      <c r="AC654" s="1247" t="str">
        <f t="shared" si="10"/>
        <v/>
      </c>
      <c r="AD654" s="1247" t="str">
        <f t="shared" si="11"/>
        <v/>
      </c>
      <c r="AE654" s="1247" t="str">
        <f t="shared" si="12"/>
        <v/>
      </c>
      <c r="AF654" s="1247" t="str">
        <f t="shared" si="13"/>
        <v/>
      </c>
      <c r="AG654" s="1247" t="str">
        <f t="shared" si="14"/>
        <v/>
      </c>
      <c r="AH654" s="1247" t="str">
        <f t="shared" si="15"/>
        <v/>
      </c>
      <c r="AI654" s="1247" t="str">
        <f t="shared" si="16"/>
        <v/>
      </c>
      <c r="AJ654" s="1247" t="str">
        <f t="shared" si="17"/>
        <v/>
      </c>
      <c r="AK654" s="1247" t="str">
        <f t="shared" si="18"/>
        <v/>
      </c>
      <c r="AL654" s="1247" t="str">
        <f t="shared" si="19"/>
        <v/>
      </c>
      <c r="AM654" s="1247" t="str">
        <f t="shared" si="20"/>
        <v/>
      </c>
      <c r="AN654" s="1247" t="str">
        <f t="shared" si="21"/>
        <v/>
      </c>
      <c r="AO654" s="1247" t="str">
        <f t="shared" si="22"/>
        <v/>
      </c>
      <c r="AP654" s="1247" t="str">
        <f t="shared" si="23"/>
        <v/>
      </c>
      <c r="AQ654" s="1247" t="str">
        <f t="shared" si="24"/>
        <v/>
      </c>
      <c r="AR654" s="1247" t="str">
        <f t="shared" si="25"/>
        <v/>
      </c>
      <c r="AS654" s="1247" t="str">
        <f t="shared" si="26"/>
        <v/>
      </c>
      <c r="AT654" s="1247" t="str">
        <f t="shared" si="27"/>
        <v/>
      </c>
      <c r="AU654" s="1247" t="str">
        <f t="shared" si="28"/>
        <v/>
      </c>
      <c r="AV654" s="1247" t="str">
        <f t="shared" si="29"/>
        <v/>
      </c>
      <c r="AW654" s="1247" t="str">
        <f t="shared" si="30"/>
        <v/>
      </c>
      <c r="AX654" s="1247" t="str">
        <f t="shared" si="31"/>
        <v/>
      </c>
      <c r="AY654" s="1247" t="str">
        <f t="shared" si="32"/>
        <v/>
      </c>
      <c r="AZ654" s="1247" t="str">
        <f t="shared" si="33"/>
        <v/>
      </c>
      <c r="BA654" s="1247" t="str">
        <f t="shared" si="34"/>
        <v/>
      </c>
      <c r="BB654" s="1247" t="str">
        <f t="shared" si="35"/>
        <v/>
      </c>
      <c r="BC654" s="1247" t="str">
        <f t="shared" si="36"/>
        <v/>
      </c>
      <c r="BD654" s="1247" t="str">
        <f t="shared" si="37"/>
        <v/>
      </c>
      <c r="BE654" s="1247" t="str">
        <f t="shared" si="38"/>
        <v/>
      </c>
      <c r="BF654" s="1247" t="str">
        <f t="shared" si="39"/>
        <v/>
      </c>
      <c r="BG654" s="1247" t="str">
        <f t="shared" si="40"/>
        <v/>
      </c>
      <c r="BH654" s="1247" t="str">
        <f t="shared" si="41"/>
        <v/>
      </c>
      <c r="BI654" s="1247" t="str">
        <f t="shared" si="42"/>
        <v/>
      </c>
      <c r="BJ654" s="1247" t="str">
        <f t="shared" si="43"/>
        <v/>
      </c>
      <c r="BK654" s="1247" t="str">
        <f t="shared" si="44"/>
        <v/>
      </c>
      <c r="BL654" s="1247" t="str">
        <f t="shared" si="45"/>
        <v/>
      </c>
      <c r="BM654" s="1247" t="str">
        <f t="shared" si="46"/>
        <v/>
      </c>
      <c r="BN654" s="1247" t="str">
        <f t="shared" si="47"/>
        <v/>
      </c>
      <c r="BO654" s="1247" t="str">
        <f t="shared" si="48"/>
        <v/>
      </c>
      <c r="BP654" s="1247" t="str">
        <f t="shared" si="49"/>
        <v/>
      </c>
      <c r="BQ654" s="1247" t="str">
        <f t="shared" si="50"/>
        <v/>
      </c>
      <c r="BR654" s="1247" t="str">
        <f t="shared" si="51"/>
        <v/>
      </c>
      <c r="BS654" s="1247" t="str">
        <f t="shared" si="52"/>
        <v/>
      </c>
      <c r="BT654" s="1247" t="str">
        <f t="shared" si="53"/>
        <v/>
      </c>
      <c r="BU654" s="1247" t="str">
        <f t="shared" si="54"/>
        <v/>
      </c>
      <c r="BV654" s="1247" t="str">
        <f t="shared" si="55"/>
        <v/>
      </c>
      <c r="BW654" s="1247" t="str">
        <f t="shared" si="56"/>
        <v/>
      </c>
      <c r="BX654" s="1247" t="str">
        <f t="shared" si="57"/>
        <v/>
      </c>
      <c r="BY654" s="1247" t="str">
        <f t="shared" si="58"/>
        <v/>
      </c>
      <c r="BZ654" s="1247" t="str">
        <f t="shared" si="59"/>
        <v/>
      </c>
      <c r="CA654" s="1247" t="str">
        <f t="shared" si="60"/>
        <v/>
      </c>
      <c r="CB654" s="1247" t="str">
        <f t="shared" si="61"/>
        <v/>
      </c>
      <c r="CC654" s="1247" t="str">
        <f t="shared" si="62"/>
        <v/>
      </c>
      <c r="CD654" s="1247" t="str">
        <f t="shared" si="63"/>
        <v/>
      </c>
      <c r="CE654" s="1247" t="str">
        <f t="shared" si="64"/>
        <v/>
      </c>
      <c r="CF654" s="1247" t="str">
        <f t="shared" si="65"/>
        <v/>
      </c>
      <c r="CG654" s="1247" t="str">
        <f t="shared" si="66"/>
        <v/>
      </c>
      <c r="CH654" s="1247" t="str">
        <f t="shared" si="67"/>
        <v/>
      </c>
      <c r="CI654" s="1247" t="str">
        <f t="shared" si="68"/>
        <v/>
      </c>
      <c r="CJ654" s="1247" t="str">
        <f t="shared" si="69"/>
        <v/>
      </c>
      <c r="CK654" s="1247" t="str">
        <f t="shared" si="70"/>
        <v/>
      </c>
      <c r="CL654" s="1247" t="str">
        <f t="shared" si="71"/>
        <v/>
      </c>
      <c r="CM654" s="1247" t="str">
        <f t="shared" si="72"/>
        <v/>
      </c>
      <c r="CN654" s="1247" t="str">
        <f t="shared" si="73"/>
        <v/>
      </c>
      <c r="CO654" s="1247" t="str">
        <f t="shared" si="74"/>
        <v/>
      </c>
      <c r="CP654" s="1247" t="str">
        <f t="shared" si="75"/>
        <v/>
      </c>
      <c r="CQ654" s="1247" t="str">
        <f t="shared" si="76"/>
        <v/>
      </c>
      <c r="CR654" s="1247" t="str">
        <f t="shared" si="77"/>
        <v/>
      </c>
      <c r="CS654" s="1247" t="str">
        <f t="shared" si="78"/>
        <v/>
      </c>
      <c r="CT654" s="1247" t="str">
        <f t="shared" si="79"/>
        <v/>
      </c>
      <c r="CU654" s="1247" t="str">
        <f t="shared" si="80"/>
        <v/>
      </c>
      <c r="CV654" s="1247" t="str">
        <f t="shared" si="81"/>
        <v/>
      </c>
      <c r="CW654" s="1247" t="str">
        <f t="shared" si="82"/>
        <v/>
      </c>
      <c r="CX654" s="1247" t="str">
        <f t="shared" si="83"/>
        <v/>
      </c>
      <c r="CY654" s="1247" t="str">
        <f t="shared" si="84"/>
        <v/>
      </c>
      <c r="CZ654" s="1247" t="str">
        <f t="shared" si="85"/>
        <v/>
      </c>
      <c r="DA654" s="1247" t="str">
        <f t="shared" si="86"/>
        <v/>
      </c>
      <c r="DB654" s="1247" t="str">
        <f t="shared" si="87"/>
        <v/>
      </c>
      <c r="DC654" s="1247" t="str">
        <f t="shared" si="88"/>
        <v/>
      </c>
      <c r="DD654" s="1247" t="str">
        <f t="shared" si="89"/>
        <v/>
      </c>
      <c r="DE654" s="1247" t="str">
        <f t="shared" si="90"/>
        <v/>
      </c>
      <c r="DF654" s="1247" t="str">
        <f t="shared" si="91"/>
        <v/>
      </c>
      <c r="DG654" s="1247" t="str">
        <f t="shared" si="92"/>
        <v/>
      </c>
      <c r="DH654" s="1247" t="str">
        <f t="shared" si="93"/>
        <v/>
      </c>
      <c r="DI654" s="1247" t="str">
        <f t="shared" si="94"/>
        <v/>
      </c>
      <c r="DJ654" s="1247" t="str">
        <f t="shared" si="95"/>
        <v/>
      </c>
      <c r="DK654" s="1247" t="str">
        <f t="shared" si="96"/>
        <v/>
      </c>
      <c r="DL654" s="1247" t="str">
        <f t="shared" si="97"/>
        <v/>
      </c>
      <c r="DM654" s="1247" t="str">
        <f t="shared" si="98"/>
        <v/>
      </c>
      <c r="DN654" s="1247" t="str">
        <f t="shared" si="99"/>
        <v/>
      </c>
      <c r="DO654" s="1247" t="str">
        <f t="shared" si="100"/>
        <v/>
      </c>
      <c r="DP654" s="1247" t="str">
        <f t="shared" si="101"/>
        <v/>
      </c>
      <c r="DQ654" s="1247" t="str">
        <f t="shared" si="102"/>
        <v/>
      </c>
      <c r="DR654" s="1247" t="str">
        <f t="shared" si="103"/>
        <v/>
      </c>
      <c r="DS654" s="1247" t="str">
        <f t="shared" si="104"/>
        <v/>
      </c>
      <c r="DT654" s="1247" t="str">
        <f t="shared" si="105"/>
        <v/>
      </c>
      <c r="DU654" s="1247" t="str">
        <f t="shared" si="106"/>
        <v/>
      </c>
      <c r="DV654" s="1247" t="str">
        <f t="shared" si="107"/>
        <v/>
      </c>
      <c r="DW654" s="1247" t="str">
        <f t="shared" si="108"/>
        <v/>
      </c>
      <c r="DX654" s="1247" t="str">
        <f t="shared" si="109"/>
        <v/>
      </c>
      <c r="DY654" s="1247" t="str">
        <f t="shared" si="110"/>
        <v/>
      </c>
      <c r="DZ654" s="1247" t="str">
        <f t="shared" si="111"/>
        <v/>
      </c>
      <c r="EA654" s="1247" t="str">
        <f t="shared" si="112"/>
        <v/>
      </c>
      <c r="EB654" s="1247" t="str">
        <f t="shared" si="113"/>
        <v/>
      </c>
      <c r="EC654" s="1247" t="str">
        <f t="shared" si="114"/>
        <v/>
      </c>
      <c r="ED654" s="1247" t="str">
        <f t="shared" si="115"/>
        <v/>
      </c>
      <c r="EE654" s="1247" t="str">
        <f t="shared" si="116"/>
        <v/>
      </c>
      <c r="EF654" s="1247" t="str">
        <f t="shared" si="117"/>
        <v/>
      </c>
      <c r="EG654" s="1247" t="str">
        <f t="shared" si="118"/>
        <v/>
      </c>
      <c r="EH654" s="1247" t="str">
        <f t="shared" si="119"/>
        <v/>
      </c>
      <c r="EI654" s="1247" t="str">
        <f t="shared" si="120"/>
        <v/>
      </c>
      <c r="EJ654" s="1247" t="str">
        <f t="shared" si="121"/>
        <v/>
      </c>
      <c r="EK654" s="1247" t="str">
        <f t="shared" si="122"/>
        <v/>
      </c>
      <c r="EL654" s="1247" t="str">
        <f t="shared" si="123"/>
        <v/>
      </c>
      <c r="EM654" s="1247" t="str">
        <f t="shared" si="124"/>
        <v/>
      </c>
      <c r="EN654" s="1247" t="str">
        <f t="shared" si="125"/>
        <v/>
      </c>
      <c r="EO654" s="1247" t="str">
        <f t="shared" si="126"/>
        <v/>
      </c>
      <c r="EP654" s="1247" t="str">
        <f t="shared" si="127"/>
        <v/>
      </c>
      <c r="EQ654" s="1247" t="str">
        <f t="shared" si="128"/>
        <v/>
      </c>
      <c r="ER654" s="1247" t="str">
        <f t="shared" si="129"/>
        <v/>
      </c>
      <c r="ES654" s="1247" t="str">
        <f t="shared" si="130"/>
        <v/>
      </c>
      <c r="ET654" s="1247" t="str">
        <f t="shared" si="131"/>
        <v/>
      </c>
      <c r="EU654" s="1247" t="str">
        <f t="shared" si="132"/>
        <v/>
      </c>
      <c r="EV654" s="2909" t="str">
        <f t="shared" si="133"/>
        <v/>
      </c>
      <c r="EW654" s="2909" t="str">
        <f t="shared" si="134"/>
        <v/>
      </c>
      <c r="EX654" s="2909" t="str">
        <f t="shared" si="135"/>
        <v/>
      </c>
      <c r="EY654" s="2909" t="str">
        <f t="shared" si="136"/>
        <v/>
      </c>
      <c r="EZ654" s="2909" t="str">
        <f t="shared" si="137"/>
        <v/>
      </c>
      <c r="FA654" s="2909" t="str">
        <f t="shared" si="138"/>
        <v/>
      </c>
      <c r="FB654" s="2909" t="str">
        <f t="shared" si="139"/>
        <v/>
      </c>
      <c r="FC654" s="2909" t="str">
        <f t="shared" si="140"/>
        <v/>
      </c>
      <c r="FD654" s="2909" t="str">
        <f t="shared" si="141"/>
        <v/>
      </c>
      <c r="FE654" s="2909" t="str">
        <f t="shared" si="142"/>
        <v/>
      </c>
      <c r="FF654" s="2909" t="str">
        <f t="shared" si="143"/>
        <v/>
      </c>
      <c r="FG654" s="2909" t="str">
        <f t="shared" si="144"/>
        <v/>
      </c>
      <c r="FH654" s="2909" t="str">
        <f t="shared" si="145"/>
        <v/>
      </c>
      <c r="FI654" s="2909" t="str">
        <f t="shared" si="146"/>
        <v/>
      </c>
      <c r="FJ654" s="2909" t="str">
        <f t="shared" si="147"/>
        <v/>
      </c>
      <c r="FK654" s="2909" t="str">
        <f t="shared" si="148"/>
        <v/>
      </c>
      <c r="FL654" s="2909" t="str">
        <f t="shared" si="149"/>
        <v/>
      </c>
      <c r="FM654" s="2909" t="str">
        <f t="shared" si="150"/>
        <v/>
      </c>
      <c r="FN654" s="2909" t="str">
        <f t="shared" si="151"/>
        <v/>
      </c>
      <c r="FO654" s="2909" t="str">
        <f t="shared" si="152"/>
        <v/>
      </c>
      <c r="FP654" s="2909" t="str">
        <f t="shared" si="153"/>
        <v/>
      </c>
      <c r="FQ654" s="2909" t="str">
        <f t="shared" si="154"/>
        <v/>
      </c>
      <c r="FR654" s="2909" t="str">
        <f t="shared" si="155"/>
        <v/>
      </c>
      <c r="FS654" s="2909" t="str">
        <f t="shared" si="156"/>
        <v/>
      </c>
      <c r="FT654" s="2909" t="str">
        <f t="shared" si="157"/>
        <v/>
      </c>
      <c r="FU654" s="2909" t="str">
        <f t="shared" si="158"/>
        <v/>
      </c>
      <c r="FV654" s="2909" t="str">
        <f t="shared" si="159"/>
        <v/>
      </c>
      <c r="FW654" s="2909" t="str">
        <f t="shared" si="160"/>
        <v/>
      </c>
      <c r="FX654" s="2909" t="str">
        <f t="shared" si="161"/>
        <v/>
      </c>
      <c r="FY654" s="2909" t="str">
        <f t="shared" si="162"/>
        <v/>
      </c>
      <c r="FZ654" s="2909" t="str">
        <f t="shared" si="163"/>
        <v/>
      </c>
      <c r="GA654" s="2909" t="str">
        <f t="shared" si="164"/>
        <v/>
      </c>
      <c r="GB654" s="2909" t="str">
        <f t="shared" si="165"/>
        <v/>
      </c>
      <c r="GC654" s="2909" t="str">
        <f t="shared" si="166"/>
        <v/>
      </c>
      <c r="GD654" s="2909" t="str">
        <f t="shared" si="167"/>
        <v/>
      </c>
      <c r="GE654" s="2909" t="str">
        <f t="shared" si="168"/>
        <v/>
      </c>
      <c r="GF654" s="2909" t="str">
        <f t="shared" si="169"/>
        <v/>
      </c>
      <c r="GG654" s="2909" t="str">
        <f t="shared" si="170"/>
        <v/>
      </c>
      <c r="GH654" s="2909" t="str">
        <f t="shared" si="171"/>
        <v/>
      </c>
      <c r="GI654" s="2909" t="str">
        <f t="shared" si="172"/>
        <v/>
      </c>
      <c r="GJ654" s="2909" t="str">
        <f t="shared" si="173"/>
        <v/>
      </c>
      <c r="GK654" s="2909" t="str">
        <f t="shared" si="174"/>
        <v/>
      </c>
      <c r="GL654" s="2909" t="str">
        <f t="shared" si="175"/>
        <v/>
      </c>
      <c r="GM654" s="2909" t="str">
        <f t="shared" si="176"/>
        <v/>
      </c>
      <c r="GN654" s="2909" t="str">
        <f t="shared" si="177"/>
        <v/>
      </c>
      <c r="GO654" s="2909" t="str">
        <f t="shared" si="178"/>
        <v/>
      </c>
      <c r="GP654" s="2909" t="str">
        <f t="shared" si="179"/>
        <v/>
      </c>
      <c r="GQ654" s="2909" t="str">
        <f t="shared" si="180"/>
        <v/>
      </c>
      <c r="GR654" s="2909" t="str">
        <f t="shared" si="181"/>
        <v/>
      </c>
      <c r="GS654" s="2909" t="str">
        <f t="shared" si="182"/>
        <v/>
      </c>
      <c r="GT654" s="2909" t="str">
        <f t="shared" si="183"/>
        <v/>
      </c>
      <c r="GU654" s="2909" t="str">
        <f t="shared" si="184"/>
        <v/>
      </c>
      <c r="GV654" s="2909" t="str">
        <f t="shared" si="185"/>
        <v/>
      </c>
      <c r="GW654" s="2909" t="str">
        <f t="shared" si="186"/>
        <v/>
      </c>
      <c r="GX654" s="2909" t="str">
        <f t="shared" si="187"/>
        <v/>
      </c>
      <c r="GY654" s="2909" t="str">
        <f t="shared" si="188"/>
        <v/>
      </c>
      <c r="GZ654" s="2909" t="str">
        <f t="shared" si="189"/>
        <v/>
      </c>
      <c r="HA654" s="2909" t="str">
        <f t="shared" si="190"/>
        <v/>
      </c>
      <c r="HB654" s="2909" t="str">
        <f t="shared" si="191"/>
        <v/>
      </c>
      <c r="HC654" s="2909" t="str">
        <f t="shared" si="192"/>
        <v/>
      </c>
      <c r="HD654" s="2909" t="str">
        <f t="shared" si="193"/>
        <v/>
      </c>
      <c r="HE654" s="2909" t="str">
        <f t="shared" si="194"/>
        <v/>
      </c>
      <c r="HF654" s="2909" t="str">
        <f t="shared" si="195"/>
        <v/>
      </c>
      <c r="HG654" s="2909" t="str">
        <f t="shared" si="196"/>
        <v/>
      </c>
      <c r="HH654" s="2909" t="str">
        <f t="shared" si="197"/>
        <v/>
      </c>
      <c r="HI654" s="2909" t="str">
        <f t="shared" si="198"/>
        <v/>
      </c>
      <c r="HJ654" s="2909" t="str">
        <f t="shared" si="199"/>
        <v/>
      </c>
      <c r="HK654" s="2909" t="str">
        <f t="shared" si="200"/>
        <v/>
      </c>
      <c r="HL654" s="2909" t="str">
        <f t="shared" si="201"/>
        <v/>
      </c>
      <c r="HM654" s="2909" t="str">
        <f t="shared" si="202"/>
        <v/>
      </c>
      <c r="HN654" s="2909" t="str">
        <f t="shared" si="203"/>
        <v/>
      </c>
      <c r="HO654" s="2909" t="str">
        <f t="shared" si="204"/>
        <v/>
      </c>
      <c r="HP654" s="2909" t="str">
        <f t="shared" si="205"/>
        <v/>
      </c>
      <c r="HQ654" s="2909" t="str">
        <f t="shared" si="206"/>
        <v/>
      </c>
      <c r="HR654" s="2909" t="str">
        <f t="shared" si="207"/>
        <v/>
      </c>
      <c r="HS654" s="2909" t="str">
        <f t="shared" si="208"/>
        <v/>
      </c>
      <c r="HT654" s="2909" t="str">
        <f t="shared" si="209"/>
        <v/>
      </c>
      <c r="HU654" s="2909" t="str">
        <f t="shared" si="210"/>
        <v/>
      </c>
      <c r="HV654" s="2909" t="str">
        <f t="shared" si="211"/>
        <v/>
      </c>
      <c r="HW654" s="2909" t="str">
        <f t="shared" si="212"/>
        <v/>
      </c>
      <c r="HX654" s="2909" t="str">
        <f t="shared" si="213"/>
        <v/>
      </c>
      <c r="HY654" s="2909" t="str">
        <f t="shared" si="214"/>
        <v/>
      </c>
      <c r="HZ654" s="2909" t="str">
        <f t="shared" si="215"/>
        <v/>
      </c>
      <c r="IA654" s="2909" t="str">
        <f t="shared" si="216"/>
        <v/>
      </c>
      <c r="IB654" s="2909" t="str">
        <f t="shared" si="217"/>
        <v/>
      </c>
      <c r="IC654" s="2879" t="str">
        <f t="shared" si="218"/>
        <v/>
      </c>
      <c r="ID654" s="2879" t="str">
        <f t="shared" si="219"/>
        <v/>
      </c>
      <c r="IE654" s="2879" t="str">
        <f t="shared" si="220"/>
        <v/>
      </c>
      <c r="IF654" s="2879" t="str">
        <f t="shared" si="221"/>
        <v/>
      </c>
      <c r="IG654" s="2879" t="str">
        <f t="shared" si="222"/>
        <v/>
      </c>
      <c r="IH654" s="1247" t="str">
        <f t="shared" si="223"/>
        <v/>
      </c>
      <c r="II654" s="1247" t="str">
        <f t="shared" si="224"/>
        <v/>
      </c>
      <c r="IJ654" s="1247" t="str">
        <f t="shared" si="225"/>
        <v/>
      </c>
      <c r="IK654" s="1247" t="str">
        <f t="shared" si="226"/>
        <v/>
      </c>
      <c r="IL654" s="1247" t="str">
        <f t="shared" si="227"/>
        <v/>
      </c>
      <c r="IM654" s="1247" t="str">
        <f t="shared" si="228"/>
        <v/>
      </c>
      <c r="IN654" s="1247" t="str">
        <f t="shared" si="229"/>
        <v/>
      </c>
      <c r="IO654" s="1247" t="str">
        <f t="shared" si="230"/>
        <v/>
      </c>
      <c r="IP654" s="1247" t="str">
        <f t="shared" si="231"/>
        <v/>
      </c>
      <c r="IQ654" s="1247" t="str">
        <f t="shared" si="232"/>
        <v/>
      </c>
      <c r="IR654" s="1247" t="str">
        <f t="shared" si="233"/>
        <v/>
      </c>
      <c r="IS654" s="1247" t="str">
        <f t="shared" si="234"/>
        <v/>
      </c>
      <c r="IT654" s="1247" t="str">
        <f t="shared" si="235"/>
        <v/>
      </c>
      <c r="IU654" s="1247" t="str">
        <f t="shared" si="236"/>
        <v/>
      </c>
      <c r="IV654" s="1247" t="str">
        <f t="shared" si="237"/>
        <v/>
      </c>
      <c r="IW654" s="1247" t="str">
        <f t="shared" si="238"/>
        <v/>
      </c>
      <c r="IX654" s="1247" t="str">
        <f t="shared" si="239"/>
        <v/>
      </c>
      <c r="IY654" s="1247" t="str">
        <f t="shared" si="240"/>
        <v/>
      </c>
      <c r="IZ654" s="1247" t="str">
        <f t="shared" si="241"/>
        <v/>
      </c>
      <c r="JA654" s="1247" t="str">
        <f t="shared" si="242"/>
        <v/>
      </c>
      <c r="JB654" s="2877">
        <f t="shared" si="243"/>
        <v>0</v>
      </c>
      <c r="JC654" s="2877">
        <f t="shared" si="244"/>
        <v>0</v>
      </c>
      <c r="JD654" s="2877">
        <f t="shared" si="245"/>
        <v>0</v>
      </c>
      <c r="JE654" s="2877">
        <f t="shared" si="246"/>
        <v>0</v>
      </c>
      <c r="JF654" s="2877">
        <f t="shared" si="247"/>
        <v>0</v>
      </c>
      <c r="JG654" s="2877">
        <f t="shared" si="248"/>
        <v>0</v>
      </c>
      <c r="JH654" s="2877">
        <f t="shared" si="249"/>
        <v>0</v>
      </c>
      <c r="JI654" s="2877">
        <f t="shared" si="250"/>
        <v>0</v>
      </c>
      <c r="JJ654" s="2877">
        <f t="shared" si="251"/>
        <v>0</v>
      </c>
      <c r="JK654" s="2877">
        <f t="shared" si="252"/>
        <v>0</v>
      </c>
      <c r="JL654" s="2877">
        <f t="shared" si="253"/>
        <v>0</v>
      </c>
      <c r="JM654" s="2877">
        <f t="shared" si="254"/>
        <v>0</v>
      </c>
      <c r="JN654" s="2877">
        <f t="shared" si="255"/>
        <v>0</v>
      </c>
      <c r="JO654" s="2877">
        <f t="shared" si="256"/>
        <v>0</v>
      </c>
      <c r="JP654" s="2877">
        <f t="shared" si="257"/>
        <v>0</v>
      </c>
    </row>
    <row r="655" spans="1:276" ht="12" customHeight="1">
      <c r="A655" s="2891" t="str">
        <f t="shared" si="0"/>
        <v/>
      </c>
      <c r="B655" s="2900" t="str">
        <f>'Part VI-Revenues &amp; Expenses'!B35</f>
        <v>&lt;&lt;Select&gt;&gt;</v>
      </c>
      <c r="C655" s="2901">
        <f>'Part VI-Revenues &amp; Expenses'!C35</f>
        <v>0</v>
      </c>
      <c r="D655" s="2902">
        <f>'Part VI-Revenues &amp; Expenses'!D35</f>
        <v>0</v>
      </c>
      <c r="E655" s="2903">
        <f>'Part VI-Revenues &amp; Expenses'!E35</f>
        <v>0</v>
      </c>
      <c r="F655" s="2903">
        <f>'Part VI-Revenues &amp; Expenses'!F35</f>
        <v>0</v>
      </c>
      <c r="G655" s="2903">
        <f>'Part VI-Revenues &amp; Expenses'!G35</f>
        <v>0</v>
      </c>
      <c r="H655" s="2903">
        <f>'Part VI-Revenues &amp; Expenses'!H35</f>
        <v>0</v>
      </c>
      <c r="I655" s="2903">
        <f>'Part VI-Revenues &amp; Expenses'!I35</f>
        <v>0</v>
      </c>
      <c r="J655" s="2904">
        <f>'Part VI-Revenues &amp; Expenses'!J35</f>
        <v>0</v>
      </c>
      <c r="K655" s="2905">
        <f t="shared" si="1"/>
        <v>0</v>
      </c>
      <c r="L655" s="2905">
        <f t="shared" si="2"/>
        <v>0</v>
      </c>
      <c r="M655" s="2886">
        <f>'Part VI-Revenues &amp; Expenses'!M35</f>
        <v>0</v>
      </c>
      <c r="N655" s="2886">
        <f>'Part VI-Revenues &amp; Expenses'!N35</f>
        <v>0</v>
      </c>
      <c r="O655" s="2886">
        <f>'Part VI-Revenues &amp; Expenses'!O35</f>
        <v>0</v>
      </c>
      <c r="P655" s="2886">
        <f>'Part VI-Revenues &amp; Expenses'!P35</f>
        <v>0</v>
      </c>
      <c r="Q655" s="2906">
        <f>IF(H655="","",P655/($O$626*VLOOKUP(C655,'DCA Underwriting Assumptions'!$J$118:$K$123,2,FALSE)))</f>
        <v>0</v>
      </c>
      <c r="R655" s="2907"/>
      <c r="S655" s="2906"/>
      <c r="T655" s="2908"/>
      <c r="U655" s="2908"/>
      <c r="V655" s="1247" t="str">
        <f t="shared" si="3"/>
        <v/>
      </c>
      <c r="W655" s="1247" t="str">
        <f t="shared" si="4"/>
        <v/>
      </c>
      <c r="X655" s="1247" t="str">
        <f t="shared" si="5"/>
        <v/>
      </c>
      <c r="Y655" s="1247" t="str">
        <f t="shared" si="6"/>
        <v/>
      </c>
      <c r="Z655" s="1247" t="str">
        <f t="shared" si="7"/>
        <v/>
      </c>
      <c r="AA655" s="1247" t="str">
        <f t="shared" si="8"/>
        <v/>
      </c>
      <c r="AB655" s="1247" t="str">
        <f t="shared" si="9"/>
        <v/>
      </c>
      <c r="AC655" s="1247" t="str">
        <f t="shared" si="10"/>
        <v/>
      </c>
      <c r="AD655" s="1247" t="str">
        <f t="shared" si="11"/>
        <v/>
      </c>
      <c r="AE655" s="1247" t="str">
        <f t="shared" si="12"/>
        <v/>
      </c>
      <c r="AF655" s="1247" t="str">
        <f t="shared" si="13"/>
        <v/>
      </c>
      <c r="AG655" s="1247" t="str">
        <f t="shared" si="14"/>
        <v/>
      </c>
      <c r="AH655" s="1247" t="str">
        <f t="shared" si="15"/>
        <v/>
      </c>
      <c r="AI655" s="1247" t="str">
        <f t="shared" si="16"/>
        <v/>
      </c>
      <c r="AJ655" s="1247" t="str">
        <f t="shared" si="17"/>
        <v/>
      </c>
      <c r="AK655" s="1247" t="str">
        <f t="shared" si="18"/>
        <v/>
      </c>
      <c r="AL655" s="1247" t="str">
        <f t="shared" si="19"/>
        <v/>
      </c>
      <c r="AM655" s="1247" t="str">
        <f t="shared" si="20"/>
        <v/>
      </c>
      <c r="AN655" s="1247" t="str">
        <f t="shared" si="21"/>
        <v/>
      </c>
      <c r="AO655" s="1247" t="str">
        <f t="shared" si="22"/>
        <v/>
      </c>
      <c r="AP655" s="1247" t="str">
        <f t="shared" si="23"/>
        <v/>
      </c>
      <c r="AQ655" s="1247" t="str">
        <f t="shared" si="24"/>
        <v/>
      </c>
      <c r="AR655" s="1247" t="str">
        <f t="shared" si="25"/>
        <v/>
      </c>
      <c r="AS655" s="1247" t="str">
        <f t="shared" si="26"/>
        <v/>
      </c>
      <c r="AT655" s="1247" t="str">
        <f t="shared" si="27"/>
        <v/>
      </c>
      <c r="AU655" s="1247" t="str">
        <f t="shared" si="28"/>
        <v/>
      </c>
      <c r="AV655" s="1247" t="str">
        <f t="shared" si="29"/>
        <v/>
      </c>
      <c r="AW655" s="1247" t="str">
        <f t="shared" si="30"/>
        <v/>
      </c>
      <c r="AX655" s="1247" t="str">
        <f t="shared" si="31"/>
        <v/>
      </c>
      <c r="AY655" s="1247" t="str">
        <f t="shared" si="32"/>
        <v/>
      </c>
      <c r="AZ655" s="1247" t="str">
        <f t="shared" si="33"/>
        <v/>
      </c>
      <c r="BA655" s="1247" t="str">
        <f t="shared" si="34"/>
        <v/>
      </c>
      <c r="BB655" s="1247" t="str">
        <f t="shared" si="35"/>
        <v/>
      </c>
      <c r="BC655" s="1247" t="str">
        <f t="shared" si="36"/>
        <v/>
      </c>
      <c r="BD655" s="1247" t="str">
        <f t="shared" si="37"/>
        <v/>
      </c>
      <c r="BE655" s="1247" t="str">
        <f t="shared" si="38"/>
        <v/>
      </c>
      <c r="BF655" s="1247" t="str">
        <f t="shared" si="39"/>
        <v/>
      </c>
      <c r="BG655" s="1247" t="str">
        <f t="shared" si="40"/>
        <v/>
      </c>
      <c r="BH655" s="1247" t="str">
        <f t="shared" si="41"/>
        <v/>
      </c>
      <c r="BI655" s="1247" t="str">
        <f t="shared" si="42"/>
        <v/>
      </c>
      <c r="BJ655" s="1247" t="str">
        <f t="shared" si="43"/>
        <v/>
      </c>
      <c r="BK655" s="1247" t="str">
        <f t="shared" si="44"/>
        <v/>
      </c>
      <c r="BL655" s="1247" t="str">
        <f t="shared" si="45"/>
        <v/>
      </c>
      <c r="BM655" s="1247" t="str">
        <f t="shared" si="46"/>
        <v/>
      </c>
      <c r="BN655" s="1247" t="str">
        <f t="shared" si="47"/>
        <v/>
      </c>
      <c r="BO655" s="1247" t="str">
        <f t="shared" si="48"/>
        <v/>
      </c>
      <c r="BP655" s="1247" t="str">
        <f t="shared" si="49"/>
        <v/>
      </c>
      <c r="BQ655" s="1247" t="str">
        <f t="shared" si="50"/>
        <v/>
      </c>
      <c r="BR655" s="1247" t="str">
        <f t="shared" si="51"/>
        <v/>
      </c>
      <c r="BS655" s="1247" t="str">
        <f t="shared" si="52"/>
        <v/>
      </c>
      <c r="BT655" s="1247" t="str">
        <f t="shared" si="53"/>
        <v/>
      </c>
      <c r="BU655" s="1247" t="str">
        <f t="shared" si="54"/>
        <v/>
      </c>
      <c r="BV655" s="1247" t="str">
        <f t="shared" si="55"/>
        <v/>
      </c>
      <c r="BW655" s="1247" t="str">
        <f t="shared" si="56"/>
        <v/>
      </c>
      <c r="BX655" s="1247" t="str">
        <f t="shared" si="57"/>
        <v/>
      </c>
      <c r="BY655" s="1247" t="str">
        <f t="shared" si="58"/>
        <v/>
      </c>
      <c r="BZ655" s="1247" t="str">
        <f t="shared" si="59"/>
        <v/>
      </c>
      <c r="CA655" s="1247" t="str">
        <f t="shared" si="60"/>
        <v/>
      </c>
      <c r="CB655" s="1247" t="str">
        <f t="shared" si="61"/>
        <v/>
      </c>
      <c r="CC655" s="1247" t="str">
        <f t="shared" si="62"/>
        <v/>
      </c>
      <c r="CD655" s="1247" t="str">
        <f t="shared" si="63"/>
        <v/>
      </c>
      <c r="CE655" s="1247" t="str">
        <f t="shared" si="64"/>
        <v/>
      </c>
      <c r="CF655" s="1247" t="str">
        <f t="shared" si="65"/>
        <v/>
      </c>
      <c r="CG655" s="1247" t="str">
        <f t="shared" si="66"/>
        <v/>
      </c>
      <c r="CH655" s="1247" t="str">
        <f t="shared" si="67"/>
        <v/>
      </c>
      <c r="CI655" s="1247" t="str">
        <f t="shared" si="68"/>
        <v/>
      </c>
      <c r="CJ655" s="1247" t="str">
        <f t="shared" si="69"/>
        <v/>
      </c>
      <c r="CK655" s="1247" t="str">
        <f t="shared" si="70"/>
        <v/>
      </c>
      <c r="CL655" s="1247" t="str">
        <f t="shared" si="71"/>
        <v/>
      </c>
      <c r="CM655" s="1247" t="str">
        <f t="shared" si="72"/>
        <v/>
      </c>
      <c r="CN655" s="1247" t="str">
        <f t="shared" si="73"/>
        <v/>
      </c>
      <c r="CO655" s="1247" t="str">
        <f t="shared" si="74"/>
        <v/>
      </c>
      <c r="CP655" s="1247" t="str">
        <f t="shared" si="75"/>
        <v/>
      </c>
      <c r="CQ655" s="1247" t="str">
        <f t="shared" si="76"/>
        <v/>
      </c>
      <c r="CR655" s="1247" t="str">
        <f t="shared" si="77"/>
        <v/>
      </c>
      <c r="CS655" s="1247" t="str">
        <f t="shared" si="78"/>
        <v/>
      </c>
      <c r="CT655" s="1247" t="str">
        <f t="shared" si="79"/>
        <v/>
      </c>
      <c r="CU655" s="1247" t="str">
        <f t="shared" si="80"/>
        <v/>
      </c>
      <c r="CV655" s="1247" t="str">
        <f t="shared" si="81"/>
        <v/>
      </c>
      <c r="CW655" s="1247" t="str">
        <f t="shared" si="82"/>
        <v/>
      </c>
      <c r="CX655" s="1247" t="str">
        <f t="shared" si="83"/>
        <v/>
      </c>
      <c r="CY655" s="1247" t="str">
        <f t="shared" si="84"/>
        <v/>
      </c>
      <c r="CZ655" s="1247" t="str">
        <f t="shared" si="85"/>
        <v/>
      </c>
      <c r="DA655" s="1247" t="str">
        <f t="shared" si="86"/>
        <v/>
      </c>
      <c r="DB655" s="1247" t="str">
        <f t="shared" si="87"/>
        <v/>
      </c>
      <c r="DC655" s="1247" t="str">
        <f t="shared" si="88"/>
        <v/>
      </c>
      <c r="DD655" s="1247" t="str">
        <f t="shared" si="89"/>
        <v/>
      </c>
      <c r="DE655" s="1247" t="str">
        <f t="shared" si="90"/>
        <v/>
      </c>
      <c r="DF655" s="1247" t="str">
        <f t="shared" si="91"/>
        <v/>
      </c>
      <c r="DG655" s="1247" t="str">
        <f t="shared" si="92"/>
        <v/>
      </c>
      <c r="DH655" s="1247" t="str">
        <f t="shared" si="93"/>
        <v/>
      </c>
      <c r="DI655" s="1247" t="str">
        <f t="shared" si="94"/>
        <v/>
      </c>
      <c r="DJ655" s="1247" t="str">
        <f t="shared" si="95"/>
        <v/>
      </c>
      <c r="DK655" s="1247" t="str">
        <f t="shared" si="96"/>
        <v/>
      </c>
      <c r="DL655" s="1247" t="str">
        <f t="shared" si="97"/>
        <v/>
      </c>
      <c r="DM655" s="1247" t="str">
        <f t="shared" si="98"/>
        <v/>
      </c>
      <c r="DN655" s="1247" t="str">
        <f t="shared" si="99"/>
        <v/>
      </c>
      <c r="DO655" s="1247" t="str">
        <f t="shared" si="100"/>
        <v/>
      </c>
      <c r="DP655" s="1247" t="str">
        <f t="shared" si="101"/>
        <v/>
      </c>
      <c r="DQ655" s="1247" t="str">
        <f t="shared" si="102"/>
        <v/>
      </c>
      <c r="DR655" s="1247" t="str">
        <f t="shared" si="103"/>
        <v/>
      </c>
      <c r="DS655" s="1247" t="str">
        <f t="shared" si="104"/>
        <v/>
      </c>
      <c r="DT655" s="1247" t="str">
        <f t="shared" si="105"/>
        <v/>
      </c>
      <c r="DU655" s="1247" t="str">
        <f t="shared" si="106"/>
        <v/>
      </c>
      <c r="DV655" s="1247" t="str">
        <f t="shared" si="107"/>
        <v/>
      </c>
      <c r="DW655" s="1247" t="str">
        <f t="shared" si="108"/>
        <v/>
      </c>
      <c r="DX655" s="1247" t="str">
        <f t="shared" si="109"/>
        <v/>
      </c>
      <c r="DY655" s="1247" t="str">
        <f t="shared" si="110"/>
        <v/>
      </c>
      <c r="DZ655" s="1247" t="str">
        <f t="shared" si="111"/>
        <v/>
      </c>
      <c r="EA655" s="1247" t="str">
        <f t="shared" si="112"/>
        <v/>
      </c>
      <c r="EB655" s="1247" t="str">
        <f t="shared" si="113"/>
        <v/>
      </c>
      <c r="EC655" s="1247" t="str">
        <f t="shared" si="114"/>
        <v/>
      </c>
      <c r="ED655" s="1247" t="str">
        <f t="shared" si="115"/>
        <v/>
      </c>
      <c r="EE655" s="1247" t="str">
        <f t="shared" si="116"/>
        <v/>
      </c>
      <c r="EF655" s="1247" t="str">
        <f t="shared" si="117"/>
        <v/>
      </c>
      <c r="EG655" s="1247" t="str">
        <f t="shared" si="118"/>
        <v/>
      </c>
      <c r="EH655" s="1247" t="str">
        <f t="shared" si="119"/>
        <v/>
      </c>
      <c r="EI655" s="1247" t="str">
        <f t="shared" si="120"/>
        <v/>
      </c>
      <c r="EJ655" s="1247" t="str">
        <f t="shared" si="121"/>
        <v/>
      </c>
      <c r="EK655" s="1247" t="str">
        <f t="shared" si="122"/>
        <v/>
      </c>
      <c r="EL655" s="1247" t="str">
        <f t="shared" si="123"/>
        <v/>
      </c>
      <c r="EM655" s="1247" t="str">
        <f t="shared" si="124"/>
        <v/>
      </c>
      <c r="EN655" s="1247" t="str">
        <f t="shared" si="125"/>
        <v/>
      </c>
      <c r="EO655" s="1247" t="str">
        <f t="shared" si="126"/>
        <v/>
      </c>
      <c r="EP655" s="1247" t="str">
        <f t="shared" si="127"/>
        <v/>
      </c>
      <c r="EQ655" s="1247" t="str">
        <f t="shared" si="128"/>
        <v/>
      </c>
      <c r="ER655" s="1247" t="str">
        <f t="shared" si="129"/>
        <v/>
      </c>
      <c r="ES655" s="1247" t="str">
        <f t="shared" si="130"/>
        <v/>
      </c>
      <c r="ET655" s="1247" t="str">
        <f t="shared" si="131"/>
        <v/>
      </c>
      <c r="EU655" s="1247" t="str">
        <f t="shared" si="132"/>
        <v/>
      </c>
      <c r="EV655" s="2909" t="str">
        <f t="shared" si="133"/>
        <v/>
      </c>
      <c r="EW655" s="2909" t="str">
        <f t="shared" si="134"/>
        <v/>
      </c>
      <c r="EX655" s="2909" t="str">
        <f t="shared" si="135"/>
        <v/>
      </c>
      <c r="EY655" s="2909" t="str">
        <f t="shared" si="136"/>
        <v/>
      </c>
      <c r="EZ655" s="2909" t="str">
        <f t="shared" si="137"/>
        <v/>
      </c>
      <c r="FA655" s="2909" t="str">
        <f t="shared" si="138"/>
        <v/>
      </c>
      <c r="FB655" s="2909" t="str">
        <f t="shared" si="139"/>
        <v/>
      </c>
      <c r="FC655" s="2909" t="str">
        <f t="shared" si="140"/>
        <v/>
      </c>
      <c r="FD655" s="2909" t="str">
        <f t="shared" si="141"/>
        <v/>
      </c>
      <c r="FE655" s="2909" t="str">
        <f t="shared" si="142"/>
        <v/>
      </c>
      <c r="FF655" s="2909" t="str">
        <f t="shared" si="143"/>
        <v/>
      </c>
      <c r="FG655" s="2909" t="str">
        <f t="shared" si="144"/>
        <v/>
      </c>
      <c r="FH655" s="2909" t="str">
        <f t="shared" si="145"/>
        <v/>
      </c>
      <c r="FI655" s="2909" t="str">
        <f t="shared" si="146"/>
        <v/>
      </c>
      <c r="FJ655" s="2909" t="str">
        <f t="shared" si="147"/>
        <v/>
      </c>
      <c r="FK655" s="2909" t="str">
        <f t="shared" si="148"/>
        <v/>
      </c>
      <c r="FL655" s="2909" t="str">
        <f t="shared" si="149"/>
        <v/>
      </c>
      <c r="FM655" s="2909" t="str">
        <f t="shared" si="150"/>
        <v/>
      </c>
      <c r="FN655" s="2909" t="str">
        <f t="shared" si="151"/>
        <v/>
      </c>
      <c r="FO655" s="2909" t="str">
        <f t="shared" si="152"/>
        <v/>
      </c>
      <c r="FP655" s="2909" t="str">
        <f t="shared" si="153"/>
        <v/>
      </c>
      <c r="FQ655" s="2909" t="str">
        <f t="shared" si="154"/>
        <v/>
      </c>
      <c r="FR655" s="2909" t="str">
        <f t="shared" si="155"/>
        <v/>
      </c>
      <c r="FS655" s="2909" t="str">
        <f t="shared" si="156"/>
        <v/>
      </c>
      <c r="FT655" s="2909" t="str">
        <f t="shared" si="157"/>
        <v/>
      </c>
      <c r="FU655" s="2909" t="str">
        <f t="shared" si="158"/>
        <v/>
      </c>
      <c r="FV655" s="2909" t="str">
        <f t="shared" si="159"/>
        <v/>
      </c>
      <c r="FW655" s="2909" t="str">
        <f t="shared" si="160"/>
        <v/>
      </c>
      <c r="FX655" s="2909" t="str">
        <f t="shared" si="161"/>
        <v/>
      </c>
      <c r="FY655" s="2909" t="str">
        <f t="shared" si="162"/>
        <v/>
      </c>
      <c r="FZ655" s="2909" t="str">
        <f t="shared" si="163"/>
        <v/>
      </c>
      <c r="GA655" s="2909" t="str">
        <f t="shared" si="164"/>
        <v/>
      </c>
      <c r="GB655" s="2909" t="str">
        <f t="shared" si="165"/>
        <v/>
      </c>
      <c r="GC655" s="2909" t="str">
        <f t="shared" si="166"/>
        <v/>
      </c>
      <c r="GD655" s="2909" t="str">
        <f t="shared" si="167"/>
        <v/>
      </c>
      <c r="GE655" s="2909" t="str">
        <f t="shared" si="168"/>
        <v/>
      </c>
      <c r="GF655" s="2909" t="str">
        <f t="shared" si="169"/>
        <v/>
      </c>
      <c r="GG655" s="2909" t="str">
        <f t="shared" si="170"/>
        <v/>
      </c>
      <c r="GH655" s="2909" t="str">
        <f t="shared" si="171"/>
        <v/>
      </c>
      <c r="GI655" s="2909" t="str">
        <f t="shared" si="172"/>
        <v/>
      </c>
      <c r="GJ655" s="2909" t="str">
        <f t="shared" si="173"/>
        <v/>
      </c>
      <c r="GK655" s="2909" t="str">
        <f t="shared" si="174"/>
        <v/>
      </c>
      <c r="GL655" s="2909" t="str">
        <f t="shared" si="175"/>
        <v/>
      </c>
      <c r="GM655" s="2909" t="str">
        <f t="shared" si="176"/>
        <v/>
      </c>
      <c r="GN655" s="2909" t="str">
        <f t="shared" si="177"/>
        <v/>
      </c>
      <c r="GO655" s="2909" t="str">
        <f t="shared" si="178"/>
        <v/>
      </c>
      <c r="GP655" s="2909" t="str">
        <f t="shared" si="179"/>
        <v/>
      </c>
      <c r="GQ655" s="2909" t="str">
        <f t="shared" si="180"/>
        <v/>
      </c>
      <c r="GR655" s="2909" t="str">
        <f t="shared" si="181"/>
        <v/>
      </c>
      <c r="GS655" s="2909" t="str">
        <f t="shared" si="182"/>
        <v/>
      </c>
      <c r="GT655" s="2909" t="str">
        <f t="shared" si="183"/>
        <v/>
      </c>
      <c r="GU655" s="2909" t="str">
        <f t="shared" si="184"/>
        <v/>
      </c>
      <c r="GV655" s="2909" t="str">
        <f t="shared" si="185"/>
        <v/>
      </c>
      <c r="GW655" s="2909" t="str">
        <f t="shared" si="186"/>
        <v/>
      </c>
      <c r="GX655" s="2909" t="str">
        <f t="shared" si="187"/>
        <v/>
      </c>
      <c r="GY655" s="2909" t="str">
        <f t="shared" si="188"/>
        <v/>
      </c>
      <c r="GZ655" s="2909" t="str">
        <f t="shared" si="189"/>
        <v/>
      </c>
      <c r="HA655" s="2909" t="str">
        <f t="shared" si="190"/>
        <v/>
      </c>
      <c r="HB655" s="2909" t="str">
        <f t="shared" si="191"/>
        <v/>
      </c>
      <c r="HC655" s="2909" t="str">
        <f t="shared" si="192"/>
        <v/>
      </c>
      <c r="HD655" s="2909" t="str">
        <f t="shared" si="193"/>
        <v/>
      </c>
      <c r="HE655" s="2909" t="str">
        <f t="shared" si="194"/>
        <v/>
      </c>
      <c r="HF655" s="2909" t="str">
        <f t="shared" si="195"/>
        <v/>
      </c>
      <c r="HG655" s="2909" t="str">
        <f t="shared" si="196"/>
        <v/>
      </c>
      <c r="HH655" s="2909" t="str">
        <f t="shared" si="197"/>
        <v/>
      </c>
      <c r="HI655" s="2909" t="str">
        <f t="shared" si="198"/>
        <v/>
      </c>
      <c r="HJ655" s="2909" t="str">
        <f t="shared" si="199"/>
        <v/>
      </c>
      <c r="HK655" s="2909" t="str">
        <f t="shared" si="200"/>
        <v/>
      </c>
      <c r="HL655" s="2909" t="str">
        <f t="shared" si="201"/>
        <v/>
      </c>
      <c r="HM655" s="2909" t="str">
        <f t="shared" si="202"/>
        <v/>
      </c>
      <c r="HN655" s="2909" t="str">
        <f t="shared" si="203"/>
        <v/>
      </c>
      <c r="HO655" s="2909" t="str">
        <f t="shared" si="204"/>
        <v/>
      </c>
      <c r="HP655" s="2909" t="str">
        <f t="shared" si="205"/>
        <v/>
      </c>
      <c r="HQ655" s="2909" t="str">
        <f t="shared" si="206"/>
        <v/>
      </c>
      <c r="HR655" s="2909" t="str">
        <f t="shared" si="207"/>
        <v/>
      </c>
      <c r="HS655" s="2909" t="str">
        <f t="shared" si="208"/>
        <v/>
      </c>
      <c r="HT655" s="2909" t="str">
        <f t="shared" si="209"/>
        <v/>
      </c>
      <c r="HU655" s="2909" t="str">
        <f t="shared" si="210"/>
        <v/>
      </c>
      <c r="HV655" s="2909" t="str">
        <f t="shared" si="211"/>
        <v/>
      </c>
      <c r="HW655" s="2909" t="str">
        <f t="shared" si="212"/>
        <v/>
      </c>
      <c r="HX655" s="2909" t="str">
        <f t="shared" si="213"/>
        <v/>
      </c>
      <c r="HY655" s="2909" t="str">
        <f t="shared" si="214"/>
        <v/>
      </c>
      <c r="HZ655" s="2909" t="str">
        <f t="shared" si="215"/>
        <v/>
      </c>
      <c r="IA655" s="2909" t="str">
        <f t="shared" si="216"/>
        <v/>
      </c>
      <c r="IB655" s="2909" t="str">
        <f t="shared" si="217"/>
        <v/>
      </c>
      <c r="IC655" s="2879" t="str">
        <f t="shared" si="218"/>
        <v/>
      </c>
      <c r="ID655" s="2879" t="str">
        <f t="shared" si="219"/>
        <v/>
      </c>
      <c r="IE655" s="2879" t="str">
        <f t="shared" si="220"/>
        <v/>
      </c>
      <c r="IF655" s="2879" t="str">
        <f t="shared" si="221"/>
        <v/>
      </c>
      <c r="IG655" s="2879" t="str">
        <f t="shared" si="222"/>
        <v/>
      </c>
      <c r="IH655" s="1247" t="str">
        <f t="shared" si="223"/>
        <v/>
      </c>
      <c r="II655" s="1247" t="str">
        <f t="shared" si="224"/>
        <v/>
      </c>
      <c r="IJ655" s="1247" t="str">
        <f t="shared" si="225"/>
        <v/>
      </c>
      <c r="IK655" s="1247" t="str">
        <f t="shared" si="226"/>
        <v/>
      </c>
      <c r="IL655" s="1247" t="str">
        <f t="shared" si="227"/>
        <v/>
      </c>
      <c r="IM655" s="1247" t="str">
        <f t="shared" si="228"/>
        <v/>
      </c>
      <c r="IN655" s="1247" t="str">
        <f t="shared" si="229"/>
        <v/>
      </c>
      <c r="IO655" s="1247" t="str">
        <f t="shared" si="230"/>
        <v/>
      </c>
      <c r="IP655" s="1247" t="str">
        <f t="shared" si="231"/>
        <v/>
      </c>
      <c r="IQ655" s="1247" t="str">
        <f t="shared" si="232"/>
        <v/>
      </c>
      <c r="IR655" s="1247" t="str">
        <f t="shared" si="233"/>
        <v/>
      </c>
      <c r="IS655" s="1247" t="str">
        <f t="shared" si="234"/>
        <v/>
      </c>
      <c r="IT655" s="1247" t="str">
        <f t="shared" si="235"/>
        <v/>
      </c>
      <c r="IU655" s="1247" t="str">
        <f t="shared" si="236"/>
        <v/>
      </c>
      <c r="IV655" s="1247" t="str">
        <f t="shared" si="237"/>
        <v/>
      </c>
      <c r="IW655" s="1247" t="str">
        <f t="shared" si="238"/>
        <v/>
      </c>
      <c r="IX655" s="1247" t="str">
        <f t="shared" si="239"/>
        <v/>
      </c>
      <c r="IY655" s="1247" t="str">
        <f t="shared" si="240"/>
        <v/>
      </c>
      <c r="IZ655" s="1247" t="str">
        <f t="shared" si="241"/>
        <v/>
      </c>
      <c r="JA655" s="1247" t="str">
        <f t="shared" si="242"/>
        <v/>
      </c>
      <c r="JB655" s="2877">
        <f t="shared" si="243"/>
        <v>0</v>
      </c>
      <c r="JC655" s="2877">
        <f t="shared" si="244"/>
        <v>0</v>
      </c>
      <c r="JD655" s="2877">
        <f t="shared" si="245"/>
        <v>0</v>
      </c>
      <c r="JE655" s="2877">
        <f t="shared" si="246"/>
        <v>0</v>
      </c>
      <c r="JF655" s="2877">
        <f t="shared" si="247"/>
        <v>0</v>
      </c>
      <c r="JG655" s="2877">
        <f t="shared" si="248"/>
        <v>0</v>
      </c>
      <c r="JH655" s="2877">
        <f t="shared" si="249"/>
        <v>0</v>
      </c>
      <c r="JI655" s="2877">
        <f t="shared" si="250"/>
        <v>0</v>
      </c>
      <c r="JJ655" s="2877">
        <f t="shared" si="251"/>
        <v>0</v>
      </c>
      <c r="JK655" s="2877">
        <f t="shared" si="252"/>
        <v>0</v>
      </c>
      <c r="JL655" s="2877">
        <f t="shared" si="253"/>
        <v>0</v>
      </c>
      <c r="JM655" s="2877">
        <f t="shared" si="254"/>
        <v>0</v>
      </c>
      <c r="JN655" s="2877">
        <f t="shared" si="255"/>
        <v>0</v>
      </c>
      <c r="JO655" s="2877">
        <f t="shared" si="256"/>
        <v>0</v>
      </c>
      <c r="JP655" s="2877">
        <f t="shared" si="257"/>
        <v>0</v>
      </c>
    </row>
    <row r="656" spans="1:276" ht="12" customHeight="1">
      <c r="A656" s="2891" t="str">
        <f t="shared" si="0"/>
        <v/>
      </c>
      <c r="B656" s="2900" t="str">
        <f>'Part VI-Revenues &amp; Expenses'!B36</f>
        <v>&lt;&lt;Select&gt;&gt;</v>
      </c>
      <c r="C656" s="2901">
        <f>'Part VI-Revenues &amp; Expenses'!C36</f>
        <v>0</v>
      </c>
      <c r="D656" s="2902">
        <f>'Part VI-Revenues &amp; Expenses'!D36</f>
        <v>0</v>
      </c>
      <c r="E656" s="2903">
        <f>'Part VI-Revenues &amp; Expenses'!E36</f>
        <v>0</v>
      </c>
      <c r="F656" s="2903">
        <f>'Part VI-Revenues &amp; Expenses'!F36</f>
        <v>0</v>
      </c>
      <c r="G656" s="2903">
        <f>'Part VI-Revenues &amp; Expenses'!G36</f>
        <v>0</v>
      </c>
      <c r="H656" s="2903">
        <f>'Part VI-Revenues &amp; Expenses'!H36</f>
        <v>0</v>
      </c>
      <c r="I656" s="2903">
        <f>'Part VI-Revenues &amp; Expenses'!I36</f>
        <v>0</v>
      </c>
      <c r="J656" s="2904">
        <f>'Part VI-Revenues &amp; Expenses'!J36</f>
        <v>0</v>
      </c>
      <c r="K656" s="2905">
        <f t="shared" si="1"/>
        <v>0</v>
      </c>
      <c r="L656" s="2905">
        <f t="shared" si="2"/>
        <v>0</v>
      </c>
      <c r="M656" s="2886">
        <f>'Part VI-Revenues &amp; Expenses'!M36</f>
        <v>0</v>
      </c>
      <c r="N656" s="2886">
        <f>'Part VI-Revenues &amp; Expenses'!N36</f>
        <v>0</v>
      </c>
      <c r="O656" s="2886">
        <f>'Part VI-Revenues &amp; Expenses'!O36</f>
        <v>0</v>
      </c>
      <c r="P656" s="2886">
        <f>'Part VI-Revenues &amp; Expenses'!P36</f>
        <v>0</v>
      </c>
      <c r="Q656" s="2906">
        <f>IF(H656="","",P656/($O$626*VLOOKUP(C656,'DCA Underwriting Assumptions'!$J$118:$K$123,2,FALSE)))</f>
        <v>0</v>
      </c>
      <c r="R656" s="2907"/>
      <c r="S656" s="2906"/>
      <c r="T656" s="2908"/>
      <c r="U656" s="2908"/>
      <c r="V656" s="1247" t="str">
        <f t="shared" si="3"/>
        <v/>
      </c>
      <c r="W656" s="1247" t="str">
        <f t="shared" si="4"/>
        <v/>
      </c>
      <c r="X656" s="1247" t="str">
        <f t="shared" si="5"/>
        <v/>
      </c>
      <c r="Y656" s="1247" t="str">
        <f t="shared" si="6"/>
        <v/>
      </c>
      <c r="Z656" s="1247" t="str">
        <f t="shared" si="7"/>
        <v/>
      </c>
      <c r="AA656" s="1247" t="str">
        <f t="shared" si="8"/>
        <v/>
      </c>
      <c r="AB656" s="1247" t="str">
        <f t="shared" si="9"/>
        <v/>
      </c>
      <c r="AC656" s="1247" t="str">
        <f t="shared" si="10"/>
        <v/>
      </c>
      <c r="AD656" s="1247" t="str">
        <f t="shared" si="11"/>
        <v/>
      </c>
      <c r="AE656" s="1247" t="str">
        <f t="shared" si="12"/>
        <v/>
      </c>
      <c r="AF656" s="1247" t="str">
        <f t="shared" si="13"/>
        <v/>
      </c>
      <c r="AG656" s="1247" t="str">
        <f t="shared" si="14"/>
        <v/>
      </c>
      <c r="AH656" s="1247" t="str">
        <f t="shared" si="15"/>
        <v/>
      </c>
      <c r="AI656" s="1247" t="str">
        <f t="shared" si="16"/>
        <v/>
      </c>
      <c r="AJ656" s="1247" t="str">
        <f t="shared" si="17"/>
        <v/>
      </c>
      <c r="AK656" s="1247" t="str">
        <f t="shared" si="18"/>
        <v/>
      </c>
      <c r="AL656" s="1247" t="str">
        <f t="shared" si="19"/>
        <v/>
      </c>
      <c r="AM656" s="1247" t="str">
        <f t="shared" si="20"/>
        <v/>
      </c>
      <c r="AN656" s="1247" t="str">
        <f t="shared" si="21"/>
        <v/>
      </c>
      <c r="AO656" s="1247" t="str">
        <f t="shared" si="22"/>
        <v/>
      </c>
      <c r="AP656" s="1247" t="str">
        <f t="shared" si="23"/>
        <v/>
      </c>
      <c r="AQ656" s="1247" t="str">
        <f t="shared" si="24"/>
        <v/>
      </c>
      <c r="AR656" s="1247" t="str">
        <f t="shared" si="25"/>
        <v/>
      </c>
      <c r="AS656" s="1247" t="str">
        <f t="shared" si="26"/>
        <v/>
      </c>
      <c r="AT656" s="1247" t="str">
        <f t="shared" si="27"/>
        <v/>
      </c>
      <c r="AU656" s="1247" t="str">
        <f t="shared" si="28"/>
        <v/>
      </c>
      <c r="AV656" s="1247" t="str">
        <f t="shared" si="29"/>
        <v/>
      </c>
      <c r="AW656" s="1247" t="str">
        <f t="shared" si="30"/>
        <v/>
      </c>
      <c r="AX656" s="1247" t="str">
        <f t="shared" si="31"/>
        <v/>
      </c>
      <c r="AY656" s="1247" t="str">
        <f t="shared" si="32"/>
        <v/>
      </c>
      <c r="AZ656" s="1247" t="str">
        <f t="shared" si="33"/>
        <v/>
      </c>
      <c r="BA656" s="1247" t="str">
        <f t="shared" si="34"/>
        <v/>
      </c>
      <c r="BB656" s="1247" t="str">
        <f t="shared" si="35"/>
        <v/>
      </c>
      <c r="BC656" s="1247" t="str">
        <f t="shared" si="36"/>
        <v/>
      </c>
      <c r="BD656" s="1247" t="str">
        <f t="shared" si="37"/>
        <v/>
      </c>
      <c r="BE656" s="1247" t="str">
        <f t="shared" si="38"/>
        <v/>
      </c>
      <c r="BF656" s="1247" t="str">
        <f t="shared" si="39"/>
        <v/>
      </c>
      <c r="BG656" s="1247" t="str">
        <f t="shared" si="40"/>
        <v/>
      </c>
      <c r="BH656" s="1247" t="str">
        <f t="shared" si="41"/>
        <v/>
      </c>
      <c r="BI656" s="1247" t="str">
        <f t="shared" si="42"/>
        <v/>
      </c>
      <c r="BJ656" s="1247" t="str">
        <f t="shared" si="43"/>
        <v/>
      </c>
      <c r="BK656" s="1247" t="str">
        <f t="shared" si="44"/>
        <v/>
      </c>
      <c r="BL656" s="1247" t="str">
        <f t="shared" si="45"/>
        <v/>
      </c>
      <c r="BM656" s="1247" t="str">
        <f t="shared" si="46"/>
        <v/>
      </c>
      <c r="BN656" s="1247" t="str">
        <f t="shared" si="47"/>
        <v/>
      </c>
      <c r="BO656" s="1247" t="str">
        <f t="shared" si="48"/>
        <v/>
      </c>
      <c r="BP656" s="1247" t="str">
        <f t="shared" si="49"/>
        <v/>
      </c>
      <c r="BQ656" s="1247" t="str">
        <f t="shared" si="50"/>
        <v/>
      </c>
      <c r="BR656" s="1247" t="str">
        <f t="shared" si="51"/>
        <v/>
      </c>
      <c r="BS656" s="1247" t="str">
        <f t="shared" si="52"/>
        <v/>
      </c>
      <c r="BT656" s="1247" t="str">
        <f t="shared" si="53"/>
        <v/>
      </c>
      <c r="BU656" s="1247" t="str">
        <f t="shared" si="54"/>
        <v/>
      </c>
      <c r="BV656" s="1247" t="str">
        <f t="shared" si="55"/>
        <v/>
      </c>
      <c r="BW656" s="1247" t="str">
        <f t="shared" si="56"/>
        <v/>
      </c>
      <c r="BX656" s="1247" t="str">
        <f t="shared" si="57"/>
        <v/>
      </c>
      <c r="BY656" s="1247" t="str">
        <f t="shared" si="58"/>
        <v/>
      </c>
      <c r="BZ656" s="1247" t="str">
        <f t="shared" si="59"/>
        <v/>
      </c>
      <c r="CA656" s="1247" t="str">
        <f t="shared" si="60"/>
        <v/>
      </c>
      <c r="CB656" s="1247" t="str">
        <f t="shared" si="61"/>
        <v/>
      </c>
      <c r="CC656" s="1247" t="str">
        <f t="shared" si="62"/>
        <v/>
      </c>
      <c r="CD656" s="1247" t="str">
        <f t="shared" si="63"/>
        <v/>
      </c>
      <c r="CE656" s="1247" t="str">
        <f t="shared" si="64"/>
        <v/>
      </c>
      <c r="CF656" s="1247" t="str">
        <f t="shared" si="65"/>
        <v/>
      </c>
      <c r="CG656" s="1247" t="str">
        <f t="shared" si="66"/>
        <v/>
      </c>
      <c r="CH656" s="1247" t="str">
        <f t="shared" si="67"/>
        <v/>
      </c>
      <c r="CI656" s="1247" t="str">
        <f t="shared" si="68"/>
        <v/>
      </c>
      <c r="CJ656" s="1247" t="str">
        <f t="shared" si="69"/>
        <v/>
      </c>
      <c r="CK656" s="1247" t="str">
        <f t="shared" si="70"/>
        <v/>
      </c>
      <c r="CL656" s="1247" t="str">
        <f t="shared" si="71"/>
        <v/>
      </c>
      <c r="CM656" s="1247" t="str">
        <f t="shared" si="72"/>
        <v/>
      </c>
      <c r="CN656" s="1247" t="str">
        <f t="shared" si="73"/>
        <v/>
      </c>
      <c r="CO656" s="1247" t="str">
        <f t="shared" si="74"/>
        <v/>
      </c>
      <c r="CP656" s="1247" t="str">
        <f t="shared" si="75"/>
        <v/>
      </c>
      <c r="CQ656" s="1247" t="str">
        <f t="shared" si="76"/>
        <v/>
      </c>
      <c r="CR656" s="1247" t="str">
        <f t="shared" si="77"/>
        <v/>
      </c>
      <c r="CS656" s="1247" t="str">
        <f t="shared" si="78"/>
        <v/>
      </c>
      <c r="CT656" s="1247" t="str">
        <f t="shared" si="79"/>
        <v/>
      </c>
      <c r="CU656" s="1247" t="str">
        <f t="shared" si="80"/>
        <v/>
      </c>
      <c r="CV656" s="1247" t="str">
        <f t="shared" si="81"/>
        <v/>
      </c>
      <c r="CW656" s="1247" t="str">
        <f t="shared" si="82"/>
        <v/>
      </c>
      <c r="CX656" s="1247" t="str">
        <f t="shared" si="83"/>
        <v/>
      </c>
      <c r="CY656" s="1247" t="str">
        <f t="shared" si="84"/>
        <v/>
      </c>
      <c r="CZ656" s="1247" t="str">
        <f t="shared" si="85"/>
        <v/>
      </c>
      <c r="DA656" s="1247" t="str">
        <f t="shared" si="86"/>
        <v/>
      </c>
      <c r="DB656" s="1247" t="str">
        <f t="shared" si="87"/>
        <v/>
      </c>
      <c r="DC656" s="1247" t="str">
        <f t="shared" si="88"/>
        <v/>
      </c>
      <c r="DD656" s="1247" t="str">
        <f t="shared" si="89"/>
        <v/>
      </c>
      <c r="DE656" s="1247" t="str">
        <f t="shared" si="90"/>
        <v/>
      </c>
      <c r="DF656" s="1247" t="str">
        <f t="shared" si="91"/>
        <v/>
      </c>
      <c r="DG656" s="1247" t="str">
        <f t="shared" si="92"/>
        <v/>
      </c>
      <c r="DH656" s="1247" t="str">
        <f t="shared" si="93"/>
        <v/>
      </c>
      <c r="DI656" s="1247" t="str">
        <f t="shared" si="94"/>
        <v/>
      </c>
      <c r="DJ656" s="1247" t="str">
        <f t="shared" si="95"/>
        <v/>
      </c>
      <c r="DK656" s="1247" t="str">
        <f t="shared" si="96"/>
        <v/>
      </c>
      <c r="DL656" s="1247" t="str">
        <f t="shared" si="97"/>
        <v/>
      </c>
      <c r="DM656" s="1247" t="str">
        <f t="shared" si="98"/>
        <v/>
      </c>
      <c r="DN656" s="1247" t="str">
        <f t="shared" si="99"/>
        <v/>
      </c>
      <c r="DO656" s="1247" t="str">
        <f t="shared" si="100"/>
        <v/>
      </c>
      <c r="DP656" s="1247" t="str">
        <f t="shared" si="101"/>
        <v/>
      </c>
      <c r="DQ656" s="1247" t="str">
        <f t="shared" si="102"/>
        <v/>
      </c>
      <c r="DR656" s="1247" t="str">
        <f t="shared" si="103"/>
        <v/>
      </c>
      <c r="DS656" s="1247" t="str">
        <f t="shared" si="104"/>
        <v/>
      </c>
      <c r="DT656" s="1247" t="str">
        <f t="shared" si="105"/>
        <v/>
      </c>
      <c r="DU656" s="1247" t="str">
        <f t="shared" si="106"/>
        <v/>
      </c>
      <c r="DV656" s="1247" t="str">
        <f t="shared" si="107"/>
        <v/>
      </c>
      <c r="DW656" s="1247" t="str">
        <f t="shared" si="108"/>
        <v/>
      </c>
      <c r="DX656" s="1247" t="str">
        <f t="shared" si="109"/>
        <v/>
      </c>
      <c r="DY656" s="1247" t="str">
        <f t="shared" si="110"/>
        <v/>
      </c>
      <c r="DZ656" s="1247" t="str">
        <f t="shared" si="111"/>
        <v/>
      </c>
      <c r="EA656" s="1247" t="str">
        <f t="shared" si="112"/>
        <v/>
      </c>
      <c r="EB656" s="1247" t="str">
        <f t="shared" si="113"/>
        <v/>
      </c>
      <c r="EC656" s="1247" t="str">
        <f t="shared" si="114"/>
        <v/>
      </c>
      <c r="ED656" s="1247" t="str">
        <f t="shared" si="115"/>
        <v/>
      </c>
      <c r="EE656" s="1247" t="str">
        <f t="shared" si="116"/>
        <v/>
      </c>
      <c r="EF656" s="1247" t="str">
        <f t="shared" si="117"/>
        <v/>
      </c>
      <c r="EG656" s="1247" t="str">
        <f t="shared" si="118"/>
        <v/>
      </c>
      <c r="EH656" s="1247" t="str">
        <f t="shared" si="119"/>
        <v/>
      </c>
      <c r="EI656" s="1247" t="str">
        <f t="shared" si="120"/>
        <v/>
      </c>
      <c r="EJ656" s="1247" t="str">
        <f t="shared" si="121"/>
        <v/>
      </c>
      <c r="EK656" s="1247" t="str">
        <f t="shared" si="122"/>
        <v/>
      </c>
      <c r="EL656" s="1247" t="str">
        <f t="shared" si="123"/>
        <v/>
      </c>
      <c r="EM656" s="1247" t="str">
        <f t="shared" si="124"/>
        <v/>
      </c>
      <c r="EN656" s="1247" t="str">
        <f t="shared" si="125"/>
        <v/>
      </c>
      <c r="EO656" s="1247" t="str">
        <f t="shared" si="126"/>
        <v/>
      </c>
      <c r="EP656" s="1247" t="str">
        <f t="shared" si="127"/>
        <v/>
      </c>
      <c r="EQ656" s="1247" t="str">
        <f t="shared" si="128"/>
        <v/>
      </c>
      <c r="ER656" s="1247" t="str">
        <f t="shared" si="129"/>
        <v/>
      </c>
      <c r="ES656" s="1247" t="str">
        <f t="shared" si="130"/>
        <v/>
      </c>
      <c r="ET656" s="1247" t="str">
        <f t="shared" si="131"/>
        <v/>
      </c>
      <c r="EU656" s="1247" t="str">
        <f t="shared" si="132"/>
        <v/>
      </c>
      <c r="EV656" s="2909" t="str">
        <f t="shared" si="133"/>
        <v/>
      </c>
      <c r="EW656" s="2909" t="str">
        <f t="shared" si="134"/>
        <v/>
      </c>
      <c r="EX656" s="2909" t="str">
        <f t="shared" si="135"/>
        <v/>
      </c>
      <c r="EY656" s="2909" t="str">
        <f t="shared" si="136"/>
        <v/>
      </c>
      <c r="EZ656" s="2909" t="str">
        <f t="shared" si="137"/>
        <v/>
      </c>
      <c r="FA656" s="2909" t="str">
        <f t="shared" si="138"/>
        <v/>
      </c>
      <c r="FB656" s="2909" t="str">
        <f t="shared" si="139"/>
        <v/>
      </c>
      <c r="FC656" s="2909" t="str">
        <f t="shared" si="140"/>
        <v/>
      </c>
      <c r="FD656" s="2909" t="str">
        <f t="shared" si="141"/>
        <v/>
      </c>
      <c r="FE656" s="2909" t="str">
        <f t="shared" si="142"/>
        <v/>
      </c>
      <c r="FF656" s="2909" t="str">
        <f t="shared" si="143"/>
        <v/>
      </c>
      <c r="FG656" s="2909" t="str">
        <f t="shared" si="144"/>
        <v/>
      </c>
      <c r="FH656" s="2909" t="str">
        <f t="shared" si="145"/>
        <v/>
      </c>
      <c r="FI656" s="2909" t="str">
        <f t="shared" si="146"/>
        <v/>
      </c>
      <c r="FJ656" s="2909" t="str">
        <f t="shared" si="147"/>
        <v/>
      </c>
      <c r="FK656" s="2909" t="str">
        <f t="shared" si="148"/>
        <v/>
      </c>
      <c r="FL656" s="2909" t="str">
        <f t="shared" si="149"/>
        <v/>
      </c>
      <c r="FM656" s="2909" t="str">
        <f t="shared" si="150"/>
        <v/>
      </c>
      <c r="FN656" s="2909" t="str">
        <f t="shared" si="151"/>
        <v/>
      </c>
      <c r="FO656" s="2909" t="str">
        <f t="shared" si="152"/>
        <v/>
      </c>
      <c r="FP656" s="2909" t="str">
        <f t="shared" si="153"/>
        <v/>
      </c>
      <c r="FQ656" s="2909" t="str">
        <f t="shared" si="154"/>
        <v/>
      </c>
      <c r="FR656" s="2909" t="str">
        <f t="shared" si="155"/>
        <v/>
      </c>
      <c r="FS656" s="2909" t="str">
        <f t="shared" si="156"/>
        <v/>
      </c>
      <c r="FT656" s="2909" t="str">
        <f t="shared" si="157"/>
        <v/>
      </c>
      <c r="FU656" s="2909" t="str">
        <f t="shared" si="158"/>
        <v/>
      </c>
      <c r="FV656" s="2909" t="str">
        <f t="shared" si="159"/>
        <v/>
      </c>
      <c r="FW656" s="2909" t="str">
        <f t="shared" si="160"/>
        <v/>
      </c>
      <c r="FX656" s="2909" t="str">
        <f t="shared" si="161"/>
        <v/>
      </c>
      <c r="FY656" s="2909" t="str">
        <f t="shared" si="162"/>
        <v/>
      </c>
      <c r="FZ656" s="2909" t="str">
        <f t="shared" si="163"/>
        <v/>
      </c>
      <c r="GA656" s="2909" t="str">
        <f t="shared" si="164"/>
        <v/>
      </c>
      <c r="GB656" s="2909" t="str">
        <f t="shared" si="165"/>
        <v/>
      </c>
      <c r="GC656" s="2909" t="str">
        <f t="shared" si="166"/>
        <v/>
      </c>
      <c r="GD656" s="2909" t="str">
        <f t="shared" si="167"/>
        <v/>
      </c>
      <c r="GE656" s="2909" t="str">
        <f t="shared" si="168"/>
        <v/>
      </c>
      <c r="GF656" s="2909" t="str">
        <f t="shared" si="169"/>
        <v/>
      </c>
      <c r="GG656" s="2909" t="str">
        <f t="shared" si="170"/>
        <v/>
      </c>
      <c r="GH656" s="2909" t="str">
        <f t="shared" si="171"/>
        <v/>
      </c>
      <c r="GI656" s="2909" t="str">
        <f t="shared" si="172"/>
        <v/>
      </c>
      <c r="GJ656" s="2909" t="str">
        <f t="shared" si="173"/>
        <v/>
      </c>
      <c r="GK656" s="2909" t="str">
        <f t="shared" si="174"/>
        <v/>
      </c>
      <c r="GL656" s="2909" t="str">
        <f t="shared" si="175"/>
        <v/>
      </c>
      <c r="GM656" s="2909" t="str">
        <f t="shared" si="176"/>
        <v/>
      </c>
      <c r="GN656" s="2909" t="str">
        <f t="shared" si="177"/>
        <v/>
      </c>
      <c r="GO656" s="2909" t="str">
        <f t="shared" si="178"/>
        <v/>
      </c>
      <c r="GP656" s="2909" t="str">
        <f t="shared" si="179"/>
        <v/>
      </c>
      <c r="GQ656" s="2909" t="str">
        <f t="shared" si="180"/>
        <v/>
      </c>
      <c r="GR656" s="2909" t="str">
        <f t="shared" si="181"/>
        <v/>
      </c>
      <c r="GS656" s="2909" t="str">
        <f t="shared" si="182"/>
        <v/>
      </c>
      <c r="GT656" s="2909" t="str">
        <f t="shared" si="183"/>
        <v/>
      </c>
      <c r="GU656" s="2909" t="str">
        <f t="shared" si="184"/>
        <v/>
      </c>
      <c r="GV656" s="2909" t="str">
        <f t="shared" si="185"/>
        <v/>
      </c>
      <c r="GW656" s="2909" t="str">
        <f t="shared" si="186"/>
        <v/>
      </c>
      <c r="GX656" s="2909" t="str">
        <f t="shared" si="187"/>
        <v/>
      </c>
      <c r="GY656" s="2909" t="str">
        <f t="shared" si="188"/>
        <v/>
      </c>
      <c r="GZ656" s="2909" t="str">
        <f t="shared" si="189"/>
        <v/>
      </c>
      <c r="HA656" s="2909" t="str">
        <f t="shared" si="190"/>
        <v/>
      </c>
      <c r="HB656" s="2909" t="str">
        <f t="shared" si="191"/>
        <v/>
      </c>
      <c r="HC656" s="2909" t="str">
        <f t="shared" si="192"/>
        <v/>
      </c>
      <c r="HD656" s="2909" t="str">
        <f t="shared" si="193"/>
        <v/>
      </c>
      <c r="HE656" s="2909" t="str">
        <f t="shared" si="194"/>
        <v/>
      </c>
      <c r="HF656" s="2909" t="str">
        <f t="shared" si="195"/>
        <v/>
      </c>
      <c r="HG656" s="2909" t="str">
        <f t="shared" si="196"/>
        <v/>
      </c>
      <c r="HH656" s="2909" t="str">
        <f t="shared" si="197"/>
        <v/>
      </c>
      <c r="HI656" s="2909" t="str">
        <f t="shared" si="198"/>
        <v/>
      </c>
      <c r="HJ656" s="2909" t="str">
        <f t="shared" si="199"/>
        <v/>
      </c>
      <c r="HK656" s="2909" t="str">
        <f t="shared" si="200"/>
        <v/>
      </c>
      <c r="HL656" s="2909" t="str">
        <f t="shared" si="201"/>
        <v/>
      </c>
      <c r="HM656" s="2909" t="str">
        <f t="shared" si="202"/>
        <v/>
      </c>
      <c r="HN656" s="2909" t="str">
        <f t="shared" si="203"/>
        <v/>
      </c>
      <c r="HO656" s="2909" t="str">
        <f t="shared" si="204"/>
        <v/>
      </c>
      <c r="HP656" s="2909" t="str">
        <f t="shared" si="205"/>
        <v/>
      </c>
      <c r="HQ656" s="2909" t="str">
        <f t="shared" si="206"/>
        <v/>
      </c>
      <c r="HR656" s="2909" t="str">
        <f t="shared" si="207"/>
        <v/>
      </c>
      <c r="HS656" s="2909" t="str">
        <f t="shared" si="208"/>
        <v/>
      </c>
      <c r="HT656" s="2909" t="str">
        <f t="shared" si="209"/>
        <v/>
      </c>
      <c r="HU656" s="2909" t="str">
        <f t="shared" si="210"/>
        <v/>
      </c>
      <c r="HV656" s="2909" t="str">
        <f t="shared" si="211"/>
        <v/>
      </c>
      <c r="HW656" s="2909" t="str">
        <f t="shared" si="212"/>
        <v/>
      </c>
      <c r="HX656" s="2909" t="str">
        <f t="shared" si="213"/>
        <v/>
      </c>
      <c r="HY656" s="2909" t="str">
        <f t="shared" si="214"/>
        <v/>
      </c>
      <c r="HZ656" s="2909" t="str">
        <f t="shared" si="215"/>
        <v/>
      </c>
      <c r="IA656" s="2909" t="str">
        <f t="shared" si="216"/>
        <v/>
      </c>
      <c r="IB656" s="2909" t="str">
        <f t="shared" si="217"/>
        <v/>
      </c>
      <c r="IC656" s="2879" t="str">
        <f t="shared" si="218"/>
        <v/>
      </c>
      <c r="ID656" s="2879" t="str">
        <f t="shared" si="219"/>
        <v/>
      </c>
      <c r="IE656" s="2879" t="str">
        <f t="shared" si="220"/>
        <v/>
      </c>
      <c r="IF656" s="2879" t="str">
        <f t="shared" si="221"/>
        <v/>
      </c>
      <c r="IG656" s="2879" t="str">
        <f t="shared" si="222"/>
        <v/>
      </c>
      <c r="IH656" s="1247" t="str">
        <f t="shared" si="223"/>
        <v/>
      </c>
      <c r="II656" s="1247" t="str">
        <f t="shared" si="224"/>
        <v/>
      </c>
      <c r="IJ656" s="1247" t="str">
        <f t="shared" si="225"/>
        <v/>
      </c>
      <c r="IK656" s="1247" t="str">
        <f t="shared" si="226"/>
        <v/>
      </c>
      <c r="IL656" s="1247" t="str">
        <f t="shared" si="227"/>
        <v/>
      </c>
      <c r="IM656" s="1247" t="str">
        <f t="shared" si="228"/>
        <v/>
      </c>
      <c r="IN656" s="1247" t="str">
        <f t="shared" si="229"/>
        <v/>
      </c>
      <c r="IO656" s="1247" t="str">
        <f t="shared" si="230"/>
        <v/>
      </c>
      <c r="IP656" s="1247" t="str">
        <f t="shared" si="231"/>
        <v/>
      </c>
      <c r="IQ656" s="1247" t="str">
        <f t="shared" si="232"/>
        <v/>
      </c>
      <c r="IR656" s="1247" t="str">
        <f t="shared" si="233"/>
        <v/>
      </c>
      <c r="IS656" s="1247" t="str">
        <f t="shared" si="234"/>
        <v/>
      </c>
      <c r="IT656" s="1247" t="str">
        <f t="shared" si="235"/>
        <v/>
      </c>
      <c r="IU656" s="1247" t="str">
        <f t="shared" si="236"/>
        <v/>
      </c>
      <c r="IV656" s="1247" t="str">
        <f t="shared" si="237"/>
        <v/>
      </c>
      <c r="IW656" s="1247" t="str">
        <f t="shared" si="238"/>
        <v/>
      </c>
      <c r="IX656" s="1247" t="str">
        <f t="shared" si="239"/>
        <v/>
      </c>
      <c r="IY656" s="1247" t="str">
        <f t="shared" si="240"/>
        <v/>
      </c>
      <c r="IZ656" s="1247" t="str">
        <f t="shared" si="241"/>
        <v/>
      </c>
      <c r="JA656" s="1247" t="str">
        <f t="shared" si="242"/>
        <v/>
      </c>
      <c r="JB656" s="2877">
        <f t="shared" si="243"/>
        <v>0</v>
      </c>
      <c r="JC656" s="2877">
        <f t="shared" si="244"/>
        <v>0</v>
      </c>
      <c r="JD656" s="2877">
        <f t="shared" si="245"/>
        <v>0</v>
      </c>
      <c r="JE656" s="2877">
        <f t="shared" si="246"/>
        <v>0</v>
      </c>
      <c r="JF656" s="2877">
        <f t="shared" si="247"/>
        <v>0</v>
      </c>
      <c r="JG656" s="2877">
        <f t="shared" si="248"/>
        <v>0</v>
      </c>
      <c r="JH656" s="2877">
        <f t="shared" si="249"/>
        <v>0</v>
      </c>
      <c r="JI656" s="2877">
        <f t="shared" si="250"/>
        <v>0</v>
      </c>
      <c r="JJ656" s="2877">
        <f t="shared" si="251"/>
        <v>0</v>
      </c>
      <c r="JK656" s="2877">
        <f t="shared" si="252"/>
        <v>0</v>
      </c>
      <c r="JL656" s="2877">
        <f t="shared" si="253"/>
        <v>0</v>
      </c>
      <c r="JM656" s="2877">
        <f t="shared" si="254"/>
        <v>0</v>
      </c>
      <c r="JN656" s="2877">
        <f t="shared" si="255"/>
        <v>0</v>
      </c>
      <c r="JO656" s="2877">
        <f t="shared" si="256"/>
        <v>0</v>
      </c>
      <c r="JP656" s="2877">
        <f t="shared" si="257"/>
        <v>0</v>
      </c>
    </row>
    <row r="657" spans="1:277" ht="12" customHeight="1">
      <c r="A657" s="2891" t="str">
        <f t="shared" si="0"/>
        <v/>
      </c>
      <c r="B657" s="2900" t="str">
        <f>'Part VI-Revenues &amp; Expenses'!B37</f>
        <v>&lt;&lt;Select&gt;&gt;</v>
      </c>
      <c r="C657" s="2901">
        <f>'Part VI-Revenues &amp; Expenses'!C37</f>
        <v>0</v>
      </c>
      <c r="D657" s="2902">
        <f>'Part VI-Revenues &amp; Expenses'!D37</f>
        <v>0</v>
      </c>
      <c r="E657" s="2903">
        <f>'Part VI-Revenues &amp; Expenses'!E37</f>
        <v>0</v>
      </c>
      <c r="F657" s="2903">
        <f>'Part VI-Revenues &amp; Expenses'!F37</f>
        <v>0</v>
      </c>
      <c r="G657" s="2903">
        <f>'Part VI-Revenues &amp; Expenses'!G37</f>
        <v>0</v>
      </c>
      <c r="H657" s="2903">
        <f>'Part VI-Revenues &amp; Expenses'!H37</f>
        <v>0</v>
      </c>
      <c r="I657" s="2903">
        <f>'Part VI-Revenues &amp; Expenses'!I37</f>
        <v>0</v>
      </c>
      <c r="J657" s="2904">
        <f>'Part VI-Revenues &amp; Expenses'!J37</f>
        <v>0</v>
      </c>
      <c r="K657" s="2905">
        <f t="shared" si="1"/>
        <v>0</v>
      </c>
      <c r="L657" s="2905">
        <f t="shared" si="2"/>
        <v>0</v>
      </c>
      <c r="M657" s="2886">
        <f>'Part VI-Revenues &amp; Expenses'!M37</f>
        <v>0</v>
      </c>
      <c r="N657" s="2886">
        <f>'Part VI-Revenues &amp; Expenses'!N37</f>
        <v>0</v>
      </c>
      <c r="O657" s="2886">
        <f>'Part VI-Revenues &amp; Expenses'!O37</f>
        <v>0</v>
      </c>
      <c r="P657" s="2886">
        <f>'Part VI-Revenues &amp; Expenses'!P37</f>
        <v>0</v>
      </c>
      <c r="Q657" s="2906">
        <f>IF(H657="","",P657/($O$626*VLOOKUP(C657,'DCA Underwriting Assumptions'!$J$118:$K$123,2,FALSE)))</f>
        <v>0</v>
      </c>
      <c r="R657" s="2907"/>
      <c r="S657" s="2906"/>
      <c r="T657" s="2908"/>
      <c r="U657" s="2908"/>
      <c r="V657" s="1247" t="str">
        <f t="shared" si="3"/>
        <v/>
      </c>
      <c r="W657" s="1247" t="str">
        <f t="shared" si="4"/>
        <v/>
      </c>
      <c r="X657" s="1247" t="str">
        <f t="shared" si="5"/>
        <v/>
      </c>
      <c r="Y657" s="1247" t="str">
        <f t="shared" si="6"/>
        <v/>
      </c>
      <c r="Z657" s="1247" t="str">
        <f t="shared" si="7"/>
        <v/>
      </c>
      <c r="AA657" s="1247" t="str">
        <f t="shared" si="8"/>
        <v/>
      </c>
      <c r="AB657" s="1247" t="str">
        <f t="shared" si="9"/>
        <v/>
      </c>
      <c r="AC657" s="1247" t="str">
        <f t="shared" si="10"/>
        <v/>
      </c>
      <c r="AD657" s="1247" t="str">
        <f t="shared" si="11"/>
        <v/>
      </c>
      <c r="AE657" s="1247" t="str">
        <f t="shared" si="12"/>
        <v/>
      </c>
      <c r="AF657" s="1247" t="str">
        <f t="shared" si="13"/>
        <v/>
      </c>
      <c r="AG657" s="1247" t="str">
        <f t="shared" si="14"/>
        <v/>
      </c>
      <c r="AH657" s="1247" t="str">
        <f t="shared" si="15"/>
        <v/>
      </c>
      <c r="AI657" s="1247" t="str">
        <f t="shared" si="16"/>
        <v/>
      </c>
      <c r="AJ657" s="1247" t="str">
        <f t="shared" si="17"/>
        <v/>
      </c>
      <c r="AK657" s="1247" t="str">
        <f t="shared" si="18"/>
        <v/>
      </c>
      <c r="AL657" s="1247" t="str">
        <f t="shared" si="19"/>
        <v/>
      </c>
      <c r="AM657" s="1247" t="str">
        <f t="shared" si="20"/>
        <v/>
      </c>
      <c r="AN657" s="1247" t="str">
        <f t="shared" si="21"/>
        <v/>
      </c>
      <c r="AO657" s="1247" t="str">
        <f t="shared" si="22"/>
        <v/>
      </c>
      <c r="AP657" s="1247" t="str">
        <f t="shared" si="23"/>
        <v/>
      </c>
      <c r="AQ657" s="1247" t="str">
        <f t="shared" si="24"/>
        <v/>
      </c>
      <c r="AR657" s="1247" t="str">
        <f t="shared" si="25"/>
        <v/>
      </c>
      <c r="AS657" s="1247" t="str">
        <f t="shared" si="26"/>
        <v/>
      </c>
      <c r="AT657" s="1247" t="str">
        <f t="shared" si="27"/>
        <v/>
      </c>
      <c r="AU657" s="1247" t="str">
        <f t="shared" si="28"/>
        <v/>
      </c>
      <c r="AV657" s="1247" t="str">
        <f t="shared" si="29"/>
        <v/>
      </c>
      <c r="AW657" s="1247" t="str">
        <f t="shared" si="30"/>
        <v/>
      </c>
      <c r="AX657" s="1247" t="str">
        <f t="shared" si="31"/>
        <v/>
      </c>
      <c r="AY657" s="1247" t="str">
        <f t="shared" si="32"/>
        <v/>
      </c>
      <c r="AZ657" s="1247" t="str">
        <f t="shared" si="33"/>
        <v/>
      </c>
      <c r="BA657" s="1247" t="str">
        <f t="shared" si="34"/>
        <v/>
      </c>
      <c r="BB657" s="1247" t="str">
        <f t="shared" si="35"/>
        <v/>
      </c>
      <c r="BC657" s="1247" t="str">
        <f t="shared" si="36"/>
        <v/>
      </c>
      <c r="BD657" s="1247" t="str">
        <f t="shared" si="37"/>
        <v/>
      </c>
      <c r="BE657" s="1247" t="str">
        <f t="shared" si="38"/>
        <v/>
      </c>
      <c r="BF657" s="1247" t="str">
        <f t="shared" si="39"/>
        <v/>
      </c>
      <c r="BG657" s="1247" t="str">
        <f t="shared" si="40"/>
        <v/>
      </c>
      <c r="BH657" s="1247" t="str">
        <f t="shared" si="41"/>
        <v/>
      </c>
      <c r="BI657" s="1247" t="str">
        <f t="shared" si="42"/>
        <v/>
      </c>
      <c r="BJ657" s="1247" t="str">
        <f t="shared" si="43"/>
        <v/>
      </c>
      <c r="BK657" s="1247" t="str">
        <f t="shared" si="44"/>
        <v/>
      </c>
      <c r="BL657" s="1247" t="str">
        <f t="shared" si="45"/>
        <v/>
      </c>
      <c r="BM657" s="1247" t="str">
        <f t="shared" si="46"/>
        <v/>
      </c>
      <c r="BN657" s="1247" t="str">
        <f t="shared" si="47"/>
        <v/>
      </c>
      <c r="BO657" s="1247" t="str">
        <f t="shared" si="48"/>
        <v/>
      </c>
      <c r="BP657" s="1247" t="str">
        <f t="shared" si="49"/>
        <v/>
      </c>
      <c r="BQ657" s="1247" t="str">
        <f t="shared" si="50"/>
        <v/>
      </c>
      <c r="BR657" s="1247" t="str">
        <f t="shared" si="51"/>
        <v/>
      </c>
      <c r="BS657" s="1247" t="str">
        <f t="shared" si="52"/>
        <v/>
      </c>
      <c r="BT657" s="1247" t="str">
        <f t="shared" si="53"/>
        <v/>
      </c>
      <c r="BU657" s="1247" t="str">
        <f t="shared" si="54"/>
        <v/>
      </c>
      <c r="BV657" s="1247" t="str">
        <f t="shared" si="55"/>
        <v/>
      </c>
      <c r="BW657" s="1247" t="str">
        <f t="shared" si="56"/>
        <v/>
      </c>
      <c r="BX657" s="1247" t="str">
        <f t="shared" si="57"/>
        <v/>
      </c>
      <c r="BY657" s="1247" t="str">
        <f t="shared" si="58"/>
        <v/>
      </c>
      <c r="BZ657" s="1247" t="str">
        <f t="shared" si="59"/>
        <v/>
      </c>
      <c r="CA657" s="1247" t="str">
        <f t="shared" si="60"/>
        <v/>
      </c>
      <c r="CB657" s="1247" t="str">
        <f t="shared" si="61"/>
        <v/>
      </c>
      <c r="CC657" s="1247" t="str">
        <f t="shared" si="62"/>
        <v/>
      </c>
      <c r="CD657" s="1247" t="str">
        <f t="shared" si="63"/>
        <v/>
      </c>
      <c r="CE657" s="1247" t="str">
        <f t="shared" si="64"/>
        <v/>
      </c>
      <c r="CF657" s="1247" t="str">
        <f t="shared" si="65"/>
        <v/>
      </c>
      <c r="CG657" s="1247" t="str">
        <f t="shared" si="66"/>
        <v/>
      </c>
      <c r="CH657" s="1247" t="str">
        <f t="shared" si="67"/>
        <v/>
      </c>
      <c r="CI657" s="1247" t="str">
        <f t="shared" si="68"/>
        <v/>
      </c>
      <c r="CJ657" s="1247" t="str">
        <f t="shared" si="69"/>
        <v/>
      </c>
      <c r="CK657" s="1247" t="str">
        <f t="shared" si="70"/>
        <v/>
      </c>
      <c r="CL657" s="1247" t="str">
        <f t="shared" si="71"/>
        <v/>
      </c>
      <c r="CM657" s="1247" t="str">
        <f t="shared" si="72"/>
        <v/>
      </c>
      <c r="CN657" s="1247" t="str">
        <f t="shared" si="73"/>
        <v/>
      </c>
      <c r="CO657" s="1247" t="str">
        <f t="shared" si="74"/>
        <v/>
      </c>
      <c r="CP657" s="1247" t="str">
        <f t="shared" si="75"/>
        <v/>
      </c>
      <c r="CQ657" s="1247" t="str">
        <f t="shared" si="76"/>
        <v/>
      </c>
      <c r="CR657" s="1247" t="str">
        <f t="shared" si="77"/>
        <v/>
      </c>
      <c r="CS657" s="1247" t="str">
        <f t="shared" si="78"/>
        <v/>
      </c>
      <c r="CT657" s="1247" t="str">
        <f t="shared" si="79"/>
        <v/>
      </c>
      <c r="CU657" s="1247" t="str">
        <f t="shared" si="80"/>
        <v/>
      </c>
      <c r="CV657" s="1247" t="str">
        <f t="shared" si="81"/>
        <v/>
      </c>
      <c r="CW657" s="1247" t="str">
        <f t="shared" si="82"/>
        <v/>
      </c>
      <c r="CX657" s="1247" t="str">
        <f t="shared" si="83"/>
        <v/>
      </c>
      <c r="CY657" s="1247" t="str">
        <f t="shared" si="84"/>
        <v/>
      </c>
      <c r="CZ657" s="1247" t="str">
        <f t="shared" si="85"/>
        <v/>
      </c>
      <c r="DA657" s="1247" t="str">
        <f t="shared" si="86"/>
        <v/>
      </c>
      <c r="DB657" s="1247" t="str">
        <f t="shared" si="87"/>
        <v/>
      </c>
      <c r="DC657" s="1247" t="str">
        <f t="shared" si="88"/>
        <v/>
      </c>
      <c r="DD657" s="1247" t="str">
        <f t="shared" si="89"/>
        <v/>
      </c>
      <c r="DE657" s="1247" t="str">
        <f t="shared" si="90"/>
        <v/>
      </c>
      <c r="DF657" s="1247" t="str">
        <f t="shared" si="91"/>
        <v/>
      </c>
      <c r="DG657" s="1247" t="str">
        <f t="shared" si="92"/>
        <v/>
      </c>
      <c r="DH657" s="1247" t="str">
        <f t="shared" si="93"/>
        <v/>
      </c>
      <c r="DI657" s="1247" t="str">
        <f t="shared" si="94"/>
        <v/>
      </c>
      <c r="DJ657" s="1247" t="str">
        <f t="shared" si="95"/>
        <v/>
      </c>
      <c r="DK657" s="1247" t="str">
        <f t="shared" si="96"/>
        <v/>
      </c>
      <c r="DL657" s="1247" t="str">
        <f t="shared" si="97"/>
        <v/>
      </c>
      <c r="DM657" s="1247" t="str">
        <f t="shared" si="98"/>
        <v/>
      </c>
      <c r="DN657" s="1247" t="str">
        <f t="shared" si="99"/>
        <v/>
      </c>
      <c r="DO657" s="1247" t="str">
        <f t="shared" si="100"/>
        <v/>
      </c>
      <c r="DP657" s="1247" t="str">
        <f t="shared" si="101"/>
        <v/>
      </c>
      <c r="DQ657" s="1247" t="str">
        <f t="shared" si="102"/>
        <v/>
      </c>
      <c r="DR657" s="1247" t="str">
        <f t="shared" si="103"/>
        <v/>
      </c>
      <c r="DS657" s="1247" t="str">
        <f t="shared" si="104"/>
        <v/>
      </c>
      <c r="DT657" s="1247" t="str">
        <f t="shared" si="105"/>
        <v/>
      </c>
      <c r="DU657" s="1247" t="str">
        <f t="shared" si="106"/>
        <v/>
      </c>
      <c r="DV657" s="1247" t="str">
        <f t="shared" si="107"/>
        <v/>
      </c>
      <c r="DW657" s="1247" t="str">
        <f t="shared" si="108"/>
        <v/>
      </c>
      <c r="DX657" s="1247" t="str">
        <f t="shared" si="109"/>
        <v/>
      </c>
      <c r="DY657" s="1247" t="str">
        <f t="shared" si="110"/>
        <v/>
      </c>
      <c r="DZ657" s="1247" t="str">
        <f t="shared" si="111"/>
        <v/>
      </c>
      <c r="EA657" s="1247" t="str">
        <f t="shared" si="112"/>
        <v/>
      </c>
      <c r="EB657" s="1247" t="str">
        <f t="shared" si="113"/>
        <v/>
      </c>
      <c r="EC657" s="1247" t="str">
        <f t="shared" si="114"/>
        <v/>
      </c>
      <c r="ED657" s="1247" t="str">
        <f t="shared" si="115"/>
        <v/>
      </c>
      <c r="EE657" s="1247" t="str">
        <f t="shared" si="116"/>
        <v/>
      </c>
      <c r="EF657" s="1247" t="str">
        <f t="shared" si="117"/>
        <v/>
      </c>
      <c r="EG657" s="1247" t="str">
        <f t="shared" si="118"/>
        <v/>
      </c>
      <c r="EH657" s="1247" t="str">
        <f t="shared" si="119"/>
        <v/>
      </c>
      <c r="EI657" s="1247" t="str">
        <f t="shared" si="120"/>
        <v/>
      </c>
      <c r="EJ657" s="1247" t="str">
        <f t="shared" si="121"/>
        <v/>
      </c>
      <c r="EK657" s="1247" t="str">
        <f t="shared" si="122"/>
        <v/>
      </c>
      <c r="EL657" s="1247" t="str">
        <f t="shared" si="123"/>
        <v/>
      </c>
      <c r="EM657" s="1247" t="str">
        <f t="shared" si="124"/>
        <v/>
      </c>
      <c r="EN657" s="1247" t="str">
        <f t="shared" si="125"/>
        <v/>
      </c>
      <c r="EO657" s="1247" t="str">
        <f t="shared" si="126"/>
        <v/>
      </c>
      <c r="EP657" s="1247" t="str">
        <f t="shared" si="127"/>
        <v/>
      </c>
      <c r="EQ657" s="1247" t="str">
        <f t="shared" si="128"/>
        <v/>
      </c>
      <c r="ER657" s="1247" t="str">
        <f t="shared" si="129"/>
        <v/>
      </c>
      <c r="ES657" s="1247" t="str">
        <f t="shared" si="130"/>
        <v/>
      </c>
      <c r="ET657" s="1247" t="str">
        <f t="shared" si="131"/>
        <v/>
      </c>
      <c r="EU657" s="1247" t="str">
        <f t="shared" si="132"/>
        <v/>
      </c>
      <c r="EV657" s="2909" t="str">
        <f t="shared" si="133"/>
        <v/>
      </c>
      <c r="EW657" s="2909" t="str">
        <f t="shared" si="134"/>
        <v/>
      </c>
      <c r="EX657" s="2909" t="str">
        <f t="shared" si="135"/>
        <v/>
      </c>
      <c r="EY657" s="2909" t="str">
        <f t="shared" si="136"/>
        <v/>
      </c>
      <c r="EZ657" s="2909" t="str">
        <f t="shared" si="137"/>
        <v/>
      </c>
      <c r="FA657" s="2909" t="str">
        <f t="shared" si="138"/>
        <v/>
      </c>
      <c r="FB657" s="2909" t="str">
        <f t="shared" si="139"/>
        <v/>
      </c>
      <c r="FC657" s="2909" t="str">
        <f t="shared" si="140"/>
        <v/>
      </c>
      <c r="FD657" s="2909" t="str">
        <f t="shared" si="141"/>
        <v/>
      </c>
      <c r="FE657" s="2909" t="str">
        <f t="shared" si="142"/>
        <v/>
      </c>
      <c r="FF657" s="2909" t="str">
        <f t="shared" si="143"/>
        <v/>
      </c>
      <c r="FG657" s="2909" t="str">
        <f t="shared" si="144"/>
        <v/>
      </c>
      <c r="FH657" s="2909" t="str">
        <f t="shared" si="145"/>
        <v/>
      </c>
      <c r="FI657" s="2909" t="str">
        <f t="shared" si="146"/>
        <v/>
      </c>
      <c r="FJ657" s="2909" t="str">
        <f t="shared" si="147"/>
        <v/>
      </c>
      <c r="FK657" s="2909" t="str">
        <f t="shared" si="148"/>
        <v/>
      </c>
      <c r="FL657" s="2909" t="str">
        <f t="shared" si="149"/>
        <v/>
      </c>
      <c r="FM657" s="2909" t="str">
        <f t="shared" si="150"/>
        <v/>
      </c>
      <c r="FN657" s="2909" t="str">
        <f t="shared" si="151"/>
        <v/>
      </c>
      <c r="FO657" s="2909" t="str">
        <f t="shared" si="152"/>
        <v/>
      </c>
      <c r="FP657" s="2909" t="str">
        <f t="shared" si="153"/>
        <v/>
      </c>
      <c r="FQ657" s="2909" t="str">
        <f t="shared" si="154"/>
        <v/>
      </c>
      <c r="FR657" s="2909" t="str">
        <f t="shared" si="155"/>
        <v/>
      </c>
      <c r="FS657" s="2909" t="str">
        <f t="shared" si="156"/>
        <v/>
      </c>
      <c r="FT657" s="2909" t="str">
        <f t="shared" si="157"/>
        <v/>
      </c>
      <c r="FU657" s="2909" t="str">
        <f t="shared" si="158"/>
        <v/>
      </c>
      <c r="FV657" s="2909" t="str">
        <f t="shared" si="159"/>
        <v/>
      </c>
      <c r="FW657" s="2909" t="str">
        <f t="shared" si="160"/>
        <v/>
      </c>
      <c r="FX657" s="2909" t="str">
        <f t="shared" si="161"/>
        <v/>
      </c>
      <c r="FY657" s="2909" t="str">
        <f t="shared" si="162"/>
        <v/>
      </c>
      <c r="FZ657" s="2909" t="str">
        <f t="shared" si="163"/>
        <v/>
      </c>
      <c r="GA657" s="2909" t="str">
        <f t="shared" si="164"/>
        <v/>
      </c>
      <c r="GB657" s="2909" t="str">
        <f t="shared" si="165"/>
        <v/>
      </c>
      <c r="GC657" s="2909" t="str">
        <f t="shared" si="166"/>
        <v/>
      </c>
      <c r="GD657" s="2909" t="str">
        <f t="shared" si="167"/>
        <v/>
      </c>
      <c r="GE657" s="2909" t="str">
        <f t="shared" si="168"/>
        <v/>
      </c>
      <c r="GF657" s="2909" t="str">
        <f t="shared" si="169"/>
        <v/>
      </c>
      <c r="GG657" s="2909" t="str">
        <f t="shared" si="170"/>
        <v/>
      </c>
      <c r="GH657" s="2909" t="str">
        <f t="shared" si="171"/>
        <v/>
      </c>
      <c r="GI657" s="2909" t="str">
        <f t="shared" si="172"/>
        <v/>
      </c>
      <c r="GJ657" s="2909" t="str">
        <f t="shared" si="173"/>
        <v/>
      </c>
      <c r="GK657" s="2909" t="str">
        <f t="shared" si="174"/>
        <v/>
      </c>
      <c r="GL657" s="2909" t="str">
        <f t="shared" si="175"/>
        <v/>
      </c>
      <c r="GM657" s="2909" t="str">
        <f t="shared" si="176"/>
        <v/>
      </c>
      <c r="GN657" s="2909" t="str">
        <f t="shared" si="177"/>
        <v/>
      </c>
      <c r="GO657" s="2909" t="str">
        <f t="shared" si="178"/>
        <v/>
      </c>
      <c r="GP657" s="2909" t="str">
        <f t="shared" si="179"/>
        <v/>
      </c>
      <c r="GQ657" s="2909" t="str">
        <f t="shared" si="180"/>
        <v/>
      </c>
      <c r="GR657" s="2909" t="str">
        <f t="shared" si="181"/>
        <v/>
      </c>
      <c r="GS657" s="2909" t="str">
        <f t="shared" si="182"/>
        <v/>
      </c>
      <c r="GT657" s="2909" t="str">
        <f t="shared" si="183"/>
        <v/>
      </c>
      <c r="GU657" s="2909" t="str">
        <f t="shared" si="184"/>
        <v/>
      </c>
      <c r="GV657" s="2909" t="str">
        <f t="shared" si="185"/>
        <v/>
      </c>
      <c r="GW657" s="2909" t="str">
        <f t="shared" si="186"/>
        <v/>
      </c>
      <c r="GX657" s="2909" t="str">
        <f t="shared" si="187"/>
        <v/>
      </c>
      <c r="GY657" s="2909" t="str">
        <f t="shared" si="188"/>
        <v/>
      </c>
      <c r="GZ657" s="2909" t="str">
        <f t="shared" si="189"/>
        <v/>
      </c>
      <c r="HA657" s="2909" t="str">
        <f t="shared" si="190"/>
        <v/>
      </c>
      <c r="HB657" s="2909" t="str">
        <f t="shared" si="191"/>
        <v/>
      </c>
      <c r="HC657" s="2909" t="str">
        <f t="shared" si="192"/>
        <v/>
      </c>
      <c r="HD657" s="2909" t="str">
        <f t="shared" si="193"/>
        <v/>
      </c>
      <c r="HE657" s="2909" t="str">
        <f t="shared" si="194"/>
        <v/>
      </c>
      <c r="HF657" s="2909" t="str">
        <f t="shared" si="195"/>
        <v/>
      </c>
      <c r="HG657" s="2909" t="str">
        <f t="shared" si="196"/>
        <v/>
      </c>
      <c r="HH657" s="2909" t="str">
        <f t="shared" si="197"/>
        <v/>
      </c>
      <c r="HI657" s="2909" t="str">
        <f t="shared" si="198"/>
        <v/>
      </c>
      <c r="HJ657" s="2909" t="str">
        <f t="shared" si="199"/>
        <v/>
      </c>
      <c r="HK657" s="2909" t="str">
        <f t="shared" si="200"/>
        <v/>
      </c>
      <c r="HL657" s="2909" t="str">
        <f t="shared" si="201"/>
        <v/>
      </c>
      <c r="HM657" s="2909" t="str">
        <f t="shared" si="202"/>
        <v/>
      </c>
      <c r="HN657" s="2909" t="str">
        <f t="shared" si="203"/>
        <v/>
      </c>
      <c r="HO657" s="2909" t="str">
        <f t="shared" si="204"/>
        <v/>
      </c>
      <c r="HP657" s="2909" t="str">
        <f t="shared" si="205"/>
        <v/>
      </c>
      <c r="HQ657" s="2909" t="str">
        <f t="shared" si="206"/>
        <v/>
      </c>
      <c r="HR657" s="2909" t="str">
        <f t="shared" si="207"/>
        <v/>
      </c>
      <c r="HS657" s="2909" t="str">
        <f t="shared" si="208"/>
        <v/>
      </c>
      <c r="HT657" s="2909" t="str">
        <f t="shared" si="209"/>
        <v/>
      </c>
      <c r="HU657" s="2909" t="str">
        <f t="shared" si="210"/>
        <v/>
      </c>
      <c r="HV657" s="2909" t="str">
        <f t="shared" si="211"/>
        <v/>
      </c>
      <c r="HW657" s="2909" t="str">
        <f t="shared" si="212"/>
        <v/>
      </c>
      <c r="HX657" s="2909" t="str">
        <f t="shared" si="213"/>
        <v/>
      </c>
      <c r="HY657" s="2909" t="str">
        <f t="shared" si="214"/>
        <v/>
      </c>
      <c r="HZ657" s="2909" t="str">
        <f t="shared" si="215"/>
        <v/>
      </c>
      <c r="IA657" s="2909" t="str">
        <f t="shared" si="216"/>
        <v/>
      </c>
      <c r="IB657" s="2909" t="str">
        <f t="shared" si="217"/>
        <v/>
      </c>
      <c r="IC657" s="2879" t="str">
        <f t="shared" si="218"/>
        <v/>
      </c>
      <c r="ID657" s="2879" t="str">
        <f t="shared" si="219"/>
        <v/>
      </c>
      <c r="IE657" s="2879" t="str">
        <f t="shared" si="220"/>
        <v/>
      </c>
      <c r="IF657" s="2879" t="str">
        <f t="shared" si="221"/>
        <v/>
      </c>
      <c r="IG657" s="2879" t="str">
        <f t="shared" si="222"/>
        <v/>
      </c>
      <c r="IH657" s="1247" t="str">
        <f t="shared" si="223"/>
        <v/>
      </c>
      <c r="II657" s="1247" t="str">
        <f t="shared" si="224"/>
        <v/>
      </c>
      <c r="IJ657" s="1247" t="str">
        <f t="shared" si="225"/>
        <v/>
      </c>
      <c r="IK657" s="1247" t="str">
        <f t="shared" si="226"/>
        <v/>
      </c>
      <c r="IL657" s="1247" t="str">
        <f t="shared" si="227"/>
        <v/>
      </c>
      <c r="IM657" s="1247" t="str">
        <f t="shared" si="228"/>
        <v/>
      </c>
      <c r="IN657" s="1247" t="str">
        <f t="shared" si="229"/>
        <v/>
      </c>
      <c r="IO657" s="1247" t="str">
        <f t="shared" si="230"/>
        <v/>
      </c>
      <c r="IP657" s="1247" t="str">
        <f t="shared" si="231"/>
        <v/>
      </c>
      <c r="IQ657" s="1247" t="str">
        <f t="shared" si="232"/>
        <v/>
      </c>
      <c r="IR657" s="1247" t="str">
        <f t="shared" si="233"/>
        <v/>
      </c>
      <c r="IS657" s="1247" t="str">
        <f t="shared" si="234"/>
        <v/>
      </c>
      <c r="IT657" s="1247" t="str">
        <f t="shared" si="235"/>
        <v/>
      </c>
      <c r="IU657" s="1247" t="str">
        <f t="shared" si="236"/>
        <v/>
      </c>
      <c r="IV657" s="1247" t="str">
        <f t="shared" si="237"/>
        <v/>
      </c>
      <c r="IW657" s="1247" t="str">
        <f t="shared" si="238"/>
        <v/>
      </c>
      <c r="IX657" s="1247" t="str">
        <f t="shared" si="239"/>
        <v/>
      </c>
      <c r="IY657" s="1247" t="str">
        <f t="shared" si="240"/>
        <v/>
      </c>
      <c r="IZ657" s="1247" t="str">
        <f t="shared" si="241"/>
        <v/>
      </c>
      <c r="JA657" s="1247" t="str">
        <f t="shared" si="242"/>
        <v/>
      </c>
      <c r="JB657" s="2877">
        <f t="shared" si="243"/>
        <v>0</v>
      </c>
      <c r="JC657" s="2877">
        <f t="shared" si="244"/>
        <v>0</v>
      </c>
      <c r="JD657" s="2877">
        <f t="shared" si="245"/>
        <v>0</v>
      </c>
      <c r="JE657" s="2877">
        <f t="shared" si="246"/>
        <v>0</v>
      </c>
      <c r="JF657" s="2877">
        <f t="shared" si="247"/>
        <v>0</v>
      </c>
      <c r="JG657" s="2877">
        <f t="shared" si="248"/>
        <v>0</v>
      </c>
      <c r="JH657" s="2877">
        <f t="shared" si="249"/>
        <v>0</v>
      </c>
      <c r="JI657" s="2877">
        <f t="shared" si="250"/>
        <v>0</v>
      </c>
      <c r="JJ657" s="2877">
        <f t="shared" si="251"/>
        <v>0</v>
      </c>
      <c r="JK657" s="2877">
        <f t="shared" si="252"/>
        <v>0</v>
      </c>
      <c r="JL657" s="2877">
        <f t="shared" si="253"/>
        <v>0</v>
      </c>
      <c r="JM657" s="2877">
        <f t="shared" si="254"/>
        <v>0</v>
      </c>
      <c r="JN657" s="2877">
        <f t="shared" si="255"/>
        <v>0</v>
      </c>
      <c r="JO657" s="2877">
        <f t="shared" si="256"/>
        <v>0</v>
      </c>
      <c r="JP657" s="2877">
        <f t="shared" si="257"/>
        <v>0</v>
      </c>
    </row>
    <row r="658" spans="1:277" ht="12" customHeight="1">
      <c r="A658" s="2891" t="str">
        <f t="shared" si="0"/>
        <v/>
      </c>
      <c r="B658" s="2900" t="str">
        <f>'Part VI-Revenues &amp; Expenses'!B38</f>
        <v>&lt;&lt;Select&gt;&gt;</v>
      </c>
      <c r="C658" s="2901">
        <f>'Part VI-Revenues &amp; Expenses'!C38</f>
        <v>0</v>
      </c>
      <c r="D658" s="2902">
        <f>'Part VI-Revenues &amp; Expenses'!D38</f>
        <v>0</v>
      </c>
      <c r="E658" s="2903">
        <f>'Part VI-Revenues &amp; Expenses'!E38</f>
        <v>0</v>
      </c>
      <c r="F658" s="2903">
        <f>'Part VI-Revenues &amp; Expenses'!F38</f>
        <v>0</v>
      </c>
      <c r="G658" s="2903">
        <f>'Part VI-Revenues &amp; Expenses'!G38</f>
        <v>0</v>
      </c>
      <c r="H658" s="2903">
        <f>'Part VI-Revenues &amp; Expenses'!H38</f>
        <v>0</v>
      </c>
      <c r="I658" s="2903">
        <f>'Part VI-Revenues &amp; Expenses'!I38</f>
        <v>0</v>
      </c>
      <c r="J658" s="2904">
        <f>'Part VI-Revenues &amp; Expenses'!J38</f>
        <v>0</v>
      </c>
      <c r="K658" s="2905">
        <f t="shared" si="1"/>
        <v>0</v>
      </c>
      <c r="L658" s="2905">
        <f t="shared" si="2"/>
        <v>0</v>
      </c>
      <c r="M658" s="2886">
        <f>'Part VI-Revenues &amp; Expenses'!M38</f>
        <v>0</v>
      </c>
      <c r="N658" s="2886">
        <f>'Part VI-Revenues &amp; Expenses'!N38</f>
        <v>0</v>
      </c>
      <c r="O658" s="2886">
        <f>'Part VI-Revenues &amp; Expenses'!O38</f>
        <v>0</v>
      </c>
      <c r="P658" s="2886">
        <f>'Part VI-Revenues &amp; Expenses'!P38</f>
        <v>0</v>
      </c>
      <c r="Q658" s="2906">
        <f>IF(H658="","",P658/($O$626*VLOOKUP(C658,'DCA Underwriting Assumptions'!$J$118:$K$123,2,FALSE)))</f>
        <v>0</v>
      </c>
      <c r="R658" s="2907"/>
      <c r="S658" s="2906"/>
      <c r="T658" s="2908"/>
      <c r="U658" s="2908"/>
      <c r="V658" s="1247" t="str">
        <f t="shared" si="3"/>
        <v/>
      </c>
      <c r="W658" s="1247" t="str">
        <f t="shared" si="4"/>
        <v/>
      </c>
      <c r="X658" s="1247" t="str">
        <f t="shared" si="5"/>
        <v/>
      </c>
      <c r="Y658" s="1247" t="str">
        <f t="shared" si="6"/>
        <v/>
      </c>
      <c r="Z658" s="1247" t="str">
        <f t="shared" si="7"/>
        <v/>
      </c>
      <c r="AA658" s="1247" t="str">
        <f t="shared" si="8"/>
        <v/>
      </c>
      <c r="AB658" s="1247" t="str">
        <f t="shared" si="9"/>
        <v/>
      </c>
      <c r="AC658" s="1247" t="str">
        <f t="shared" si="10"/>
        <v/>
      </c>
      <c r="AD658" s="1247" t="str">
        <f t="shared" si="11"/>
        <v/>
      </c>
      <c r="AE658" s="1247" t="str">
        <f t="shared" si="12"/>
        <v/>
      </c>
      <c r="AF658" s="1247" t="str">
        <f t="shared" si="13"/>
        <v/>
      </c>
      <c r="AG658" s="1247" t="str">
        <f t="shared" si="14"/>
        <v/>
      </c>
      <c r="AH658" s="1247" t="str">
        <f t="shared" si="15"/>
        <v/>
      </c>
      <c r="AI658" s="1247" t="str">
        <f t="shared" si="16"/>
        <v/>
      </c>
      <c r="AJ658" s="1247" t="str">
        <f t="shared" si="17"/>
        <v/>
      </c>
      <c r="AK658" s="1247" t="str">
        <f t="shared" si="18"/>
        <v/>
      </c>
      <c r="AL658" s="1247" t="str">
        <f t="shared" si="19"/>
        <v/>
      </c>
      <c r="AM658" s="1247" t="str">
        <f t="shared" si="20"/>
        <v/>
      </c>
      <c r="AN658" s="1247" t="str">
        <f t="shared" si="21"/>
        <v/>
      </c>
      <c r="AO658" s="1247" t="str">
        <f t="shared" si="22"/>
        <v/>
      </c>
      <c r="AP658" s="1247" t="str">
        <f t="shared" si="23"/>
        <v/>
      </c>
      <c r="AQ658" s="1247" t="str">
        <f t="shared" si="24"/>
        <v/>
      </c>
      <c r="AR658" s="1247" t="str">
        <f t="shared" si="25"/>
        <v/>
      </c>
      <c r="AS658" s="1247" t="str">
        <f t="shared" si="26"/>
        <v/>
      </c>
      <c r="AT658" s="1247" t="str">
        <f t="shared" si="27"/>
        <v/>
      </c>
      <c r="AU658" s="1247" t="str">
        <f t="shared" si="28"/>
        <v/>
      </c>
      <c r="AV658" s="1247" t="str">
        <f t="shared" si="29"/>
        <v/>
      </c>
      <c r="AW658" s="1247" t="str">
        <f t="shared" si="30"/>
        <v/>
      </c>
      <c r="AX658" s="1247" t="str">
        <f t="shared" si="31"/>
        <v/>
      </c>
      <c r="AY658" s="1247" t="str">
        <f t="shared" si="32"/>
        <v/>
      </c>
      <c r="AZ658" s="1247" t="str">
        <f t="shared" si="33"/>
        <v/>
      </c>
      <c r="BA658" s="1247" t="str">
        <f t="shared" si="34"/>
        <v/>
      </c>
      <c r="BB658" s="1247" t="str">
        <f t="shared" si="35"/>
        <v/>
      </c>
      <c r="BC658" s="1247" t="str">
        <f t="shared" si="36"/>
        <v/>
      </c>
      <c r="BD658" s="1247" t="str">
        <f t="shared" si="37"/>
        <v/>
      </c>
      <c r="BE658" s="1247" t="str">
        <f t="shared" si="38"/>
        <v/>
      </c>
      <c r="BF658" s="1247" t="str">
        <f t="shared" si="39"/>
        <v/>
      </c>
      <c r="BG658" s="1247" t="str">
        <f t="shared" si="40"/>
        <v/>
      </c>
      <c r="BH658" s="1247" t="str">
        <f t="shared" si="41"/>
        <v/>
      </c>
      <c r="BI658" s="1247" t="str">
        <f t="shared" si="42"/>
        <v/>
      </c>
      <c r="BJ658" s="1247" t="str">
        <f t="shared" si="43"/>
        <v/>
      </c>
      <c r="BK658" s="1247" t="str">
        <f t="shared" si="44"/>
        <v/>
      </c>
      <c r="BL658" s="1247" t="str">
        <f t="shared" si="45"/>
        <v/>
      </c>
      <c r="BM658" s="1247" t="str">
        <f t="shared" si="46"/>
        <v/>
      </c>
      <c r="BN658" s="1247" t="str">
        <f t="shared" si="47"/>
        <v/>
      </c>
      <c r="BO658" s="1247" t="str">
        <f t="shared" si="48"/>
        <v/>
      </c>
      <c r="BP658" s="1247" t="str">
        <f t="shared" si="49"/>
        <v/>
      </c>
      <c r="BQ658" s="1247" t="str">
        <f t="shared" si="50"/>
        <v/>
      </c>
      <c r="BR658" s="1247" t="str">
        <f t="shared" si="51"/>
        <v/>
      </c>
      <c r="BS658" s="1247" t="str">
        <f t="shared" si="52"/>
        <v/>
      </c>
      <c r="BT658" s="1247" t="str">
        <f t="shared" si="53"/>
        <v/>
      </c>
      <c r="BU658" s="1247" t="str">
        <f t="shared" si="54"/>
        <v/>
      </c>
      <c r="BV658" s="1247" t="str">
        <f t="shared" si="55"/>
        <v/>
      </c>
      <c r="BW658" s="1247" t="str">
        <f t="shared" si="56"/>
        <v/>
      </c>
      <c r="BX658" s="1247" t="str">
        <f t="shared" si="57"/>
        <v/>
      </c>
      <c r="BY658" s="1247" t="str">
        <f t="shared" si="58"/>
        <v/>
      </c>
      <c r="BZ658" s="1247" t="str">
        <f t="shared" si="59"/>
        <v/>
      </c>
      <c r="CA658" s="1247" t="str">
        <f t="shared" si="60"/>
        <v/>
      </c>
      <c r="CB658" s="1247" t="str">
        <f t="shared" si="61"/>
        <v/>
      </c>
      <c r="CC658" s="1247" t="str">
        <f t="shared" si="62"/>
        <v/>
      </c>
      <c r="CD658" s="1247" t="str">
        <f t="shared" si="63"/>
        <v/>
      </c>
      <c r="CE658" s="1247" t="str">
        <f t="shared" si="64"/>
        <v/>
      </c>
      <c r="CF658" s="1247" t="str">
        <f t="shared" si="65"/>
        <v/>
      </c>
      <c r="CG658" s="1247" t="str">
        <f t="shared" si="66"/>
        <v/>
      </c>
      <c r="CH658" s="1247" t="str">
        <f t="shared" si="67"/>
        <v/>
      </c>
      <c r="CI658" s="1247" t="str">
        <f t="shared" si="68"/>
        <v/>
      </c>
      <c r="CJ658" s="1247" t="str">
        <f t="shared" si="69"/>
        <v/>
      </c>
      <c r="CK658" s="1247" t="str">
        <f t="shared" si="70"/>
        <v/>
      </c>
      <c r="CL658" s="1247" t="str">
        <f t="shared" si="71"/>
        <v/>
      </c>
      <c r="CM658" s="1247" t="str">
        <f t="shared" si="72"/>
        <v/>
      </c>
      <c r="CN658" s="1247" t="str">
        <f t="shared" si="73"/>
        <v/>
      </c>
      <c r="CO658" s="1247" t="str">
        <f t="shared" si="74"/>
        <v/>
      </c>
      <c r="CP658" s="1247" t="str">
        <f t="shared" si="75"/>
        <v/>
      </c>
      <c r="CQ658" s="1247" t="str">
        <f t="shared" si="76"/>
        <v/>
      </c>
      <c r="CR658" s="1247" t="str">
        <f t="shared" si="77"/>
        <v/>
      </c>
      <c r="CS658" s="1247" t="str">
        <f t="shared" si="78"/>
        <v/>
      </c>
      <c r="CT658" s="1247" t="str">
        <f t="shared" si="79"/>
        <v/>
      </c>
      <c r="CU658" s="1247" t="str">
        <f t="shared" si="80"/>
        <v/>
      </c>
      <c r="CV658" s="1247" t="str">
        <f t="shared" si="81"/>
        <v/>
      </c>
      <c r="CW658" s="1247" t="str">
        <f t="shared" si="82"/>
        <v/>
      </c>
      <c r="CX658" s="1247" t="str">
        <f t="shared" si="83"/>
        <v/>
      </c>
      <c r="CY658" s="1247" t="str">
        <f t="shared" si="84"/>
        <v/>
      </c>
      <c r="CZ658" s="1247" t="str">
        <f t="shared" si="85"/>
        <v/>
      </c>
      <c r="DA658" s="1247" t="str">
        <f t="shared" si="86"/>
        <v/>
      </c>
      <c r="DB658" s="1247" t="str">
        <f t="shared" si="87"/>
        <v/>
      </c>
      <c r="DC658" s="1247" t="str">
        <f t="shared" si="88"/>
        <v/>
      </c>
      <c r="DD658" s="1247" t="str">
        <f t="shared" si="89"/>
        <v/>
      </c>
      <c r="DE658" s="1247" t="str">
        <f t="shared" si="90"/>
        <v/>
      </c>
      <c r="DF658" s="1247" t="str">
        <f t="shared" si="91"/>
        <v/>
      </c>
      <c r="DG658" s="1247" t="str">
        <f t="shared" si="92"/>
        <v/>
      </c>
      <c r="DH658" s="1247" t="str">
        <f t="shared" si="93"/>
        <v/>
      </c>
      <c r="DI658" s="1247" t="str">
        <f t="shared" si="94"/>
        <v/>
      </c>
      <c r="DJ658" s="1247" t="str">
        <f t="shared" si="95"/>
        <v/>
      </c>
      <c r="DK658" s="1247" t="str">
        <f t="shared" si="96"/>
        <v/>
      </c>
      <c r="DL658" s="1247" t="str">
        <f t="shared" si="97"/>
        <v/>
      </c>
      <c r="DM658" s="1247" t="str">
        <f t="shared" si="98"/>
        <v/>
      </c>
      <c r="DN658" s="1247" t="str">
        <f t="shared" si="99"/>
        <v/>
      </c>
      <c r="DO658" s="1247" t="str">
        <f t="shared" si="100"/>
        <v/>
      </c>
      <c r="DP658" s="1247" t="str">
        <f t="shared" si="101"/>
        <v/>
      </c>
      <c r="DQ658" s="1247" t="str">
        <f t="shared" si="102"/>
        <v/>
      </c>
      <c r="DR658" s="1247" t="str">
        <f t="shared" si="103"/>
        <v/>
      </c>
      <c r="DS658" s="1247" t="str">
        <f t="shared" si="104"/>
        <v/>
      </c>
      <c r="DT658" s="1247" t="str">
        <f t="shared" si="105"/>
        <v/>
      </c>
      <c r="DU658" s="1247" t="str">
        <f t="shared" si="106"/>
        <v/>
      </c>
      <c r="DV658" s="1247" t="str">
        <f t="shared" si="107"/>
        <v/>
      </c>
      <c r="DW658" s="1247" t="str">
        <f t="shared" si="108"/>
        <v/>
      </c>
      <c r="DX658" s="1247" t="str">
        <f t="shared" si="109"/>
        <v/>
      </c>
      <c r="DY658" s="1247" t="str">
        <f t="shared" si="110"/>
        <v/>
      </c>
      <c r="DZ658" s="1247" t="str">
        <f t="shared" si="111"/>
        <v/>
      </c>
      <c r="EA658" s="1247" t="str">
        <f t="shared" si="112"/>
        <v/>
      </c>
      <c r="EB658" s="1247" t="str">
        <f t="shared" si="113"/>
        <v/>
      </c>
      <c r="EC658" s="1247" t="str">
        <f t="shared" si="114"/>
        <v/>
      </c>
      <c r="ED658" s="1247" t="str">
        <f t="shared" si="115"/>
        <v/>
      </c>
      <c r="EE658" s="1247" t="str">
        <f t="shared" si="116"/>
        <v/>
      </c>
      <c r="EF658" s="1247" t="str">
        <f t="shared" si="117"/>
        <v/>
      </c>
      <c r="EG658" s="1247" t="str">
        <f t="shared" si="118"/>
        <v/>
      </c>
      <c r="EH658" s="1247" t="str">
        <f t="shared" si="119"/>
        <v/>
      </c>
      <c r="EI658" s="1247" t="str">
        <f t="shared" si="120"/>
        <v/>
      </c>
      <c r="EJ658" s="1247" t="str">
        <f t="shared" si="121"/>
        <v/>
      </c>
      <c r="EK658" s="1247" t="str">
        <f t="shared" si="122"/>
        <v/>
      </c>
      <c r="EL658" s="1247" t="str">
        <f t="shared" si="123"/>
        <v/>
      </c>
      <c r="EM658" s="1247" t="str">
        <f t="shared" si="124"/>
        <v/>
      </c>
      <c r="EN658" s="1247" t="str">
        <f t="shared" si="125"/>
        <v/>
      </c>
      <c r="EO658" s="1247" t="str">
        <f t="shared" si="126"/>
        <v/>
      </c>
      <c r="EP658" s="1247" t="str">
        <f t="shared" si="127"/>
        <v/>
      </c>
      <c r="EQ658" s="1247" t="str">
        <f t="shared" si="128"/>
        <v/>
      </c>
      <c r="ER658" s="1247" t="str">
        <f t="shared" si="129"/>
        <v/>
      </c>
      <c r="ES658" s="1247" t="str">
        <f t="shared" si="130"/>
        <v/>
      </c>
      <c r="ET658" s="1247" t="str">
        <f t="shared" si="131"/>
        <v/>
      </c>
      <c r="EU658" s="1247" t="str">
        <f t="shared" si="132"/>
        <v/>
      </c>
      <c r="EV658" s="2909" t="str">
        <f t="shared" si="133"/>
        <v/>
      </c>
      <c r="EW658" s="2909" t="str">
        <f t="shared" si="134"/>
        <v/>
      </c>
      <c r="EX658" s="2909" t="str">
        <f t="shared" si="135"/>
        <v/>
      </c>
      <c r="EY658" s="2909" t="str">
        <f t="shared" si="136"/>
        <v/>
      </c>
      <c r="EZ658" s="2909" t="str">
        <f t="shared" si="137"/>
        <v/>
      </c>
      <c r="FA658" s="2909" t="str">
        <f t="shared" si="138"/>
        <v/>
      </c>
      <c r="FB658" s="2909" t="str">
        <f t="shared" si="139"/>
        <v/>
      </c>
      <c r="FC658" s="2909" t="str">
        <f t="shared" si="140"/>
        <v/>
      </c>
      <c r="FD658" s="2909" t="str">
        <f t="shared" si="141"/>
        <v/>
      </c>
      <c r="FE658" s="2909" t="str">
        <f t="shared" si="142"/>
        <v/>
      </c>
      <c r="FF658" s="2909" t="str">
        <f t="shared" si="143"/>
        <v/>
      </c>
      <c r="FG658" s="2909" t="str">
        <f t="shared" si="144"/>
        <v/>
      </c>
      <c r="FH658" s="2909" t="str">
        <f t="shared" si="145"/>
        <v/>
      </c>
      <c r="FI658" s="2909" t="str">
        <f t="shared" si="146"/>
        <v/>
      </c>
      <c r="FJ658" s="2909" t="str">
        <f t="shared" si="147"/>
        <v/>
      </c>
      <c r="FK658" s="2909" t="str">
        <f t="shared" si="148"/>
        <v/>
      </c>
      <c r="FL658" s="2909" t="str">
        <f t="shared" si="149"/>
        <v/>
      </c>
      <c r="FM658" s="2909" t="str">
        <f t="shared" si="150"/>
        <v/>
      </c>
      <c r="FN658" s="2909" t="str">
        <f t="shared" si="151"/>
        <v/>
      </c>
      <c r="FO658" s="2909" t="str">
        <f t="shared" si="152"/>
        <v/>
      </c>
      <c r="FP658" s="2909" t="str">
        <f t="shared" si="153"/>
        <v/>
      </c>
      <c r="FQ658" s="2909" t="str">
        <f t="shared" si="154"/>
        <v/>
      </c>
      <c r="FR658" s="2909" t="str">
        <f t="shared" si="155"/>
        <v/>
      </c>
      <c r="FS658" s="2909" t="str">
        <f t="shared" si="156"/>
        <v/>
      </c>
      <c r="FT658" s="2909" t="str">
        <f t="shared" si="157"/>
        <v/>
      </c>
      <c r="FU658" s="2909" t="str">
        <f t="shared" si="158"/>
        <v/>
      </c>
      <c r="FV658" s="2909" t="str">
        <f t="shared" si="159"/>
        <v/>
      </c>
      <c r="FW658" s="2909" t="str">
        <f t="shared" si="160"/>
        <v/>
      </c>
      <c r="FX658" s="2909" t="str">
        <f t="shared" si="161"/>
        <v/>
      </c>
      <c r="FY658" s="2909" t="str">
        <f t="shared" si="162"/>
        <v/>
      </c>
      <c r="FZ658" s="2909" t="str">
        <f t="shared" si="163"/>
        <v/>
      </c>
      <c r="GA658" s="2909" t="str">
        <f t="shared" si="164"/>
        <v/>
      </c>
      <c r="GB658" s="2909" t="str">
        <f t="shared" si="165"/>
        <v/>
      </c>
      <c r="GC658" s="2909" t="str">
        <f t="shared" si="166"/>
        <v/>
      </c>
      <c r="GD658" s="2909" t="str">
        <f t="shared" si="167"/>
        <v/>
      </c>
      <c r="GE658" s="2909" t="str">
        <f t="shared" si="168"/>
        <v/>
      </c>
      <c r="GF658" s="2909" t="str">
        <f t="shared" si="169"/>
        <v/>
      </c>
      <c r="GG658" s="2909" t="str">
        <f t="shared" si="170"/>
        <v/>
      </c>
      <c r="GH658" s="2909" t="str">
        <f t="shared" si="171"/>
        <v/>
      </c>
      <c r="GI658" s="2909" t="str">
        <f t="shared" si="172"/>
        <v/>
      </c>
      <c r="GJ658" s="2909" t="str">
        <f t="shared" si="173"/>
        <v/>
      </c>
      <c r="GK658" s="2909" t="str">
        <f t="shared" si="174"/>
        <v/>
      </c>
      <c r="GL658" s="2909" t="str">
        <f t="shared" si="175"/>
        <v/>
      </c>
      <c r="GM658" s="2909" t="str">
        <f t="shared" si="176"/>
        <v/>
      </c>
      <c r="GN658" s="2909" t="str">
        <f t="shared" si="177"/>
        <v/>
      </c>
      <c r="GO658" s="2909" t="str">
        <f t="shared" si="178"/>
        <v/>
      </c>
      <c r="GP658" s="2909" t="str">
        <f t="shared" si="179"/>
        <v/>
      </c>
      <c r="GQ658" s="2909" t="str">
        <f t="shared" si="180"/>
        <v/>
      </c>
      <c r="GR658" s="2909" t="str">
        <f t="shared" si="181"/>
        <v/>
      </c>
      <c r="GS658" s="2909" t="str">
        <f t="shared" si="182"/>
        <v/>
      </c>
      <c r="GT658" s="2909" t="str">
        <f t="shared" si="183"/>
        <v/>
      </c>
      <c r="GU658" s="2909" t="str">
        <f t="shared" si="184"/>
        <v/>
      </c>
      <c r="GV658" s="2909" t="str">
        <f t="shared" si="185"/>
        <v/>
      </c>
      <c r="GW658" s="2909" t="str">
        <f t="shared" si="186"/>
        <v/>
      </c>
      <c r="GX658" s="2909" t="str">
        <f t="shared" si="187"/>
        <v/>
      </c>
      <c r="GY658" s="2909" t="str">
        <f t="shared" si="188"/>
        <v/>
      </c>
      <c r="GZ658" s="2909" t="str">
        <f t="shared" si="189"/>
        <v/>
      </c>
      <c r="HA658" s="2909" t="str">
        <f t="shared" si="190"/>
        <v/>
      </c>
      <c r="HB658" s="2909" t="str">
        <f t="shared" si="191"/>
        <v/>
      </c>
      <c r="HC658" s="2909" t="str">
        <f t="shared" si="192"/>
        <v/>
      </c>
      <c r="HD658" s="2909" t="str">
        <f t="shared" si="193"/>
        <v/>
      </c>
      <c r="HE658" s="2909" t="str">
        <f t="shared" si="194"/>
        <v/>
      </c>
      <c r="HF658" s="2909" t="str">
        <f t="shared" si="195"/>
        <v/>
      </c>
      <c r="HG658" s="2909" t="str">
        <f t="shared" si="196"/>
        <v/>
      </c>
      <c r="HH658" s="2909" t="str">
        <f t="shared" si="197"/>
        <v/>
      </c>
      <c r="HI658" s="2909" t="str">
        <f t="shared" si="198"/>
        <v/>
      </c>
      <c r="HJ658" s="2909" t="str">
        <f t="shared" si="199"/>
        <v/>
      </c>
      <c r="HK658" s="2909" t="str">
        <f t="shared" si="200"/>
        <v/>
      </c>
      <c r="HL658" s="2909" t="str">
        <f t="shared" si="201"/>
        <v/>
      </c>
      <c r="HM658" s="2909" t="str">
        <f t="shared" si="202"/>
        <v/>
      </c>
      <c r="HN658" s="2909" t="str">
        <f t="shared" si="203"/>
        <v/>
      </c>
      <c r="HO658" s="2909" t="str">
        <f t="shared" si="204"/>
        <v/>
      </c>
      <c r="HP658" s="2909" t="str">
        <f t="shared" si="205"/>
        <v/>
      </c>
      <c r="HQ658" s="2909" t="str">
        <f t="shared" si="206"/>
        <v/>
      </c>
      <c r="HR658" s="2909" t="str">
        <f t="shared" si="207"/>
        <v/>
      </c>
      <c r="HS658" s="2909" t="str">
        <f t="shared" si="208"/>
        <v/>
      </c>
      <c r="HT658" s="2909" t="str">
        <f t="shared" si="209"/>
        <v/>
      </c>
      <c r="HU658" s="2909" t="str">
        <f t="shared" si="210"/>
        <v/>
      </c>
      <c r="HV658" s="2909" t="str">
        <f t="shared" si="211"/>
        <v/>
      </c>
      <c r="HW658" s="2909" t="str">
        <f t="shared" si="212"/>
        <v/>
      </c>
      <c r="HX658" s="2909" t="str">
        <f t="shared" si="213"/>
        <v/>
      </c>
      <c r="HY658" s="2909" t="str">
        <f t="shared" si="214"/>
        <v/>
      </c>
      <c r="HZ658" s="2909" t="str">
        <f t="shared" si="215"/>
        <v/>
      </c>
      <c r="IA658" s="2909" t="str">
        <f t="shared" si="216"/>
        <v/>
      </c>
      <c r="IB658" s="2909" t="str">
        <f t="shared" si="217"/>
        <v/>
      </c>
      <c r="IC658" s="2879" t="str">
        <f t="shared" si="218"/>
        <v/>
      </c>
      <c r="ID658" s="2879" t="str">
        <f t="shared" si="219"/>
        <v/>
      </c>
      <c r="IE658" s="2879" t="str">
        <f t="shared" si="220"/>
        <v/>
      </c>
      <c r="IF658" s="2879" t="str">
        <f t="shared" si="221"/>
        <v/>
      </c>
      <c r="IG658" s="2879" t="str">
        <f t="shared" si="222"/>
        <v/>
      </c>
      <c r="IH658" s="1247" t="str">
        <f t="shared" si="223"/>
        <v/>
      </c>
      <c r="II658" s="1247" t="str">
        <f t="shared" si="224"/>
        <v/>
      </c>
      <c r="IJ658" s="1247" t="str">
        <f t="shared" si="225"/>
        <v/>
      </c>
      <c r="IK658" s="1247" t="str">
        <f t="shared" si="226"/>
        <v/>
      </c>
      <c r="IL658" s="1247" t="str">
        <f t="shared" si="227"/>
        <v/>
      </c>
      <c r="IM658" s="1247" t="str">
        <f t="shared" si="228"/>
        <v/>
      </c>
      <c r="IN658" s="1247" t="str">
        <f t="shared" si="229"/>
        <v/>
      </c>
      <c r="IO658" s="1247" t="str">
        <f t="shared" si="230"/>
        <v/>
      </c>
      <c r="IP658" s="1247" t="str">
        <f t="shared" si="231"/>
        <v/>
      </c>
      <c r="IQ658" s="1247" t="str">
        <f t="shared" si="232"/>
        <v/>
      </c>
      <c r="IR658" s="1247" t="str">
        <f t="shared" si="233"/>
        <v/>
      </c>
      <c r="IS658" s="1247" t="str">
        <f t="shared" si="234"/>
        <v/>
      </c>
      <c r="IT658" s="1247" t="str">
        <f t="shared" si="235"/>
        <v/>
      </c>
      <c r="IU658" s="1247" t="str">
        <f t="shared" si="236"/>
        <v/>
      </c>
      <c r="IV658" s="1247" t="str">
        <f t="shared" si="237"/>
        <v/>
      </c>
      <c r="IW658" s="1247" t="str">
        <f t="shared" si="238"/>
        <v/>
      </c>
      <c r="IX658" s="1247" t="str">
        <f t="shared" si="239"/>
        <v/>
      </c>
      <c r="IY658" s="1247" t="str">
        <f t="shared" si="240"/>
        <v/>
      </c>
      <c r="IZ658" s="1247" t="str">
        <f t="shared" si="241"/>
        <v/>
      </c>
      <c r="JA658" s="1247" t="str">
        <f t="shared" si="242"/>
        <v/>
      </c>
      <c r="JB658" s="2877">
        <f t="shared" si="243"/>
        <v>0</v>
      </c>
      <c r="JC658" s="2877">
        <f t="shared" si="244"/>
        <v>0</v>
      </c>
      <c r="JD658" s="2877">
        <f t="shared" si="245"/>
        <v>0</v>
      </c>
      <c r="JE658" s="2877">
        <f t="shared" si="246"/>
        <v>0</v>
      </c>
      <c r="JF658" s="2877">
        <f t="shared" si="247"/>
        <v>0</v>
      </c>
      <c r="JG658" s="2877">
        <f t="shared" si="248"/>
        <v>0</v>
      </c>
      <c r="JH658" s="2877">
        <f t="shared" si="249"/>
        <v>0</v>
      </c>
      <c r="JI658" s="2877">
        <f t="shared" si="250"/>
        <v>0</v>
      </c>
      <c r="JJ658" s="2877">
        <f t="shared" si="251"/>
        <v>0</v>
      </c>
      <c r="JK658" s="2877">
        <f t="shared" si="252"/>
        <v>0</v>
      </c>
      <c r="JL658" s="2877">
        <f t="shared" si="253"/>
        <v>0</v>
      </c>
      <c r="JM658" s="2877">
        <f t="shared" si="254"/>
        <v>0</v>
      </c>
      <c r="JN658" s="2877">
        <f t="shared" si="255"/>
        <v>0</v>
      </c>
      <c r="JO658" s="2877">
        <f t="shared" si="256"/>
        <v>0</v>
      </c>
      <c r="JP658" s="2877">
        <f t="shared" si="257"/>
        <v>0</v>
      </c>
    </row>
    <row r="659" spans="1:277" ht="12" customHeight="1">
      <c r="A659" s="2891" t="str">
        <f t="shared" si="0"/>
        <v/>
      </c>
      <c r="B659" s="2900" t="str">
        <f>'Part VI-Revenues &amp; Expenses'!B39</f>
        <v>&lt;&lt;Select&gt;&gt;</v>
      </c>
      <c r="C659" s="2901">
        <f>'Part VI-Revenues &amp; Expenses'!C39</f>
        <v>0</v>
      </c>
      <c r="D659" s="2902">
        <f>'Part VI-Revenues &amp; Expenses'!D39</f>
        <v>0</v>
      </c>
      <c r="E659" s="2903">
        <f>'Part VI-Revenues &amp; Expenses'!E39</f>
        <v>0</v>
      </c>
      <c r="F659" s="2903">
        <f>'Part VI-Revenues &amp; Expenses'!F39</f>
        <v>0</v>
      </c>
      <c r="G659" s="2903">
        <f>'Part VI-Revenues &amp; Expenses'!G39</f>
        <v>0</v>
      </c>
      <c r="H659" s="2903">
        <f>'Part VI-Revenues &amp; Expenses'!H39</f>
        <v>0</v>
      </c>
      <c r="I659" s="2903">
        <f>'Part VI-Revenues &amp; Expenses'!I39</f>
        <v>0</v>
      </c>
      <c r="J659" s="2904">
        <f>'Part VI-Revenues &amp; Expenses'!J39</f>
        <v>0</v>
      </c>
      <c r="K659" s="2905">
        <f t="shared" si="1"/>
        <v>0</v>
      </c>
      <c r="L659" s="2905">
        <f t="shared" si="2"/>
        <v>0</v>
      </c>
      <c r="M659" s="2886">
        <f>'Part VI-Revenues &amp; Expenses'!M39</f>
        <v>0</v>
      </c>
      <c r="N659" s="2886">
        <f>'Part VI-Revenues &amp; Expenses'!N39</f>
        <v>0</v>
      </c>
      <c r="O659" s="2886">
        <f>'Part VI-Revenues &amp; Expenses'!O39</f>
        <v>0</v>
      </c>
      <c r="P659" s="2886">
        <f>'Part VI-Revenues &amp; Expenses'!P39</f>
        <v>0</v>
      </c>
      <c r="Q659" s="2906">
        <f>IF(H659="","",P659/($O$626*VLOOKUP(C659,'DCA Underwriting Assumptions'!$J$118:$K$123,2,FALSE)))</f>
        <v>0</v>
      </c>
      <c r="R659" s="2907"/>
      <c r="S659" s="2906"/>
      <c r="T659" s="2908"/>
      <c r="U659" s="2908"/>
      <c r="V659" s="1247" t="str">
        <f t="shared" si="3"/>
        <v/>
      </c>
      <c r="W659" s="1247" t="str">
        <f t="shared" si="4"/>
        <v/>
      </c>
      <c r="X659" s="1247" t="str">
        <f t="shared" si="5"/>
        <v/>
      </c>
      <c r="Y659" s="1247" t="str">
        <f t="shared" si="6"/>
        <v/>
      </c>
      <c r="Z659" s="1247" t="str">
        <f t="shared" si="7"/>
        <v/>
      </c>
      <c r="AA659" s="1247" t="str">
        <f t="shared" si="8"/>
        <v/>
      </c>
      <c r="AB659" s="1247" t="str">
        <f t="shared" si="9"/>
        <v/>
      </c>
      <c r="AC659" s="1247" t="str">
        <f t="shared" si="10"/>
        <v/>
      </c>
      <c r="AD659" s="1247" t="str">
        <f t="shared" si="11"/>
        <v/>
      </c>
      <c r="AE659" s="1247" t="str">
        <f t="shared" si="12"/>
        <v/>
      </c>
      <c r="AF659" s="1247" t="str">
        <f t="shared" si="13"/>
        <v/>
      </c>
      <c r="AG659" s="1247" t="str">
        <f t="shared" si="14"/>
        <v/>
      </c>
      <c r="AH659" s="1247" t="str">
        <f t="shared" si="15"/>
        <v/>
      </c>
      <c r="AI659" s="1247" t="str">
        <f t="shared" si="16"/>
        <v/>
      </c>
      <c r="AJ659" s="1247" t="str">
        <f t="shared" si="17"/>
        <v/>
      </c>
      <c r="AK659" s="1247" t="str">
        <f t="shared" si="18"/>
        <v/>
      </c>
      <c r="AL659" s="1247" t="str">
        <f t="shared" si="19"/>
        <v/>
      </c>
      <c r="AM659" s="1247" t="str">
        <f t="shared" si="20"/>
        <v/>
      </c>
      <c r="AN659" s="1247" t="str">
        <f t="shared" si="21"/>
        <v/>
      </c>
      <c r="AO659" s="1247" t="str">
        <f t="shared" si="22"/>
        <v/>
      </c>
      <c r="AP659" s="1247" t="str">
        <f t="shared" si="23"/>
        <v/>
      </c>
      <c r="AQ659" s="1247" t="str">
        <f t="shared" si="24"/>
        <v/>
      </c>
      <c r="AR659" s="1247" t="str">
        <f t="shared" si="25"/>
        <v/>
      </c>
      <c r="AS659" s="1247" t="str">
        <f t="shared" si="26"/>
        <v/>
      </c>
      <c r="AT659" s="1247" t="str">
        <f t="shared" si="27"/>
        <v/>
      </c>
      <c r="AU659" s="1247" t="str">
        <f t="shared" si="28"/>
        <v/>
      </c>
      <c r="AV659" s="1247" t="str">
        <f t="shared" si="29"/>
        <v/>
      </c>
      <c r="AW659" s="1247" t="str">
        <f t="shared" si="30"/>
        <v/>
      </c>
      <c r="AX659" s="1247" t="str">
        <f t="shared" si="31"/>
        <v/>
      </c>
      <c r="AY659" s="1247" t="str">
        <f t="shared" si="32"/>
        <v/>
      </c>
      <c r="AZ659" s="1247" t="str">
        <f t="shared" si="33"/>
        <v/>
      </c>
      <c r="BA659" s="1247" t="str">
        <f t="shared" si="34"/>
        <v/>
      </c>
      <c r="BB659" s="1247" t="str">
        <f t="shared" si="35"/>
        <v/>
      </c>
      <c r="BC659" s="1247" t="str">
        <f t="shared" si="36"/>
        <v/>
      </c>
      <c r="BD659" s="1247" t="str">
        <f t="shared" si="37"/>
        <v/>
      </c>
      <c r="BE659" s="1247" t="str">
        <f t="shared" si="38"/>
        <v/>
      </c>
      <c r="BF659" s="1247" t="str">
        <f t="shared" si="39"/>
        <v/>
      </c>
      <c r="BG659" s="1247" t="str">
        <f t="shared" si="40"/>
        <v/>
      </c>
      <c r="BH659" s="1247" t="str">
        <f t="shared" si="41"/>
        <v/>
      </c>
      <c r="BI659" s="1247" t="str">
        <f t="shared" si="42"/>
        <v/>
      </c>
      <c r="BJ659" s="1247" t="str">
        <f t="shared" si="43"/>
        <v/>
      </c>
      <c r="BK659" s="1247" t="str">
        <f t="shared" si="44"/>
        <v/>
      </c>
      <c r="BL659" s="1247" t="str">
        <f t="shared" si="45"/>
        <v/>
      </c>
      <c r="BM659" s="1247" t="str">
        <f t="shared" si="46"/>
        <v/>
      </c>
      <c r="BN659" s="1247" t="str">
        <f t="shared" si="47"/>
        <v/>
      </c>
      <c r="BO659" s="1247" t="str">
        <f t="shared" si="48"/>
        <v/>
      </c>
      <c r="BP659" s="1247" t="str">
        <f t="shared" si="49"/>
        <v/>
      </c>
      <c r="BQ659" s="1247" t="str">
        <f t="shared" si="50"/>
        <v/>
      </c>
      <c r="BR659" s="1247" t="str">
        <f t="shared" si="51"/>
        <v/>
      </c>
      <c r="BS659" s="1247" t="str">
        <f t="shared" si="52"/>
        <v/>
      </c>
      <c r="BT659" s="1247" t="str">
        <f t="shared" si="53"/>
        <v/>
      </c>
      <c r="BU659" s="1247" t="str">
        <f t="shared" si="54"/>
        <v/>
      </c>
      <c r="BV659" s="1247" t="str">
        <f t="shared" si="55"/>
        <v/>
      </c>
      <c r="BW659" s="1247" t="str">
        <f t="shared" si="56"/>
        <v/>
      </c>
      <c r="BX659" s="1247" t="str">
        <f t="shared" si="57"/>
        <v/>
      </c>
      <c r="BY659" s="1247" t="str">
        <f t="shared" si="58"/>
        <v/>
      </c>
      <c r="BZ659" s="1247" t="str">
        <f t="shared" si="59"/>
        <v/>
      </c>
      <c r="CA659" s="1247" t="str">
        <f t="shared" si="60"/>
        <v/>
      </c>
      <c r="CB659" s="1247" t="str">
        <f t="shared" si="61"/>
        <v/>
      </c>
      <c r="CC659" s="1247" t="str">
        <f t="shared" si="62"/>
        <v/>
      </c>
      <c r="CD659" s="1247" t="str">
        <f t="shared" si="63"/>
        <v/>
      </c>
      <c r="CE659" s="1247" t="str">
        <f t="shared" si="64"/>
        <v/>
      </c>
      <c r="CF659" s="1247" t="str">
        <f t="shared" si="65"/>
        <v/>
      </c>
      <c r="CG659" s="1247" t="str">
        <f t="shared" si="66"/>
        <v/>
      </c>
      <c r="CH659" s="1247" t="str">
        <f t="shared" si="67"/>
        <v/>
      </c>
      <c r="CI659" s="1247" t="str">
        <f t="shared" si="68"/>
        <v/>
      </c>
      <c r="CJ659" s="1247" t="str">
        <f t="shared" si="69"/>
        <v/>
      </c>
      <c r="CK659" s="1247" t="str">
        <f t="shared" si="70"/>
        <v/>
      </c>
      <c r="CL659" s="1247" t="str">
        <f t="shared" si="71"/>
        <v/>
      </c>
      <c r="CM659" s="1247" t="str">
        <f t="shared" si="72"/>
        <v/>
      </c>
      <c r="CN659" s="1247" t="str">
        <f t="shared" si="73"/>
        <v/>
      </c>
      <c r="CO659" s="1247" t="str">
        <f t="shared" si="74"/>
        <v/>
      </c>
      <c r="CP659" s="1247" t="str">
        <f t="shared" si="75"/>
        <v/>
      </c>
      <c r="CQ659" s="1247" t="str">
        <f t="shared" si="76"/>
        <v/>
      </c>
      <c r="CR659" s="1247" t="str">
        <f t="shared" si="77"/>
        <v/>
      </c>
      <c r="CS659" s="1247" t="str">
        <f t="shared" si="78"/>
        <v/>
      </c>
      <c r="CT659" s="1247" t="str">
        <f t="shared" si="79"/>
        <v/>
      </c>
      <c r="CU659" s="1247" t="str">
        <f t="shared" si="80"/>
        <v/>
      </c>
      <c r="CV659" s="1247" t="str">
        <f t="shared" si="81"/>
        <v/>
      </c>
      <c r="CW659" s="1247" t="str">
        <f t="shared" si="82"/>
        <v/>
      </c>
      <c r="CX659" s="1247" t="str">
        <f t="shared" si="83"/>
        <v/>
      </c>
      <c r="CY659" s="1247" t="str">
        <f t="shared" si="84"/>
        <v/>
      </c>
      <c r="CZ659" s="1247" t="str">
        <f t="shared" si="85"/>
        <v/>
      </c>
      <c r="DA659" s="1247" t="str">
        <f t="shared" si="86"/>
        <v/>
      </c>
      <c r="DB659" s="1247" t="str">
        <f t="shared" si="87"/>
        <v/>
      </c>
      <c r="DC659" s="1247" t="str">
        <f t="shared" si="88"/>
        <v/>
      </c>
      <c r="DD659" s="1247" t="str">
        <f t="shared" si="89"/>
        <v/>
      </c>
      <c r="DE659" s="1247" t="str">
        <f t="shared" si="90"/>
        <v/>
      </c>
      <c r="DF659" s="1247" t="str">
        <f t="shared" si="91"/>
        <v/>
      </c>
      <c r="DG659" s="1247" t="str">
        <f t="shared" si="92"/>
        <v/>
      </c>
      <c r="DH659" s="1247" t="str">
        <f t="shared" si="93"/>
        <v/>
      </c>
      <c r="DI659" s="1247" t="str">
        <f t="shared" si="94"/>
        <v/>
      </c>
      <c r="DJ659" s="1247" t="str">
        <f t="shared" si="95"/>
        <v/>
      </c>
      <c r="DK659" s="1247" t="str">
        <f t="shared" si="96"/>
        <v/>
      </c>
      <c r="DL659" s="1247" t="str">
        <f t="shared" si="97"/>
        <v/>
      </c>
      <c r="DM659" s="1247" t="str">
        <f t="shared" si="98"/>
        <v/>
      </c>
      <c r="DN659" s="1247" t="str">
        <f t="shared" si="99"/>
        <v/>
      </c>
      <c r="DO659" s="1247" t="str">
        <f t="shared" si="100"/>
        <v/>
      </c>
      <c r="DP659" s="1247" t="str">
        <f t="shared" si="101"/>
        <v/>
      </c>
      <c r="DQ659" s="1247" t="str">
        <f t="shared" si="102"/>
        <v/>
      </c>
      <c r="DR659" s="1247" t="str">
        <f t="shared" si="103"/>
        <v/>
      </c>
      <c r="DS659" s="1247" t="str">
        <f t="shared" si="104"/>
        <v/>
      </c>
      <c r="DT659" s="1247" t="str">
        <f t="shared" si="105"/>
        <v/>
      </c>
      <c r="DU659" s="1247" t="str">
        <f t="shared" si="106"/>
        <v/>
      </c>
      <c r="DV659" s="1247" t="str">
        <f t="shared" si="107"/>
        <v/>
      </c>
      <c r="DW659" s="1247" t="str">
        <f t="shared" si="108"/>
        <v/>
      </c>
      <c r="DX659" s="1247" t="str">
        <f t="shared" si="109"/>
        <v/>
      </c>
      <c r="DY659" s="1247" t="str">
        <f t="shared" si="110"/>
        <v/>
      </c>
      <c r="DZ659" s="1247" t="str">
        <f t="shared" si="111"/>
        <v/>
      </c>
      <c r="EA659" s="1247" t="str">
        <f t="shared" si="112"/>
        <v/>
      </c>
      <c r="EB659" s="1247" t="str">
        <f t="shared" si="113"/>
        <v/>
      </c>
      <c r="EC659" s="1247" t="str">
        <f t="shared" si="114"/>
        <v/>
      </c>
      <c r="ED659" s="1247" t="str">
        <f t="shared" si="115"/>
        <v/>
      </c>
      <c r="EE659" s="1247" t="str">
        <f t="shared" si="116"/>
        <v/>
      </c>
      <c r="EF659" s="1247" t="str">
        <f t="shared" si="117"/>
        <v/>
      </c>
      <c r="EG659" s="1247" t="str">
        <f t="shared" si="118"/>
        <v/>
      </c>
      <c r="EH659" s="1247" t="str">
        <f t="shared" si="119"/>
        <v/>
      </c>
      <c r="EI659" s="1247" t="str">
        <f t="shared" si="120"/>
        <v/>
      </c>
      <c r="EJ659" s="1247" t="str">
        <f t="shared" si="121"/>
        <v/>
      </c>
      <c r="EK659" s="1247" t="str">
        <f t="shared" si="122"/>
        <v/>
      </c>
      <c r="EL659" s="1247" t="str">
        <f t="shared" si="123"/>
        <v/>
      </c>
      <c r="EM659" s="1247" t="str">
        <f t="shared" si="124"/>
        <v/>
      </c>
      <c r="EN659" s="1247" t="str">
        <f t="shared" si="125"/>
        <v/>
      </c>
      <c r="EO659" s="1247" t="str">
        <f t="shared" si="126"/>
        <v/>
      </c>
      <c r="EP659" s="1247" t="str">
        <f t="shared" si="127"/>
        <v/>
      </c>
      <c r="EQ659" s="1247" t="str">
        <f t="shared" si="128"/>
        <v/>
      </c>
      <c r="ER659" s="1247" t="str">
        <f t="shared" si="129"/>
        <v/>
      </c>
      <c r="ES659" s="1247" t="str">
        <f t="shared" si="130"/>
        <v/>
      </c>
      <c r="ET659" s="1247" t="str">
        <f t="shared" si="131"/>
        <v/>
      </c>
      <c r="EU659" s="1247" t="str">
        <f t="shared" si="132"/>
        <v/>
      </c>
      <c r="EV659" s="2909" t="str">
        <f t="shared" si="133"/>
        <v/>
      </c>
      <c r="EW659" s="2909" t="str">
        <f t="shared" si="134"/>
        <v/>
      </c>
      <c r="EX659" s="2909" t="str">
        <f t="shared" si="135"/>
        <v/>
      </c>
      <c r="EY659" s="2909" t="str">
        <f t="shared" si="136"/>
        <v/>
      </c>
      <c r="EZ659" s="2909" t="str">
        <f t="shared" si="137"/>
        <v/>
      </c>
      <c r="FA659" s="2909" t="str">
        <f t="shared" si="138"/>
        <v/>
      </c>
      <c r="FB659" s="2909" t="str">
        <f t="shared" si="139"/>
        <v/>
      </c>
      <c r="FC659" s="2909" t="str">
        <f t="shared" si="140"/>
        <v/>
      </c>
      <c r="FD659" s="2909" t="str">
        <f t="shared" si="141"/>
        <v/>
      </c>
      <c r="FE659" s="2909" t="str">
        <f t="shared" si="142"/>
        <v/>
      </c>
      <c r="FF659" s="2909" t="str">
        <f t="shared" si="143"/>
        <v/>
      </c>
      <c r="FG659" s="2909" t="str">
        <f t="shared" si="144"/>
        <v/>
      </c>
      <c r="FH659" s="2909" t="str">
        <f t="shared" si="145"/>
        <v/>
      </c>
      <c r="FI659" s="2909" t="str">
        <f t="shared" si="146"/>
        <v/>
      </c>
      <c r="FJ659" s="2909" t="str">
        <f t="shared" si="147"/>
        <v/>
      </c>
      <c r="FK659" s="2909" t="str">
        <f t="shared" si="148"/>
        <v/>
      </c>
      <c r="FL659" s="2909" t="str">
        <f t="shared" si="149"/>
        <v/>
      </c>
      <c r="FM659" s="2909" t="str">
        <f t="shared" si="150"/>
        <v/>
      </c>
      <c r="FN659" s="2909" t="str">
        <f t="shared" si="151"/>
        <v/>
      </c>
      <c r="FO659" s="2909" t="str">
        <f t="shared" si="152"/>
        <v/>
      </c>
      <c r="FP659" s="2909" t="str">
        <f t="shared" si="153"/>
        <v/>
      </c>
      <c r="FQ659" s="2909" t="str">
        <f t="shared" si="154"/>
        <v/>
      </c>
      <c r="FR659" s="2909" t="str">
        <f t="shared" si="155"/>
        <v/>
      </c>
      <c r="FS659" s="2909" t="str">
        <f t="shared" si="156"/>
        <v/>
      </c>
      <c r="FT659" s="2909" t="str">
        <f t="shared" si="157"/>
        <v/>
      </c>
      <c r="FU659" s="2909" t="str">
        <f t="shared" si="158"/>
        <v/>
      </c>
      <c r="FV659" s="2909" t="str">
        <f t="shared" si="159"/>
        <v/>
      </c>
      <c r="FW659" s="2909" t="str">
        <f t="shared" si="160"/>
        <v/>
      </c>
      <c r="FX659" s="2909" t="str">
        <f t="shared" si="161"/>
        <v/>
      </c>
      <c r="FY659" s="2909" t="str">
        <f t="shared" si="162"/>
        <v/>
      </c>
      <c r="FZ659" s="2909" t="str">
        <f t="shared" si="163"/>
        <v/>
      </c>
      <c r="GA659" s="2909" t="str">
        <f t="shared" si="164"/>
        <v/>
      </c>
      <c r="GB659" s="2909" t="str">
        <f t="shared" si="165"/>
        <v/>
      </c>
      <c r="GC659" s="2909" t="str">
        <f t="shared" si="166"/>
        <v/>
      </c>
      <c r="GD659" s="2909" t="str">
        <f t="shared" si="167"/>
        <v/>
      </c>
      <c r="GE659" s="2909" t="str">
        <f t="shared" si="168"/>
        <v/>
      </c>
      <c r="GF659" s="2909" t="str">
        <f t="shared" si="169"/>
        <v/>
      </c>
      <c r="GG659" s="2909" t="str">
        <f t="shared" si="170"/>
        <v/>
      </c>
      <c r="GH659" s="2909" t="str">
        <f t="shared" si="171"/>
        <v/>
      </c>
      <c r="GI659" s="2909" t="str">
        <f t="shared" si="172"/>
        <v/>
      </c>
      <c r="GJ659" s="2909" t="str">
        <f t="shared" si="173"/>
        <v/>
      </c>
      <c r="GK659" s="2909" t="str">
        <f t="shared" si="174"/>
        <v/>
      </c>
      <c r="GL659" s="2909" t="str">
        <f t="shared" si="175"/>
        <v/>
      </c>
      <c r="GM659" s="2909" t="str">
        <f t="shared" si="176"/>
        <v/>
      </c>
      <c r="GN659" s="2909" t="str">
        <f t="shared" si="177"/>
        <v/>
      </c>
      <c r="GO659" s="2909" t="str">
        <f t="shared" si="178"/>
        <v/>
      </c>
      <c r="GP659" s="2909" t="str">
        <f t="shared" si="179"/>
        <v/>
      </c>
      <c r="GQ659" s="2909" t="str">
        <f t="shared" si="180"/>
        <v/>
      </c>
      <c r="GR659" s="2909" t="str">
        <f t="shared" si="181"/>
        <v/>
      </c>
      <c r="GS659" s="2909" t="str">
        <f t="shared" si="182"/>
        <v/>
      </c>
      <c r="GT659" s="2909" t="str">
        <f t="shared" si="183"/>
        <v/>
      </c>
      <c r="GU659" s="2909" t="str">
        <f t="shared" si="184"/>
        <v/>
      </c>
      <c r="GV659" s="2909" t="str">
        <f t="shared" si="185"/>
        <v/>
      </c>
      <c r="GW659" s="2909" t="str">
        <f t="shared" si="186"/>
        <v/>
      </c>
      <c r="GX659" s="2909" t="str">
        <f t="shared" si="187"/>
        <v/>
      </c>
      <c r="GY659" s="2909" t="str">
        <f t="shared" si="188"/>
        <v/>
      </c>
      <c r="GZ659" s="2909" t="str">
        <f t="shared" si="189"/>
        <v/>
      </c>
      <c r="HA659" s="2909" t="str">
        <f t="shared" si="190"/>
        <v/>
      </c>
      <c r="HB659" s="2909" t="str">
        <f t="shared" si="191"/>
        <v/>
      </c>
      <c r="HC659" s="2909" t="str">
        <f t="shared" si="192"/>
        <v/>
      </c>
      <c r="HD659" s="2909" t="str">
        <f t="shared" si="193"/>
        <v/>
      </c>
      <c r="HE659" s="2909" t="str">
        <f t="shared" si="194"/>
        <v/>
      </c>
      <c r="HF659" s="2909" t="str">
        <f t="shared" si="195"/>
        <v/>
      </c>
      <c r="HG659" s="2909" t="str">
        <f t="shared" si="196"/>
        <v/>
      </c>
      <c r="HH659" s="2909" t="str">
        <f t="shared" si="197"/>
        <v/>
      </c>
      <c r="HI659" s="2909" t="str">
        <f t="shared" si="198"/>
        <v/>
      </c>
      <c r="HJ659" s="2909" t="str">
        <f t="shared" si="199"/>
        <v/>
      </c>
      <c r="HK659" s="2909" t="str">
        <f t="shared" si="200"/>
        <v/>
      </c>
      <c r="HL659" s="2909" t="str">
        <f t="shared" si="201"/>
        <v/>
      </c>
      <c r="HM659" s="2909" t="str">
        <f t="shared" si="202"/>
        <v/>
      </c>
      <c r="HN659" s="2909" t="str">
        <f t="shared" si="203"/>
        <v/>
      </c>
      <c r="HO659" s="2909" t="str">
        <f t="shared" si="204"/>
        <v/>
      </c>
      <c r="HP659" s="2909" t="str">
        <f t="shared" si="205"/>
        <v/>
      </c>
      <c r="HQ659" s="2909" t="str">
        <f t="shared" si="206"/>
        <v/>
      </c>
      <c r="HR659" s="2909" t="str">
        <f t="shared" si="207"/>
        <v/>
      </c>
      <c r="HS659" s="2909" t="str">
        <f t="shared" si="208"/>
        <v/>
      </c>
      <c r="HT659" s="2909" t="str">
        <f t="shared" si="209"/>
        <v/>
      </c>
      <c r="HU659" s="2909" t="str">
        <f t="shared" si="210"/>
        <v/>
      </c>
      <c r="HV659" s="2909" t="str">
        <f t="shared" si="211"/>
        <v/>
      </c>
      <c r="HW659" s="2909" t="str">
        <f t="shared" si="212"/>
        <v/>
      </c>
      <c r="HX659" s="2909" t="str">
        <f t="shared" si="213"/>
        <v/>
      </c>
      <c r="HY659" s="2909" t="str">
        <f t="shared" si="214"/>
        <v/>
      </c>
      <c r="HZ659" s="2909" t="str">
        <f t="shared" si="215"/>
        <v/>
      </c>
      <c r="IA659" s="2909" t="str">
        <f t="shared" si="216"/>
        <v/>
      </c>
      <c r="IB659" s="2909" t="str">
        <f t="shared" si="217"/>
        <v/>
      </c>
      <c r="IC659" s="2879" t="str">
        <f t="shared" si="218"/>
        <v/>
      </c>
      <c r="ID659" s="2879" t="str">
        <f t="shared" si="219"/>
        <v/>
      </c>
      <c r="IE659" s="2879" t="str">
        <f t="shared" si="220"/>
        <v/>
      </c>
      <c r="IF659" s="2879" t="str">
        <f t="shared" si="221"/>
        <v/>
      </c>
      <c r="IG659" s="2879" t="str">
        <f t="shared" si="222"/>
        <v/>
      </c>
      <c r="IH659" s="1247" t="str">
        <f t="shared" si="223"/>
        <v/>
      </c>
      <c r="II659" s="1247" t="str">
        <f t="shared" si="224"/>
        <v/>
      </c>
      <c r="IJ659" s="1247" t="str">
        <f t="shared" si="225"/>
        <v/>
      </c>
      <c r="IK659" s="1247" t="str">
        <f t="shared" si="226"/>
        <v/>
      </c>
      <c r="IL659" s="1247" t="str">
        <f t="shared" si="227"/>
        <v/>
      </c>
      <c r="IM659" s="1247" t="str">
        <f t="shared" si="228"/>
        <v/>
      </c>
      <c r="IN659" s="1247" t="str">
        <f t="shared" si="229"/>
        <v/>
      </c>
      <c r="IO659" s="1247" t="str">
        <f t="shared" si="230"/>
        <v/>
      </c>
      <c r="IP659" s="1247" t="str">
        <f t="shared" si="231"/>
        <v/>
      </c>
      <c r="IQ659" s="1247" t="str">
        <f t="shared" si="232"/>
        <v/>
      </c>
      <c r="IR659" s="1247" t="str">
        <f t="shared" si="233"/>
        <v/>
      </c>
      <c r="IS659" s="1247" t="str">
        <f t="shared" si="234"/>
        <v/>
      </c>
      <c r="IT659" s="1247" t="str">
        <f t="shared" si="235"/>
        <v/>
      </c>
      <c r="IU659" s="1247" t="str">
        <f t="shared" si="236"/>
        <v/>
      </c>
      <c r="IV659" s="1247" t="str">
        <f t="shared" si="237"/>
        <v/>
      </c>
      <c r="IW659" s="1247" t="str">
        <f t="shared" si="238"/>
        <v/>
      </c>
      <c r="IX659" s="1247" t="str">
        <f t="shared" si="239"/>
        <v/>
      </c>
      <c r="IY659" s="1247" t="str">
        <f t="shared" si="240"/>
        <v/>
      </c>
      <c r="IZ659" s="1247" t="str">
        <f t="shared" si="241"/>
        <v/>
      </c>
      <c r="JA659" s="1247" t="str">
        <f t="shared" si="242"/>
        <v/>
      </c>
      <c r="JB659" s="2877">
        <f t="shared" si="243"/>
        <v>0</v>
      </c>
      <c r="JC659" s="2877">
        <f t="shared" si="244"/>
        <v>0</v>
      </c>
      <c r="JD659" s="2877">
        <f t="shared" si="245"/>
        <v>0</v>
      </c>
      <c r="JE659" s="2877">
        <f t="shared" si="246"/>
        <v>0</v>
      </c>
      <c r="JF659" s="2877">
        <f t="shared" si="247"/>
        <v>0</v>
      </c>
      <c r="JG659" s="2877">
        <f t="shared" si="248"/>
        <v>0</v>
      </c>
      <c r="JH659" s="2877">
        <f t="shared" si="249"/>
        <v>0</v>
      </c>
      <c r="JI659" s="2877">
        <f t="shared" si="250"/>
        <v>0</v>
      </c>
      <c r="JJ659" s="2877">
        <f t="shared" si="251"/>
        <v>0</v>
      </c>
      <c r="JK659" s="2877">
        <f t="shared" si="252"/>
        <v>0</v>
      </c>
      <c r="JL659" s="2877">
        <f t="shared" si="253"/>
        <v>0</v>
      </c>
      <c r="JM659" s="2877">
        <f t="shared" si="254"/>
        <v>0</v>
      </c>
      <c r="JN659" s="2877">
        <f t="shared" si="255"/>
        <v>0</v>
      </c>
      <c r="JO659" s="2877">
        <f t="shared" si="256"/>
        <v>0</v>
      </c>
      <c r="JP659" s="2877">
        <f t="shared" si="257"/>
        <v>0</v>
      </c>
    </row>
    <row r="660" spans="1:277" ht="12" customHeight="1">
      <c r="A660" s="2891" t="str">
        <f t="shared" si="0"/>
        <v/>
      </c>
      <c r="B660" s="2900" t="str">
        <f>'Part VI-Revenues &amp; Expenses'!B40</f>
        <v>&lt;&lt;Select&gt;&gt;</v>
      </c>
      <c r="C660" s="2901">
        <f>'Part VI-Revenues &amp; Expenses'!C40</f>
        <v>0</v>
      </c>
      <c r="D660" s="2902">
        <f>'Part VI-Revenues &amp; Expenses'!D40</f>
        <v>0</v>
      </c>
      <c r="E660" s="2903">
        <f>'Part VI-Revenues &amp; Expenses'!E40</f>
        <v>0</v>
      </c>
      <c r="F660" s="2903">
        <f>'Part VI-Revenues &amp; Expenses'!F40</f>
        <v>0</v>
      </c>
      <c r="G660" s="2903">
        <f>'Part VI-Revenues &amp; Expenses'!G40</f>
        <v>0</v>
      </c>
      <c r="H660" s="2903">
        <f>'Part VI-Revenues &amp; Expenses'!H40</f>
        <v>0</v>
      </c>
      <c r="I660" s="2903">
        <f>'Part VI-Revenues &amp; Expenses'!I40</f>
        <v>0</v>
      </c>
      <c r="J660" s="2904">
        <f>'Part VI-Revenues &amp; Expenses'!J40</f>
        <v>0</v>
      </c>
      <c r="K660" s="2905">
        <f t="shared" si="1"/>
        <v>0</v>
      </c>
      <c r="L660" s="2905">
        <f t="shared" si="2"/>
        <v>0</v>
      </c>
      <c r="M660" s="2886">
        <f>'Part VI-Revenues &amp; Expenses'!M40</f>
        <v>0</v>
      </c>
      <c r="N660" s="2886">
        <f>'Part VI-Revenues &amp; Expenses'!N40</f>
        <v>0</v>
      </c>
      <c r="O660" s="2886">
        <f>'Part VI-Revenues &amp; Expenses'!O40</f>
        <v>0</v>
      </c>
      <c r="P660" s="2886">
        <f>'Part VI-Revenues &amp; Expenses'!P40</f>
        <v>0</v>
      </c>
      <c r="Q660" s="2906">
        <f>IF(H660="","",P660/($O$626*VLOOKUP(C660,'DCA Underwriting Assumptions'!$J$118:$K$123,2,FALSE)))</f>
        <v>0</v>
      </c>
      <c r="R660" s="2907"/>
      <c r="S660" s="2906"/>
      <c r="T660" s="2908"/>
      <c r="U660" s="2908"/>
      <c r="V660" s="1247" t="str">
        <f t="shared" si="3"/>
        <v/>
      </c>
      <c r="W660" s="1247" t="str">
        <f t="shared" si="4"/>
        <v/>
      </c>
      <c r="X660" s="1247" t="str">
        <f t="shared" si="5"/>
        <v/>
      </c>
      <c r="Y660" s="1247" t="str">
        <f t="shared" si="6"/>
        <v/>
      </c>
      <c r="Z660" s="1247" t="str">
        <f t="shared" si="7"/>
        <v/>
      </c>
      <c r="AA660" s="1247" t="str">
        <f t="shared" si="8"/>
        <v/>
      </c>
      <c r="AB660" s="1247" t="str">
        <f t="shared" si="9"/>
        <v/>
      </c>
      <c r="AC660" s="1247" t="str">
        <f t="shared" si="10"/>
        <v/>
      </c>
      <c r="AD660" s="1247" t="str">
        <f t="shared" si="11"/>
        <v/>
      </c>
      <c r="AE660" s="1247" t="str">
        <f t="shared" si="12"/>
        <v/>
      </c>
      <c r="AF660" s="1247" t="str">
        <f t="shared" si="13"/>
        <v/>
      </c>
      <c r="AG660" s="1247" t="str">
        <f t="shared" si="14"/>
        <v/>
      </c>
      <c r="AH660" s="1247" t="str">
        <f t="shared" si="15"/>
        <v/>
      </c>
      <c r="AI660" s="1247" t="str">
        <f t="shared" si="16"/>
        <v/>
      </c>
      <c r="AJ660" s="1247" t="str">
        <f t="shared" si="17"/>
        <v/>
      </c>
      <c r="AK660" s="1247" t="str">
        <f t="shared" si="18"/>
        <v/>
      </c>
      <c r="AL660" s="1247" t="str">
        <f t="shared" si="19"/>
        <v/>
      </c>
      <c r="AM660" s="1247" t="str">
        <f t="shared" si="20"/>
        <v/>
      </c>
      <c r="AN660" s="1247" t="str">
        <f t="shared" si="21"/>
        <v/>
      </c>
      <c r="AO660" s="1247" t="str">
        <f t="shared" si="22"/>
        <v/>
      </c>
      <c r="AP660" s="1247" t="str">
        <f t="shared" si="23"/>
        <v/>
      </c>
      <c r="AQ660" s="1247" t="str">
        <f t="shared" si="24"/>
        <v/>
      </c>
      <c r="AR660" s="1247" t="str">
        <f t="shared" si="25"/>
        <v/>
      </c>
      <c r="AS660" s="1247" t="str">
        <f t="shared" si="26"/>
        <v/>
      </c>
      <c r="AT660" s="1247" t="str">
        <f t="shared" si="27"/>
        <v/>
      </c>
      <c r="AU660" s="1247" t="str">
        <f t="shared" si="28"/>
        <v/>
      </c>
      <c r="AV660" s="1247" t="str">
        <f t="shared" si="29"/>
        <v/>
      </c>
      <c r="AW660" s="1247" t="str">
        <f t="shared" si="30"/>
        <v/>
      </c>
      <c r="AX660" s="1247" t="str">
        <f t="shared" si="31"/>
        <v/>
      </c>
      <c r="AY660" s="1247" t="str">
        <f t="shared" si="32"/>
        <v/>
      </c>
      <c r="AZ660" s="1247" t="str">
        <f t="shared" si="33"/>
        <v/>
      </c>
      <c r="BA660" s="1247" t="str">
        <f t="shared" si="34"/>
        <v/>
      </c>
      <c r="BB660" s="1247" t="str">
        <f t="shared" si="35"/>
        <v/>
      </c>
      <c r="BC660" s="1247" t="str">
        <f t="shared" si="36"/>
        <v/>
      </c>
      <c r="BD660" s="1247" t="str">
        <f t="shared" si="37"/>
        <v/>
      </c>
      <c r="BE660" s="1247" t="str">
        <f t="shared" si="38"/>
        <v/>
      </c>
      <c r="BF660" s="1247" t="str">
        <f t="shared" si="39"/>
        <v/>
      </c>
      <c r="BG660" s="1247" t="str">
        <f t="shared" si="40"/>
        <v/>
      </c>
      <c r="BH660" s="1247" t="str">
        <f t="shared" si="41"/>
        <v/>
      </c>
      <c r="BI660" s="1247" t="str">
        <f t="shared" si="42"/>
        <v/>
      </c>
      <c r="BJ660" s="1247" t="str">
        <f t="shared" si="43"/>
        <v/>
      </c>
      <c r="BK660" s="1247" t="str">
        <f t="shared" si="44"/>
        <v/>
      </c>
      <c r="BL660" s="1247" t="str">
        <f t="shared" si="45"/>
        <v/>
      </c>
      <c r="BM660" s="1247" t="str">
        <f t="shared" si="46"/>
        <v/>
      </c>
      <c r="BN660" s="1247" t="str">
        <f t="shared" si="47"/>
        <v/>
      </c>
      <c r="BO660" s="1247" t="str">
        <f t="shared" si="48"/>
        <v/>
      </c>
      <c r="BP660" s="1247" t="str">
        <f t="shared" si="49"/>
        <v/>
      </c>
      <c r="BQ660" s="1247" t="str">
        <f t="shared" si="50"/>
        <v/>
      </c>
      <c r="BR660" s="1247" t="str">
        <f t="shared" si="51"/>
        <v/>
      </c>
      <c r="BS660" s="1247" t="str">
        <f t="shared" si="52"/>
        <v/>
      </c>
      <c r="BT660" s="1247" t="str">
        <f t="shared" si="53"/>
        <v/>
      </c>
      <c r="BU660" s="1247" t="str">
        <f t="shared" si="54"/>
        <v/>
      </c>
      <c r="BV660" s="1247" t="str">
        <f t="shared" si="55"/>
        <v/>
      </c>
      <c r="BW660" s="1247" t="str">
        <f t="shared" si="56"/>
        <v/>
      </c>
      <c r="BX660" s="1247" t="str">
        <f t="shared" si="57"/>
        <v/>
      </c>
      <c r="BY660" s="1247" t="str">
        <f t="shared" si="58"/>
        <v/>
      </c>
      <c r="BZ660" s="1247" t="str">
        <f t="shared" si="59"/>
        <v/>
      </c>
      <c r="CA660" s="1247" t="str">
        <f t="shared" si="60"/>
        <v/>
      </c>
      <c r="CB660" s="1247" t="str">
        <f t="shared" si="61"/>
        <v/>
      </c>
      <c r="CC660" s="1247" t="str">
        <f t="shared" si="62"/>
        <v/>
      </c>
      <c r="CD660" s="1247" t="str">
        <f t="shared" si="63"/>
        <v/>
      </c>
      <c r="CE660" s="1247" t="str">
        <f t="shared" si="64"/>
        <v/>
      </c>
      <c r="CF660" s="1247" t="str">
        <f t="shared" si="65"/>
        <v/>
      </c>
      <c r="CG660" s="1247" t="str">
        <f t="shared" si="66"/>
        <v/>
      </c>
      <c r="CH660" s="1247" t="str">
        <f t="shared" si="67"/>
        <v/>
      </c>
      <c r="CI660" s="1247" t="str">
        <f t="shared" si="68"/>
        <v/>
      </c>
      <c r="CJ660" s="1247" t="str">
        <f t="shared" si="69"/>
        <v/>
      </c>
      <c r="CK660" s="1247" t="str">
        <f t="shared" si="70"/>
        <v/>
      </c>
      <c r="CL660" s="1247" t="str">
        <f t="shared" si="71"/>
        <v/>
      </c>
      <c r="CM660" s="1247" t="str">
        <f t="shared" si="72"/>
        <v/>
      </c>
      <c r="CN660" s="1247" t="str">
        <f t="shared" si="73"/>
        <v/>
      </c>
      <c r="CO660" s="1247" t="str">
        <f t="shared" si="74"/>
        <v/>
      </c>
      <c r="CP660" s="1247" t="str">
        <f t="shared" si="75"/>
        <v/>
      </c>
      <c r="CQ660" s="1247" t="str">
        <f t="shared" si="76"/>
        <v/>
      </c>
      <c r="CR660" s="1247" t="str">
        <f t="shared" si="77"/>
        <v/>
      </c>
      <c r="CS660" s="1247" t="str">
        <f t="shared" si="78"/>
        <v/>
      </c>
      <c r="CT660" s="1247" t="str">
        <f t="shared" si="79"/>
        <v/>
      </c>
      <c r="CU660" s="1247" t="str">
        <f t="shared" si="80"/>
        <v/>
      </c>
      <c r="CV660" s="1247" t="str">
        <f t="shared" si="81"/>
        <v/>
      </c>
      <c r="CW660" s="1247" t="str">
        <f t="shared" si="82"/>
        <v/>
      </c>
      <c r="CX660" s="1247" t="str">
        <f t="shared" si="83"/>
        <v/>
      </c>
      <c r="CY660" s="1247" t="str">
        <f t="shared" si="84"/>
        <v/>
      </c>
      <c r="CZ660" s="1247" t="str">
        <f t="shared" si="85"/>
        <v/>
      </c>
      <c r="DA660" s="1247" t="str">
        <f t="shared" si="86"/>
        <v/>
      </c>
      <c r="DB660" s="1247" t="str">
        <f t="shared" si="87"/>
        <v/>
      </c>
      <c r="DC660" s="1247" t="str">
        <f t="shared" si="88"/>
        <v/>
      </c>
      <c r="DD660" s="1247" t="str">
        <f t="shared" si="89"/>
        <v/>
      </c>
      <c r="DE660" s="1247" t="str">
        <f t="shared" si="90"/>
        <v/>
      </c>
      <c r="DF660" s="1247" t="str">
        <f t="shared" si="91"/>
        <v/>
      </c>
      <c r="DG660" s="1247" t="str">
        <f t="shared" si="92"/>
        <v/>
      </c>
      <c r="DH660" s="1247" t="str">
        <f t="shared" si="93"/>
        <v/>
      </c>
      <c r="DI660" s="1247" t="str">
        <f t="shared" si="94"/>
        <v/>
      </c>
      <c r="DJ660" s="1247" t="str">
        <f t="shared" si="95"/>
        <v/>
      </c>
      <c r="DK660" s="1247" t="str">
        <f t="shared" si="96"/>
        <v/>
      </c>
      <c r="DL660" s="1247" t="str">
        <f t="shared" si="97"/>
        <v/>
      </c>
      <c r="DM660" s="1247" t="str">
        <f t="shared" si="98"/>
        <v/>
      </c>
      <c r="DN660" s="1247" t="str">
        <f t="shared" si="99"/>
        <v/>
      </c>
      <c r="DO660" s="1247" t="str">
        <f t="shared" si="100"/>
        <v/>
      </c>
      <c r="DP660" s="1247" t="str">
        <f t="shared" si="101"/>
        <v/>
      </c>
      <c r="DQ660" s="1247" t="str">
        <f t="shared" si="102"/>
        <v/>
      </c>
      <c r="DR660" s="1247" t="str">
        <f t="shared" si="103"/>
        <v/>
      </c>
      <c r="DS660" s="1247" t="str">
        <f t="shared" si="104"/>
        <v/>
      </c>
      <c r="DT660" s="1247" t="str">
        <f t="shared" si="105"/>
        <v/>
      </c>
      <c r="DU660" s="1247" t="str">
        <f t="shared" si="106"/>
        <v/>
      </c>
      <c r="DV660" s="1247" t="str">
        <f t="shared" si="107"/>
        <v/>
      </c>
      <c r="DW660" s="1247" t="str">
        <f t="shared" si="108"/>
        <v/>
      </c>
      <c r="DX660" s="1247" t="str">
        <f t="shared" si="109"/>
        <v/>
      </c>
      <c r="DY660" s="1247" t="str">
        <f t="shared" si="110"/>
        <v/>
      </c>
      <c r="DZ660" s="1247" t="str">
        <f t="shared" si="111"/>
        <v/>
      </c>
      <c r="EA660" s="1247" t="str">
        <f t="shared" si="112"/>
        <v/>
      </c>
      <c r="EB660" s="1247" t="str">
        <f t="shared" si="113"/>
        <v/>
      </c>
      <c r="EC660" s="1247" t="str">
        <f t="shared" si="114"/>
        <v/>
      </c>
      <c r="ED660" s="1247" t="str">
        <f t="shared" si="115"/>
        <v/>
      </c>
      <c r="EE660" s="1247" t="str">
        <f t="shared" si="116"/>
        <v/>
      </c>
      <c r="EF660" s="1247" t="str">
        <f t="shared" si="117"/>
        <v/>
      </c>
      <c r="EG660" s="1247" t="str">
        <f t="shared" si="118"/>
        <v/>
      </c>
      <c r="EH660" s="1247" t="str">
        <f t="shared" si="119"/>
        <v/>
      </c>
      <c r="EI660" s="1247" t="str">
        <f t="shared" si="120"/>
        <v/>
      </c>
      <c r="EJ660" s="1247" t="str">
        <f t="shared" si="121"/>
        <v/>
      </c>
      <c r="EK660" s="1247" t="str">
        <f t="shared" si="122"/>
        <v/>
      </c>
      <c r="EL660" s="1247" t="str">
        <f t="shared" si="123"/>
        <v/>
      </c>
      <c r="EM660" s="1247" t="str">
        <f t="shared" si="124"/>
        <v/>
      </c>
      <c r="EN660" s="1247" t="str">
        <f t="shared" si="125"/>
        <v/>
      </c>
      <c r="EO660" s="1247" t="str">
        <f t="shared" si="126"/>
        <v/>
      </c>
      <c r="EP660" s="1247" t="str">
        <f t="shared" si="127"/>
        <v/>
      </c>
      <c r="EQ660" s="1247" t="str">
        <f t="shared" si="128"/>
        <v/>
      </c>
      <c r="ER660" s="1247" t="str">
        <f t="shared" si="129"/>
        <v/>
      </c>
      <c r="ES660" s="1247" t="str">
        <f t="shared" si="130"/>
        <v/>
      </c>
      <c r="ET660" s="1247" t="str">
        <f t="shared" si="131"/>
        <v/>
      </c>
      <c r="EU660" s="1247" t="str">
        <f t="shared" si="132"/>
        <v/>
      </c>
      <c r="EV660" s="2909" t="str">
        <f t="shared" si="133"/>
        <v/>
      </c>
      <c r="EW660" s="2909" t="str">
        <f t="shared" si="134"/>
        <v/>
      </c>
      <c r="EX660" s="2909" t="str">
        <f t="shared" si="135"/>
        <v/>
      </c>
      <c r="EY660" s="2909" t="str">
        <f t="shared" si="136"/>
        <v/>
      </c>
      <c r="EZ660" s="2909" t="str">
        <f t="shared" si="137"/>
        <v/>
      </c>
      <c r="FA660" s="2909" t="str">
        <f t="shared" si="138"/>
        <v/>
      </c>
      <c r="FB660" s="2909" t="str">
        <f t="shared" si="139"/>
        <v/>
      </c>
      <c r="FC660" s="2909" t="str">
        <f t="shared" si="140"/>
        <v/>
      </c>
      <c r="FD660" s="2909" t="str">
        <f t="shared" si="141"/>
        <v/>
      </c>
      <c r="FE660" s="2909" t="str">
        <f t="shared" si="142"/>
        <v/>
      </c>
      <c r="FF660" s="2909" t="str">
        <f t="shared" si="143"/>
        <v/>
      </c>
      <c r="FG660" s="2909" t="str">
        <f t="shared" si="144"/>
        <v/>
      </c>
      <c r="FH660" s="2909" t="str">
        <f t="shared" si="145"/>
        <v/>
      </c>
      <c r="FI660" s="2909" t="str">
        <f t="shared" si="146"/>
        <v/>
      </c>
      <c r="FJ660" s="2909" t="str">
        <f t="shared" si="147"/>
        <v/>
      </c>
      <c r="FK660" s="2909" t="str">
        <f t="shared" si="148"/>
        <v/>
      </c>
      <c r="FL660" s="2909" t="str">
        <f t="shared" si="149"/>
        <v/>
      </c>
      <c r="FM660" s="2909" t="str">
        <f t="shared" si="150"/>
        <v/>
      </c>
      <c r="FN660" s="2909" t="str">
        <f t="shared" si="151"/>
        <v/>
      </c>
      <c r="FO660" s="2909" t="str">
        <f t="shared" si="152"/>
        <v/>
      </c>
      <c r="FP660" s="2909" t="str">
        <f t="shared" si="153"/>
        <v/>
      </c>
      <c r="FQ660" s="2909" t="str">
        <f t="shared" si="154"/>
        <v/>
      </c>
      <c r="FR660" s="2909" t="str">
        <f t="shared" si="155"/>
        <v/>
      </c>
      <c r="FS660" s="2909" t="str">
        <f t="shared" si="156"/>
        <v/>
      </c>
      <c r="FT660" s="2909" t="str">
        <f t="shared" si="157"/>
        <v/>
      </c>
      <c r="FU660" s="2909" t="str">
        <f t="shared" si="158"/>
        <v/>
      </c>
      <c r="FV660" s="2909" t="str">
        <f t="shared" si="159"/>
        <v/>
      </c>
      <c r="FW660" s="2909" t="str">
        <f t="shared" si="160"/>
        <v/>
      </c>
      <c r="FX660" s="2909" t="str">
        <f t="shared" si="161"/>
        <v/>
      </c>
      <c r="FY660" s="2909" t="str">
        <f t="shared" si="162"/>
        <v/>
      </c>
      <c r="FZ660" s="2909" t="str">
        <f t="shared" si="163"/>
        <v/>
      </c>
      <c r="GA660" s="2909" t="str">
        <f t="shared" si="164"/>
        <v/>
      </c>
      <c r="GB660" s="2909" t="str">
        <f t="shared" si="165"/>
        <v/>
      </c>
      <c r="GC660" s="2909" t="str">
        <f t="shared" si="166"/>
        <v/>
      </c>
      <c r="GD660" s="2909" t="str">
        <f t="shared" si="167"/>
        <v/>
      </c>
      <c r="GE660" s="2909" t="str">
        <f t="shared" si="168"/>
        <v/>
      </c>
      <c r="GF660" s="2909" t="str">
        <f t="shared" si="169"/>
        <v/>
      </c>
      <c r="GG660" s="2909" t="str">
        <f t="shared" si="170"/>
        <v/>
      </c>
      <c r="GH660" s="2909" t="str">
        <f t="shared" si="171"/>
        <v/>
      </c>
      <c r="GI660" s="2909" t="str">
        <f t="shared" si="172"/>
        <v/>
      </c>
      <c r="GJ660" s="2909" t="str">
        <f t="shared" si="173"/>
        <v/>
      </c>
      <c r="GK660" s="2909" t="str">
        <f t="shared" si="174"/>
        <v/>
      </c>
      <c r="GL660" s="2909" t="str">
        <f t="shared" si="175"/>
        <v/>
      </c>
      <c r="GM660" s="2909" t="str">
        <f t="shared" si="176"/>
        <v/>
      </c>
      <c r="GN660" s="2909" t="str">
        <f t="shared" si="177"/>
        <v/>
      </c>
      <c r="GO660" s="2909" t="str">
        <f t="shared" si="178"/>
        <v/>
      </c>
      <c r="GP660" s="2909" t="str">
        <f t="shared" si="179"/>
        <v/>
      </c>
      <c r="GQ660" s="2909" t="str">
        <f t="shared" si="180"/>
        <v/>
      </c>
      <c r="GR660" s="2909" t="str">
        <f t="shared" si="181"/>
        <v/>
      </c>
      <c r="GS660" s="2909" t="str">
        <f t="shared" si="182"/>
        <v/>
      </c>
      <c r="GT660" s="2909" t="str">
        <f t="shared" si="183"/>
        <v/>
      </c>
      <c r="GU660" s="2909" t="str">
        <f t="shared" si="184"/>
        <v/>
      </c>
      <c r="GV660" s="2909" t="str">
        <f t="shared" si="185"/>
        <v/>
      </c>
      <c r="GW660" s="2909" t="str">
        <f t="shared" si="186"/>
        <v/>
      </c>
      <c r="GX660" s="2909" t="str">
        <f t="shared" si="187"/>
        <v/>
      </c>
      <c r="GY660" s="2909" t="str">
        <f t="shared" si="188"/>
        <v/>
      </c>
      <c r="GZ660" s="2909" t="str">
        <f t="shared" si="189"/>
        <v/>
      </c>
      <c r="HA660" s="2909" t="str">
        <f t="shared" si="190"/>
        <v/>
      </c>
      <c r="HB660" s="2909" t="str">
        <f t="shared" si="191"/>
        <v/>
      </c>
      <c r="HC660" s="2909" t="str">
        <f t="shared" si="192"/>
        <v/>
      </c>
      <c r="HD660" s="2909" t="str">
        <f t="shared" si="193"/>
        <v/>
      </c>
      <c r="HE660" s="2909" t="str">
        <f t="shared" si="194"/>
        <v/>
      </c>
      <c r="HF660" s="2909" t="str">
        <f t="shared" si="195"/>
        <v/>
      </c>
      <c r="HG660" s="2909" t="str">
        <f t="shared" si="196"/>
        <v/>
      </c>
      <c r="HH660" s="2909" t="str">
        <f t="shared" si="197"/>
        <v/>
      </c>
      <c r="HI660" s="2909" t="str">
        <f t="shared" si="198"/>
        <v/>
      </c>
      <c r="HJ660" s="2909" t="str">
        <f t="shared" si="199"/>
        <v/>
      </c>
      <c r="HK660" s="2909" t="str">
        <f t="shared" si="200"/>
        <v/>
      </c>
      <c r="HL660" s="2909" t="str">
        <f t="shared" si="201"/>
        <v/>
      </c>
      <c r="HM660" s="2909" t="str">
        <f t="shared" si="202"/>
        <v/>
      </c>
      <c r="HN660" s="2909" t="str">
        <f t="shared" si="203"/>
        <v/>
      </c>
      <c r="HO660" s="2909" t="str">
        <f t="shared" si="204"/>
        <v/>
      </c>
      <c r="HP660" s="2909" t="str">
        <f t="shared" si="205"/>
        <v/>
      </c>
      <c r="HQ660" s="2909" t="str">
        <f t="shared" si="206"/>
        <v/>
      </c>
      <c r="HR660" s="2909" t="str">
        <f t="shared" si="207"/>
        <v/>
      </c>
      <c r="HS660" s="2909" t="str">
        <f t="shared" si="208"/>
        <v/>
      </c>
      <c r="HT660" s="2909" t="str">
        <f t="shared" si="209"/>
        <v/>
      </c>
      <c r="HU660" s="2909" t="str">
        <f t="shared" si="210"/>
        <v/>
      </c>
      <c r="HV660" s="2909" t="str">
        <f t="shared" si="211"/>
        <v/>
      </c>
      <c r="HW660" s="2909" t="str">
        <f t="shared" si="212"/>
        <v/>
      </c>
      <c r="HX660" s="2909" t="str">
        <f t="shared" si="213"/>
        <v/>
      </c>
      <c r="HY660" s="2909" t="str">
        <f t="shared" si="214"/>
        <v/>
      </c>
      <c r="HZ660" s="2909" t="str">
        <f t="shared" si="215"/>
        <v/>
      </c>
      <c r="IA660" s="2909" t="str">
        <f t="shared" si="216"/>
        <v/>
      </c>
      <c r="IB660" s="2909" t="str">
        <f t="shared" si="217"/>
        <v/>
      </c>
      <c r="IC660" s="2879" t="str">
        <f t="shared" si="218"/>
        <v/>
      </c>
      <c r="ID660" s="2879" t="str">
        <f t="shared" si="219"/>
        <v/>
      </c>
      <c r="IE660" s="2879" t="str">
        <f t="shared" si="220"/>
        <v/>
      </c>
      <c r="IF660" s="2879" t="str">
        <f t="shared" si="221"/>
        <v/>
      </c>
      <c r="IG660" s="2879" t="str">
        <f t="shared" si="222"/>
        <v/>
      </c>
      <c r="IH660" s="1247" t="str">
        <f t="shared" si="223"/>
        <v/>
      </c>
      <c r="II660" s="1247" t="str">
        <f t="shared" si="224"/>
        <v/>
      </c>
      <c r="IJ660" s="1247" t="str">
        <f t="shared" si="225"/>
        <v/>
      </c>
      <c r="IK660" s="1247" t="str">
        <f t="shared" si="226"/>
        <v/>
      </c>
      <c r="IL660" s="1247" t="str">
        <f t="shared" si="227"/>
        <v/>
      </c>
      <c r="IM660" s="1247" t="str">
        <f t="shared" si="228"/>
        <v/>
      </c>
      <c r="IN660" s="1247" t="str">
        <f t="shared" si="229"/>
        <v/>
      </c>
      <c r="IO660" s="1247" t="str">
        <f t="shared" si="230"/>
        <v/>
      </c>
      <c r="IP660" s="1247" t="str">
        <f t="shared" si="231"/>
        <v/>
      </c>
      <c r="IQ660" s="1247" t="str">
        <f t="shared" si="232"/>
        <v/>
      </c>
      <c r="IR660" s="1247" t="str">
        <f t="shared" si="233"/>
        <v/>
      </c>
      <c r="IS660" s="1247" t="str">
        <f t="shared" si="234"/>
        <v/>
      </c>
      <c r="IT660" s="1247" t="str">
        <f t="shared" si="235"/>
        <v/>
      </c>
      <c r="IU660" s="1247" t="str">
        <f t="shared" si="236"/>
        <v/>
      </c>
      <c r="IV660" s="1247" t="str">
        <f t="shared" si="237"/>
        <v/>
      </c>
      <c r="IW660" s="1247" t="str">
        <f t="shared" si="238"/>
        <v/>
      </c>
      <c r="IX660" s="1247" t="str">
        <f t="shared" si="239"/>
        <v/>
      </c>
      <c r="IY660" s="1247" t="str">
        <f t="shared" si="240"/>
        <v/>
      </c>
      <c r="IZ660" s="1247" t="str">
        <f t="shared" si="241"/>
        <v/>
      </c>
      <c r="JA660" s="1247" t="str">
        <f t="shared" si="242"/>
        <v/>
      </c>
      <c r="JB660" s="2877">
        <f t="shared" si="243"/>
        <v>0</v>
      </c>
      <c r="JC660" s="2877">
        <f t="shared" si="244"/>
        <v>0</v>
      </c>
      <c r="JD660" s="2877">
        <f t="shared" si="245"/>
        <v>0</v>
      </c>
      <c r="JE660" s="2877">
        <f t="shared" si="246"/>
        <v>0</v>
      </c>
      <c r="JF660" s="2877">
        <f t="shared" si="247"/>
        <v>0</v>
      </c>
      <c r="JG660" s="2877">
        <f t="shared" si="248"/>
        <v>0</v>
      </c>
      <c r="JH660" s="2877">
        <f t="shared" si="249"/>
        <v>0</v>
      </c>
      <c r="JI660" s="2877">
        <f t="shared" si="250"/>
        <v>0</v>
      </c>
      <c r="JJ660" s="2877">
        <f t="shared" si="251"/>
        <v>0</v>
      </c>
      <c r="JK660" s="2877">
        <f t="shared" si="252"/>
        <v>0</v>
      </c>
      <c r="JL660" s="2877">
        <f t="shared" si="253"/>
        <v>0</v>
      </c>
      <c r="JM660" s="2877">
        <f t="shared" si="254"/>
        <v>0</v>
      </c>
      <c r="JN660" s="2877">
        <f t="shared" si="255"/>
        <v>0</v>
      </c>
      <c r="JO660" s="2877">
        <f t="shared" si="256"/>
        <v>0</v>
      </c>
      <c r="JP660" s="2877">
        <f t="shared" si="257"/>
        <v>0</v>
      </c>
    </row>
    <row r="661" spans="1:277" ht="12" customHeight="1">
      <c r="A661" s="2891" t="str">
        <f t="shared" si="0"/>
        <v/>
      </c>
      <c r="B661" s="2900" t="str">
        <f>'Part VI-Revenues &amp; Expenses'!B41</f>
        <v>&lt;&lt;Select&gt;&gt;</v>
      </c>
      <c r="C661" s="2901">
        <f>'Part VI-Revenues &amp; Expenses'!C41</f>
        <v>0</v>
      </c>
      <c r="D661" s="2902">
        <f>'Part VI-Revenues &amp; Expenses'!D41</f>
        <v>0</v>
      </c>
      <c r="E661" s="2903">
        <f>'Part VI-Revenues &amp; Expenses'!E41</f>
        <v>0</v>
      </c>
      <c r="F661" s="2903">
        <f>'Part VI-Revenues &amp; Expenses'!F41</f>
        <v>0</v>
      </c>
      <c r="G661" s="2903">
        <f>'Part VI-Revenues &amp; Expenses'!G41</f>
        <v>0</v>
      </c>
      <c r="H661" s="2903">
        <f>'Part VI-Revenues &amp; Expenses'!H41</f>
        <v>0</v>
      </c>
      <c r="I661" s="2903">
        <f>'Part VI-Revenues &amp; Expenses'!I41</f>
        <v>0</v>
      </c>
      <c r="J661" s="2904">
        <f>'Part VI-Revenues &amp; Expenses'!J41</f>
        <v>0</v>
      </c>
      <c r="K661" s="2905">
        <f t="shared" si="1"/>
        <v>0</v>
      </c>
      <c r="L661" s="2905">
        <f t="shared" si="2"/>
        <v>0</v>
      </c>
      <c r="M661" s="2886">
        <f>'Part VI-Revenues &amp; Expenses'!M41</f>
        <v>0</v>
      </c>
      <c r="N661" s="2886">
        <f>'Part VI-Revenues &amp; Expenses'!N41</f>
        <v>0</v>
      </c>
      <c r="O661" s="2886">
        <f>'Part VI-Revenues &amp; Expenses'!O41</f>
        <v>0</v>
      </c>
      <c r="P661" s="2886">
        <f>'Part VI-Revenues &amp; Expenses'!P41</f>
        <v>0</v>
      </c>
      <c r="Q661" s="2906">
        <f>IF(H661="","",P661/($O$626*VLOOKUP(C661,'DCA Underwriting Assumptions'!$J$118:$K$123,2,FALSE)))</f>
        <v>0</v>
      </c>
      <c r="R661" s="2907"/>
      <c r="S661" s="2906"/>
      <c r="T661" s="2908"/>
      <c r="U661" s="2908"/>
      <c r="V661" s="1247" t="str">
        <f t="shared" si="3"/>
        <v/>
      </c>
      <c r="W661" s="1247" t="str">
        <f t="shared" si="4"/>
        <v/>
      </c>
      <c r="X661" s="1247" t="str">
        <f t="shared" si="5"/>
        <v/>
      </c>
      <c r="Y661" s="1247" t="str">
        <f t="shared" si="6"/>
        <v/>
      </c>
      <c r="Z661" s="1247" t="str">
        <f t="shared" si="7"/>
        <v/>
      </c>
      <c r="AA661" s="1247" t="str">
        <f t="shared" si="8"/>
        <v/>
      </c>
      <c r="AB661" s="1247" t="str">
        <f t="shared" si="9"/>
        <v/>
      </c>
      <c r="AC661" s="1247" t="str">
        <f t="shared" si="10"/>
        <v/>
      </c>
      <c r="AD661" s="1247" t="str">
        <f t="shared" si="11"/>
        <v/>
      </c>
      <c r="AE661" s="1247" t="str">
        <f t="shared" si="12"/>
        <v/>
      </c>
      <c r="AF661" s="1247" t="str">
        <f t="shared" si="13"/>
        <v/>
      </c>
      <c r="AG661" s="1247" t="str">
        <f t="shared" si="14"/>
        <v/>
      </c>
      <c r="AH661" s="1247" t="str">
        <f t="shared" si="15"/>
        <v/>
      </c>
      <c r="AI661" s="1247" t="str">
        <f t="shared" si="16"/>
        <v/>
      </c>
      <c r="AJ661" s="1247" t="str">
        <f t="shared" si="17"/>
        <v/>
      </c>
      <c r="AK661" s="1247" t="str">
        <f t="shared" si="18"/>
        <v/>
      </c>
      <c r="AL661" s="1247" t="str">
        <f t="shared" si="19"/>
        <v/>
      </c>
      <c r="AM661" s="1247" t="str">
        <f t="shared" si="20"/>
        <v/>
      </c>
      <c r="AN661" s="1247" t="str">
        <f t="shared" si="21"/>
        <v/>
      </c>
      <c r="AO661" s="1247" t="str">
        <f t="shared" si="22"/>
        <v/>
      </c>
      <c r="AP661" s="1247" t="str">
        <f t="shared" si="23"/>
        <v/>
      </c>
      <c r="AQ661" s="1247" t="str">
        <f t="shared" si="24"/>
        <v/>
      </c>
      <c r="AR661" s="1247" t="str">
        <f t="shared" si="25"/>
        <v/>
      </c>
      <c r="AS661" s="1247" t="str">
        <f t="shared" si="26"/>
        <v/>
      </c>
      <c r="AT661" s="1247" t="str">
        <f t="shared" si="27"/>
        <v/>
      </c>
      <c r="AU661" s="1247" t="str">
        <f t="shared" si="28"/>
        <v/>
      </c>
      <c r="AV661" s="1247" t="str">
        <f t="shared" si="29"/>
        <v/>
      </c>
      <c r="AW661" s="1247" t="str">
        <f t="shared" si="30"/>
        <v/>
      </c>
      <c r="AX661" s="1247" t="str">
        <f t="shared" si="31"/>
        <v/>
      </c>
      <c r="AY661" s="1247" t="str">
        <f t="shared" si="32"/>
        <v/>
      </c>
      <c r="AZ661" s="1247" t="str">
        <f t="shared" si="33"/>
        <v/>
      </c>
      <c r="BA661" s="1247" t="str">
        <f t="shared" si="34"/>
        <v/>
      </c>
      <c r="BB661" s="1247" t="str">
        <f t="shared" si="35"/>
        <v/>
      </c>
      <c r="BC661" s="1247" t="str">
        <f t="shared" si="36"/>
        <v/>
      </c>
      <c r="BD661" s="1247" t="str">
        <f t="shared" si="37"/>
        <v/>
      </c>
      <c r="BE661" s="1247" t="str">
        <f t="shared" si="38"/>
        <v/>
      </c>
      <c r="BF661" s="1247" t="str">
        <f t="shared" si="39"/>
        <v/>
      </c>
      <c r="BG661" s="1247" t="str">
        <f t="shared" si="40"/>
        <v/>
      </c>
      <c r="BH661" s="1247" t="str">
        <f t="shared" si="41"/>
        <v/>
      </c>
      <c r="BI661" s="1247" t="str">
        <f t="shared" si="42"/>
        <v/>
      </c>
      <c r="BJ661" s="1247" t="str">
        <f t="shared" si="43"/>
        <v/>
      </c>
      <c r="BK661" s="1247" t="str">
        <f t="shared" si="44"/>
        <v/>
      </c>
      <c r="BL661" s="1247" t="str">
        <f t="shared" si="45"/>
        <v/>
      </c>
      <c r="BM661" s="1247" t="str">
        <f t="shared" si="46"/>
        <v/>
      </c>
      <c r="BN661" s="1247" t="str">
        <f t="shared" si="47"/>
        <v/>
      </c>
      <c r="BO661" s="1247" t="str">
        <f t="shared" si="48"/>
        <v/>
      </c>
      <c r="BP661" s="1247" t="str">
        <f t="shared" si="49"/>
        <v/>
      </c>
      <c r="BQ661" s="1247" t="str">
        <f t="shared" si="50"/>
        <v/>
      </c>
      <c r="BR661" s="1247" t="str">
        <f t="shared" si="51"/>
        <v/>
      </c>
      <c r="BS661" s="1247" t="str">
        <f t="shared" si="52"/>
        <v/>
      </c>
      <c r="BT661" s="1247" t="str">
        <f t="shared" si="53"/>
        <v/>
      </c>
      <c r="BU661" s="1247" t="str">
        <f t="shared" si="54"/>
        <v/>
      </c>
      <c r="BV661" s="1247" t="str">
        <f t="shared" si="55"/>
        <v/>
      </c>
      <c r="BW661" s="1247" t="str">
        <f t="shared" si="56"/>
        <v/>
      </c>
      <c r="BX661" s="1247" t="str">
        <f t="shared" si="57"/>
        <v/>
      </c>
      <c r="BY661" s="1247" t="str">
        <f t="shared" si="58"/>
        <v/>
      </c>
      <c r="BZ661" s="1247" t="str">
        <f t="shared" si="59"/>
        <v/>
      </c>
      <c r="CA661" s="1247" t="str">
        <f t="shared" si="60"/>
        <v/>
      </c>
      <c r="CB661" s="1247" t="str">
        <f t="shared" si="61"/>
        <v/>
      </c>
      <c r="CC661" s="1247" t="str">
        <f t="shared" si="62"/>
        <v/>
      </c>
      <c r="CD661" s="1247" t="str">
        <f t="shared" si="63"/>
        <v/>
      </c>
      <c r="CE661" s="1247" t="str">
        <f t="shared" si="64"/>
        <v/>
      </c>
      <c r="CF661" s="1247" t="str">
        <f t="shared" si="65"/>
        <v/>
      </c>
      <c r="CG661" s="1247" t="str">
        <f t="shared" si="66"/>
        <v/>
      </c>
      <c r="CH661" s="1247" t="str">
        <f t="shared" si="67"/>
        <v/>
      </c>
      <c r="CI661" s="1247" t="str">
        <f t="shared" si="68"/>
        <v/>
      </c>
      <c r="CJ661" s="1247" t="str">
        <f t="shared" si="69"/>
        <v/>
      </c>
      <c r="CK661" s="1247" t="str">
        <f t="shared" si="70"/>
        <v/>
      </c>
      <c r="CL661" s="1247" t="str">
        <f t="shared" si="71"/>
        <v/>
      </c>
      <c r="CM661" s="1247" t="str">
        <f t="shared" si="72"/>
        <v/>
      </c>
      <c r="CN661" s="1247" t="str">
        <f t="shared" si="73"/>
        <v/>
      </c>
      <c r="CO661" s="1247" t="str">
        <f t="shared" si="74"/>
        <v/>
      </c>
      <c r="CP661" s="1247" t="str">
        <f t="shared" si="75"/>
        <v/>
      </c>
      <c r="CQ661" s="1247" t="str">
        <f t="shared" si="76"/>
        <v/>
      </c>
      <c r="CR661" s="1247" t="str">
        <f t="shared" si="77"/>
        <v/>
      </c>
      <c r="CS661" s="1247" t="str">
        <f t="shared" si="78"/>
        <v/>
      </c>
      <c r="CT661" s="1247" t="str">
        <f t="shared" si="79"/>
        <v/>
      </c>
      <c r="CU661" s="1247" t="str">
        <f t="shared" si="80"/>
        <v/>
      </c>
      <c r="CV661" s="1247" t="str">
        <f t="shared" si="81"/>
        <v/>
      </c>
      <c r="CW661" s="1247" t="str">
        <f t="shared" si="82"/>
        <v/>
      </c>
      <c r="CX661" s="1247" t="str">
        <f t="shared" si="83"/>
        <v/>
      </c>
      <c r="CY661" s="1247" t="str">
        <f t="shared" si="84"/>
        <v/>
      </c>
      <c r="CZ661" s="1247" t="str">
        <f t="shared" si="85"/>
        <v/>
      </c>
      <c r="DA661" s="1247" t="str">
        <f t="shared" si="86"/>
        <v/>
      </c>
      <c r="DB661" s="1247" t="str">
        <f t="shared" si="87"/>
        <v/>
      </c>
      <c r="DC661" s="1247" t="str">
        <f t="shared" si="88"/>
        <v/>
      </c>
      <c r="DD661" s="1247" t="str">
        <f t="shared" si="89"/>
        <v/>
      </c>
      <c r="DE661" s="1247" t="str">
        <f t="shared" si="90"/>
        <v/>
      </c>
      <c r="DF661" s="1247" t="str">
        <f t="shared" si="91"/>
        <v/>
      </c>
      <c r="DG661" s="1247" t="str">
        <f t="shared" si="92"/>
        <v/>
      </c>
      <c r="DH661" s="1247" t="str">
        <f t="shared" si="93"/>
        <v/>
      </c>
      <c r="DI661" s="1247" t="str">
        <f t="shared" si="94"/>
        <v/>
      </c>
      <c r="DJ661" s="1247" t="str">
        <f t="shared" si="95"/>
        <v/>
      </c>
      <c r="DK661" s="1247" t="str">
        <f t="shared" si="96"/>
        <v/>
      </c>
      <c r="DL661" s="1247" t="str">
        <f t="shared" si="97"/>
        <v/>
      </c>
      <c r="DM661" s="1247" t="str">
        <f t="shared" si="98"/>
        <v/>
      </c>
      <c r="DN661" s="1247" t="str">
        <f t="shared" si="99"/>
        <v/>
      </c>
      <c r="DO661" s="1247" t="str">
        <f t="shared" si="100"/>
        <v/>
      </c>
      <c r="DP661" s="1247" t="str">
        <f t="shared" si="101"/>
        <v/>
      </c>
      <c r="DQ661" s="1247" t="str">
        <f t="shared" si="102"/>
        <v/>
      </c>
      <c r="DR661" s="1247" t="str">
        <f t="shared" si="103"/>
        <v/>
      </c>
      <c r="DS661" s="1247" t="str">
        <f t="shared" si="104"/>
        <v/>
      </c>
      <c r="DT661" s="1247" t="str">
        <f t="shared" si="105"/>
        <v/>
      </c>
      <c r="DU661" s="1247" t="str">
        <f t="shared" si="106"/>
        <v/>
      </c>
      <c r="DV661" s="1247" t="str">
        <f t="shared" si="107"/>
        <v/>
      </c>
      <c r="DW661" s="1247" t="str">
        <f t="shared" si="108"/>
        <v/>
      </c>
      <c r="DX661" s="1247" t="str">
        <f t="shared" si="109"/>
        <v/>
      </c>
      <c r="DY661" s="1247" t="str">
        <f t="shared" si="110"/>
        <v/>
      </c>
      <c r="DZ661" s="1247" t="str">
        <f t="shared" si="111"/>
        <v/>
      </c>
      <c r="EA661" s="1247" t="str">
        <f t="shared" si="112"/>
        <v/>
      </c>
      <c r="EB661" s="1247" t="str">
        <f t="shared" si="113"/>
        <v/>
      </c>
      <c r="EC661" s="1247" t="str">
        <f t="shared" si="114"/>
        <v/>
      </c>
      <c r="ED661" s="1247" t="str">
        <f t="shared" si="115"/>
        <v/>
      </c>
      <c r="EE661" s="1247" t="str">
        <f t="shared" si="116"/>
        <v/>
      </c>
      <c r="EF661" s="1247" t="str">
        <f t="shared" si="117"/>
        <v/>
      </c>
      <c r="EG661" s="1247" t="str">
        <f t="shared" si="118"/>
        <v/>
      </c>
      <c r="EH661" s="1247" t="str">
        <f t="shared" si="119"/>
        <v/>
      </c>
      <c r="EI661" s="1247" t="str">
        <f t="shared" si="120"/>
        <v/>
      </c>
      <c r="EJ661" s="1247" t="str">
        <f t="shared" si="121"/>
        <v/>
      </c>
      <c r="EK661" s="1247" t="str">
        <f t="shared" si="122"/>
        <v/>
      </c>
      <c r="EL661" s="1247" t="str">
        <f t="shared" si="123"/>
        <v/>
      </c>
      <c r="EM661" s="1247" t="str">
        <f t="shared" si="124"/>
        <v/>
      </c>
      <c r="EN661" s="1247" t="str">
        <f t="shared" si="125"/>
        <v/>
      </c>
      <c r="EO661" s="1247" t="str">
        <f t="shared" si="126"/>
        <v/>
      </c>
      <c r="EP661" s="1247" t="str">
        <f t="shared" si="127"/>
        <v/>
      </c>
      <c r="EQ661" s="1247" t="str">
        <f t="shared" si="128"/>
        <v/>
      </c>
      <c r="ER661" s="1247" t="str">
        <f t="shared" si="129"/>
        <v/>
      </c>
      <c r="ES661" s="1247" t="str">
        <f t="shared" si="130"/>
        <v/>
      </c>
      <c r="ET661" s="1247" t="str">
        <f t="shared" si="131"/>
        <v/>
      </c>
      <c r="EU661" s="1247" t="str">
        <f t="shared" si="132"/>
        <v/>
      </c>
      <c r="EV661" s="2909" t="str">
        <f t="shared" si="133"/>
        <v/>
      </c>
      <c r="EW661" s="2909" t="str">
        <f t="shared" si="134"/>
        <v/>
      </c>
      <c r="EX661" s="2909" t="str">
        <f t="shared" si="135"/>
        <v/>
      </c>
      <c r="EY661" s="2909" t="str">
        <f t="shared" si="136"/>
        <v/>
      </c>
      <c r="EZ661" s="2909" t="str">
        <f t="shared" si="137"/>
        <v/>
      </c>
      <c r="FA661" s="2909" t="str">
        <f t="shared" si="138"/>
        <v/>
      </c>
      <c r="FB661" s="2909" t="str">
        <f t="shared" si="139"/>
        <v/>
      </c>
      <c r="FC661" s="2909" t="str">
        <f t="shared" si="140"/>
        <v/>
      </c>
      <c r="FD661" s="2909" t="str">
        <f t="shared" si="141"/>
        <v/>
      </c>
      <c r="FE661" s="2909" t="str">
        <f t="shared" si="142"/>
        <v/>
      </c>
      <c r="FF661" s="2909" t="str">
        <f t="shared" si="143"/>
        <v/>
      </c>
      <c r="FG661" s="2909" t="str">
        <f t="shared" si="144"/>
        <v/>
      </c>
      <c r="FH661" s="2909" t="str">
        <f t="shared" si="145"/>
        <v/>
      </c>
      <c r="FI661" s="2909" t="str">
        <f t="shared" si="146"/>
        <v/>
      </c>
      <c r="FJ661" s="2909" t="str">
        <f t="shared" si="147"/>
        <v/>
      </c>
      <c r="FK661" s="2909" t="str">
        <f t="shared" si="148"/>
        <v/>
      </c>
      <c r="FL661" s="2909" t="str">
        <f t="shared" si="149"/>
        <v/>
      </c>
      <c r="FM661" s="2909" t="str">
        <f t="shared" si="150"/>
        <v/>
      </c>
      <c r="FN661" s="2909" t="str">
        <f t="shared" si="151"/>
        <v/>
      </c>
      <c r="FO661" s="2909" t="str">
        <f t="shared" si="152"/>
        <v/>
      </c>
      <c r="FP661" s="2909" t="str">
        <f t="shared" si="153"/>
        <v/>
      </c>
      <c r="FQ661" s="2909" t="str">
        <f t="shared" si="154"/>
        <v/>
      </c>
      <c r="FR661" s="2909" t="str">
        <f t="shared" si="155"/>
        <v/>
      </c>
      <c r="FS661" s="2909" t="str">
        <f t="shared" si="156"/>
        <v/>
      </c>
      <c r="FT661" s="2909" t="str">
        <f t="shared" si="157"/>
        <v/>
      </c>
      <c r="FU661" s="2909" t="str">
        <f t="shared" si="158"/>
        <v/>
      </c>
      <c r="FV661" s="2909" t="str">
        <f t="shared" si="159"/>
        <v/>
      </c>
      <c r="FW661" s="2909" t="str">
        <f t="shared" si="160"/>
        <v/>
      </c>
      <c r="FX661" s="2909" t="str">
        <f t="shared" si="161"/>
        <v/>
      </c>
      <c r="FY661" s="2909" t="str">
        <f t="shared" si="162"/>
        <v/>
      </c>
      <c r="FZ661" s="2909" t="str">
        <f t="shared" si="163"/>
        <v/>
      </c>
      <c r="GA661" s="2909" t="str">
        <f t="shared" si="164"/>
        <v/>
      </c>
      <c r="GB661" s="2909" t="str">
        <f t="shared" si="165"/>
        <v/>
      </c>
      <c r="GC661" s="2909" t="str">
        <f t="shared" si="166"/>
        <v/>
      </c>
      <c r="GD661" s="2909" t="str">
        <f t="shared" si="167"/>
        <v/>
      </c>
      <c r="GE661" s="2909" t="str">
        <f t="shared" si="168"/>
        <v/>
      </c>
      <c r="GF661" s="2909" t="str">
        <f t="shared" si="169"/>
        <v/>
      </c>
      <c r="GG661" s="2909" t="str">
        <f t="shared" si="170"/>
        <v/>
      </c>
      <c r="GH661" s="2909" t="str">
        <f t="shared" si="171"/>
        <v/>
      </c>
      <c r="GI661" s="2909" t="str">
        <f t="shared" si="172"/>
        <v/>
      </c>
      <c r="GJ661" s="2909" t="str">
        <f t="shared" si="173"/>
        <v/>
      </c>
      <c r="GK661" s="2909" t="str">
        <f t="shared" si="174"/>
        <v/>
      </c>
      <c r="GL661" s="2909" t="str">
        <f t="shared" si="175"/>
        <v/>
      </c>
      <c r="GM661" s="2909" t="str">
        <f t="shared" si="176"/>
        <v/>
      </c>
      <c r="GN661" s="2909" t="str">
        <f t="shared" si="177"/>
        <v/>
      </c>
      <c r="GO661" s="2909" t="str">
        <f t="shared" si="178"/>
        <v/>
      </c>
      <c r="GP661" s="2909" t="str">
        <f t="shared" si="179"/>
        <v/>
      </c>
      <c r="GQ661" s="2909" t="str">
        <f t="shared" si="180"/>
        <v/>
      </c>
      <c r="GR661" s="2909" t="str">
        <f t="shared" si="181"/>
        <v/>
      </c>
      <c r="GS661" s="2909" t="str">
        <f t="shared" si="182"/>
        <v/>
      </c>
      <c r="GT661" s="2909" t="str">
        <f t="shared" si="183"/>
        <v/>
      </c>
      <c r="GU661" s="2909" t="str">
        <f t="shared" si="184"/>
        <v/>
      </c>
      <c r="GV661" s="2909" t="str">
        <f t="shared" si="185"/>
        <v/>
      </c>
      <c r="GW661" s="2909" t="str">
        <f t="shared" si="186"/>
        <v/>
      </c>
      <c r="GX661" s="2909" t="str">
        <f t="shared" si="187"/>
        <v/>
      </c>
      <c r="GY661" s="2909" t="str">
        <f t="shared" si="188"/>
        <v/>
      </c>
      <c r="GZ661" s="2909" t="str">
        <f t="shared" si="189"/>
        <v/>
      </c>
      <c r="HA661" s="2909" t="str">
        <f t="shared" si="190"/>
        <v/>
      </c>
      <c r="HB661" s="2909" t="str">
        <f t="shared" si="191"/>
        <v/>
      </c>
      <c r="HC661" s="2909" t="str">
        <f t="shared" si="192"/>
        <v/>
      </c>
      <c r="HD661" s="2909" t="str">
        <f t="shared" si="193"/>
        <v/>
      </c>
      <c r="HE661" s="2909" t="str">
        <f t="shared" si="194"/>
        <v/>
      </c>
      <c r="HF661" s="2909" t="str">
        <f t="shared" si="195"/>
        <v/>
      </c>
      <c r="HG661" s="2909" t="str">
        <f t="shared" si="196"/>
        <v/>
      </c>
      <c r="HH661" s="2909" t="str">
        <f t="shared" si="197"/>
        <v/>
      </c>
      <c r="HI661" s="2909" t="str">
        <f t="shared" si="198"/>
        <v/>
      </c>
      <c r="HJ661" s="2909" t="str">
        <f t="shared" si="199"/>
        <v/>
      </c>
      <c r="HK661" s="2909" t="str">
        <f t="shared" si="200"/>
        <v/>
      </c>
      <c r="HL661" s="2909" t="str">
        <f t="shared" si="201"/>
        <v/>
      </c>
      <c r="HM661" s="2909" t="str">
        <f t="shared" si="202"/>
        <v/>
      </c>
      <c r="HN661" s="2909" t="str">
        <f t="shared" si="203"/>
        <v/>
      </c>
      <c r="HO661" s="2909" t="str">
        <f t="shared" si="204"/>
        <v/>
      </c>
      <c r="HP661" s="2909" t="str">
        <f t="shared" si="205"/>
        <v/>
      </c>
      <c r="HQ661" s="2909" t="str">
        <f t="shared" si="206"/>
        <v/>
      </c>
      <c r="HR661" s="2909" t="str">
        <f t="shared" si="207"/>
        <v/>
      </c>
      <c r="HS661" s="2909" t="str">
        <f t="shared" si="208"/>
        <v/>
      </c>
      <c r="HT661" s="2909" t="str">
        <f t="shared" si="209"/>
        <v/>
      </c>
      <c r="HU661" s="2909" t="str">
        <f t="shared" si="210"/>
        <v/>
      </c>
      <c r="HV661" s="2909" t="str">
        <f t="shared" si="211"/>
        <v/>
      </c>
      <c r="HW661" s="2909" t="str">
        <f t="shared" si="212"/>
        <v/>
      </c>
      <c r="HX661" s="2909" t="str">
        <f t="shared" si="213"/>
        <v/>
      </c>
      <c r="HY661" s="2909" t="str">
        <f t="shared" si="214"/>
        <v/>
      </c>
      <c r="HZ661" s="2909" t="str">
        <f t="shared" si="215"/>
        <v/>
      </c>
      <c r="IA661" s="2909" t="str">
        <f t="shared" si="216"/>
        <v/>
      </c>
      <c r="IB661" s="2909" t="str">
        <f t="shared" si="217"/>
        <v/>
      </c>
      <c r="IC661" s="2879" t="str">
        <f t="shared" si="218"/>
        <v/>
      </c>
      <c r="ID661" s="2879" t="str">
        <f t="shared" si="219"/>
        <v/>
      </c>
      <c r="IE661" s="2879" t="str">
        <f t="shared" si="220"/>
        <v/>
      </c>
      <c r="IF661" s="2879" t="str">
        <f t="shared" si="221"/>
        <v/>
      </c>
      <c r="IG661" s="2879" t="str">
        <f t="shared" si="222"/>
        <v/>
      </c>
      <c r="IH661" s="1247" t="str">
        <f t="shared" si="223"/>
        <v/>
      </c>
      <c r="II661" s="1247" t="str">
        <f t="shared" si="224"/>
        <v/>
      </c>
      <c r="IJ661" s="1247" t="str">
        <f t="shared" si="225"/>
        <v/>
      </c>
      <c r="IK661" s="1247" t="str">
        <f t="shared" si="226"/>
        <v/>
      </c>
      <c r="IL661" s="1247" t="str">
        <f t="shared" si="227"/>
        <v/>
      </c>
      <c r="IM661" s="1247" t="str">
        <f t="shared" si="228"/>
        <v/>
      </c>
      <c r="IN661" s="1247" t="str">
        <f t="shared" si="229"/>
        <v/>
      </c>
      <c r="IO661" s="1247" t="str">
        <f t="shared" si="230"/>
        <v/>
      </c>
      <c r="IP661" s="1247" t="str">
        <f t="shared" si="231"/>
        <v/>
      </c>
      <c r="IQ661" s="1247" t="str">
        <f t="shared" si="232"/>
        <v/>
      </c>
      <c r="IR661" s="1247" t="str">
        <f t="shared" si="233"/>
        <v/>
      </c>
      <c r="IS661" s="1247" t="str">
        <f t="shared" si="234"/>
        <v/>
      </c>
      <c r="IT661" s="1247" t="str">
        <f t="shared" si="235"/>
        <v/>
      </c>
      <c r="IU661" s="1247" t="str">
        <f t="shared" si="236"/>
        <v/>
      </c>
      <c r="IV661" s="1247" t="str">
        <f t="shared" si="237"/>
        <v/>
      </c>
      <c r="IW661" s="1247" t="str">
        <f t="shared" si="238"/>
        <v/>
      </c>
      <c r="IX661" s="1247" t="str">
        <f t="shared" si="239"/>
        <v/>
      </c>
      <c r="IY661" s="1247" t="str">
        <f t="shared" si="240"/>
        <v/>
      </c>
      <c r="IZ661" s="1247" t="str">
        <f t="shared" si="241"/>
        <v/>
      </c>
      <c r="JA661" s="1247" t="str">
        <f t="shared" si="242"/>
        <v/>
      </c>
      <c r="JB661" s="2877">
        <f t="shared" si="243"/>
        <v>0</v>
      </c>
      <c r="JC661" s="2877">
        <f t="shared" si="244"/>
        <v>0</v>
      </c>
      <c r="JD661" s="2877">
        <f t="shared" si="245"/>
        <v>0</v>
      </c>
      <c r="JE661" s="2877">
        <f t="shared" si="246"/>
        <v>0</v>
      </c>
      <c r="JF661" s="2877">
        <f t="shared" si="247"/>
        <v>0</v>
      </c>
      <c r="JG661" s="2877">
        <f t="shared" si="248"/>
        <v>0</v>
      </c>
      <c r="JH661" s="2877">
        <f t="shared" si="249"/>
        <v>0</v>
      </c>
      <c r="JI661" s="2877">
        <f t="shared" si="250"/>
        <v>0</v>
      </c>
      <c r="JJ661" s="2877">
        <f t="shared" si="251"/>
        <v>0</v>
      </c>
      <c r="JK661" s="2877">
        <f t="shared" si="252"/>
        <v>0</v>
      </c>
      <c r="JL661" s="2877">
        <f t="shared" si="253"/>
        <v>0</v>
      </c>
      <c r="JM661" s="2877">
        <f t="shared" si="254"/>
        <v>0</v>
      </c>
      <c r="JN661" s="2877">
        <f t="shared" si="255"/>
        <v>0</v>
      </c>
      <c r="JO661" s="2877">
        <f t="shared" si="256"/>
        <v>0</v>
      </c>
      <c r="JP661" s="2877">
        <f t="shared" si="257"/>
        <v>0</v>
      </c>
    </row>
    <row r="662" spans="1:277" ht="12" customHeight="1">
      <c r="A662" s="2891" t="str">
        <f t="shared" si="0"/>
        <v/>
      </c>
      <c r="B662" s="2900" t="str">
        <f>'Part VI-Revenues &amp; Expenses'!B42</f>
        <v>&lt;&lt;Select&gt;&gt;</v>
      </c>
      <c r="C662" s="2901">
        <f>'Part VI-Revenues &amp; Expenses'!C42</f>
        <v>0</v>
      </c>
      <c r="D662" s="2902">
        <f>'Part VI-Revenues &amp; Expenses'!D42</f>
        <v>0</v>
      </c>
      <c r="E662" s="2903">
        <f>'Part VI-Revenues &amp; Expenses'!E42</f>
        <v>0</v>
      </c>
      <c r="F662" s="2903">
        <f>'Part VI-Revenues &amp; Expenses'!F42</f>
        <v>0</v>
      </c>
      <c r="G662" s="2903">
        <f>'Part VI-Revenues &amp; Expenses'!G42</f>
        <v>0</v>
      </c>
      <c r="H662" s="2903">
        <f>'Part VI-Revenues &amp; Expenses'!H42</f>
        <v>0</v>
      </c>
      <c r="I662" s="2903">
        <f>'Part VI-Revenues &amp; Expenses'!I42</f>
        <v>0</v>
      </c>
      <c r="J662" s="2904">
        <f>'Part VI-Revenues &amp; Expenses'!J42</f>
        <v>0</v>
      </c>
      <c r="K662" s="2905">
        <f t="shared" si="1"/>
        <v>0</v>
      </c>
      <c r="L662" s="2905">
        <f t="shared" si="2"/>
        <v>0</v>
      </c>
      <c r="M662" s="2886">
        <f>'Part VI-Revenues &amp; Expenses'!M42</f>
        <v>0</v>
      </c>
      <c r="N662" s="2886">
        <f>'Part VI-Revenues &amp; Expenses'!N42</f>
        <v>0</v>
      </c>
      <c r="O662" s="2886">
        <f>'Part VI-Revenues &amp; Expenses'!O42</f>
        <v>0</v>
      </c>
      <c r="P662" s="2886">
        <f>'Part VI-Revenues &amp; Expenses'!P42</f>
        <v>0</v>
      </c>
      <c r="Q662" s="2906">
        <f>IF(H662="","",P662/($O$626*VLOOKUP(C662,'DCA Underwriting Assumptions'!$J$118:$K$123,2,FALSE)))</f>
        <v>0</v>
      </c>
      <c r="R662" s="2907"/>
      <c r="S662" s="2906"/>
      <c r="T662" s="2908"/>
      <c r="U662" s="2908"/>
      <c r="V662" s="1247" t="str">
        <f t="shared" si="3"/>
        <v/>
      </c>
      <c r="W662" s="1247" t="str">
        <f t="shared" si="4"/>
        <v/>
      </c>
      <c r="X662" s="1247" t="str">
        <f t="shared" si="5"/>
        <v/>
      </c>
      <c r="Y662" s="1247" t="str">
        <f t="shared" si="6"/>
        <v/>
      </c>
      <c r="Z662" s="1247" t="str">
        <f t="shared" si="7"/>
        <v/>
      </c>
      <c r="AA662" s="1247" t="str">
        <f t="shared" si="8"/>
        <v/>
      </c>
      <c r="AB662" s="1247" t="str">
        <f t="shared" si="9"/>
        <v/>
      </c>
      <c r="AC662" s="1247" t="str">
        <f t="shared" si="10"/>
        <v/>
      </c>
      <c r="AD662" s="1247" t="str">
        <f t="shared" si="11"/>
        <v/>
      </c>
      <c r="AE662" s="1247" t="str">
        <f t="shared" si="12"/>
        <v/>
      </c>
      <c r="AF662" s="1247" t="str">
        <f t="shared" si="13"/>
        <v/>
      </c>
      <c r="AG662" s="1247" t="str">
        <f t="shared" si="14"/>
        <v/>
      </c>
      <c r="AH662" s="1247" t="str">
        <f t="shared" si="15"/>
        <v/>
      </c>
      <c r="AI662" s="1247" t="str">
        <f t="shared" si="16"/>
        <v/>
      </c>
      <c r="AJ662" s="1247" t="str">
        <f t="shared" si="17"/>
        <v/>
      </c>
      <c r="AK662" s="1247" t="str">
        <f t="shared" si="18"/>
        <v/>
      </c>
      <c r="AL662" s="1247" t="str">
        <f t="shared" si="19"/>
        <v/>
      </c>
      <c r="AM662" s="1247" t="str">
        <f t="shared" si="20"/>
        <v/>
      </c>
      <c r="AN662" s="1247" t="str">
        <f t="shared" si="21"/>
        <v/>
      </c>
      <c r="AO662" s="1247" t="str">
        <f t="shared" si="22"/>
        <v/>
      </c>
      <c r="AP662" s="1247" t="str">
        <f t="shared" si="23"/>
        <v/>
      </c>
      <c r="AQ662" s="1247" t="str">
        <f t="shared" si="24"/>
        <v/>
      </c>
      <c r="AR662" s="1247" t="str">
        <f t="shared" si="25"/>
        <v/>
      </c>
      <c r="AS662" s="1247" t="str">
        <f t="shared" si="26"/>
        <v/>
      </c>
      <c r="AT662" s="1247" t="str">
        <f t="shared" si="27"/>
        <v/>
      </c>
      <c r="AU662" s="1247" t="str">
        <f t="shared" si="28"/>
        <v/>
      </c>
      <c r="AV662" s="1247" t="str">
        <f t="shared" si="29"/>
        <v/>
      </c>
      <c r="AW662" s="1247" t="str">
        <f t="shared" si="30"/>
        <v/>
      </c>
      <c r="AX662" s="1247" t="str">
        <f t="shared" si="31"/>
        <v/>
      </c>
      <c r="AY662" s="1247" t="str">
        <f t="shared" si="32"/>
        <v/>
      </c>
      <c r="AZ662" s="1247" t="str">
        <f t="shared" si="33"/>
        <v/>
      </c>
      <c r="BA662" s="1247" t="str">
        <f t="shared" si="34"/>
        <v/>
      </c>
      <c r="BB662" s="1247" t="str">
        <f t="shared" si="35"/>
        <v/>
      </c>
      <c r="BC662" s="1247" t="str">
        <f t="shared" si="36"/>
        <v/>
      </c>
      <c r="BD662" s="1247" t="str">
        <f t="shared" si="37"/>
        <v/>
      </c>
      <c r="BE662" s="1247" t="str">
        <f t="shared" si="38"/>
        <v/>
      </c>
      <c r="BF662" s="1247" t="str">
        <f t="shared" si="39"/>
        <v/>
      </c>
      <c r="BG662" s="1247" t="str">
        <f t="shared" si="40"/>
        <v/>
      </c>
      <c r="BH662" s="1247" t="str">
        <f t="shared" si="41"/>
        <v/>
      </c>
      <c r="BI662" s="1247" t="str">
        <f t="shared" si="42"/>
        <v/>
      </c>
      <c r="BJ662" s="1247" t="str">
        <f t="shared" si="43"/>
        <v/>
      </c>
      <c r="BK662" s="1247" t="str">
        <f t="shared" si="44"/>
        <v/>
      </c>
      <c r="BL662" s="1247" t="str">
        <f t="shared" si="45"/>
        <v/>
      </c>
      <c r="BM662" s="1247" t="str">
        <f t="shared" si="46"/>
        <v/>
      </c>
      <c r="BN662" s="1247" t="str">
        <f t="shared" si="47"/>
        <v/>
      </c>
      <c r="BO662" s="1247" t="str">
        <f t="shared" si="48"/>
        <v/>
      </c>
      <c r="BP662" s="1247" t="str">
        <f t="shared" si="49"/>
        <v/>
      </c>
      <c r="BQ662" s="1247" t="str">
        <f t="shared" si="50"/>
        <v/>
      </c>
      <c r="BR662" s="1247" t="str">
        <f t="shared" si="51"/>
        <v/>
      </c>
      <c r="BS662" s="1247" t="str">
        <f t="shared" si="52"/>
        <v/>
      </c>
      <c r="BT662" s="1247" t="str">
        <f t="shared" si="53"/>
        <v/>
      </c>
      <c r="BU662" s="1247" t="str">
        <f t="shared" si="54"/>
        <v/>
      </c>
      <c r="BV662" s="1247" t="str">
        <f t="shared" si="55"/>
        <v/>
      </c>
      <c r="BW662" s="1247" t="str">
        <f t="shared" si="56"/>
        <v/>
      </c>
      <c r="BX662" s="1247" t="str">
        <f t="shared" si="57"/>
        <v/>
      </c>
      <c r="BY662" s="1247" t="str">
        <f t="shared" si="58"/>
        <v/>
      </c>
      <c r="BZ662" s="1247" t="str">
        <f t="shared" si="59"/>
        <v/>
      </c>
      <c r="CA662" s="1247" t="str">
        <f t="shared" si="60"/>
        <v/>
      </c>
      <c r="CB662" s="1247" t="str">
        <f t="shared" si="61"/>
        <v/>
      </c>
      <c r="CC662" s="1247" t="str">
        <f t="shared" si="62"/>
        <v/>
      </c>
      <c r="CD662" s="1247" t="str">
        <f t="shared" si="63"/>
        <v/>
      </c>
      <c r="CE662" s="1247" t="str">
        <f t="shared" si="64"/>
        <v/>
      </c>
      <c r="CF662" s="1247" t="str">
        <f t="shared" si="65"/>
        <v/>
      </c>
      <c r="CG662" s="1247" t="str">
        <f t="shared" si="66"/>
        <v/>
      </c>
      <c r="CH662" s="1247" t="str">
        <f t="shared" si="67"/>
        <v/>
      </c>
      <c r="CI662" s="1247" t="str">
        <f t="shared" si="68"/>
        <v/>
      </c>
      <c r="CJ662" s="1247" t="str">
        <f t="shared" si="69"/>
        <v/>
      </c>
      <c r="CK662" s="1247" t="str">
        <f t="shared" si="70"/>
        <v/>
      </c>
      <c r="CL662" s="1247" t="str">
        <f t="shared" si="71"/>
        <v/>
      </c>
      <c r="CM662" s="1247" t="str">
        <f t="shared" si="72"/>
        <v/>
      </c>
      <c r="CN662" s="1247" t="str">
        <f t="shared" si="73"/>
        <v/>
      </c>
      <c r="CO662" s="1247" t="str">
        <f t="shared" si="74"/>
        <v/>
      </c>
      <c r="CP662" s="1247" t="str">
        <f t="shared" si="75"/>
        <v/>
      </c>
      <c r="CQ662" s="1247" t="str">
        <f t="shared" si="76"/>
        <v/>
      </c>
      <c r="CR662" s="1247" t="str">
        <f t="shared" si="77"/>
        <v/>
      </c>
      <c r="CS662" s="1247" t="str">
        <f t="shared" si="78"/>
        <v/>
      </c>
      <c r="CT662" s="1247" t="str">
        <f t="shared" si="79"/>
        <v/>
      </c>
      <c r="CU662" s="1247" t="str">
        <f t="shared" si="80"/>
        <v/>
      </c>
      <c r="CV662" s="1247" t="str">
        <f t="shared" si="81"/>
        <v/>
      </c>
      <c r="CW662" s="1247" t="str">
        <f t="shared" si="82"/>
        <v/>
      </c>
      <c r="CX662" s="1247" t="str">
        <f t="shared" si="83"/>
        <v/>
      </c>
      <c r="CY662" s="1247" t="str">
        <f t="shared" si="84"/>
        <v/>
      </c>
      <c r="CZ662" s="1247" t="str">
        <f t="shared" si="85"/>
        <v/>
      </c>
      <c r="DA662" s="1247" t="str">
        <f t="shared" si="86"/>
        <v/>
      </c>
      <c r="DB662" s="1247" t="str">
        <f t="shared" si="87"/>
        <v/>
      </c>
      <c r="DC662" s="1247" t="str">
        <f t="shared" si="88"/>
        <v/>
      </c>
      <c r="DD662" s="1247" t="str">
        <f t="shared" si="89"/>
        <v/>
      </c>
      <c r="DE662" s="1247" t="str">
        <f t="shared" si="90"/>
        <v/>
      </c>
      <c r="DF662" s="1247" t="str">
        <f t="shared" si="91"/>
        <v/>
      </c>
      <c r="DG662" s="1247" t="str">
        <f t="shared" si="92"/>
        <v/>
      </c>
      <c r="DH662" s="1247" t="str">
        <f t="shared" si="93"/>
        <v/>
      </c>
      <c r="DI662" s="1247" t="str">
        <f t="shared" si="94"/>
        <v/>
      </c>
      <c r="DJ662" s="1247" t="str">
        <f t="shared" si="95"/>
        <v/>
      </c>
      <c r="DK662" s="1247" t="str">
        <f t="shared" si="96"/>
        <v/>
      </c>
      <c r="DL662" s="1247" t="str">
        <f t="shared" si="97"/>
        <v/>
      </c>
      <c r="DM662" s="1247" t="str">
        <f t="shared" si="98"/>
        <v/>
      </c>
      <c r="DN662" s="1247" t="str">
        <f t="shared" si="99"/>
        <v/>
      </c>
      <c r="DO662" s="1247" t="str">
        <f t="shared" si="100"/>
        <v/>
      </c>
      <c r="DP662" s="1247" t="str">
        <f t="shared" si="101"/>
        <v/>
      </c>
      <c r="DQ662" s="1247" t="str">
        <f t="shared" si="102"/>
        <v/>
      </c>
      <c r="DR662" s="1247" t="str">
        <f t="shared" si="103"/>
        <v/>
      </c>
      <c r="DS662" s="1247" t="str">
        <f t="shared" si="104"/>
        <v/>
      </c>
      <c r="DT662" s="1247" t="str">
        <f t="shared" si="105"/>
        <v/>
      </c>
      <c r="DU662" s="1247" t="str">
        <f t="shared" si="106"/>
        <v/>
      </c>
      <c r="DV662" s="1247" t="str">
        <f t="shared" si="107"/>
        <v/>
      </c>
      <c r="DW662" s="1247" t="str">
        <f t="shared" si="108"/>
        <v/>
      </c>
      <c r="DX662" s="1247" t="str">
        <f t="shared" si="109"/>
        <v/>
      </c>
      <c r="DY662" s="1247" t="str">
        <f t="shared" si="110"/>
        <v/>
      </c>
      <c r="DZ662" s="1247" t="str">
        <f t="shared" si="111"/>
        <v/>
      </c>
      <c r="EA662" s="1247" t="str">
        <f t="shared" si="112"/>
        <v/>
      </c>
      <c r="EB662" s="1247" t="str">
        <f t="shared" si="113"/>
        <v/>
      </c>
      <c r="EC662" s="1247" t="str">
        <f t="shared" si="114"/>
        <v/>
      </c>
      <c r="ED662" s="1247" t="str">
        <f t="shared" si="115"/>
        <v/>
      </c>
      <c r="EE662" s="1247" t="str">
        <f t="shared" si="116"/>
        <v/>
      </c>
      <c r="EF662" s="1247" t="str">
        <f t="shared" si="117"/>
        <v/>
      </c>
      <c r="EG662" s="1247" t="str">
        <f t="shared" si="118"/>
        <v/>
      </c>
      <c r="EH662" s="1247" t="str">
        <f t="shared" si="119"/>
        <v/>
      </c>
      <c r="EI662" s="1247" t="str">
        <f t="shared" si="120"/>
        <v/>
      </c>
      <c r="EJ662" s="1247" t="str">
        <f t="shared" si="121"/>
        <v/>
      </c>
      <c r="EK662" s="1247" t="str">
        <f t="shared" si="122"/>
        <v/>
      </c>
      <c r="EL662" s="1247" t="str">
        <f t="shared" si="123"/>
        <v/>
      </c>
      <c r="EM662" s="1247" t="str">
        <f t="shared" si="124"/>
        <v/>
      </c>
      <c r="EN662" s="1247" t="str">
        <f t="shared" si="125"/>
        <v/>
      </c>
      <c r="EO662" s="1247" t="str">
        <f t="shared" si="126"/>
        <v/>
      </c>
      <c r="EP662" s="1247" t="str">
        <f t="shared" si="127"/>
        <v/>
      </c>
      <c r="EQ662" s="1247" t="str">
        <f t="shared" si="128"/>
        <v/>
      </c>
      <c r="ER662" s="1247" t="str">
        <f t="shared" si="129"/>
        <v/>
      </c>
      <c r="ES662" s="1247" t="str">
        <f t="shared" si="130"/>
        <v/>
      </c>
      <c r="ET662" s="1247" t="str">
        <f t="shared" si="131"/>
        <v/>
      </c>
      <c r="EU662" s="1247" t="str">
        <f t="shared" si="132"/>
        <v/>
      </c>
      <c r="EV662" s="2909" t="str">
        <f t="shared" si="133"/>
        <v/>
      </c>
      <c r="EW662" s="2909" t="str">
        <f t="shared" si="134"/>
        <v/>
      </c>
      <c r="EX662" s="2909" t="str">
        <f t="shared" si="135"/>
        <v/>
      </c>
      <c r="EY662" s="2909" t="str">
        <f t="shared" si="136"/>
        <v/>
      </c>
      <c r="EZ662" s="2909" t="str">
        <f t="shared" si="137"/>
        <v/>
      </c>
      <c r="FA662" s="2909" t="str">
        <f t="shared" si="138"/>
        <v/>
      </c>
      <c r="FB662" s="2909" t="str">
        <f t="shared" si="139"/>
        <v/>
      </c>
      <c r="FC662" s="2909" t="str">
        <f t="shared" si="140"/>
        <v/>
      </c>
      <c r="FD662" s="2909" t="str">
        <f t="shared" si="141"/>
        <v/>
      </c>
      <c r="FE662" s="2909" t="str">
        <f t="shared" si="142"/>
        <v/>
      </c>
      <c r="FF662" s="2909" t="str">
        <f t="shared" si="143"/>
        <v/>
      </c>
      <c r="FG662" s="2909" t="str">
        <f t="shared" si="144"/>
        <v/>
      </c>
      <c r="FH662" s="2909" t="str">
        <f t="shared" si="145"/>
        <v/>
      </c>
      <c r="FI662" s="2909" t="str">
        <f t="shared" si="146"/>
        <v/>
      </c>
      <c r="FJ662" s="2909" t="str">
        <f t="shared" si="147"/>
        <v/>
      </c>
      <c r="FK662" s="2909" t="str">
        <f t="shared" si="148"/>
        <v/>
      </c>
      <c r="FL662" s="2909" t="str">
        <f t="shared" si="149"/>
        <v/>
      </c>
      <c r="FM662" s="2909" t="str">
        <f t="shared" si="150"/>
        <v/>
      </c>
      <c r="FN662" s="2909" t="str">
        <f t="shared" si="151"/>
        <v/>
      </c>
      <c r="FO662" s="2909" t="str">
        <f t="shared" si="152"/>
        <v/>
      </c>
      <c r="FP662" s="2909" t="str">
        <f t="shared" si="153"/>
        <v/>
      </c>
      <c r="FQ662" s="2909" t="str">
        <f t="shared" si="154"/>
        <v/>
      </c>
      <c r="FR662" s="2909" t="str">
        <f t="shared" si="155"/>
        <v/>
      </c>
      <c r="FS662" s="2909" t="str">
        <f t="shared" si="156"/>
        <v/>
      </c>
      <c r="FT662" s="2909" t="str">
        <f t="shared" si="157"/>
        <v/>
      </c>
      <c r="FU662" s="2909" t="str">
        <f t="shared" si="158"/>
        <v/>
      </c>
      <c r="FV662" s="2909" t="str">
        <f t="shared" si="159"/>
        <v/>
      </c>
      <c r="FW662" s="2909" t="str">
        <f t="shared" si="160"/>
        <v/>
      </c>
      <c r="FX662" s="2909" t="str">
        <f t="shared" si="161"/>
        <v/>
      </c>
      <c r="FY662" s="2909" t="str">
        <f t="shared" si="162"/>
        <v/>
      </c>
      <c r="FZ662" s="2909" t="str">
        <f t="shared" si="163"/>
        <v/>
      </c>
      <c r="GA662" s="2909" t="str">
        <f t="shared" si="164"/>
        <v/>
      </c>
      <c r="GB662" s="2909" t="str">
        <f t="shared" si="165"/>
        <v/>
      </c>
      <c r="GC662" s="2909" t="str">
        <f t="shared" si="166"/>
        <v/>
      </c>
      <c r="GD662" s="2909" t="str">
        <f t="shared" si="167"/>
        <v/>
      </c>
      <c r="GE662" s="2909" t="str">
        <f t="shared" si="168"/>
        <v/>
      </c>
      <c r="GF662" s="2909" t="str">
        <f t="shared" si="169"/>
        <v/>
      </c>
      <c r="GG662" s="2909" t="str">
        <f t="shared" si="170"/>
        <v/>
      </c>
      <c r="GH662" s="2909" t="str">
        <f t="shared" si="171"/>
        <v/>
      </c>
      <c r="GI662" s="2909" t="str">
        <f t="shared" si="172"/>
        <v/>
      </c>
      <c r="GJ662" s="2909" t="str">
        <f t="shared" si="173"/>
        <v/>
      </c>
      <c r="GK662" s="2909" t="str">
        <f t="shared" si="174"/>
        <v/>
      </c>
      <c r="GL662" s="2909" t="str">
        <f t="shared" si="175"/>
        <v/>
      </c>
      <c r="GM662" s="2909" t="str">
        <f t="shared" si="176"/>
        <v/>
      </c>
      <c r="GN662" s="2909" t="str">
        <f t="shared" si="177"/>
        <v/>
      </c>
      <c r="GO662" s="2909" t="str">
        <f t="shared" si="178"/>
        <v/>
      </c>
      <c r="GP662" s="2909" t="str">
        <f t="shared" si="179"/>
        <v/>
      </c>
      <c r="GQ662" s="2909" t="str">
        <f t="shared" si="180"/>
        <v/>
      </c>
      <c r="GR662" s="2909" t="str">
        <f t="shared" si="181"/>
        <v/>
      </c>
      <c r="GS662" s="2909" t="str">
        <f t="shared" si="182"/>
        <v/>
      </c>
      <c r="GT662" s="2909" t="str">
        <f t="shared" si="183"/>
        <v/>
      </c>
      <c r="GU662" s="2909" t="str">
        <f t="shared" si="184"/>
        <v/>
      </c>
      <c r="GV662" s="2909" t="str">
        <f t="shared" si="185"/>
        <v/>
      </c>
      <c r="GW662" s="2909" t="str">
        <f t="shared" si="186"/>
        <v/>
      </c>
      <c r="GX662" s="2909" t="str">
        <f t="shared" si="187"/>
        <v/>
      </c>
      <c r="GY662" s="2909" t="str">
        <f t="shared" si="188"/>
        <v/>
      </c>
      <c r="GZ662" s="2909" t="str">
        <f t="shared" si="189"/>
        <v/>
      </c>
      <c r="HA662" s="2909" t="str">
        <f t="shared" si="190"/>
        <v/>
      </c>
      <c r="HB662" s="2909" t="str">
        <f t="shared" si="191"/>
        <v/>
      </c>
      <c r="HC662" s="2909" t="str">
        <f t="shared" si="192"/>
        <v/>
      </c>
      <c r="HD662" s="2909" t="str">
        <f t="shared" si="193"/>
        <v/>
      </c>
      <c r="HE662" s="2909" t="str">
        <f t="shared" si="194"/>
        <v/>
      </c>
      <c r="HF662" s="2909" t="str">
        <f t="shared" si="195"/>
        <v/>
      </c>
      <c r="HG662" s="2909" t="str">
        <f t="shared" si="196"/>
        <v/>
      </c>
      <c r="HH662" s="2909" t="str">
        <f t="shared" si="197"/>
        <v/>
      </c>
      <c r="HI662" s="2909" t="str">
        <f t="shared" si="198"/>
        <v/>
      </c>
      <c r="HJ662" s="2909" t="str">
        <f t="shared" si="199"/>
        <v/>
      </c>
      <c r="HK662" s="2909" t="str">
        <f t="shared" si="200"/>
        <v/>
      </c>
      <c r="HL662" s="2909" t="str">
        <f t="shared" si="201"/>
        <v/>
      </c>
      <c r="HM662" s="2909" t="str">
        <f t="shared" si="202"/>
        <v/>
      </c>
      <c r="HN662" s="2909" t="str">
        <f t="shared" si="203"/>
        <v/>
      </c>
      <c r="HO662" s="2909" t="str">
        <f t="shared" si="204"/>
        <v/>
      </c>
      <c r="HP662" s="2909" t="str">
        <f t="shared" si="205"/>
        <v/>
      </c>
      <c r="HQ662" s="2909" t="str">
        <f t="shared" si="206"/>
        <v/>
      </c>
      <c r="HR662" s="2909" t="str">
        <f t="shared" si="207"/>
        <v/>
      </c>
      <c r="HS662" s="2909" t="str">
        <f t="shared" si="208"/>
        <v/>
      </c>
      <c r="HT662" s="2909" t="str">
        <f t="shared" si="209"/>
        <v/>
      </c>
      <c r="HU662" s="2909" t="str">
        <f t="shared" si="210"/>
        <v/>
      </c>
      <c r="HV662" s="2909" t="str">
        <f t="shared" si="211"/>
        <v/>
      </c>
      <c r="HW662" s="2909" t="str">
        <f t="shared" si="212"/>
        <v/>
      </c>
      <c r="HX662" s="2909" t="str">
        <f t="shared" si="213"/>
        <v/>
      </c>
      <c r="HY662" s="2909" t="str">
        <f t="shared" si="214"/>
        <v/>
      </c>
      <c r="HZ662" s="2909" t="str">
        <f t="shared" si="215"/>
        <v/>
      </c>
      <c r="IA662" s="2909" t="str">
        <f t="shared" si="216"/>
        <v/>
      </c>
      <c r="IB662" s="2909" t="str">
        <f t="shared" si="217"/>
        <v/>
      </c>
      <c r="IC662" s="2879" t="str">
        <f t="shared" si="218"/>
        <v/>
      </c>
      <c r="ID662" s="2879" t="str">
        <f t="shared" si="219"/>
        <v/>
      </c>
      <c r="IE662" s="2879" t="str">
        <f t="shared" si="220"/>
        <v/>
      </c>
      <c r="IF662" s="2879" t="str">
        <f t="shared" si="221"/>
        <v/>
      </c>
      <c r="IG662" s="2879" t="str">
        <f t="shared" si="222"/>
        <v/>
      </c>
      <c r="IH662" s="1247" t="str">
        <f t="shared" si="223"/>
        <v/>
      </c>
      <c r="II662" s="1247" t="str">
        <f t="shared" si="224"/>
        <v/>
      </c>
      <c r="IJ662" s="1247" t="str">
        <f t="shared" si="225"/>
        <v/>
      </c>
      <c r="IK662" s="1247" t="str">
        <f t="shared" si="226"/>
        <v/>
      </c>
      <c r="IL662" s="1247" t="str">
        <f t="shared" si="227"/>
        <v/>
      </c>
      <c r="IM662" s="1247" t="str">
        <f t="shared" si="228"/>
        <v/>
      </c>
      <c r="IN662" s="1247" t="str">
        <f t="shared" si="229"/>
        <v/>
      </c>
      <c r="IO662" s="1247" t="str">
        <f t="shared" si="230"/>
        <v/>
      </c>
      <c r="IP662" s="1247" t="str">
        <f t="shared" si="231"/>
        <v/>
      </c>
      <c r="IQ662" s="1247" t="str">
        <f t="shared" si="232"/>
        <v/>
      </c>
      <c r="IR662" s="1247" t="str">
        <f t="shared" si="233"/>
        <v/>
      </c>
      <c r="IS662" s="1247" t="str">
        <f t="shared" si="234"/>
        <v/>
      </c>
      <c r="IT662" s="1247" t="str">
        <f t="shared" si="235"/>
        <v/>
      </c>
      <c r="IU662" s="1247" t="str">
        <f t="shared" si="236"/>
        <v/>
      </c>
      <c r="IV662" s="1247" t="str">
        <f t="shared" si="237"/>
        <v/>
      </c>
      <c r="IW662" s="1247" t="str">
        <f t="shared" si="238"/>
        <v/>
      </c>
      <c r="IX662" s="1247" t="str">
        <f t="shared" si="239"/>
        <v/>
      </c>
      <c r="IY662" s="1247" t="str">
        <f t="shared" si="240"/>
        <v/>
      </c>
      <c r="IZ662" s="1247" t="str">
        <f t="shared" si="241"/>
        <v/>
      </c>
      <c r="JA662" s="1247" t="str">
        <f t="shared" si="242"/>
        <v/>
      </c>
      <c r="JB662" s="2877">
        <f t="shared" si="243"/>
        <v>0</v>
      </c>
      <c r="JC662" s="2877">
        <f t="shared" si="244"/>
        <v>0</v>
      </c>
      <c r="JD662" s="2877">
        <f t="shared" si="245"/>
        <v>0</v>
      </c>
      <c r="JE662" s="2877">
        <f t="shared" si="246"/>
        <v>0</v>
      </c>
      <c r="JF662" s="2877">
        <f t="shared" si="247"/>
        <v>0</v>
      </c>
      <c r="JG662" s="2877">
        <f t="shared" si="248"/>
        <v>0</v>
      </c>
      <c r="JH662" s="2877">
        <f t="shared" si="249"/>
        <v>0</v>
      </c>
      <c r="JI662" s="2877">
        <f t="shared" si="250"/>
        <v>0</v>
      </c>
      <c r="JJ662" s="2877">
        <f t="shared" si="251"/>
        <v>0</v>
      </c>
      <c r="JK662" s="2877">
        <f t="shared" si="252"/>
        <v>0</v>
      </c>
      <c r="JL662" s="2877">
        <f t="shared" si="253"/>
        <v>0</v>
      </c>
      <c r="JM662" s="2877">
        <f t="shared" si="254"/>
        <v>0</v>
      </c>
      <c r="JN662" s="2877">
        <f t="shared" si="255"/>
        <v>0</v>
      </c>
      <c r="JO662" s="2877">
        <f t="shared" si="256"/>
        <v>0</v>
      </c>
      <c r="JP662" s="2877">
        <f t="shared" si="257"/>
        <v>0</v>
      </c>
    </row>
    <row r="663" spans="1:277" ht="12" customHeight="1">
      <c r="A663" s="2891" t="str">
        <f t="shared" si="0"/>
        <v/>
      </c>
      <c r="B663" s="2900" t="str">
        <f>'Part VI-Revenues &amp; Expenses'!B43</f>
        <v>&lt;&lt;Select&gt;&gt;</v>
      </c>
      <c r="C663" s="2901">
        <f>'Part VI-Revenues &amp; Expenses'!C43</f>
        <v>0</v>
      </c>
      <c r="D663" s="2902">
        <f>'Part VI-Revenues &amp; Expenses'!D43</f>
        <v>0</v>
      </c>
      <c r="E663" s="2903">
        <f>'Part VI-Revenues &amp; Expenses'!E43</f>
        <v>0</v>
      </c>
      <c r="F663" s="2903">
        <f>'Part VI-Revenues &amp; Expenses'!F43</f>
        <v>0</v>
      </c>
      <c r="G663" s="2903">
        <f>'Part VI-Revenues &amp; Expenses'!G43</f>
        <v>0</v>
      </c>
      <c r="H663" s="2903">
        <f>'Part VI-Revenues &amp; Expenses'!H43</f>
        <v>0</v>
      </c>
      <c r="I663" s="2903">
        <f>'Part VI-Revenues &amp; Expenses'!I43</f>
        <v>0</v>
      </c>
      <c r="J663" s="2904">
        <f>'Part VI-Revenues &amp; Expenses'!J43</f>
        <v>0</v>
      </c>
      <c r="K663" s="2905">
        <f t="shared" si="1"/>
        <v>0</v>
      </c>
      <c r="L663" s="2905">
        <f t="shared" si="2"/>
        <v>0</v>
      </c>
      <c r="M663" s="2886">
        <f>'Part VI-Revenues &amp; Expenses'!M43</f>
        <v>0</v>
      </c>
      <c r="N663" s="2886">
        <f>'Part VI-Revenues &amp; Expenses'!N43</f>
        <v>0</v>
      </c>
      <c r="O663" s="2886">
        <f>'Part VI-Revenues &amp; Expenses'!O43</f>
        <v>0</v>
      </c>
      <c r="P663" s="2886">
        <f>'Part VI-Revenues &amp; Expenses'!P43</f>
        <v>0</v>
      </c>
      <c r="Q663" s="2906">
        <f>IF(H663="","",P663/($O$626*VLOOKUP(C663,'DCA Underwriting Assumptions'!$J$118:$K$123,2,FALSE)))</f>
        <v>0</v>
      </c>
      <c r="R663" s="2907"/>
      <c r="S663" s="2906"/>
      <c r="T663" s="2908"/>
      <c r="U663" s="2908"/>
      <c r="V663" s="1247" t="str">
        <f t="shared" si="3"/>
        <v/>
      </c>
      <c r="W663" s="1247" t="str">
        <f t="shared" si="4"/>
        <v/>
      </c>
      <c r="X663" s="1247" t="str">
        <f t="shared" si="5"/>
        <v/>
      </c>
      <c r="Y663" s="1247" t="str">
        <f t="shared" si="6"/>
        <v/>
      </c>
      <c r="Z663" s="1247" t="str">
        <f t="shared" si="7"/>
        <v/>
      </c>
      <c r="AA663" s="1247" t="str">
        <f t="shared" si="8"/>
        <v/>
      </c>
      <c r="AB663" s="1247" t="str">
        <f t="shared" si="9"/>
        <v/>
      </c>
      <c r="AC663" s="1247" t="str">
        <f t="shared" si="10"/>
        <v/>
      </c>
      <c r="AD663" s="1247" t="str">
        <f t="shared" si="11"/>
        <v/>
      </c>
      <c r="AE663" s="1247" t="str">
        <f t="shared" si="12"/>
        <v/>
      </c>
      <c r="AF663" s="1247" t="str">
        <f t="shared" si="13"/>
        <v/>
      </c>
      <c r="AG663" s="1247" t="str">
        <f t="shared" si="14"/>
        <v/>
      </c>
      <c r="AH663" s="1247" t="str">
        <f t="shared" si="15"/>
        <v/>
      </c>
      <c r="AI663" s="1247" t="str">
        <f t="shared" si="16"/>
        <v/>
      </c>
      <c r="AJ663" s="1247" t="str">
        <f t="shared" si="17"/>
        <v/>
      </c>
      <c r="AK663" s="1247" t="str">
        <f t="shared" si="18"/>
        <v/>
      </c>
      <c r="AL663" s="1247" t="str">
        <f t="shared" si="19"/>
        <v/>
      </c>
      <c r="AM663" s="1247" t="str">
        <f t="shared" si="20"/>
        <v/>
      </c>
      <c r="AN663" s="1247" t="str">
        <f t="shared" si="21"/>
        <v/>
      </c>
      <c r="AO663" s="1247" t="str">
        <f t="shared" si="22"/>
        <v/>
      </c>
      <c r="AP663" s="1247" t="str">
        <f t="shared" si="23"/>
        <v/>
      </c>
      <c r="AQ663" s="1247" t="str">
        <f t="shared" si="24"/>
        <v/>
      </c>
      <c r="AR663" s="1247" t="str">
        <f t="shared" si="25"/>
        <v/>
      </c>
      <c r="AS663" s="1247" t="str">
        <f t="shared" si="26"/>
        <v/>
      </c>
      <c r="AT663" s="1247" t="str">
        <f t="shared" si="27"/>
        <v/>
      </c>
      <c r="AU663" s="1247" t="str">
        <f t="shared" si="28"/>
        <v/>
      </c>
      <c r="AV663" s="1247" t="str">
        <f t="shared" si="29"/>
        <v/>
      </c>
      <c r="AW663" s="1247" t="str">
        <f t="shared" si="30"/>
        <v/>
      </c>
      <c r="AX663" s="1247" t="str">
        <f t="shared" si="31"/>
        <v/>
      </c>
      <c r="AY663" s="1247" t="str">
        <f t="shared" si="32"/>
        <v/>
      </c>
      <c r="AZ663" s="1247" t="str">
        <f t="shared" si="33"/>
        <v/>
      </c>
      <c r="BA663" s="1247" t="str">
        <f t="shared" si="34"/>
        <v/>
      </c>
      <c r="BB663" s="1247" t="str">
        <f t="shared" si="35"/>
        <v/>
      </c>
      <c r="BC663" s="1247" t="str">
        <f t="shared" si="36"/>
        <v/>
      </c>
      <c r="BD663" s="1247" t="str">
        <f t="shared" si="37"/>
        <v/>
      </c>
      <c r="BE663" s="1247" t="str">
        <f t="shared" si="38"/>
        <v/>
      </c>
      <c r="BF663" s="1247" t="str">
        <f t="shared" si="39"/>
        <v/>
      </c>
      <c r="BG663" s="1247" t="str">
        <f t="shared" si="40"/>
        <v/>
      </c>
      <c r="BH663" s="1247" t="str">
        <f t="shared" si="41"/>
        <v/>
      </c>
      <c r="BI663" s="1247" t="str">
        <f t="shared" si="42"/>
        <v/>
      </c>
      <c r="BJ663" s="1247" t="str">
        <f t="shared" si="43"/>
        <v/>
      </c>
      <c r="BK663" s="1247" t="str">
        <f t="shared" si="44"/>
        <v/>
      </c>
      <c r="BL663" s="1247" t="str">
        <f t="shared" si="45"/>
        <v/>
      </c>
      <c r="BM663" s="1247" t="str">
        <f t="shared" si="46"/>
        <v/>
      </c>
      <c r="BN663" s="1247" t="str">
        <f t="shared" si="47"/>
        <v/>
      </c>
      <c r="BO663" s="1247" t="str">
        <f t="shared" si="48"/>
        <v/>
      </c>
      <c r="BP663" s="1247" t="str">
        <f t="shared" si="49"/>
        <v/>
      </c>
      <c r="BQ663" s="1247" t="str">
        <f t="shared" si="50"/>
        <v/>
      </c>
      <c r="BR663" s="1247" t="str">
        <f t="shared" si="51"/>
        <v/>
      </c>
      <c r="BS663" s="1247" t="str">
        <f t="shared" si="52"/>
        <v/>
      </c>
      <c r="BT663" s="1247" t="str">
        <f t="shared" si="53"/>
        <v/>
      </c>
      <c r="BU663" s="1247" t="str">
        <f t="shared" si="54"/>
        <v/>
      </c>
      <c r="BV663" s="1247" t="str">
        <f t="shared" si="55"/>
        <v/>
      </c>
      <c r="BW663" s="1247" t="str">
        <f t="shared" si="56"/>
        <v/>
      </c>
      <c r="BX663" s="1247" t="str">
        <f t="shared" si="57"/>
        <v/>
      </c>
      <c r="BY663" s="1247" t="str">
        <f t="shared" si="58"/>
        <v/>
      </c>
      <c r="BZ663" s="1247" t="str">
        <f t="shared" si="59"/>
        <v/>
      </c>
      <c r="CA663" s="1247" t="str">
        <f t="shared" si="60"/>
        <v/>
      </c>
      <c r="CB663" s="1247" t="str">
        <f t="shared" si="61"/>
        <v/>
      </c>
      <c r="CC663" s="1247" t="str">
        <f t="shared" si="62"/>
        <v/>
      </c>
      <c r="CD663" s="1247" t="str">
        <f t="shared" si="63"/>
        <v/>
      </c>
      <c r="CE663" s="1247" t="str">
        <f t="shared" si="64"/>
        <v/>
      </c>
      <c r="CF663" s="1247" t="str">
        <f t="shared" si="65"/>
        <v/>
      </c>
      <c r="CG663" s="1247" t="str">
        <f t="shared" si="66"/>
        <v/>
      </c>
      <c r="CH663" s="1247" t="str">
        <f t="shared" si="67"/>
        <v/>
      </c>
      <c r="CI663" s="1247" t="str">
        <f t="shared" si="68"/>
        <v/>
      </c>
      <c r="CJ663" s="1247" t="str">
        <f t="shared" si="69"/>
        <v/>
      </c>
      <c r="CK663" s="1247" t="str">
        <f t="shared" si="70"/>
        <v/>
      </c>
      <c r="CL663" s="1247" t="str">
        <f t="shared" si="71"/>
        <v/>
      </c>
      <c r="CM663" s="1247" t="str">
        <f t="shared" si="72"/>
        <v/>
      </c>
      <c r="CN663" s="1247" t="str">
        <f t="shared" si="73"/>
        <v/>
      </c>
      <c r="CO663" s="1247" t="str">
        <f t="shared" si="74"/>
        <v/>
      </c>
      <c r="CP663" s="1247" t="str">
        <f t="shared" si="75"/>
        <v/>
      </c>
      <c r="CQ663" s="1247" t="str">
        <f t="shared" si="76"/>
        <v/>
      </c>
      <c r="CR663" s="1247" t="str">
        <f t="shared" si="77"/>
        <v/>
      </c>
      <c r="CS663" s="1247" t="str">
        <f t="shared" si="78"/>
        <v/>
      </c>
      <c r="CT663" s="1247" t="str">
        <f t="shared" si="79"/>
        <v/>
      </c>
      <c r="CU663" s="1247" t="str">
        <f t="shared" si="80"/>
        <v/>
      </c>
      <c r="CV663" s="1247" t="str">
        <f t="shared" si="81"/>
        <v/>
      </c>
      <c r="CW663" s="1247" t="str">
        <f t="shared" si="82"/>
        <v/>
      </c>
      <c r="CX663" s="1247" t="str">
        <f t="shared" si="83"/>
        <v/>
      </c>
      <c r="CY663" s="1247" t="str">
        <f t="shared" si="84"/>
        <v/>
      </c>
      <c r="CZ663" s="1247" t="str">
        <f t="shared" si="85"/>
        <v/>
      </c>
      <c r="DA663" s="1247" t="str">
        <f t="shared" si="86"/>
        <v/>
      </c>
      <c r="DB663" s="1247" t="str">
        <f t="shared" si="87"/>
        <v/>
      </c>
      <c r="DC663" s="1247" t="str">
        <f t="shared" si="88"/>
        <v/>
      </c>
      <c r="DD663" s="1247" t="str">
        <f t="shared" si="89"/>
        <v/>
      </c>
      <c r="DE663" s="1247" t="str">
        <f t="shared" si="90"/>
        <v/>
      </c>
      <c r="DF663" s="1247" t="str">
        <f t="shared" si="91"/>
        <v/>
      </c>
      <c r="DG663" s="1247" t="str">
        <f t="shared" si="92"/>
        <v/>
      </c>
      <c r="DH663" s="1247" t="str">
        <f t="shared" si="93"/>
        <v/>
      </c>
      <c r="DI663" s="1247" t="str">
        <f t="shared" si="94"/>
        <v/>
      </c>
      <c r="DJ663" s="1247" t="str">
        <f t="shared" si="95"/>
        <v/>
      </c>
      <c r="DK663" s="1247" t="str">
        <f t="shared" si="96"/>
        <v/>
      </c>
      <c r="DL663" s="1247" t="str">
        <f t="shared" si="97"/>
        <v/>
      </c>
      <c r="DM663" s="1247" t="str">
        <f t="shared" si="98"/>
        <v/>
      </c>
      <c r="DN663" s="1247" t="str">
        <f t="shared" si="99"/>
        <v/>
      </c>
      <c r="DO663" s="1247" t="str">
        <f t="shared" si="100"/>
        <v/>
      </c>
      <c r="DP663" s="1247" t="str">
        <f t="shared" si="101"/>
        <v/>
      </c>
      <c r="DQ663" s="1247" t="str">
        <f t="shared" si="102"/>
        <v/>
      </c>
      <c r="DR663" s="1247" t="str">
        <f t="shared" si="103"/>
        <v/>
      </c>
      <c r="DS663" s="1247" t="str">
        <f t="shared" si="104"/>
        <v/>
      </c>
      <c r="DT663" s="1247" t="str">
        <f t="shared" si="105"/>
        <v/>
      </c>
      <c r="DU663" s="1247" t="str">
        <f t="shared" si="106"/>
        <v/>
      </c>
      <c r="DV663" s="1247" t="str">
        <f t="shared" si="107"/>
        <v/>
      </c>
      <c r="DW663" s="1247" t="str">
        <f t="shared" si="108"/>
        <v/>
      </c>
      <c r="DX663" s="1247" t="str">
        <f t="shared" si="109"/>
        <v/>
      </c>
      <c r="DY663" s="1247" t="str">
        <f t="shared" si="110"/>
        <v/>
      </c>
      <c r="DZ663" s="1247" t="str">
        <f t="shared" si="111"/>
        <v/>
      </c>
      <c r="EA663" s="1247" t="str">
        <f t="shared" si="112"/>
        <v/>
      </c>
      <c r="EB663" s="1247" t="str">
        <f t="shared" si="113"/>
        <v/>
      </c>
      <c r="EC663" s="1247" t="str">
        <f t="shared" si="114"/>
        <v/>
      </c>
      <c r="ED663" s="1247" t="str">
        <f t="shared" si="115"/>
        <v/>
      </c>
      <c r="EE663" s="1247" t="str">
        <f t="shared" si="116"/>
        <v/>
      </c>
      <c r="EF663" s="1247" t="str">
        <f t="shared" si="117"/>
        <v/>
      </c>
      <c r="EG663" s="1247" t="str">
        <f t="shared" si="118"/>
        <v/>
      </c>
      <c r="EH663" s="1247" t="str">
        <f t="shared" si="119"/>
        <v/>
      </c>
      <c r="EI663" s="1247" t="str">
        <f t="shared" si="120"/>
        <v/>
      </c>
      <c r="EJ663" s="1247" t="str">
        <f t="shared" si="121"/>
        <v/>
      </c>
      <c r="EK663" s="1247" t="str">
        <f t="shared" si="122"/>
        <v/>
      </c>
      <c r="EL663" s="1247" t="str">
        <f t="shared" si="123"/>
        <v/>
      </c>
      <c r="EM663" s="1247" t="str">
        <f t="shared" si="124"/>
        <v/>
      </c>
      <c r="EN663" s="1247" t="str">
        <f t="shared" si="125"/>
        <v/>
      </c>
      <c r="EO663" s="1247" t="str">
        <f t="shared" si="126"/>
        <v/>
      </c>
      <c r="EP663" s="1247" t="str">
        <f t="shared" si="127"/>
        <v/>
      </c>
      <c r="EQ663" s="1247" t="str">
        <f t="shared" si="128"/>
        <v/>
      </c>
      <c r="ER663" s="1247" t="str">
        <f t="shared" si="129"/>
        <v/>
      </c>
      <c r="ES663" s="1247" t="str">
        <f t="shared" si="130"/>
        <v/>
      </c>
      <c r="ET663" s="1247" t="str">
        <f t="shared" si="131"/>
        <v/>
      </c>
      <c r="EU663" s="1247" t="str">
        <f t="shared" si="132"/>
        <v/>
      </c>
      <c r="EV663" s="2909" t="str">
        <f t="shared" si="133"/>
        <v/>
      </c>
      <c r="EW663" s="2909" t="str">
        <f t="shared" si="134"/>
        <v/>
      </c>
      <c r="EX663" s="2909" t="str">
        <f t="shared" si="135"/>
        <v/>
      </c>
      <c r="EY663" s="2909" t="str">
        <f t="shared" si="136"/>
        <v/>
      </c>
      <c r="EZ663" s="2909" t="str">
        <f t="shared" si="137"/>
        <v/>
      </c>
      <c r="FA663" s="2909" t="str">
        <f t="shared" si="138"/>
        <v/>
      </c>
      <c r="FB663" s="2909" t="str">
        <f t="shared" si="139"/>
        <v/>
      </c>
      <c r="FC663" s="2909" t="str">
        <f t="shared" si="140"/>
        <v/>
      </c>
      <c r="FD663" s="2909" t="str">
        <f t="shared" si="141"/>
        <v/>
      </c>
      <c r="FE663" s="2909" t="str">
        <f t="shared" si="142"/>
        <v/>
      </c>
      <c r="FF663" s="2909" t="str">
        <f t="shared" si="143"/>
        <v/>
      </c>
      <c r="FG663" s="2909" t="str">
        <f t="shared" si="144"/>
        <v/>
      </c>
      <c r="FH663" s="2909" t="str">
        <f t="shared" si="145"/>
        <v/>
      </c>
      <c r="FI663" s="2909" t="str">
        <f t="shared" si="146"/>
        <v/>
      </c>
      <c r="FJ663" s="2909" t="str">
        <f t="shared" si="147"/>
        <v/>
      </c>
      <c r="FK663" s="2909" t="str">
        <f t="shared" si="148"/>
        <v/>
      </c>
      <c r="FL663" s="2909" t="str">
        <f t="shared" si="149"/>
        <v/>
      </c>
      <c r="FM663" s="2909" t="str">
        <f t="shared" si="150"/>
        <v/>
      </c>
      <c r="FN663" s="2909" t="str">
        <f t="shared" si="151"/>
        <v/>
      </c>
      <c r="FO663" s="2909" t="str">
        <f t="shared" si="152"/>
        <v/>
      </c>
      <c r="FP663" s="2909" t="str">
        <f t="shared" si="153"/>
        <v/>
      </c>
      <c r="FQ663" s="2909" t="str">
        <f t="shared" si="154"/>
        <v/>
      </c>
      <c r="FR663" s="2909" t="str">
        <f t="shared" si="155"/>
        <v/>
      </c>
      <c r="FS663" s="2909" t="str">
        <f t="shared" si="156"/>
        <v/>
      </c>
      <c r="FT663" s="2909" t="str">
        <f t="shared" si="157"/>
        <v/>
      </c>
      <c r="FU663" s="2909" t="str">
        <f t="shared" si="158"/>
        <v/>
      </c>
      <c r="FV663" s="2909" t="str">
        <f t="shared" si="159"/>
        <v/>
      </c>
      <c r="FW663" s="2909" t="str">
        <f t="shared" si="160"/>
        <v/>
      </c>
      <c r="FX663" s="2909" t="str">
        <f t="shared" si="161"/>
        <v/>
      </c>
      <c r="FY663" s="2909" t="str">
        <f t="shared" si="162"/>
        <v/>
      </c>
      <c r="FZ663" s="2909" t="str">
        <f t="shared" si="163"/>
        <v/>
      </c>
      <c r="GA663" s="2909" t="str">
        <f t="shared" si="164"/>
        <v/>
      </c>
      <c r="GB663" s="2909" t="str">
        <f t="shared" si="165"/>
        <v/>
      </c>
      <c r="GC663" s="2909" t="str">
        <f t="shared" si="166"/>
        <v/>
      </c>
      <c r="GD663" s="2909" t="str">
        <f t="shared" si="167"/>
        <v/>
      </c>
      <c r="GE663" s="2909" t="str">
        <f t="shared" si="168"/>
        <v/>
      </c>
      <c r="GF663" s="2909" t="str">
        <f t="shared" si="169"/>
        <v/>
      </c>
      <c r="GG663" s="2909" t="str">
        <f t="shared" si="170"/>
        <v/>
      </c>
      <c r="GH663" s="2909" t="str">
        <f t="shared" si="171"/>
        <v/>
      </c>
      <c r="GI663" s="2909" t="str">
        <f t="shared" si="172"/>
        <v/>
      </c>
      <c r="GJ663" s="2909" t="str">
        <f t="shared" si="173"/>
        <v/>
      </c>
      <c r="GK663" s="2909" t="str">
        <f t="shared" si="174"/>
        <v/>
      </c>
      <c r="GL663" s="2909" t="str">
        <f t="shared" si="175"/>
        <v/>
      </c>
      <c r="GM663" s="2909" t="str">
        <f t="shared" si="176"/>
        <v/>
      </c>
      <c r="GN663" s="2909" t="str">
        <f t="shared" si="177"/>
        <v/>
      </c>
      <c r="GO663" s="2909" t="str">
        <f t="shared" si="178"/>
        <v/>
      </c>
      <c r="GP663" s="2909" t="str">
        <f t="shared" si="179"/>
        <v/>
      </c>
      <c r="GQ663" s="2909" t="str">
        <f t="shared" si="180"/>
        <v/>
      </c>
      <c r="GR663" s="2909" t="str">
        <f t="shared" si="181"/>
        <v/>
      </c>
      <c r="GS663" s="2909" t="str">
        <f t="shared" si="182"/>
        <v/>
      </c>
      <c r="GT663" s="2909" t="str">
        <f t="shared" si="183"/>
        <v/>
      </c>
      <c r="GU663" s="2909" t="str">
        <f t="shared" si="184"/>
        <v/>
      </c>
      <c r="GV663" s="2909" t="str">
        <f t="shared" si="185"/>
        <v/>
      </c>
      <c r="GW663" s="2909" t="str">
        <f t="shared" si="186"/>
        <v/>
      </c>
      <c r="GX663" s="2909" t="str">
        <f t="shared" si="187"/>
        <v/>
      </c>
      <c r="GY663" s="2909" t="str">
        <f t="shared" si="188"/>
        <v/>
      </c>
      <c r="GZ663" s="2909" t="str">
        <f t="shared" si="189"/>
        <v/>
      </c>
      <c r="HA663" s="2909" t="str">
        <f t="shared" si="190"/>
        <v/>
      </c>
      <c r="HB663" s="2909" t="str">
        <f t="shared" si="191"/>
        <v/>
      </c>
      <c r="HC663" s="2909" t="str">
        <f t="shared" si="192"/>
        <v/>
      </c>
      <c r="HD663" s="2909" t="str">
        <f t="shared" si="193"/>
        <v/>
      </c>
      <c r="HE663" s="2909" t="str">
        <f t="shared" si="194"/>
        <v/>
      </c>
      <c r="HF663" s="2909" t="str">
        <f t="shared" si="195"/>
        <v/>
      </c>
      <c r="HG663" s="2909" t="str">
        <f t="shared" si="196"/>
        <v/>
      </c>
      <c r="HH663" s="2909" t="str">
        <f t="shared" si="197"/>
        <v/>
      </c>
      <c r="HI663" s="2909" t="str">
        <f t="shared" si="198"/>
        <v/>
      </c>
      <c r="HJ663" s="2909" t="str">
        <f t="shared" si="199"/>
        <v/>
      </c>
      <c r="HK663" s="2909" t="str">
        <f t="shared" si="200"/>
        <v/>
      </c>
      <c r="HL663" s="2909" t="str">
        <f t="shared" si="201"/>
        <v/>
      </c>
      <c r="HM663" s="2909" t="str">
        <f t="shared" si="202"/>
        <v/>
      </c>
      <c r="HN663" s="2909" t="str">
        <f t="shared" si="203"/>
        <v/>
      </c>
      <c r="HO663" s="2909" t="str">
        <f t="shared" si="204"/>
        <v/>
      </c>
      <c r="HP663" s="2909" t="str">
        <f t="shared" si="205"/>
        <v/>
      </c>
      <c r="HQ663" s="2909" t="str">
        <f t="shared" si="206"/>
        <v/>
      </c>
      <c r="HR663" s="2909" t="str">
        <f t="shared" si="207"/>
        <v/>
      </c>
      <c r="HS663" s="2909" t="str">
        <f t="shared" si="208"/>
        <v/>
      </c>
      <c r="HT663" s="2909" t="str">
        <f t="shared" si="209"/>
        <v/>
      </c>
      <c r="HU663" s="2909" t="str">
        <f t="shared" si="210"/>
        <v/>
      </c>
      <c r="HV663" s="2909" t="str">
        <f t="shared" si="211"/>
        <v/>
      </c>
      <c r="HW663" s="2909" t="str">
        <f t="shared" si="212"/>
        <v/>
      </c>
      <c r="HX663" s="2909" t="str">
        <f t="shared" si="213"/>
        <v/>
      </c>
      <c r="HY663" s="2909" t="str">
        <f t="shared" si="214"/>
        <v/>
      </c>
      <c r="HZ663" s="2909" t="str">
        <f t="shared" si="215"/>
        <v/>
      </c>
      <c r="IA663" s="2909" t="str">
        <f t="shared" si="216"/>
        <v/>
      </c>
      <c r="IB663" s="2909" t="str">
        <f t="shared" si="217"/>
        <v/>
      </c>
      <c r="IC663" s="2879" t="str">
        <f t="shared" si="218"/>
        <v/>
      </c>
      <c r="ID663" s="2879" t="str">
        <f t="shared" si="219"/>
        <v/>
      </c>
      <c r="IE663" s="2879" t="str">
        <f t="shared" si="220"/>
        <v/>
      </c>
      <c r="IF663" s="2879" t="str">
        <f t="shared" si="221"/>
        <v/>
      </c>
      <c r="IG663" s="2879" t="str">
        <f t="shared" si="222"/>
        <v/>
      </c>
      <c r="IH663" s="1247" t="str">
        <f t="shared" si="223"/>
        <v/>
      </c>
      <c r="II663" s="1247" t="str">
        <f t="shared" si="224"/>
        <v/>
      </c>
      <c r="IJ663" s="1247" t="str">
        <f t="shared" si="225"/>
        <v/>
      </c>
      <c r="IK663" s="1247" t="str">
        <f t="shared" si="226"/>
        <v/>
      </c>
      <c r="IL663" s="1247" t="str">
        <f t="shared" si="227"/>
        <v/>
      </c>
      <c r="IM663" s="1247" t="str">
        <f t="shared" si="228"/>
        <v/>
      </c>
      <c r="IN663" s="1247" t="str">
        <f t="shared" si="229"/>
        <v/>
      </c>
      <c r="IO663" s="1247" t="str">
        <f t="shared" si="230"/>
        <v/>
      </c>
      <c r="IP663" s="1247" t="str">
        <f t="shared" si="231"/>
        <v/>
      </c>
      <c r="IQ663" s="1247" t="str">
        <f t="shared" si="232"/>
        <v/>
      </c>
      <c r="IR663" s="1247" t="str">
        <f t="shared" si="233"/>
        <v/>
      </c>
      <c r="IS663" s="1247" t="str">
        <f t="shared" si="234"/>
        <v/>
      </c>
      <c r="IT663" s="1247" t="str">
        <f t="shared" si="235"/>
        <v/>
      </c>
      <c r="IU663" s="1247" t="str">
        <f t="shared" si="236"/>
        <v/>
      </c>
      <c r="IV663" s="1247" t="str">
        <f t="shared" si="237"/>
        <v/>
      </c>
      <c r="IW663" s="1247" t="str">
        <f t="shared" si="238"/>
        <v/>
      </c>
      <c r="IX663" s="1247" t="str">
        <f t="shared" si="239"/>
        <v/>
      </c>
      <c r="IY663" s="1247" t="str">
        <f t="shared" si="240"/>
        <v/>
      </c>
      <c r="IZ663" s="1247" t="str">
        <f t="shared" si="241"/>
        <v/>
      </c>
      <c r="JA663" s="1247" t="str">
        <f t="shared" si="242"/>
        <v/>
      </c>
      <c r="JB663" s="2877">
        <f t="shared" si="243"/>
        <v>0</v>
      </c>
      <c r="JC663" s="2877">
        <f t="shared" si="244"/>
        <v>0</v>
      </c>
      <c r="JD663" s="2877">
        <f t="shared" si="245"/>
        <v>0</v>
      </c>
      <c r="JE663" s="2877">
        <f t="shared" si="246"/>
        <v>0</v>
      </c>
      <c r="JF663" s="2877">
        <f t="shared" si="247"/>
        <v>0</v>
      </c>
      <c r="JG663" s="2877">
        <f t="shared" si="248"/>
        <v>0</v>
      </c>
      <c r="JH663" s="2877">
        <f t="shared" si="249"/>
        <v>0</v>
      </c>
      <c r="JI663" s="2877">
        <f t="shared" si="250"/>
        <v>0</v>
      </c>
      <c r="JJ663" s="2877">
        <f t="shared" si="251"/>
        <v>0</v>
      </c>
      <c r="JK663" s="2877">
        <f t="shared" si="252"/>
        <v>0</v>
      </c>
      <c r="JL663" s="2877">
        <f t="shared" si="253"/>
        <v>0</v>
      </c>
      <c r="JM663" s="2877">
        <f t="shared" si="254"/>
        <v>0</v>
      </c>
      <c r="JN663" s="2877">
        <f t="shared" si="255"/>
        <v>0</v>
      </c>
      <c r="JO663" s="2877">
        <f t="shared" si="256"/>
        <v>0</v>
      </c>
      <c r="JP663" s="2877">
        <f t="shared" si="257"/>
        <v>0</v>
      </c>
    </row>
    <row r="664" spans="1:277" ht="12" customHeight="1">
      <c r="A664" s="2891" t="str">
        <f t="shared" si="0"/>
        <v/>
      </c>
      <c r="B664" s="2900" t="str">
        <f>'Part VI-Revenues &amp; Expenses'!B44</f>
        <v>&lt;&lt;Select&gt;&gt;</v>
      </c>
      <c r="C664" s="2901">
        <f>'Part VI-Revenues &amp; Expenses'!C44</f>
        <v>0</v>
      </c>
      <c r="D664" s="2902">
        <f>'Part VI-Revenues &amp; Expenses'!D44</f>
        <v>0</v>
      </c>
      <c r="E664" s="2903">
        <f>'Part VI-Revenues &amp; Expenses'!E44</f>
        <v>0</v>
      </c>
      <c r="F664" s="2903">
        <f>'Part VI-Revenues &amp; Expenses'!F44</f>
        <v>0</v>
      </c>
      <c r="G664" s="2903">
        <f>'Part VI-Revenues &amp; Expenses'!G44</f>
        <v>0</v>
      </c>
      <c r="H664" s="2903">
        <f>'Part VI-Revenues &amp; Expenses'!H44</f>
        <v>0</v>
      </c>
      <c r="I664" s="2903">
        <f>'Part VI-Revenues &amp; Expenses'!I44</f>
        <v>0</v>
      </c>
      <c r="J664" s="2904">
        <f>'Part VI-Revenues &amp; Expenses'!J44</f>
        <v>0</v>
      </c>
      <c r="K664" s="2905">
        <f t="shared" si="1"/>
        <v>0</v>
      </c>
      <c r="L664" s="2905">
        <f t="shared" si="2"/>
        <v>0</v>
      </c>
      <c r="M664" s="2886">
        <f>'Part VI-Revenues &amp; Expenses'!M44</f>
        <v>0</v>
      </c>
      <c r="N664" s="2886">
        <f>'Part VI-Revenues &amp; Expenses'!N44</f>
        <v>0</v>
      </c>
      <c r="O664" s="2886">
        <f>'Part VI-Revenues &amp; Expenses'!O44</f>
        <v>0</v>
      </c>
      <c r="P664" s="2886">
        <f>'Part VI-Revenues &amp; Expenses'!P44</f>
        <v>0</v>
      </c>
      <c r="Q664" s="2906">
        <f>IF(H664="","",P664/($O$626*VLOOKUP(C664,'DCA Underwriting Assumptions'!$J$118:$K$123,2,FALSE)))</f>
        <v>0</v>
      </c>
      <c r="R664" s="2907"/>
      <c r="S664" s="2906"/>
      <c r="T664" s="2908"/>
      <c r="U664" s="2908"/>
      <c r="V664" s="1247" t="str">
        <f t="shared" si="3"/>
        <v/>
      </c>
      <c r="W664" s="1247" t="str">
        <f t="shared" si="4"/>
        <v/>
      </c>
      <c r="X664" s="1247" t="str">
        <f t="shared" si="5"/>
        <v/>
      </c>
      <c r="Y664" s="1247" t="str">
        <f t="shared" si="6"/>
        <v/>
      </c>
      <c r="Z664" s="1247" t="str">
        <f t="shared" si="7"/>
        <v/>
      </c>
      <c r="AA664" s="1247" t="str">
        <f t="shared" si="8"/>
        <v/>
      </c>
      <c r="AB664" s="1247" t="str">
        <f t="shared" si="9"/>
        <v/>
      </c>
      <c r="AC664" s="1247" t="str">
        <f t="shared" si="10"/>
        <v/>
      </c>
      <c r="AD664" s="1247" t="str">
        <f t="shared" si="11"/>
        <v/>
      </c>
      <c r="AE664" s="1247" t="str">
        <f t="shared" si="12"/>
        <v/>
      </c>
      <c r="AF664" s="1247" t="str">
        <f t="shared" si="13"/>
        <v/>
      </c>
      <c r="AG664" s="1247" t="str">
        <f t="shared" si="14"/>
        <v/>
      </c>
      <c r="AH664" s="1247" t="str">
        <f t="shared" si="15"/>
        <v/>
      </c>
      <c r="AI664" s="1247" t="str">
        <f t="shared" si="16"/>
        <v/>
      </c>
      <c r="AJ664" s="1247" t="str">
        <f t="shared" si="17"/>
        <v/>
      </c>
      <c r="AK664" s="1247" t="str">
        <f t="shared" si="18"/>
        <v/>
      </c>
      <c r="AL664" s="1247" t="str">
        <f t="shared" si="19"/>
        <v/>
      </c>
      <c r="AM664" s="1247" t="str">
        <f t="shared" si="20"/>
        <v/>
      </c>
      <c r="AN664" s="1247" t="str">
        <f t="shared" si="21"/>
        <v/>
      </c>
      <c r="AO664" s="1247" t="str">
        <f t="shared" si="22"/>
        <v/>
      </c>
      <c r="AP664" s="1247" t="str">
        <f t="shared" si="23"/>
        <v/>
      </c>
      <c r="AQ664" s="1247" t="str">
        <f t="shared" si="24"/>
        <v/>
      </c>
      <c r="AR664" s="1247" t="str">
        <f t="shared" si="25"/>
        <v/>
      </c>
      <c r="AS664" s="1247" t="str">
        <f t="shared" si="26"/>
        <v/>
      </c>
      <c r="AT664" s="1247" t="str">
        <f t="shared" si="27"/>
        <v/>
      </c>
      <c r="AU664" s="1247" t="str">
        <f t="shared" si="28"/>
        <v/>
      </c>
      <c r="AV664" s="1247" t="str">
        <f t="shared" si="29"/>
        <v/>
      </c>
      <c r="AW664" s="1247" t="str">
        <f t="shared" si="30"/>
        <v/>
      </c>
      <c r="AX664" s="1247" t="str">
        <f t="shared" si="31"/>
        <v/>
      </c>
      <c r="AY664" s="1247" t="str">
        <f t="shared" si="32"/>
        <v/>
      </c>
      <c r="AZ664" s="1247" t="str">
        <f t="shared" si="33"/>
        <v/>
      </c>
      <c r="BA664" s="1247" t="str">
        <f t="shared" si="34"/>
        <v/>
      </c>
      <c r="BB664" s="1247" t="str">
        <f t="shared" si="35"/>
        <v/>
      </c>
      <c r="BC664" s="1247" t="str">
        <f t="shared" si="36"/>
        <v/>
      </c>
      <c r="BD664" s="1247" t="str">
        <f t="shared" si="37"/>
        <v/>
      </c>
      <c r="BE664" s="1247" t="str">
        <f t="shared" si="38"/>
        <v/>
      </c>
      <c r="BF664" s="1247" t="str">
        <f t="shared" si="39"/>
        <v/>
      </c>
      <c r="BG664" s="1247" t="str">
        <f t="shared" si="40"/>
        <v/>
      </c>
      <c r="BH664" s="1247" t="str">
        <f t="shared" si="41"/>
        <v/>
      </c>
      <c r="BI664" s="1247" t="str">
        <f t="shared" si="42"/>
        <v/>
      </c>
      <c r="BJ664" s="1247" t="str">
        <f t="shared" si="43"/>
        <v/>
      </c>
      <c r="BK664" s="1247" t="str">
        <f t="shared" si="44"/>
        <v/>
      </c>
      <c r="BL664" s="1247" t="str">
        <f t="shared" si="45"/>
        <v/>
      </c>
      <c r="BM664" s="1247" t="str">
        <f t="shared" si="46"/>
        <v/>
      </c>
      <c r="BN664" s="1247" t="str">
        <f t="shared" si="47"/>
        <v/>
      </c>
      <c r="BO664" s="1247" t="str">
        <f t="shared" si="48"/>
        <v/>
      </c>
      <c r="BP664" s="1247" t="str">
        <f t="shared" si="49"/>
        <v/>
      </c>
      <c r="BQ664" s="1247" t="str">
        <f t="shared" si="50"/>
        <v/>
      </c>
      <c r="BR664" s="1247" t="str">
        <f t="shared" si="51"/>
        <v/>
      </c>
      <c r="BS664" s="1247" t="str">
        <f t="shared" si="52"/>
        <v/>
      </c>
      <c r="BT664" s="1247" t="str">
        <f t="shared" si="53"/>
        <v/>
      </c>
      <c r="BU664" s="1247" t="str">
        <f t="shared" si="54"/>
        <v/>
      </c>
      <c r="BV664" s="1247" t="str">
        <f t="shared" si="55"/>
        <v/>
      </c>
      <c r="BW664" s="1247" t="str">
        <f t="shared" si="56"/>
        <v/>
      </c>
      <c r="BX664" s="1247" t="str">
        <f t="shared" si="57"/>
        <v/>
      </c>
      <c r="BY664" s="1247" t="str">
        <f t="shared" si="58"/>
        <v/>
      </c>
      <c r="BZ664" s="1247" t="str">
        <f t="shared" si="59"/>
        <v/>
      </c>
      <c r="CA664" s="1247" t="str">
        <f t="shared" si="60"/>
        <v/>
      </c>
      <c r="CB664" s="1247" t="str">
        <f t="shared" si="61"/>
        <v/>
      </c>
      <c r="CC664" s="1247" t="str">
        <f t="shared" si="62"/>
        <v/>
      </c>
      <c r="CD664" s="1247" t="str">
        <f t="shared" si="63"/>
        <v/>
      </c>
      <c r="CE664" s="1247" t="str">
        <f t="shared" si="64"/>
        <v/>
      </c>
      <c r="CF664" s="1247" t="str">
        <f t="shared" si="65"/>
        <v/>
      </c>
      <c r="CG664" s="1247" t="str">
        <f t="shared" si="66"/>
        <v/>
      </c>
      <c r="CH664" s="1247" t="str">
        <f t="shared" si="67"/>
        <v/>
      </c>
      <c r="CI664" s="1247" t="str">
        <f t="shared" si="68"/>
        <v/>
      </c>
      <c r="CJ664" s="1247" t="str">
        <f t="shared" si="69"/>
        <v/>
      </c>
      <c r="CK664" s="1247" t="str">
        <f t="shared" si="70"/>
        <v/>
      </c>
      <c r="CL664" s="1247" t="str">
        <f t="shared" si="71"/>
        <v/>
      </c>
      <c r="CM664" s="1247" t="str">
        <f t="shared" si="72"/>
        <v/>
      </c>
      <c r="CN664" s="1247" t="str">
        <f t="shared" si="73"/>
        <v/>
      </c>
      <c r="CO664" s="1247" t="str">
        <f t="shared" si="74"/>
        <v/>
      </c>
      <c r="CP664" s="1247" t="str">
        <f t="shared" si="75"/>
        <v/>
      </c>
      <c r="CQ664" s="1247" t="str">
        <f t="shared" si="76"/>
        <v/>
      </c>
      <c r="CR664" s="1247" t="str">
        <f t="shared" si="77"/>
        <v/>
      </c>
      <c r="CS664" s="1247" t="str">
        <f t="shared" si="78"/>
        <v/>
      </c>
      <c r="CT664" s="1247" t="str">
        <f t="shared" si="79"/>
        <v/>
      </c>
      <c r="CU664" s="1247" t="str">
        <f t="shared" si="80"/>
        <v/>
      </c>
      <c r="CV664" s="1247" t="str">
        <f t="shared" si="81"/>
        <v/>
      </c>
      <c r="CW664" s="1247" t="str">
        <f t="shared" si="82"/>
        <v/>
      </c>
      <c r="CX664" s="1247" t="str">
        <f t="shared" si="83"/>
        <v/>
      </c>
      <c r="CY664" s="1247" t="str">
        <f t="shared" si="84"/>
        <v/>
      </c>
      <c r="CZ664" s="1247" t="str">
        <f t="shared" si="85"/>
        <v/>
      </c>
      <c r="DA664" s="1247" t="str">
        <f t="shared" si="86"/>
        <v/>
      </c>
      <c r="DB664" s="1247" t="str">
        <f t="shared" si="87"/>
        <v/>
      </c>
      <c r="DC664" s="1247" t="str">
        <f t="shared" si="88"/>
        <v/>
      </c>
      <c r="DD664" s="1247" t="str">
        <f t="shared" si="89"/>
        <v/>
      </c>
      <c r="DE664" s="1247" t="str">
        <f t="shared" si="90"/>
        <v/>
      </c>
      <c r="DF664" s="1247" t="str">
        <f t="shared" si="91"/>
        <v/>
      </c>
      <c r="DG664" s="1247" t="str">
        <f t="shared" si="92"/>
        <v/>
      </c>
      <c r="DH664" s="1247" t="str">
        <f t="shared" si="93"/>
        <v/>
      </c>
      <c r="DI664" s="1247" t="str">
        <f t="shared" si="94"/>
        <v/>
      </c>
      <c r="DJ664" s="1247" t="str">
        <f t="shared" si="95"/>
        <v/>
      </c>
      <c r="DK664" s="1247" t="str">
        <f t="shared" si="96"/>
        <v/>
      </c>
      <c r="DL664" s="1247" t="str">
        <f t="shared" si="97"/>
        <v/>
      </c>
      <c r="DM664" s="1247" t="str">
        <f t="shared" si="98"/>
        <v/>
      </c>
      <c r="DN664" s="1247" t="str">
        <f t="shared" si="99"/>
        <v/>
      </c>
      <c r="DO664" s="1247" t="str">
        <f t="shared" si="100"/>
        <v/>
      </c>
      <c r="DP664" s="1247" t="str">
        <f t="shared" si="101"/>
        <v/>
      </c>
      <c r="DQ664" s="1247" t="str">
        <f t="shared" si="102"/>
        <v/>
      </c>
      <c r="DR664" s="1247" t="str">
        <f t="shared" si="103"/>
        <v/>
      </c>
      <c r="DS664" s="1247" t="str">
        <f t="shared" si="104"/>
        <v/>
      </c>
      <c r="DT664" s="1247" t="str">
        <f t="shared" si="105"/>
        <v/>
      </c>
      <c r="DU664" s="1247" t="str">
        <f t="shared" si="106"/>
        <v/>
      </c>
      <c r="DV664" s="1247" t="str">
        <f t="shared" si="107"/>
        <v/>
      </c>
      <c r="DW664" s="1247" t="str">
        <f t="shared" si="108"/>
        <v/>
      </c>
      <c r="DX664" s="1247" t="str">
        <f t="shared" si="109"/>
        <v/>
      </c>
      <c r="DY664" s="1247" t="str">
        <f t="shared" si="110"/>
        <v/>
      </c>
      <c r="DZ664" s="1247" t="str">
        <f t="shared" si="111"/>
        <v/>
      </c>
      <c r="EA664" s="1247" t="str">
        <f t="shared" si="112"/>
        <v/>
      </c>
      <c r="EB664" s="1247" t="str">
        <f t="shared" si="113"/>
        <v/>
      </c>
      <c r="EC664" s="1247" t="str">
        <f t="shared" si="114"/>
        <v/>
      </c>
      <c r="ED664" s="1247" t="str">
        <f t="shared" si="115"/>
        <v/>
      </c>
      <c r="EE664" s="1247" t="str">
        <f t="shared" si="116"/>
        <v/>
      </c>
      <c r="EF664" s="1247" t="str">
        <f t="shared" si="117"/>
        <v/>
      </c>
      <c r="EG664" s="1247" t="str">
        <f t="shared" si="118"/>
        <v/>
      </c>
      <c r="EH664" s="1247" t="str">
        <f t="shared" si="119"/>
        <v/>
      </c>
      <c r="EI664" s="1247" t="str">
        <f t="shared" si="120"/>
        <v/>
      </c>
      <c r="EJ664" s="1247" t="str">
        <f t="shared" si="121"/>
        <v/>
      </c>
      <c r="EK664" s="1247" t="str">
        <f t="shared" si="122"/>
        <v/>
      </c>
      <c r="EL664" s="1247" t="str">
        <f t="shared" si="123"/>
        <v/>
      </c>
      <c r="EM664" s="1247" t="str">
        <f t="shared" si="124"/>
        <v/>
      </c>
      <c r="EN664" s="1247" t="str">
        <f t="shared" si="125"/>
        <v/>
      </c>
      <c r="EO664" s="1247" t="str">
        <f t="shared" si="126"/>
        <v/>
      </c>
      <c r="EP664" s="1247" t="str">
        <f t="shared" si="127"/>
        <v/>
      </c>
      <c r="EQ664" s="1247" t="str">
        <f t="shared" si="128"/>
        <v/>
      </c>
      <c r="ER664" s="1247" t="str">
        <f t="shared" si="129"/>
        <v/>
      </c>
      <c r="ES664" s="1247" t="str">
        <f t="shared" si="130"/>
        <v/>
      </c>
      <c r="ET664" s="1247" t="str">
        <f t="shared" si="131"/>
        <v/>
      </c>
      <c r="EU664" s="1247" t="str">
        <f t="shared" si="132"/>
        <v/>
      </c>
      <c r="EV664" s="2909" t="str">
        <f t="shared" si="133"/>
        <v/>
      </c>
      <c r="EW664" s="2909" t="str">
        <f t="shared" si="134"/>
        <v/>
      </c>
      <c r="EX664" s="2909" t="str">
        <f t="shared" si="135"/>
        <v/>
      </c>
      <c r="EY664" s="2909" t="str">
        <f t="shared" si="136"/>
        <v/>
      </c>
      <c r="EZ664" s="2909" t="str">
        <f t="shared" si="137"/>
        <v/>
      </c>
      <c r="FA664" s="2909" t="str">
        <f t="shared" si="138"/>
        <v/>
      </c>
      <c r="FB664" s="2909" t="str">
        <f t="shared" si="139"/>
        <v/>
      </c>
      <c r="FC664" s="2909" t="str">
        <f t="shared" si="140"/>
        <v/>
      </c>
      <c r="FD664" s="2909" t="str">
        <f t="shared" si="141"/>
        <v/>
      </c>
      <c r="FE664" s="2909" t="str">
        <f t="shared" si="142"/>
        <v/>
      </c>
      <c r="FF664" s="2909" t="str">
        <f t="shared" si="143"/>
        <v/>
      </c>
      <c r="FG664" s="2909" t="str">
        <f t="shared" si="144"/>
        <v/>
      </c>
      <c r="FH664" s="2909" t="str">
        <f t="shared" si="145"/>
        <v/>
      </c>
      <c r="FI664" s="2909" t="str">
        <f t="shared" si="146"/>
        <v/>
      </c>
      <c r="FJ664" s="2909" t="str">
        <f t="shared" si="147"/>
        <v/>
      </c>
      <c r="FK664" s="2909" t="str">
        <f t="shared" si="148"/>
        <v/>
      </c>
      <c r="FL664" s="2909" t="str">
        <f t="shared" si="149"/>
        <v/>
      </c>
      <c r="FM664" s="2909" t="str">
        <f t="shared" si="150"/>
        <v/>
      </c>
      <c r="FN664" s="2909" t="str">
        <f t="shared" si="151"/>
        <v/>
      </c>
      <c r="FO664" s="2909" t="str">
        <f t="shared" si="152"/>
        <v/>
      </c>
      <c r="FP664" s="2909" t="str">
        <f t="shared" si="153"/>
        <v/>
      </c>
      <c r="FQ664" s="2909" t="str">
        <f t="shared" si="154"/>
        <v/>
      </c>
      <c r="FR664" s="2909" t="str">
        <f t="shared" si="155"/>
        <v/>
      </c>
      <c r="FS664" s="2909" t="str">
        <f t="shared" si="156"/>
        <v/>
      </c>
      <c r="FT664" s="2909" t="str">
        <f t="shared" si="157"/>
        <v/>
      </c>
      <c r="FU664" s="2909" t="str">
        <f t="shared" si="158"/>
        <v/>
      </c>
      <c r="FV664" s="2909" t="str">
        <f t="shared" si="159"/>
        <v/>
      </c>
      <c r="FW664" s="2909" t="str">
        <f t="shared" si="160"/>
        <v/>
      </c>
      <c r="FX664" s="2909" t="str">
        <f t="shared" si="161"/>
        <v/>
      </c>
      <c r="FY664" s="2909" t="str">
        <f t="shared" si="162"/>
        <v/>
      </c>
      <c r="FZ664" s="2909" t="str">
        <f t="shared" si="163"/>
        <v/>
      </c>
      <c r="GA664" s="2909" t="str">
        <f t="shared" si="164"/>
        <v/>
      </c>
      <c r="GB664" s="2909" t="str">
        <f t="shared" si="165"/>
        <v/>
      </c>
      <c r="GC664" s="2909" t="str">
        <f t="shared" si="166"/>
        <v/>
      </c>
      <c r="GD664" s="2909" t="str">
        <f t="shared" si="167"/>
        <v/>
      </c>
      <c r="GE664" s="2909" t="str">
        <f t="shared" si="168"/>
        <v/>
      </c>
      <c r="GF664" s="2909" t="str">
        <f t="shared" si="169"/>
        <v/>
      </c>
      <c r="GG664" s="2909" t="str">
        <f t="shared" si="170"/>
        <v/>
      </c>
      <c r="GH664" s="2909" t="str">
        <f t="shared" si="171"/>
        <v/>
      </c>
      <c r="GI664" s="2909" t="str">
        <f t="shared" si="172"/>
        <v/>
      </c>
      <c r="GJ664" s="2909" t="str">
        <f t="shared" si="173"/>
        <v/>
      </c>
      <c r="GK664" s="2909" t="str">
        <f t="shared" si="174"/>
        <v/>
      </c>
      <c r="GL664" s="2909" t="str">
        <f t="shared" si="175"/>
        <v/>
      </c>
      <c r="GM664" s="2909" t="str">
        <f t="shared" si="176"/>
        <v/>
      </c>
      <c r="GN664" s="2909" t="str">
        <f t="shared" si="177"/>
        <v/>
      </c>
      <c r="GO664" s="2909" t="str">
        <f t="shared" si="178"/>
        <v/>
      </c>
      <c r="GP664" s="2909" t="str">
        <f t="shared" si="179"/>
        <v/>
      </c>
      <c r="GQ664" s="2909" t="str">
        <f t="shared" si="180"/>
        <v/>
      </c>
      <c r="GR664" s="2909" t="str">
        <f t="shared" si="181"/>
        <v/>
      </c>
      <c r="GS664" s="2909" t="str">
        <f t="shared" si="182"/>
        <v/>
      </c>
      <c r="GT664" s="2909" t="str">
        <f t="shared" si="183"/>
        <v/>
      </c>
      <c r="GU664" s="2909" t="str">
        <f t="shared" si="184"/>
        <v/>
      </c>
      <c r="GV664" s="2909" t="str">
        <f t="shared" si="185"/>
        <v/>
      </c>
      <c r="GW664" s="2909" t="str">
        <f t="shared" si="186"/>
        <v/>
      </c>
      <c r="GX664" s="2909" t="str">
        <f t="shared" si="187"/>
        <v/>
      </c>
      <c r="GY664" s="2909" t="str">
        <f t="shared" si="188"/>
        <v/>
      </c>
      <c r="GZ664" s="2909" t="str">
        <f t="shared" si="189"/>
        <v/>
      </c>
      <c r="HA664" s="2909" t="str">
        <f t="shared" si="190"/>
        <v/>
      </c>
      <c r="HB664" s="2909" t="str">
        <f t="shared" si="191"/>
        <v/>
      </c>
      <c r="HC664" s="2909" t="str">
        <f t="shared" si="192"/>
        <v/>
      </c>
      <c r="HD664" s="2909" t="str">
        <f t="shared" si="193"/>
        <v/>
      </c>
      <c r="HE664" s="2909" t="str">
        <f t="shared" si="194"/>
        <v/>
      </c>
      <c r="HF664" s="2909" t="str">
        <f t="shared" si="195"/>
        <v/>
      </c>
      <c r="HG664" s="2909" t="str">
        <f t="shared" si="196"/>
        <v/>
      </c>
      <c r="HH664" s="2909" t="str">
        <f t="shared" si="197"/>
        <v/>
      </c>
      <c r="HI664" s="2909" t="str">
        <f t="shared" si="198"/>
        <v/>
      </c>
      <c r="HJ664" s="2909" t="str">
        <f t="shared" si="199"/>
        <v/>
      </c>
      <c r="HK664" s="2909" t="str">
        <f t="shared" si="200"/>
        <v/>
      </c>
      <c r="HL664" s="2909" t="str">
        <f t="shared" si="201"/>
        <v/>
      </c>
      <c r="HM664" s="2909" t="str">
        <f t="shared" si="202"/>
        <v/>
      </c>
      <c r="HN664" s="2909" t="str">
        <f t="shared" si="203"/>
        <v/>
      </c>
      <c r="HO664" s="2909" t="str">
        <f t="shared" si="204"/>
        <v/>
      </c>
      <c r="HP664" s="2909" t="str">
        <f t="shared" si="205"/>
        <v/>
      </c>
      <c r="HQ664" s="2909" t="str">
        <f t="shared" si="206"/>
        <v/>
      </c>
      <c r="HR664" s="2909" t="str">
        <f t="shared" si="207"/>
        <v/>
      </c>
      <c r="HS664" s="2909" t="str">
        <f t="shared" si="208"/>
        <v/>
      </c>
      <c r="HT664" s="2909" t="str">
        <f t="shared" si="209"/>
        <v/>
      </c>
      <c r="HU664" s="2909" t="str">
        <f t="shared" si="210"/>
        <v/>
      </c>
      <c r="HV664" s="2909" t="str">
        <f t="shared" si="211"/>
        <v/>
      </c>
      <c r="HW664" s="2909" t="str">
        <f t="shared" si="212"/>
        <v/>
      </c>
      <c r="HX664" s="2909" t="str">
        <f t="shared" si="213"/>
        <v/>
      </c>
      <c r="HY664" s="2909" t="str">
        <f t="shared" si="214"/>
        <v/>
      </c>
      <c r="HZ664" s="2909" t="str">
        <f t="shared" si="215"/>
        <v/>
      </c>
      <c r="IA664" s="2909" t="str">
        <f t="shared" si="216"/>
        <v/>
      </c>
      <c r="IB664" s="2909" t="str">
        <f t="shared" si="217"/>
        <v/>
      </c>
      <c r="IC664" s="2879" t="str">
        <f t="shared" si="218"/>
        <v/>
      </c>
      <c r="ID664" s="2879" t="str">
        <f t="shared" si="219"/>
        <v/>
      </c>
      <c r="IE664" s="2879" t="str">
        <f t="shared" si="220"/>
        <v/>
      </c>
      <c r="IF664" s="2879" t="str">
        <f t="shared" si="221"/>
        <v/>
      </c>
      <c r="IG664" s="2879" t="str">
        <f t="shared" si="222"/>
        <v/>
      </c>
      <c r="IH664" s="1247" t="str">
        <f t="shared" si="223"/>
        <v/>
      </c>
      <c r="II664" s="1247" t="str">
        <f t="shared" si="224"/>
        <v/>
      </c>
      <c r="IJ664" s="1247" t="str">
        <f t="shared" si="225"/>
        <v/>
      </c>
      <c r="IK664" s="1247" t="str">
        <f t="shared" si="226"/>
        <v/>
      </c>
      <c r="IL664" s="1247" t="str">
        <f t="shared" si="227"/>
        <v/>
      </c>
      <c r="IM664" s="1247" t="str">
        <f t="shared" si="228"/>
        <v/>
      </c>
      <c r="IN664" s="1247" t="str">
        <f t="shared" si="229"/>
        <v/>
      </c>
      <c r="IO664" s="1247" t="str">
        <f t="shared" si="230"/>
        <v/>
      </c>
      <c r="IP664" s="1247" t="str">
        <f t="shared" si="231"/>
        <v/>
      </c>
      <c r="IQ664" s="1247" t="str">
        <f t="shared" si="232"/>
        <v/>
      </c>
      <c r="IR664" s="1247" t="str">
        <f t="shared" si="233"/>
        <v/>
      </c>
      <c r="IS664" s="1247" t="str">
        <f t="shared" si="234"/>
        <v/>
      </c>
      <c r="IT664" s="1247" t="str">
        <f t="shared" si="235"/>
        <v/>
      </c>
      <c r="IU664" s="1247" t="str">
        <f t="shared" si="236"/>
        <v/>
      </c>
      <c r="IV664" s="1247" t="str">
        <f t="shared" si="237"/>
        <v/>
      </c>
      <c r="IW664" s="1247" t="str">
        <f t="shared" si="238"/>
        <v/>
      </c>
      <c r="IX664" s="1247" t="str">
        <f t="shared" si="239"/>
        <v/>
      </c>
      <c r="IY664" s="1247" t="str">
        <f t="shared" si="240"/>
        <v/>
      </c>
      <c r="IZ664" s="1247" t="str">
        <f t="shared" si="241"/>
        <v/>
      </c>
      <c r="JA664" s="1247" t="str">
        <f t="shared" si="242"/>
        <v/>
      </c>
      <c r="JB664" s="2877">
        <f t="shared" si="243"/>
        <v>0</v>
      </c>
      <c r="JC664" s="2877">
        <f t="shared" si="244"/>
        <v>0</v>
      </c>
      <c r="JD664" s="2877">
        <f t="shared" si="245"/>
        <v>0</v>
      </c>
      <c r="JE664" s="2877">
        <f t="shared" si="246"/>
        <v>0</v>
      </c>
      <c r="JF664" s="2877">
        <f t="shared" si="247"/>
        <v>0</v>
      </c>
      <c r="JG664" s="2877">
        <f t="shared" si="248"/>
        <v>0</v>
      </c>
      <c r="JH664" s="2877">
        <f t="shared" si="249"/>
        <v>0</v>
      </c>
      <c r="JI664" s="2877">
        <f t="shared" si="250"/>
        <v>0</v>
      </c>
      <c r="JJ664" s="2877">
        <f t="shared" si="251"/>
        <v>0</v>
      </c>
      <c r="JK664" s="2877">
        <f t="shared" si="252"/>
        <v>0</v>
      </c>
      <c r="JL664" s="2877">
        <f t="shared" si="253"/>
        <v>0</v>
      </c>
      <c r="JM664" s="2877">
        <f t="shared" si="254"/>
        <v>0</v>
      </c>
      <c r="JN664" s="2877">
        <f t="shared" si="255"/>
        <v>0</v>
      </c>
      <c r="JO664" s="2877">
        <f t="shared" si="256"/>
        <v>0</v>
      </c>
      <c r="JP664" s="2877">
        <f t="shared" si="257"/>
        <v>0</v>
      </c>
    </row>
    <row r="665" spans="1:277" ht="12" customHeight="1">
      <c r="A665" s="2891" t="str">
        <f t="shared" si="0"/>
        <v/>
      </c>
      <c r="B665" s="2900" t="str">
        <f>'Part VI-Revenues &amp; Expenses'!B45</f>
        <v>&lt;&lt;Select&gt;&gt;</v>
      </c>
      <c r="C665" s="2901">
        <f>'Part VI-Revenues &amp; Expenses'!C45</f>
        <v>0</v>
      </c>
      <c r="D665" s="2902">
        <f>'Part VI-Revenues &amp; Expenses'!D45</f>
        <v>0</v>
      </c>
      <c r="E665" s="2903">
        <f>'Part VI-Revenues &amp; Expenses'!E45</f>
        <v>0</v>
      </c>
      <c r="F665" s="2903">
        <f>'Part VI-Revenues &amp; Expenses'!F45</f>
        <v>0</v>
      </c>
      <c r="G665" s="2903">
        <f>'Part VI-Revenues &amp; Expenses'!G45</f>
        <v>0</v>
      </c>
      <c r="H665" s="2903">
        <f>'Part VI-Revenues &amp; Expenses'!H45</f>
        <v>0</v>
      </c>
      <c r="I665" s="2903">
        <f>'Part VI-Revenues &amp; Expenses'!I45</f>
        <v>0</v>
      </c>
      <c r="J665" s="2904">
        <f>'Part VI-Revenues &amp; Expenses'!J45</f>
        <v>0</v>
      </c>
      <c r="K665" s="2905">
        <f t="shared" si="1"/>
        <v>0</v>
      </c>
      <c r="L665" s="2905">
        <f t="shared" si="2"/>
        <v>0</v>
      </c>
      <c r="M665" s="2886">
        <f>'Part VI-Revenues &amp; Expenses'!M45</f>
        <v>0</v>
      </c>
      <c r="N665" s="2886">
        <f>'Part VI-Revenues &amp; Expenses'!N45</f>
        <v>0</v>
      </c>
      <c r="O665" s="2886">
        <f>'Part VI-Revenues &amp; Expenses'!O45</f>
        <v>0</v>
      </c>
      <c r="P665" s="2886">
        <f>'Part VI-Revenues &amp; Expenses'!P45</f>
        <v>0</v>
      </c>
      <c r="Q665" s="2906">
        <f>IF(H665="","",P665/($O$626*VLOOKUP(C665,'DCA Underwriting Assumptions'!$J$118:$K$123,2,FALSE)))</f>
        <v>0</v>
      </c>
      <c r="R665" s="2907"/>
      <c r="S665" s="2906"/>
      <c r="T665" s="2908"/>
      <c r="U665" s="2908"/>
      <c r="V665" s="1247" t="str">
        <f t="shared" si="3"/>
        <v/>
      </c>
      <c r="W665" s="1247" t="str">
        <f t="shared" si="4"/>
        <v/>
      </c>
      <c r="X665" s="1247" t="str">
        <f t="shared" si="5"/>
        <v/>
      </c>
      <c r="Y665" s="1247" t="str">
        <f t="shared" si="6"/>
        <v/>
      </c>
      <c r="Z665" s="1247" t="str">
        <f t="shared" si="7"/>
        <v/>
      </c>
      <c r="AA665" s="1247" t="str">
        <f t="shared" si="8"/>
        <v/>
      </c>
      <c r="AB665" s="1247" t="str">
        <f t="shared" si="9"/>
        <v/>
      </c>
      <c r="AC665" s="1247" t="str">
        <f t="shared" si="10"/>
        <v/>
      </c>
      <c r="AD665" s="1247" t="str">
        <f t="shared" si="11"/>
        <v/>
      </c>
      <c r="AE665" s="1247" t="str">
        <f t="shared" si="12"/>
        <v/>
      </c>
      <c r="AF665" s="1247" t="str">
        <f t="shared" si="13"/>
        <v/>
      </c>
      <c r="AG665" s="1247" t="str">
        <f t="shared" si="14"/>
        <v/>
      </c>
      <c r="AH665" s="1247" t="str">
        <f t="shared" si="15"/>
        <v/>
      </c>
      <c r="AI665" s="1247" t="str">
        <f t="shared" si="16"/>
        <v/>
      </c>
      <c r="AJ665" s="1247" t="str">
        <f t="shared" si="17"/>
        <v/>
      </c>
      <c r="AK665" s="1247" t="str">
        <f t="shared" si="18"/>
        <v/>
      </c>
      <c r="AL665" s="1247" t="str">
        <f t="shared" si="19"/>
        <v/>
      </c>
      <c r="AM665" s="1247" t="str">
        <f t="shared" si="20"/>
        <v/>
      </c>
      <c r="AN665" s="1247" t="str">
        <f t="shared" si="21"/>
        <v/>
      </c>
      <c r="AO665" s="1247" t="str">
        <f t="shared" si="22"/>
        <v/>
      </c>
      <c r="AP665" s="1247" t="str">
        <f t="shared" si="23"/>
        <v/>
      </c>
      <c r="AQ665" s="1247" t="str">
        <f t="shared" si="24"/>
        <v/>
      </c>
      <c r="AR665" s="1247" t="str">
        <f t="shared" si="25"/>
        <v/>
      </c>
      <c r="AS665" s="1247" t="str">
        <f t="shared" si="26"/>
        <v/>
      </c>
      <c r="AT665" s="1247" t="str">
        <f t="shared" si="27"/>
        <v/>
      </c>
      <c r="AU665" s="1247" t="str">
        <f t="shared" si="28"/>
        <v/>
      </c>
      <c r="AV665" s="1247" t="str">
        <f t="shared" si="29"/>
        <v/>
      </c>
      <c r="AW665" s="1247" t="str">
        <f t="shared" si="30"/>
        <v/>
      </c>
      <c r="AX665" s="1247" t="str">
        <f t="shared" si="31"/>
        <v/>
      </c>
      <c r="AY665" s="1247" t="str">
        <f t="shared" si="32"/>
        <v/>
      </c>
      <c r="AZ665" s="1247" t="str">
        <f t="shared" si="33"/>
        <v/>
      </c>
      <c r="BA665" s="1247" t="str">
        <f t="shared" si="34"/>
        <v/>
      </c>
      <c r="BB665" s="1247" t="str">
        <f t="shared" si="35"/>
        <v/>
      </c>
      <c r="BC665" s="1247" t="str">
        <f t="shared" si="36"/>
        <v/>
      </c>
      <c r="BD665" s="1247" t="str">
        <f t="shared" si="37"/>
        <v/>
      </c>
      <c r="BE665" s="1247" t="str">
        <f t="shared" si="38"/>
        <v/>
      </c>
      <c r="BF665" s="1247" t="str">
        <f t="shared" si="39"/>
        <v/>
      </c>
      <c r="BG665" s="1247" t="str">
        <f t="shared" si="40"/>
        <v/>
      </c>
      <c r="BH665" s="1247" t="str">
        <f t="shared" si="41"/>
        <v/>
      </c>
      <c r="BI665" s="1247" t="str">
        <f t="shared" si="42"/>
        <v/>
      </c>
      <c r="BJ665" s="1247" t="str">
        <f t="shared" si="43"/>
        <v/>
      </c>
      <c r="BK665" s="1247" t="str">
        <f t="shared" si="44"/>
        <v/>
      </c>
      <c r="BL665" s="1247" t="str">
        <f t="shared" si="45"/>
        <v/>
      </c>
      <c r="BM665" s="1247" t="str">
        <f t="shared" si="46"/>
        <v/>
      </c>
      <c r="BN665" s="1247" t="str">
        <f t="shared" si="47"/>
        <v/>
      </c>
      <c r="BO665" s="1247" t="str">
        <f t="shared" si="48"/>
        <v/>
      </c>
      <c r="BP665" s="1247" t="str">
        <f t="shared" si="49"/>
        <v/>
      </c>
      <c r="BQ665" s="1247" t="str">
        <f t="shared" si="50"/>
        <v/>
      </c>
      <c r="BR665" s="1247" t="str">
        <f t="shared" si="51"/>
        <v/>
      </c>
      <c r="BS665" s="1247" t="str">
        <f t="shared" si="52"/>
        <v/>
      </c>
      <c r="BT665" s="1247" t="str">
        <f t="shared" si="53"/>
        <v/>
      </c>
      <c r="BU665" s="1247" t="str">
        <f t="shared" si="54"/>
        <v/>
      </c>
      <c r="BV665" s="1247" t="str">
        <f t="shared" si="55"/>
        <v/>
      </c>
      <c r="BW665" s="1247" t="str">
        <f t="shared" si="56"/>
        <v/>
      </c>
      <c r="BX665" s="1247" t="str">
        <f t="shared" si="57"/>
        <v/>
      </c>
      <c r="BY665" s="1247" t="str">
        <f t="shared" si="58"/>
        <v/>
      </c>
      <c r="BZ665" s="1247" t="str">
        <f t="shared" si="59"/>
        <v/>
      </c>
      <c r="CA665" s="1247" t="str">
        <f t="shared" si="60"/>
        <v/>
      </c>
      <c r="CB665" s="1247" t="str">
        <f t="shared" si="61"/>
        <v/>
      </c>
      <c r="CC665" s="1247" t="str">
        <f t="shared" si="62"/>
        <v/>
      </c>
      <c r="CD665" s="1247" t="str">
        <f t="shared" si="63"/>
        <v/>
      </c>
      <c r="CE665" s="1247" t="str">
        <f t="shared" si="64"/>
        <v/>
      </c>
      <c r="CF665" s="1247" t="str">
        <f t="shared" si="65"/>
        <v/>
      </c>
      <c r="CG665" s="1247" t="str">
        <f t="shared" si="66"/>
        <v/>
      </c>
      <c r="CH665" s="1247" t="str">
        <f t="shared" si="67"/>
        <v/>
      </c>
      <c r="CI665" s="1247" t="str">
        <f t="shared" si="68"/>
        <v/>
      </c>
      <c r="CJ665" s="1247" t="str">
        <f t="shared" si="69"/>
        <v/>
      </c>
      <c r="CK665" s="1247" t="str">
        <f t="shared" si="70"/>
        <v/>
      </c>
      <c r="CL665" s="1247" t="str">
        <f t="shared" si="71"/>
        <v/>
      </c>
      <c r="CM665" s="1247" t="str">
        <f t="shared" si="72"/>
        <v/>
      </c>
      <c r="CN665" s="1247" t="str">
        <f t="shared" si="73"/>
        <v/>
      </c>
      <c r="CO665" s="1247" t="str">
        <f t="shared" si="74"/>
        <v/>
      </c>
      <c r="CP665" s="1247" t="str">
        <f t="shared" si="75"/>
        <v/>
      </c>
      <c r="CQ665" s="1247" t="str">
        <f t="shared" si="76"/>
        <v/>
      </c>
      <c r="CR665" s="1247" t="str">
        <f t="shared" si="77"/>
        <v/>
      </c>
      <c r="CS665" s="1247" t="str">
        <f t="shared" si="78"/>
        <v/>
      </c>
      <c r="CT665" s="1247" t="str">
        <f t="shared" si="79"/>
        <v/>
      </c>
      <c r="CU665" s="1247" t="str">
        <f t="shared" si="80"/>
        <v/>
      </c>
      <c r="CV665" s="1247" t="str">
        <f t="shared" si="81"/>
        <v/>
      </c>
      <c r="CW665" s="1247" t="str">
        <f t="shared" si="82"/>
        <v/>
      </c>
      <c r="CX665" s="1247" t="str">
        <f t="shared" si="83"/>
        <v/>
      </c>
      <c r="CY665" s="1247" t="str">
        <f t="shared" si="84"/>
        <v/>
      </c>
      <c r="CZ665" s="1247" t="str">
        <f t="shared" si="85"/>
        <v/>
      </c>
      <c r="DA665" s="1247" t="str">
        <f t="shared" si="86"/>
        <v/>
      </c>
      <c r="DB665" s="1247" t="str">
        <f t="shared" si="87"/>
        <v/>
      </c>
      <c r="DC665" s="1247" t="str">
        <f t="shared" si="88"/>
        <v/>
      </c>
      <c r="DD665" s="1247" t="str">
        <f t="shared" si="89"/>
        <v/>
      </c>
      <c r="DE665" s="1247" t="str">
        <f t="shared" si="90"/>
        <v/>
      </c>
      <c r="DF665" s="1247" t="str">
        <f t="shared" si="91"/>
        <v/>
      </c>
      <c r="DG665" s="1247" t="str">
        <f t="shared" si="92"/>
        <v/>
      </c>
      <c r="DH665" s="1247" t="str">
        <f t="shared" si="93"/>
        <v/>
      </c>
      <c r="DI665" s="1247" t="str">
        <f t="shared" si="94"/>
        <v/>
      </c>
      <c r="DJ665" s="1247" t="str">
        <f t="shared" si="95"/>
        <v/>
      </c>
      <c r="DK665" s="1247" t="str">
        <f t="shared" si="96"/>
        <v/>
      </c>
      <c r="DL665" s="1247" t="str">
        <f t="shared" si="97"/>
        <v/>
      </c>
      <c r="DM665" s="1247" t="str">
        <f t="shared" si="98"/>
        <v/>
      </c>
      <c r="DN665" s="1247" t="str">
        <f t="shared" si="99"/>
        <v/>
      </c>
      <c r="DO665" s="1247" t="str">
        <f t="shared" si="100"/>
        <v/>
      </c>
      <c r="DP665" s="1247" t="str">
        <f t="shared" si="101"/>
        <v/>
      </c>
      <c r="DQ665" s="1247" t="str">
        <f t="shared" si="102"/>
        <v/>
      </c>
      <c r="DR665" s="1247" t="str">
        <f t="shared" si="103"/>
        <v/>
      </c>
      <c r="DS665" s="1247" t="str">
        <f t="shared" si="104"/>
        <v/>
      </c>
      <c r="DT665" s="1247" t="str">
        <f t="shared" si="105"/>
        <v/>
      </c>
      <c r="DU665" s="1247" t="str">
        <f t="shared" si="106"/>
        <v/>
      </c>
      <c r="DV665" s="1247" t="str">
        <f t="shared" si="107"/>
        <v/>
      </c>
      <c r="DW665" s="1247" t="str">
        <f t="shared" si="108"/>
        <v/>
      </c>
      <c r="DX665" s="1247" t="str">
        <f t="shared" si="109"/>
        <v/>
      </c>
      <c r="DY665" s="1247" t="str">
        <f t="shared" si="110"/>
        <v/>
      </c>
      <c r="DZ665" s="1247" t="str">
        <f t="shared" si="111"/>
        <v/>
      </c>
      <c r="EA665" s="1247" t="str">
        <f t="shared" si="112"/>
        <v/>
      </c>
      <c r="EB665" s="1247" t="str">
        <f t="shared" si="113"/>
        <v/>
      </c>
      <c r="EC665" s="1247" t="str">
        <f t="shared" si="114"/>
        <v/>
      </c>
      <c r="ED665" s="1247" t="str">
        <f t="shared" si="115"/>
        <v/>
      </c>
      <c r="EE665" s="1247" t="str">
        <f t="shared" si="116"/>
        <v/>
      </c>
      <c r="EF665" s="1247" t="str">
        <f t="shared" si="117"/>
        <v/>
      </c>
      <c r="EG665" s="1247" t="str">
        <f t="shared" si="118"/>
        <v/>
      </c>
      <c r="EH665" s="1247" t="str">
        <f t="shared" si="119"/>
        <v/>
      </c>
      <c r="EI665" s="1247" t="str">
        <f t="shared" si="120"/>
        <v/>
      </c>
      <c r="EJ665" s="1247" t="str">
        <f t="shared" si="121"/>
        <v/>
      </c>
      <c r="EK665" s="1247" t="str">
        <f t="shared" si="122"/>
        <v/>
      </c>
      <c r="EL665" s="1247" t="str">
        <f t="shared" si="123"/>
        <v/>
      </c>
      <c r="EM665" s="1247" t="str">
        <f t="shared" si="124"/>
        <v/>
      </c>
      <c r="EN665" s="1247" t="str">
        <f t="shared" si="125"/>
        <v/>
      </c>
      <c r="EO665" s="1247" t="str">
        <f t="shared" si="126"/>
        <v/>
      </c>
      <c r="EP665" s="1247" t="str">
        <f t="shared" si="127"/>
        <v/>
      </c>
      <c r="EQ665" s="1247" t="str">
        <f t="shared" si="128"/>
        <v/>
      </c>
      <c r="ER665" s="1247" t="str">
        <f t="shared" si="129"/>
        <v/>
      </c>
      <c r="ES665" s="1247" t="str">
        <f t="shared" si="130"/>
        <v/>
      </c>
      <c r="ET665" s="1247" t="str">
        <f t="shared" si="131"/>
        <v/>
      </c>
      <c r="EU665" s="1247" t="str">
        <f t="shared" si="132"/>
        <v/>
      </c>
      <c r="EV665" s="2909" t="str">
        <f t="shared" si="133"/>
        <v/>
      </c>
      <c r="EW665" s="2909" t="str">
        <f t="shared" si="134"/>
        <v/>
      </c>
      <c r="EX665" s="2909" t="str">
        <f t="shared" si="135"/>
        <v/>
      </c>
      <c r="EY665" s="2909" t="str">
        <f t="shared" si="136"/>
        <v/>
      </c>
      <c r="EZ665" s="2909" t="str">
        <f t="shared" si="137"/>
        <v/>
      </c>
      <c r="FA665" s="2909" t="str">
        <f t="shared" si="138"/>
        <v/>
      </c>
      <c r="FB665" s="2909" t="str">
        <f t="shared" si="139"/>
        <v/>
      </c>
      <c r="FC665" s="2909" t="str">
        <f t="shared" si="140"/>
        <v/>
      </c>
      <c r="FD665" s="2909" t="str">
        <f t="shared" si="141"/>
        <v/>
      </c>
      <c r="FE665" s="2909" t="str">
        <f t="shared" si="142"/>
        <v/>
      </c>
      <c r="FF665" s="2909" t="str">
        <f t="shared" si="143"/>
        <v/>
      </c>
      <c r="FG665" s="2909" t="str">
        <f t="shared" si="144"/>
        <v/>
      </c>
      <c r="FH665" s="2909" t="str">
        <f t="shared" si="145"/>
        <v/>
      </c>
      <c r="FI665" s="2909" t="str">
        <f t="shared" si="146"/>
        <v/>
      </c>
      <c r="FJ665" s="2909" t="str">
        <f t="shared" si="147"/>
        <v/>
      </c>
      <c r="FK665" s="2909" t="str">
        <f t="shared" si="148"/>
        <v/>
      </c>
      <c r="FL665" s="2909" t="str">
        <f t="shared" si="149"/>
        <v/>
      </c>
      <c r="FM665" s="2909" t="str">
        <f t="shared" si="150"/>
        <v/>
      </c>
      <c r="FN665" s="2909" t="str">
        <f t="shared" si="151"/>
        <v/>
      </c>
      <c r="FO665" s="2909" t="str">
        <f t="shared" si="152"/>
        <v/>
      </c>
      <c r="FP665" s="2909" t="str">
        <f t="shared" si="153"/>
        <v/>
      </c>
      <c r="FQ665" s="2909" t="str">
        <f t="shared" si="154"/>
        <v/>
      </c>
      <c r="FR665" s="2909" t="str">
        <f t="shared" si="155"/>
        <v/>
      </c>
      <c r="FS665" s="2909" t="str">
        <f t="shared" si="156"/>
        <v/>
      </c>
      <c r="FT665" s="2909" t="str">
        <f t="shared" si="157"/>
        <v/>
      </c>
      <c r="FU665" s="2909" t="str">
        <f t="shared" si="158"/>
        <v/>
      </c>
      <c r="FV665" s="2909" t="str">
        <f t="shared" si="159"/>
        <v/>
      </c>
      <c r="FW665" s="2909" t="str">
        <f t="shared" si="160"/>
        <v/>
      </c>
      <c r="FX665" s="2909" t="str">
        <f t="shared" si="161"/>
        <v/>
      </c>
      <c r="FY665" s="2909" t="str">
        <f t="shared" si="162"/>
        <v/>
      </c>
      <c r="FZ665" s="2909" t="str">
        <f t="shared" si="163"/>
        <v/>
      </c>
      <c r="GA665" s="2909" t="str">
        <f t="shared" si="164"/>
        <v/>
      </c>
      <c r="GB665" s="2909" t="str">
        <f t="shared" si="165"/>
        <v/>
      </c>
      <c r="GC665" s="2909" t="str">
        <f t="shared" si="166"/>
        <v/>
      </c>
      <c r="GD665" s="2909" t="str">
        <f t="shared" si="167"/>
        <v/>
      </c>
      <c r="GE665" s="2909" t="str">
        <f t="shared" si="168"/>
        <v/>
      </c>
      <c r="GF665" s="2909" t="str">
        <f t="shared" si="169"/>
        <v/>
      </c>
      <c r="GG665" s="2909" t="str">
        <f t="shared" si="170"/>
        <v/>
      </c>
      <c r="GH665" s="2909" t="str">
        <f t="shared" si="171"/>
        <v/>
      </c>
      <c r="GI665" s="2909" t="str">
        <f t="shared" si="172"/>
        <v/>
      </c>
      <c r="GJ665" s="2909" t="str">
        <f t="shared" si="173"/>
        <v/>
      </c>
      <c r="GK665" s="2909" t="str">
        <f t="shared" si="174"/>
        <v/>
      </c>
      <c r="GL665" s="2909" t="str">
        <f t="shared" si="175"/>
        <v/>
      </c>
      <c r="GM665" s="2909" t="str">
        <f t="shared" si="176"/>
        <v/>
      </c>
      <c r="GN665" s="2909" t="str">
        <f t="shared" si="177"/>
        <v/>
      </c>
      <c r="GO665" s="2909" t="str">
        <f t="shared" si="178"/>
        <v/>
      </c>
      <c r="GP665" s="2909" t="str">
        <f t="shared" si="179"/>
        <v/>
      </c>
      <c r="GQ665" s="2909" t="str">
        <f t="shared" si="180"/>
        <v/>
      </c>
      <c r="GR665" s="2909" t="str">
        <f t="shared" si="181"/>
        <v/>
      </c>
      <c r="GS665" s="2909" t="str">
        <f t="shared" si="182"/>
        <v/>
      </c>
      <c r="GT665" s="2909" t="str">
        <f t="shared" si="183"/>
        <v/>
      </c>
      <c r="GU665" s="2909" t="str">
        <f t="shared" si="184"/>
        <v/>
      </c>
      <c r="GV665" s="2909" t="str">
        <f t="shared" si="185"/>
        <v/>
      </c>
      <c r="GW665" s="2909" t="str">
        <f t="shared" si="186"/>
        <v/>
      </c>
      <c r="GX665" s="2909" t="str">
        <f t="shared" si="187"/>
        <v/>
      </c>
      <c r="GY665" s="2909" t="str">
        <f t="shared" si="188"/>
        <v/>
      </c>
      <c r="GZ665" s="2909" t="str">
        <f t="shared" si="189"/>
        <v/>
      </c>
      <c r="HA665" s="2909" t="str">
        <f t="shared" si="190"/>
        <v/>
      </c>
      <c r="HB665" s="2909" t="str">
        <f t="shared" si="191"/>
        <v/>
      </c>
      <c r="HC665" s="2909" t="str">
        <f t="shared" si="192"/>
        <v/>
      </c>
      <c r="HD665" s="2909" t="str">
        <f t="shared" si="193"/>
        <v/>
      </c>
      <c r="HE665" s="2909" t="str">
        <f t="shared" si="194"/>
        <v/>
      </c>
      <c r="HF665" s="2909" t="str">
        <f t="shared" si="195"/>
        <v/>
      </c>
      <c r="HG665" s="2909" t="str">
        <f t="shared" si="196"/>
        <v/>
      </c>
      <c r="HH665" s="2909" t="str">
        <f t="shared" si="197"/>
        <v/>
      </c>
      <c r="HI665" s="2909" t="str">
        <f t="shared" si="198"/>
        <v/>
      </c>
      <c r="HJ665" s="2909" t="str">
        <f t="shared" si="199"/>
        <v/>
      </c>
      <c r="HK665" s="2909" t="str">
        <f t="shared" si="200"/>
        <v/>
      </c>
      <c r="HL665" s="2909" t="str">
        <f t="shared" si="201"/>
        <v/>
      </c>
      <c r="HM665" s="2909" t="str">
        <f t="shared" si="202"/>
        <v/>
      </c>
      <c r="HN665" s="2909" t="str">
        <f t="shared" si="203"/>
        <v/>
      </c>
      <c r="HO665" s="2909" t="str">
        <f t="shared" si="204"/>
        <v/>
      </c>
      <c r="HP665" s="2909" t="str">
        <f t="shared" si="205"/>
        <v/>
      </c>
      <c r="HQ665" s="2909" t="str">
        <f t="shared" si="206"/>
        <v/>
      </c>
      <c r="HR665" s="2909" t="str">
        <f t="shared" si="207"/>
        <v/>
      </c>
      <c r="HS665" s="2909" t="str">
        <f t="shared" si="208"/>
        <v/>
      </c>
      <c r="HT665" s="2909" t="str">
        <f t="shared" si="209"/>
        <v/>
      </c>
      <c r="HU665" s="2909" t="str">
        <f t="shared" si="210"/>
        <v/>
      </c>
      <c r="HV665" s="2909" t="str">
        <f t="shared" si="211"/>
        <v/>
      </c>
      <c r="HW665" s="2909" t="str">
        <f t="shared" si="212"/>
        <v/>
      </c>
      <c r="HX665" s="2909" t="str">
        <f t="shared" si="213"/>
        <v/>
      </c>
      <c r="HY665" s="2909" t="str">
        <f t="shared" si="214"/>
        <v/>
      </c>
      <c r="HZ665" s="2909" t="str">
        <f t="shared" si="215"/>
        <v/>
      </c>
      <c r="IA665" s="2909" t="str">
        <f t="shared" si="216"/>
        <v/>
      </c>
      <c r="IB665" s="2909" t="str">
        <f t="shared" si="217"/>
        <v/>
      </c>
      <c r="IC665" s="2879" t="str">
        <f t="shared" si="218"/>
        <v/>
      </c>
      <c r="ID665" s="2879" t="str">
        <f t="shared" si="219"/>
        <v/>
      </c>
      <c r="IE665" s="2879" t="str">
        <f t="shared" si="220"/>
        <v/>
      </c>
      <c r="IF665" s="2879" t="str">
        <f t="shared" si="221"/>
        <v/>
      </c>
      <c r="IG665" s="2879" t="str">
        <f t="shared" si="222"/>
        <v/>
      </c>
      <c r="IH665" s="1247" t="str">
        <f t="shared" si="223"/>
        <v/>
      </c>
      <c r="II665" s="1247" t="str">
        <f t="shared" si="224"/>
        <v/>
      </c>
      <c r="IJ665" s="1247" t="str">
        <f t="shared" si="225"/>
        <v/>
      </c>
      <c r="IK665" s="1247" t="str">
        <f t="shared" si="226"/>
        <v/>
      </c>
      <c r="IL665" s="1247" t="str">
        <f t="shared" si="227"/>
        <v/>
      </c>
      <c r="IM665" s="1247" t="str">
        <f t="shared" si="228"/>
        <v/>
      </c>
      <c r="IN665" s="1247" t="str">
        <f t="shared" si="229"/>
        <v/>
      </c>
      <c r="IO665" s="1247" t="str">
        <f t="shared" si="230"/>
        <v/>
      </c>
      <c r="IP665" s="1247" t="str">
        <f t="shared" si="231"/>
        <v/>
      </c>
      <c r="IQ665" s="1247" t="str">
        <f t="shared" si="232"/>
        <v/>
      </c>
      <c r="IR665" s="1247" t="str">
        <f t="shared" si="233"/>
        <v/>
      </c>
      <c r="IS665" s="1247" t="str">
        <f t="shared" si="234"/>
        <v/>
      </c>
      <c r="IT665" s="1247" t="str">
        <f t="shared" si="235"/>
        <v/>
      </c>
      <c r="IU665" s="1247" t="str">
        <f t="shared" si="236"/>
        <v/>
      </c>
      <c r="IV665" s="1247" t="str">
        <f t="shared" si="237"/>
        <v/>
      </c>
      <c r="IW665" s="1247" t="str">
        <f t="shared" si="238"/>
        <v/>
      </c>
      <c r="IX665" s="1247" t="str">
        <f t="shared" si="239"/>
        <v/>
      </c>
      <c r="IY665" s="1247" t="str">
        <f t="shared" si="240"/>
        <v/>
      </c>
      <c r="IZ665" s="1247" t="str">
        <f t="shared" si="241"/>
        <v/>
      </c>
      <c r="JA665" s="1247" t="str">
        <f t="shared" si="242"/>
        <v/>
      </c>
      <c r="JB665" s="2877">
        <f t="shared" si="243"/>
        <v>0</v>
      </c>
      <c r="JC665" s="2877">
        <f t="shared" si="244"/>
        <v>0</v>
      </c>
      <c r="JD665" s="2877">
        <f t="shared" si="245"/>
        <v>0</v>
      </c>
      <c r="JE665" s="2877">
        <f t="shared" si="246"/>
        <v>0</v>
      </c>
      <c r="JF665" s="2877">
        <f t="shared" si="247"/>
        <v>0</v>
      </c>
      <c r="JG665" s="2877">
        <f t="shared" si="248"/>
        <v>0</v>
      </c>
      <c r="JH665" s="2877">
        <f t="shared" si="249"/>
        <v>0</v>
      </c>
      <c r="JI665" s="2877">
        <f t="shared" si="250"/>
        <v>0</v>
      </c>
      <c r="JJ665" s="2877">
        <f t="shared" si="251"/>
        <v>0</v>
      </c>
      <c r="JK665" s="2877">
        <f t="shared" si="252"/>
        <v>0</v>
      </c>
      <c r="JL665" s="2877">
        <f t="shared" si="253"/>
        <v>0</v>
      </c>
      <c r="JM665" s="2877">
        <f t="shared" si="254"/>
        <v>0</v>
      </c>
      <c r="JN665" s="2877">
        <f t="shared" si="255"/>
        <v>0</v>
      </c>
      <c r="JO665" s="2877">
        <f t="shared" si="256"/>
        <v>0</v>
      </c>
      <c r="JP665" s="2877">
        <f t="shared" si="257"/>
        <v>0</v>
      </c>
    </row>
    <row r="666" spans="1:277" ht="12" customHeight="1">
      <c r="A666" s="2891" t="str">
        <f t="shared" si="0"/>
        <v/>
      </c>
      <c r="B666" s="2900" t="str">
        <f>'Part VI-Revenues &amp; Expenses'!B46</f>
        <v>&lt;&lt;Select&gt;&gt;</v>
      </c>
      <c r="C666" s="2901">
        <f>'Part VI-Revenues &amp; Expenses'!C46</f>
        <v>0</v>
      </c>
      <c r="D666" s="2902">
        <f>'Part VI-Revenues &amp; Expenses'!D46</f>
        <v>0</v>
      </c>
      <c r="E666" s="2903">
        <f>'Part VI-Revenues &amp; Expenses'!E46</f>
        <v>0</v>
      </c>
      <c r="F666" s="2903">
        <f>'Part VI-Revenues &amp; Expenses'!F46</f>
        <v>0</v>
      </c>
      <c r="G666" s="2903">
        <f>'Part VI-Revenues &amp; Expenses'!G46</f>
        <v>0</v>
      </c>
      <c r="H666" s="2903">
        <f>'Part VI-Revenues &amp; Expenses'!H46</f>
        <v>0</v>
      </c>
      <c r="I666" s="2903">
        <f>'Part VI-Revenues &amp; Expenses'!I46</f>
        <v>0</v>
      </c>
      <c r="J666" s="2904">
        <f>'Part VI-Revenues &amp; Expenses'!J46</f>
        <v>0</v>
      </c>
      <c r="K666" s="2905">
        <f t="shared" si="1"/>
        <v>0</v>
      </c>
      <c r="L666" s="2905">
        <f t="shared" si="2"/>
        <v>0</v>
      </c>
      <c r="M666" s="2886">
        <f>'Part VI-Revenues &amp; Expenses'!M46</f>
        <v>0</v>
      </c>
      <c r="N666" s="2886">
        <f>'Part VI-Revenues &amp; Expenses'!N46</f>
        <v>0</v>
      </c>
      <c r="O666" s="2886">
        <f>'Part VI-Revenues &amp; Expenses'!O46</f>
        <v>0</v>
      </c>
      <c r="P666" s="2886">
        <f>'Part VI-Revenues &amp; Expenses'!P46</f>
        <v>0</v>
      </c>
      <c r="Q666" s="2906">
        <f>IF(H666="","",P666/($O$626*VLOOKUP(C666,'DCA Underwriting Assumptions'!$J$118:$K$123,2,FALSE)))</f>
        <v>0</v>
      </c>
      <c r="R666" s="2907"/>
      <c r="S666" s="2906"/>
      <c r="T666" s="2908"/>
      <c r="U666" s="2908"/>
      <c r="V666" s="1247" t="str">
        <f t="shared" si="3"/>
        <v/>
      </c>
      <c r="W666" s="1247" t="str">
        <f t="shared" si="4"/>
        <v/>
      </c>
      <c r="X666" s="1247" t="str">
        <f t="shared" si="5"/>
        <v/>
      </c>
      <c r="Y666" s="1247" t="str">
        <f t="shared" si="6"/>
        <v/>
      </c>
      <c r="Z666" s="1247" t="str">
        <f t="shared" si="7"/>
        <v/>
      </c>
      <c r="AA666" s="1247" t="str">
        <f t="shared" si="8"/>
        <v/>
      </c>
      <c r="AB666" s="1247" t="str">
        <f t="shared" si="9"/>
        <v/>
      </c>
      <c r="AC666" s="1247" t="str">
        <f t="shared" si="10"/>
        <v/>
      </c>
      <c r="AD666" s="1247" t="str">
        <f t="shared" si="11"/>
        <v/>
      </c>
      <c r="AE666" s="1247" t="str">
        <f t="shared" si="12"/>
        <v/>
      </c>
      <c r="AF666" s="1247" t="str">
        <f t="shared" si="13"/>
        <v/>
      </c>
      <c r="AG666" s="1247" t="str">
        <f t="shared" si="14"/>
        <v/>
      </c>
      <c r="AH666" s="1247" t="str">
        <f t="shared" si="15"/>
        <v/>
      </c>
      <c r="AI666" s="1247" t="str">
        <f t="shared" si="16"/>
        <v/>
      </c>
      <c r="AJ666" s="1247" t="str">
        <f t="shared" si="17"/>
        <v/>
      </c>
      <c r="AK666" s="1247" t="str">
        <f t="shared" si="18"/>
        <v/>
      </c>
      <c r="AL666" s="1247" t="str">
        <f t="shared" si="19"/>
        <v/>
      </c>
      <c r="AM666" s="1247" t="str">
        <f t="shared" si="20"/>
        <v/>
      </c>
      <c r="AN666" s="1247" t="str">
        <f t="shared" si="21"/>
        <v/>
      </c>
      <c r="AO666" s="1247" t="str">
        <f t="shared" si="22"/>
        <v/>
      </c>
      <c r="AP666" s="1247" t="str">
        <f t="shared" si="23"/>
        <v/>
      </c>
      <c r="AQ666" s="1247" t="str">
        <f t="shared" si="24"/>
        <v/>
      </c>
      <c r="AR666" s="1247" t="str">
        <f t="shared" si="25"/>
        <v/>
      </c>
      <c r="AS666" s="1247" t="str">
        <f t="shared" si="26"/>
        <v/>
      </c>
      <c r="AT666" s="1247" t="str">
        <f t="shared" si="27"/>
        <v/>
      </c>
      <c r="AU666" s="1247" t="str">
        <f t="shared" si="28"/>
        <v/>
      </c>
      <c r="AV666" s="1247" t="str">
        <f t="shared" si="29"/>
        <v/>
      </c>
      <c r="AW666" s="1247" t="str">
        <f t="shared" si="30"/>
        <v/>
      </c>
      <c r="AX666" s="1247" t="str">
        <f t="shared" si="31"/>
        <v/>
      </c>
      <c r="AY666" s="1247" t="str">
        <f t="shared" si="32"/>
        <v/>
      </c>
      <c r="AZ666" s="1247" t="str">
        <f t="shared" si="33"/>
        <v/>
      </c>
      <c r="BA666" s="1247" t="str">
        <f t="shared" si="34"/>
        <v/>
      </c>
      <c r="BB666" s="1247" t="str">
        <f t="shared" si="35"/>
        <v/>
      </c>
      <c r="BC666" s="1247" t="str">
        <f t="shared" si="36"/>
        <v/>
      </c>
      <c r="BD666" s="1247" t="str">
        <f t="shared" si="37"/>
        <v/>
      </c>
      <c r="BE666" s="1247" t="str">
        <f t="shared" si="38"/>
        <v/>
      </c>
      <c r="BF666" s="1247" t="str">
        <f t="shared" si="39"/>
        <v/>
      </c>
      <c r="BG666" s="1247" t="str">
        <f t="shared" si="40"/>
        <v/>
      </c>
      <c r="BH666" s="1247" t="str">
        <f t="shared" si="41"/>
        <v/>
      </c>
      <c r="BI666" s="1247" t="str">
        <f t="shared" si="42"/>
        <v/>
      </c>
      <c r="BJ666" s="1247" t="str">
        <f t="shared" si="43"/>
        <v/>
      </c>
      <c r="BK666" s="1247" t="str">
        <f t="shared" si="44"/>
        <v/>
      </c>
      <c r="BL666" s="1247" t="str">
        <f t="shared" si="45"/>
        <v/>
      </c>
      <c r="BM666" s="1247" t="str">
        <f t="shared" si="46"/>
        <v/>
      </c>
      <c r="BN666" s="1247" t="str">
        <f t="shared" si="47"/>
        <v/>
      </c>
      <c r="BO666" s="1247" t="str">
        <f t="shared" si="48"/>
        <v/>
      </c>
      <c r="BP666" s="1247" t="str">
        <f t="shared" si="49"/>
        <v/>
      </c>
      <c r="BQ666" s="1247" t="str">
        <f t="shared" si="50"/>
        <v/>
      </c>
      <c r="BR666" s="1247" t="str">
        <f t="shared" si="51"/>
        <v/>
      </c>
      <c r="BS666" s="1247" t="str">
        <f t="shared" si="52"/>
        <v/>
      </c>
      <c r="BT666" s="1247" t="str">
        <f t="shared" si="53"/>
        <v/>
      </c>
      <c r="BU666" s="1247" t="str">
        <f t="shared" si="54"/>
        <v/>
      </c>
      <c r="BV666" s="1247" t="str">
        <f t="shared" si="55"/>
        <v/>
      </c>
      <c r="BW666" s="1247" t="str">
        <f t="shared" si="56"/>
        <v/>
      </c>
      <c r="BX666" s="1247" t="str">
        <f t="shared" si="57"/>
        <v/>
      </c>
      <c r="BY666" s="1247" t="str">
        <f t="shared" si="58"/>
        <v/>
      </c>
      <c r="BZ666" s="1247" t="str">
        <f t="shared" si="59"/>
        <v/>
      </c>
      <c r="CA666" s="1247" t="str">
        <f t="shared" si="60"/>
        <v/>
      </c>
      <c r="CB666" s="1247" t="str">
        <f t="shared" si="61"/>
        <v/>
      </c>
      <c r="CC666" s="1247" t="str">
        <f t="shared" si="62"/>
        <v/>
      </c>
      <c r="CD666" s="1247" t="str">
        <f t="shared" si="63"/>
        <v/>
      </c>
      <c r="CE666" s="1247" t="str">
        <f t="shared" si="64"/>
        <v/>
      </c>
      <c r="CF666" s="1247" t="str">
        <f t="shared" si="65"/>
        <v/>
      </c>
      <c r="CG666" s="1247" t="str">
        <f t="shared" si="66"/>
        <v/>
      </c>
      <c r="CH666" s="1247" t="str">
        <f t="shared" si="67"/>
        <v/>
      </c>
      <c r="CI666" s="1247" t="str">
        <f t="shared" si="68"/>
        <v/>
      </c>
      <c r="CJ666" s="1247" t="str">
        <f t="shared" si="69"/>
        <v/>
      </c>
      <c r="CK666" s="1247" t="str">
        <f t="shared" si="70"/>
        <v/>
      </c>
      <c r="CL666" s="1247" t="str">
        <f t="shared" si="71"/>
        <v/>
      </c>
      <c r="CM666" s="1247" t="str">
        <f t="shared" si="72"/>
        <v/>
      </c>
      <c r="CN666" s="1247" t="str">
        <f t="shared" si="73"/>
        <v/>
      </c>
      <c r="CO666" s="1247" t="str">
        <f t="shared" si="74"/>
        <v/>
      </c>
      <c r="CP666" s="1247" t="str">
        <f t="shared" si="75"/>
        <v/>
      </c>
      <c r="CQ666" s="1247" t="str">
        <f t="shared" si="76"/>
        <v/>
      </c>
      <c r="CR666" s="1247" t="str">
        <f t="shared" si="77"/>
        <v/>
      </c>
      <c r="CS666" s="1247" t="str">
        <f t="shared" si="78"/>
        <v/>
      </c>
      <c r="CT666" s="1247" t="str">
        <f t="shared" si="79"/>
        <v/>
      </c>
      <c r="CU666" s="1247" t="str">
        <f t="shared" si="80"/>
        <v/>
      </c>
      <c r="CV666" s="1247" t="str">
        <f t="shared" si="81"/>
        <v/>
      </c>
      <c r="CW666" s="1247" t="str">
        <f t="shared" si="82"/>
        <v/>
      </c>
      <c r="CX666" s="1247" t="str">
        <f t="shared" si="83"/>
        <v/>
      </c>
      <c r="CY666" s="1247" t="str">
        <f t="shared" si="84"/>
        <v/>
      </c>
      <c r="CZ666" s="1247" t="str">
        <f t="shared" si="85"/>
        <v/>
      </c>
      <c r="DA666" s="1247" t="str">
        <f t="shared" si="86"/>
        <v/>
      </c>
      <c r="DB666" s="1247" t="str">
        <f t="shared" si="87"/>
        <v/>
      </c>
      <c r="DC666" s="1247" t="str">
        <f t="shared" si="88"/>
        <v/>
      </c>
      <c r="DD666" s="1247" t="str">
        <f t="shared" si="89"/>
        <v/>
      </c>
      <c r="DE666" s="1247" t="str">
        <f t="shared" si="90"/>
        <v/>
      </c>
      <c r="DF666" s="1247" t="str">
        <f t="shared" si="91"/>
        <v/>
      </c>
      <c r="DG666" s="1247" t="str">
        <f t="shared" si="92"/>
        <v/>
      </c>
      <c r="DH666" s="1247" t="str">
        <f t="shared" si="93"/>
        <v/>
      </c>
      <c r="DI666" s="1247" t="str">
        <f t="shared" si="94"/>
        <v/>
      </c>
      <c r="DJ666" s="1247" t="str">
        <f t="shared" si="95"/>
        <v/>
      </c>
      <c r="DK666" s="1247" t="str">
        <f t="shared" si="96"/>
        <v/>
      </c>
      <c r="DL666" s="1247" t="str">
        <f t="shared" si="97"/>
        <v/>
      </c>
      <c r="DM666" s="1247" t="str">
        <f t="shared" si="98"/>
        <v/>
      </c>
      <c r="DN666" s="1247" t="str">
        <f t="shared" si="99"/>
        <v/>
      </c>
      <c r="DO666" s="1247" t="str">
        <f t="shared" si="100"/>
        <v/>
      </c>
      <c r="DP666" s="1247" t="str">
        <f t="shared" si="101"/>
        <v/>
      </c>
      <c r="DQ666" s="1247" t="str">
        <f t="shared" si="102"/>
        <v/>
      </c>
      <c r="DR666" s="1247" t="str">
        <f t="shared" si="103"/>
        <v/>
      </c>
      <c r="DS666" s="1247" t="str">
        <f t="shared" si="104"/>
        <v/>
      </c>
      <c r="DT666" s="1247" t="str">
        <f t="shared" si="105"/>
        <v/>
      </c>
      <c r="DU666" s="1247" t="str">
        <f t="shared" si="106"/>
        <v/>
      </c>
      <c r="DV666" s="1247" t="str">
        <f t="shared" si="107"/>
        <v/>
      </c>
      <c r="DW666" s="1247" t="str">
        <f t="shared" si="108"/>
        <v/>
      </c>
      <c r="DX666" s="1247" t="str">
        <f t="shared" si="109"/>
        <v/>
      </c>
      <c r="DY666" s="1247" t="str">
        <f t="shared" si="110"/>
        <v/>
      </c>
      <c r="DZ666" s="1247" t="str">
        <f t="shared" si="111"/>
        <v/>
      </c>
      <c r="EA666" s="1247" t="str">
        <f t="shared" si="112"/>
        <v/>
      </c>
      <c r="EB666" s="1247" t="str">
        <f t="shared" si="113"/>
        <v/>
      </c>
      <c r="EC666" s="1247" t="str">
        <f t="shared" si="114"/>
        <v/>
      </c>
      <c r="ED666" s="1247" t="str">
        <f t="shared" si="115"/>
        <v/>
      </c>
      <c r="EE666" s="1247" t="str">
        <f t="shared" si="116"/>
        <v/>
      </c>
      <c r="EF666" s="1247" t="str">
        <f t="shared" si="117"/>
        <v/>
      </c>
      <c r="EG666" s="1247" t="str">
        <f t="shared" si="118"/>
        <v/>
      </c>
      <c r="EH666" s="1247" t="str">
        <f t="shared" si="119"/>
        <v/>
      </c>
      <c r="EI666" s="1247" t="str">
        <f t="shared" si="120"/>
        <v/>
      </c>
      <c r="EJ666" s="1247" t="str">
        <f t="shared" si="121"/>
        <v/>
      </c>
      <c r="EK666" s="1247" t="str">
        <f t="shared" si="122"/>
        <v/>
      </c>
      <c r="EL666" s="1247" t="str">
        <f t="shared" si="123"/>
        <v/>
      </c>
      <c r="EM666" s="1247" t="str">
        <f t="shared" si="124"/>
        <v/>
      </c>
      <c r="EN666" s="1247" t="str">
        <f t="shared" si="125"/>
        <v/>
      </c>
      <c r="EO666" s="1247" t="str">
        <f t="shared" si="126"/>
        <v/>
      </c>
      <c r="EP666" s="1247" t="str">
        <f t="shared" si="127"/>
        <v/>
      </c>
      <c r="EQ666" s="1247" t="str">
        <f t="shared" si="128"/>
        <v/>
      </c>
      <c r="ER666" s="1247" t="str">
        <f t="shared" si="129"/>
        <v/>
      </c>
      <c r="ES666" s="1247" t="str">
        <f t="shared" si="130"/>
        <v/>
      </c>
      <c r="ET666" s="1247" t="str">
        <f t="shared" si="131"/>
        <v/>
      </c>
      <c r="EU666" s="1247" t="str">
        <f t="shared" si="132"/>
        <v/>
      </c>
      <c r="EV666" s="2909" t="str">
        <f t="shared" si="133"/>
        <v/>
      </c>
      <c r="EW666" s="2909" t="str">
        <f t="shared" si="134"/>
        <v/>
      </c>
      <c r="EX666" s="2909" t="str">
        <f t="shared" si="135"/>
        <v/>
      </c>
      <c r="EY666" s="2909" t="str">
        <f t="shared" si="136"/>
        <v/>
      </c>
      <c r="EZ666" s="2909" t="str">
        <f t="shared" si="137"/>
        <v/>
      </c>
      <c r="FA666" s="2909" t="str">
        <f t="shared" si="138"/>
        <v/>
      </c>
      <c r="FB666" s="2909" t="str">
        <f t="shared" si="139"/>
        <v/>
      </c>
      <c r="FC666" s="2909" t="str">
        <f t="shared" si="140"/>
        <v/>
      </c>
      <c r="FD666" s="2909" t="str">
        <f t="shared" si="141"/>
        <v/>
      </c>
      <c r="FE666" s="2909" t="str">
        <f t="shared" si="142"/>
        <v/>
      </c>
      <c r="FF666" s="2909" t="str">
        <f t="shared" si="143"/>
        <v/>
      </c>
      <c r="FG666" s="2909" t="str">
        <f t="shared" si="144"/>
        <v/>
      </c>
      <c r="FH666" s="2909" t="str">
        <f t="shared" si="145"/>
        <v/>
      </c>
      <c r="FI666" s="2909" t="str">
        <f t="shared" si="146"/>
        <v/>
      </c>
      <c r="FJ666" s="2909" t="str">
        <f t="shared" si="147"/>
        <v/>
      </c>
      <c r="FK666" s="2909" t="str">
        <f t="shared" si="148"/>
        <v/>
      </c>
      <c r="FL666" s="2909" t="str">
        <f t="shared" si="149"/>
        <v/>
      </c>
      <c r="FM666" s="2909" t="str">
        <f t="shared" si="150"/>
        <v/>
      </c>
      <c r="FN666" s="2909" t="str">
        <f t="shared" si="151"/>
        <v/>
      </c>
      <c r="FO666" s="2909" t="str">
        <f t="shared" si="152"/>
        <v/>
      </c>
      <c r="FP666" s="2909" t="str">
        <f t="shared" si="153"/>
        <v/>
      </c>
      <c r="FQ666" s="2909" t="str">
        <f t="shared" si="154"/>
        <v/>
      </c>
      <c r="FR666" s="2909" t="str">
        <f t="shared" si="155"/>
        <v/>
      </c>
      <c r="FS666" s="2909" t="str">
        <f t="shared" si="156"/>
        <v/>
      </c>
      <c r="FT666" s="2909" t="str">
        <f t="shared" si="157"/>
        <v/>
      </c>
      <c r="FU666" s="2909" t="str">
        <f t="shared" si="158"/>
        <v/>
      </c>
      <c r="FV666" s="2909" t="str">
        <f t="shared" si="159"/>
        <v/>
      </c>
      <c r="FW666" s="2909" t="str">
        <f t="shared" si="160"/>
        <v/>
      </c>
      <c r="FX666" s="2909" t="str">
        <f t="shared" si="161"/>
        <v/>
      </c>
      <c r="FY666" s="2909" t="str">
        <f t="shared" si="162"/>
        <v/>
      </c>
      <c r="FZ666" s="2909" t="str">
        <f t="shared" si="163"/>
        <v/>
      </c>
      <c r="GA666" s="2909" t="str">
        <f t="shared" si="164"/>
        <v/>
      </c>
      <c r="GB666" s="2909" t="str">
        <f t="shared" si="165"/>
        <v/>
      </c>
      <c r="GC666" s="2909" t="str">
        <f t="shared" si="166"/>
        <v/>
      </c>
      <c r="GD666" s="2909" t="str">
        <f t="shared" si="167"/>
        <v/>
      </c>
      <c r="GE666" s="2909" t="str">
        <f t="shared" si="168"/>
        <v/>
      </c>
      <c r="GF666" s="2909" t="str">
        <f t="shared" si="169"/>
        <v/>
      </c>
      <c r="GG666" s="2909" t="str">
        <f t="shared" si="170"/>
        <v/>
      </c>
      <c r="GH666" s="2909" t="str">
        <f t="shared" si="171"/>
        <v/>
      </c>
      <c r="GI666" s="2909" t="str">
        <f t="shared" si="172"/>
        <v/>
      </c>
      <c r="GJ666" s="2909" t="str">
        <f t="shared" si="173"/>
        <v/>
      </c>
      <c r="GK666" s="2909" t="str">
        <f t="shared" si="174"/>
        <v/>
      </c>
      <c r="GL666" s="2909" t="str">
        <f t="shared" si="175"/>
        <v/>
      </c>
      <c r="GM666" s="2909" t="str">
        <f t="shared" si="176"/>
        <v/>
      </c>
      <c r="GN666" s="2909" t="str">
        <f t="shared" si="177"/>
        <v/>
      </c>
      <c r="GO666" s="2909" t="str">
        <f t="shared" si="178"/>
        <v/>
      </c>
      <c r="GP666" s="2909" t="str">
        <f t="shared" si="179"/>
        <v/>
      </c>
      <c r="GQ666" s="2909" t="str">
        <f t="shared" si="180"/>
        <v/>
      </c>
      <c r="GR666" s="2909" t="str">
        <f t="shared" si="181"/>
        <v/>
      </c>
      <c r="GS666" s="2909" t="str">
        <f t="shared" si="182"/>
        <v/>
      </c>
      <c r="GT666" s="2909" t="str">
        <f t="shared" si="183"/>
        <v/>
      </c>
      <c r="GU666" s="2909" t="str">
        <f t="shared" si="184"/>
        <v/>
      </c>
      <c r="GV666" s="2909" t="str">
        <f t="shared" si="185"/>
        <v/>
      </c>
      <c r="GW666" s="2909" t="str">
        <f t="shared" si="186"/>
        <v/>
      </c>
      <c r="GX666" s="2909" t="str">
        <f t="shared" si="187"/>
        <v/>
      </c>
      <c r="GY666" s="2909" t="str">
        <f t="shared" si="188"/>
        <v/>
      </c>
      <c r="GZ666" s="2909" t="str">
        <f t="shared" si="189"/>
        <v/>
      </c>
      <c r="HA666" s="2909" t="str">
        <f t="shared" si="190"/>
        <v/>
      </c>
      <c r="HB666" s="2909" t="str">
        <f t="shared" si="191"/>
        <v/>
      </c>
      <c r="HC666" s="2909" t="str">
        <f t="shared" si="192"/>
        <v/>
      </c>
      <c r="HD666" s="2909" t="str">
        <f t="shared" si="193"/>
        <v/>
      </c>
      <c r="HE666" s="2909" t="str">
        <f t="shared" si="194"/>
        <v/>
      </c>
      <c r="HF666" s="2909" t="str">
        <f t="shared" si="195"/>
        <v/>
      </c>
      <c r="HG666" s="2909" t="str">
        <f t="shared" si="196"/>
        <v/>
      </c>
      <c r="HH666" s="2909" t="str">
        <f t="shared" si="197"/>
        <v/>
      </c>
      <c r="HI666" s="2909" t="str">
        <f t="shared" si="198"/>
        <v/>
      </c>
      <c r="HJ666" s="2909" t="str">
        <f t="shared" si="199"/>
        <v/>
      </c>
      <c r="HK666" s="2909" t="str">
        <f t="shared" si="200"/>
        <v/>
      </c>
      <c r="HL666" s="2909" t="str">
        <f t="shared" si="201"/>
        <v/>
      </c>
      <c r="HM666" s="2909" t="str">
        <f t="shared" si="202"/>
        <v/>
      </c>
      <c r="HN666" s="2909" t="str">
        <f t="shared" si="203"/>
        <v/>
      </c>
      <c r="HO666" s="2909" t="str">
        <f t="shared" si="204"/>
        <v/>
      </c>
      <c r="HP666" s="2909" t="str">
        <f t="shared" si="205"/>
        <v/>
      </c>
      <c r="HQ666" s="2909" t="str">
        <f t="shared" si="206"/>
        <v/>
      </c>
      <c r="HR666" s="2909" t="str">
        <f t="shared" si="207"/>
        <v/>
      </c>
      <c r="HS666" s="2909" t="str">
        <f t="shared" si="208"/>
        <v/>
      </c>
      <c r="HT666" s="2909" t="str">
        <f t="shared" si="209"/>
        <v/>
      </c>
      <c r="HU666" s="2909" t="str">
        <f t="shared" si="210"/>
        <v/>
      </c>
      <c r="HV666" s="2909" t="str">
        <f t="shared" si="211"/>
        <v/>
      </c>
      <c r="HW666" s="2909" t="str">
        <f t="shared" si="212"/>
        <v/>
      </c>
      <c r="HX666" s="2909" t="str">
        <f t="shared" si="213"/>
        <v/>
      </c>
      <c r="HY666" s="2909" t="str">
        <f t="shared" si="214"/>
        <v/>
      </c>
      <c r="HZ666" s="2909" t="str">
        <f t="shared" si="215"/>
        <v/>
      </c>
      <c r="IA666" s="2909" t="str">
        <f t="shared" si="216"/>
        <v/>
      </c>
      <c r="IB666" s="2909" t="str">
        <f t="shared" si="217"/>
        <v/>
      </c>
      <c r="IC666" s="2879" t="str">
        <f t="shared" si="218"/>
        <v/>
      </c>
      <c r="ID666" s="2879" t="str">
        <f t="shared" si="219"/>
        <v/>
      </c>
      <c r="IE666" s="2879" t="str">
        <f t="shared" si="220"/>
        <v/>
      </c>
      <c r="IF666" s="2879" t="str">
        <f t="shared" si="221"/>
        <v/>
      </c>
      <c r="IG666" s="2879" t="str">
        <f t="shared" si="222"/>
        <v/>
      </c>
      <c r="IH666" s="1247" t="str">
        <f t="shared" si="223"/>
        <v/>
      </c>
      <c r="II666" s="1247" t="str">
        <f t="shared" si="224"/>
        <v/>
      </c>
      <c r="IJ666" s="1247" t="str">
        <f t="shared" si="225"/>
        <v/>
      </c>
      <c r="IK666" s="1247" t="str">
        <f t="shared" si="226"/>
        <v/>
      </c>
      <c r="IL666" s="1247" t="str">
        <f t="shared" si="227"/>
        <v/>
      </c>
      <c r="IM666" s="1247" t="str">
        <f t="shared" si="228"/>
        <v/>
      </c>
      <c r="IN666" s="1247" t="str">
        <f t="shared" si="229"/>
        <v/>
      </c>
      <c r="IO666" s="1247" t="str">
        <f t="shared" si="230"/>
        <v/>
      </c>
      <c r="IP666" s="1247" t="str">
        <f t="shared" si="231"/>
        <v/>
      </c>
      <c r="IQ666" s="1247" t="str">
        <f t="shared" si="232"/>
        <v/>
      </c>
      <c r="IR666" s="1247" t="str">
        <f t="shared" si="233"/>
        <v/>
      </c>
      <c r="IS666" s="1247" t="str">
        <f t="shared" si="234"/>
        <v/>
      </c>
      <c r="IT666" s="1247" t="str">
        <f t="shared" si="235"/>
        <v/>
      </c>
      <c r="IU666" s="1247" t="str">
        <f t="shared" si="236"/>
        <v/>
      </c>
      <c r="IV666" s="1247" t="str">
        <f t="shared" si="237"/>
        <v/>
      </c>
      <c r="IW666" s="1247" t="str">
        <f t="shared" si="238"/>
        <v/>
      </c>
      <c r="IX666" s="1247" t="str">
        <f t="shared" si="239"/>
        <v/>
      </c>
      <c r="IY666" s="1247" t="str">
        <f t="shared" si="240"/>
        <v/>
      </c>
      <c r="IZ666" s="1247" t="str">
        <f t="shared" si="241"/>
        <v/>
      </c>
      <c r="JA666" s="1247" t="str">
        <f t="shared" si="242"/>
        <v/>
      </c>
      <c r="JB666" s="2877">
        <f t="shared" si="243"/>
        <v>0</v>
      </c>
      <c r="JC666" s="2877">
        <f t="shared" si="244"/>
        <v>0</v>
      </c>
      <c r="JD666" s="2877">
        <f t="shared" si="245"/>
        <v>0</v>
      </c>
      <c r="JE666" s="2877">
        <f t="shared" si="246"/>
        <v>0</v>
      </c>
      <c r="JF666" s="2877">
        <f t="shared" si="247"/>
        <v>0</v>
      </c>
      <c r="JG666" s="2877">
        <f t="shared" si="248"/>
        <v>0</v>
      </c>
      <c r="JH666" s="2877">
        <f t="shared" si="249"/>
        <v>0</v>
      </c>
      <c r="JI666" s="2877">
        <f t="shared" si="250"/>
        <v>0</v>
      </c>
      <c r="JJ666" s="2877">
        <f t="shared" si="251"/>
        <v>0</v>
      </c>
      <c r="JK666" s="2877">
        <f t="shared" si="252"/>
        <v>0</v>
      </c>
      <c r="JL666" s="2877">
        <f t="shared" si="253"/>
        <v>0</v>
      </c>
      <c r="JM666" s="2877">
        <f t="shared" si="254"/>
        <v>0</v>
      </c>
      <c r="JN666" s="2877">
        <f t="shared" si="255"/>
        <v>0</v>
      </c>
      <c r="JO666" s="2877">
        <f t="shared" si="256"/>
        <v>0</v>
      </c>
      <c r="JP666" s="2877">
        <f t="shared" si="257"/>
        <v>0</v>
      </c>
    </row>
    <row r="667" spans="1:277" ht="12" customHeight="1">
      <c r="A667" s="2891" t="str">
        <f t="shared" si="0"/>
        <v/>
      </c>
      <c r="B667" s="2900" t="str">
        <f>'Part VI-Revenues &amp; Expenses'!B47</f>
        <v>&lt;&lt;Select&gt;&gt;</v>
      </c>
      <c r="C667" s="2901">
        <f>'Part VI-Revenues &amp; Expenses'!C47</f>
        <v>0</v>
      </c>
      <c r="D667" s="2902">
        <f>'Part VI-Revenues &amp; Expenses'!D47</f>
        <v>0</v>
      </c>
      <c r="E667" s="2903">
        <f>'Part VI-Revenues &amp; Expenses'!E47</f>
        <v>0</v>
      </c>
      <c r="F667" s="2903">
        <f>'Part VI-Revenues &amp; Expenses'!F47</f>
        <v>0</v>
      </c>
      <c r="G667" s="2903">
        <f>'Part VI-Revenues &amp; Expenses'!G47</f>
        <v>0</v>
      </c>
      <c r="H667" s="2903">
        <f>'Part VI-Revenues &amp; Expenses'!H47</f>
        <v>0</v>
      </c>
      <c r="I667" s="2903">
        <f>'Part VI-Revenues &amp; Expenses'!I47</f>
        <v>0</v>
      </c>
      <c r="J667" s="2904">
        <f>'Part VI-Revenues &amp; Expenses'!J47</f>
        <v>0</v>
      </c>
      <c r="K667" s="2905">
        <f t="shared" si="1"/>
        <v>0</v>
      </c>
      <c r="L667" s="2905">
        <f t="shared" si="2"/>
        <v>0</v>
      </c>
      <c r="M667" s="2886">
        <f>'Part VI-Revenues &amp; Expenses'!M47</f>
        <v>0</v>
      </c>
      <c r="N667" s="2886">
        <f>'Part VI-Revenues &amp; Expenses'!N47</f>
        <v>0</v>
      </c>
      <c r="O667" s="2886">
        <f>'Part VI-Revenues &amp; Expenses'!O47</f>
        <v>0</v>
      </c>
      <c r="P667" s="2886">
        <f>'Part VI-Revenues &amp; Expenses'!P47</f>
        <v>0</v>
      </c>
      <c r="Q667" s="2906">
        <f>IF(H667="","",P667/($O$626*VLOOKUP(C667,'DCA Underwriting Assumptions'!$J$118:$K$123,2,FALSE)))</f>
        <v>0</v>
      </c>
      <c r="R667" s="2907"/>
      <c r="S667" s="2906"/>
      <c r="T667" s="2908"/>
      <c r="U667" s="2908"/>
      <c r="V667" s="1247" t="str">
        <f t="shared" si="3"/>
        <v/>
      </c>
      <c r="W667" s="1247" t="str">
        <f t="shared" si="4"/>
        <v/>
      </c>
      <c r="X667" s="1247" t="str">
        <f t="shared" si="5"/>
        <v/>
      </c>
      <c r="Y667" s="1247" t="str">
        <f t="shared" si="6"/>
        <v/>
      </c>
      <c r="Z667" s="1247" t="str">
        <f t="shared" si="7"/>
        <v/>
      </c>
      <c r="AA667" s="1247" t="str">
        <f t="shared" si="8"/>
        <v/>
      </c>
      <c r="AB667" s="1247" t="str">
        <f t="shared" si="9"/>
        <v/>
      </c>
      <c r="AC667" s="1247" t="str">
        <f t="shared" si="10"/>
        <v/>
      </c>
      <c r="AD667" s="1247" t="str">
        <f t="shared" si="11"/>
        <v/>
      </c>
      <c r="AE667" s="1247" t="str">
        <f t="shared" si="12"/>
        <v/>
      </c>
      <c r="AF667" s="1247" t="str">
        <f t="shared" si="13"/>
        <v/>
      </c>
      <c r="AG667" s="1247" t="str">
        <f t="shared" si="14"/>
        <v/>
      </c>
      <c r="AH667" s="1247" t="str">
        <f t="shared" si="15"/>
        <v/>
      </c>
      <c r="AI667" s="1247" t="str">
        <f t="shared" si="16"/>
        <v/>
      </c>
      <c r="AJ667" s="1247" t="str">
        <f t="shared" si="17"/>
        <v/>
      </c>
      <c r="AK667" s="1247" t="str">
        <f t="shared" si="18"/>
        <v/>
      </c>
      <c r="AL667" s="1247" t="str">
        <f t="shared" si="19"/>
        <v/>
      </c>
      <c r="AM667" s="1247" t="str">
        <f t="shared" si="20"/>
        <v/>
      </c>
      <c r="AN667" s="1247" t="str">
        <f t="shared" si="21"/>
        <v/>
      </c>
      <c r="AO667" s="1247" t="str">
        <f t="shared" si="22"/>
        <v/>
      </c>
      <c r="AP667" s="1247" t="str">
        <f t="shared" si="23"/>
        <v/>
      </c>
      <c r="AQ667" s="1247" t="str">
        <f t="shared" si="24"/>
        <v/>
      </c>
      <c r="AR667" s="1247" t="str">
        <f t="shared" si="25"/>
        <v/>
      </c>
      <c r="AS667" s="1247" t="str">
        <f t="shared" si="26"/>
        <v/>
      </c>
      <c r="AT667" s="1247" t="str">
        <f t="shared" si="27"/>
        <v/>
      </c>
      <c r="AU667" s="1247" t="str">
        <f t="shared" si="28"/>
        <v/>
      </c>
      <c r="AV667" s="1247" t="str">
        <f t="shared" si="29"/>
        <v/>
      </c>
      <c r="AW667" s="1247" t="str">
        <f t="shared" si="30"/>
        <v/>
      </c>
      <c r="AX667" s="1247" t="str">
        <f t="shared" si="31"/>
        <v/>
      </c>
      <c r="AY667" s="1247" t="str">
        <f t="shared" si="32"/>
        <v/>
      </c>
      <c r="AZ667" s="1247" t="str">
        <f t="shared" si="33"/>
        <v/>
      </c>
      <c r="BA667" s="1247" t="str">
        <f t="shared" si="34"/>
        <v/>
      </c>
      <c r="BB667" s="1247" t="str">
        <f t="shared" si="35"/>
        <v/>
      </c>
      <c r="BC667" s="1247" t="str">
        <f t="shared" si="36"/>
        <v/>
      </c>
      <c r="BD667" s="1247" t="str">
        <f t="shared" si="37"/>
        <v/>
      </c>
      <c r="BE667" s="1247" t="str">
        <f t="shared" si="38"/>
        <v/>
      </c>
      <c r="BF667" s="1247" t="str">
        <f t="shared" si="39"/>
        <v/>
      </c>
      <c r="BG667" s="1247" t="str">
        <f t="shared" si="40"/>
        <v/>
      </c>
      <c r="BH667" s="1247" t="str">
        <f t="shared" si="41"/>
        <v/>
      </c>
      <c r="BI667" s="1247" t="str">
        <f t="shared" si="42"/>
        <v/>
      </c>
      <c r="BJ667" s="1247" t="str">
        <f t="shared" si="43"/>
        <v/>
      </c>
      <c r="BK667" s="1247" t="str">
        <f t="shared" si="44"/>
        <v/>
      </c>
      <c r="BL667" s="1247" t="str">
        <f t="shared" si="45"/>
        <v/>
      </c>
      <c r="BM667" s="1247" t="str">
        <f t="shared" si="46"/>
        <v/>
      </c>
      <c r="BN667" s="1247" t="str">
        <f t="shared" si="47"/>
        <v/>
      </c>
      <c r="BO667" s="1247" t="str">
        <f t="shared" si="48"/>
        <v/>
      </c>
      <c r="BP667" s="1247" t="str">
        <f t="shared" si="49"/>
        <v/>
      </c>
      <c r="BQ667" s="1247" t="str">
        <f t="shared" si="50"/>
        <v/>
      </c>
      <c r="BR667" s="1247" t="str">
        <f t="shared" si="51"/>
        <v/>
      </c>
      <c r="BS667" s="1247" t="str">
        <f t="shared" si="52"/>
        <v/>
      </c>
      <c r="BT667" s="1247" t="str">
        <f t="shared" si="53"/>
        <v/>
      </c>
      <c r="BU667" s="1247" t="str">
        <f t="shared" si="54"/>
        <v/>
      </c>
      <c r="BV667" s="1247" t="str">
        <f t="shared" si="55"/>
        <v/>
      </c>
      <c r="BW667" s="1247" t="str">
        <f t="shared" si="56"/>
        <v/>
      </c>
      <c r="BX667" s="1247" t="str">
        <f t="shared" si="57"/>
        <v/>
      </c>
      <c r="BY667" s="1247" t="str">
        <f t="shared" si="58"/>
        <v/>
      </c>
      <c r="BZ667" s="1247" t="str">
        <f t="shared" si="59"/>
        <v/>
      </c>
      <c r="CA667" s="1247" t="str">
        <f t="shared" si="60"/>
        <v/>
      </c>
      <c r="CB667" s="1247" t="str">
        <f t="shared" si="61"/>
        <v/>
      </c>
      <c r="CC667" s="1247" t="str">
        <f t="shared" si="62"/>
        <v/>
      </c>
      <c r="CD667" s="1247" t="str">
        <f t="shared" si="63"/>
        <v/>
      </c>
      <c r="CE667" s="1247" t="str">
        <f t="shared" si="64"/>
        <v/>
      </c>
      <c r="CF667" s="1247" t="str">
        <f t="shared" si="65"/>
        <v/>
      </c>
      <c r="CG667" s="1247" t="str">
        <f t="shared" si="66"/>
        <v/>
      </c>
      <c r="CH667" s="1247" t="str">
        <f t="shared" si="67"/>
        <v/>
      </c>
      <c r="CI667" s="1247" t="str">
        <f t="shared" si="68"/>
        <v/>
      </c>
      <c r="CJ667" s="1247" t="str">
        <f t="shared" si="69"/>
        <v/>
      </c>
      <c r="CK667" s="1247" t="str">
        <f t="shared" si="70"/>
        <v/>
      </c>
      <c r="CL667" s="1247" t="str">
        <f t="shared" si="71"/>
        <v/>
      </c>
      <c r="CM667" s="1247" t="str">
        <f t="shared" si="72"/>
        <v/>
      </c>
      <c r="CN667" s="1247" t="str">
        <f t="shared" si="73"/>
        <v/>
      </c>
      <c r="CO667" s="1247" t="str">
        <f t="shared" si="74"/>
        <v/>
      </c>
      <c r="CP667" s="1247" t="str">
        <f t="shared" si="75"/>
        <v/>
      </c>
      <c r="CQ667" s="1247" t="str">
        <f t="shared" si="76"/>
        <v/>
      </c>
      <c r="CR667" s="1247" t="str">
        <f t="shared" si="77"/>
        <v/>
      </c>
      <c r="CS667" s="1247" t="str">
        <f t="shared" si="78"/>
        <v/>
      </c>
      <c r="CT667" s="1247" t="str">
        <f t="shared" si="79"/>
        <v/>
      </c>
      <c r="CU667" s="1247" t="str">
        <f t="shared" si="80"/>
        <v/>
      </c>
      <c r="CV667" s="1247" t="str">
        <f t="shared" si="81"/>
        <v/>
      </c>
      <c r="CW667" s="1247" t="str">
        <f t="shared" si="82"/>
        <v/>
      </c>
      <c r="CX667" s="1247" t="str">
        <f t="shared" si="83"/>
        <v/>
      </c>
      <c r="CY667" s="1247" t="str">
        <f t="shared" si="84"/>
        <v/>
      </c>
      <c r="CZ667" s="1247" t="str">
        <f t="shared" si="85"/>
        <v/>
      </c>
      <c r="DA667" s="1247" t="str">
        <f t="shared" si="86"/>
        <v/>
      </c>
      <c r="DB667" s="1247" t="str">
        <f t="shared" si="87"/>
        <v/>
      </c>
      <c r="DC667" s="1247" t="str">
        <f t="shared" si="88"/>
        <v/>
      </c>
      <c r="DD667" s="1247" t="str">
        <f t="shared" si="89"/>
        <v/>
      </c>
      <c r="DE667" s="1247" t="str">
        <f t="shared" si="90"/>
        <v/>
      </c>
      <c r="DF667" s="1247" t="str">
        <f t="shared" si="91"/>
        <v/>
      </c>
      <c r="DG667" s="1247" t="str">
        <f t="shared" si="92"/>
        <v/>
      </c>
      <c r="DH667" s="1247" t="str">
        <f t="shared" si="93"/>
        <v/>
      </c>
      <c r="DI667" s="1247" t="str">
        <f t="shared" si="94"/>
        <v/>
      </c>
      <c r="DJ667" s="1247" t="str">
        <f t="shared" si="95"/>
        <v/>
      </c>
      <c r="DK667" s="1247" t="str">
        <f t="shared" si="96"/>
        <v/>
      </c>
      <c r="DL667" s="1247" t="str">
        <f t="shared" si="97"/>
        <v/>
      </c>
      <c r="DM667" s="1247" t="str">
        <f t="shared" si="98"/>
        <v/>
      </c>
      <c r="DN667" s="1247" t="str">
        <f t="shared" si="99"/>
        <v/>
      </c>
      <c r="DO667" s="1247" t="str">
        <f t="shared" si="100"/>
        <v/>
      </c>
      <c r="DP667" s="1247" t="str">
        <f t="shared" si="101"/>
        <v/>
      </c>
      <c r="DQ667" s="1247" t="str">
        <f t="shared" si="102"/>
        <v/>
      </c>
      <c r="DR667" s="1247" t="str">
        <f t="shared" si="103"/>
        <v/>
      </c>
      <c r="DS667" s="1247" t="str">
        <f t="shared" si="104"/>
        <v/>
      </c>
      <c r="DT667" s="1247" t="str">
        <f t="shared" si="105"/>
        <v/>
      </c>
      <c r="DU667" s="1247" t="str">
        <f t="shared" si="106"/>
        <v/>
      </c>
      <c r="DV667" s="1247" t="str">
        <f t="shared" si="107"/>
        <v/>
      </c>
      <c r="DW667" s="1247" t="str">
        <f t="shared" si="108"/>
        <v/>
      </c>
      <c r="DX667" s="1247" t="str">
        <f t="shared" si="109"/>
        <v/>
      </c>
      <c r="DY667" s="1247" t="str">
        <f t="shared" si="110"/>
        <v/>
      </c>
      <c r="DZ667" s="1247" t="str">
        <f t="shared" si="111"/>
        <v/>
      </c>
      <c r="EA667" s="1247" t="str">
        <f t="shared" si="112"/>
        <v/>
      </c>
      <c r="EB667" s="1247" t="str">
        <f t="shared" si="113"/>
        <v/>
      </c>
      <c r="EC667" s="1247" t="str">
        <f t="shared" si="114"/>
        <v/>
      </c>
      <c r="ED667" s="1247" t="str">
        <f t="shared" si="115"/>
        <v/>
      </c>
      <c r="EE667" s="1247" t="str">
        <f t="shared" si="116"/>
        <v/>
      </c>
      <c r="EF667" s="1247" t="str">
        <f t="shared" si="117"/>
        <v/>
      </c>
      <c r="EG667" s="1247" t="str">
        <f t="shared" si="118"/>
        <v/>
      </c>
      <c r="EH667" s="1247" t="str">
        <f t="shared" si="119"/>
        <v/>
      </c>
      <c r="EI667" s="1247" t="str">
        <f t="shared" si="120"/>
        <v/>
      </c>
      <c r="EJ667" s="1247" t="str">
        <f t="shared" si="121"/>
        <v/>
      </c>
      <c r="EK667" s="1247" t="str">
        <f t="shared" si="122"/>
        <v/>
      </c>
      <c r="EL667" s="1247" t="str">
        <f t="shared" si="123"/>
        <v/>
      </c>
      <c r="EM667" s="1247" t="str">
        <f t="shared" si="124"/>
        <v/>
      </c>
      <c r="EN667" s="1247" t="str">
        <f t="shared" si="125"/>
        <v/>
      </c>
      <c r="EO667" s="1247" t="str">
        <f t="shared" si="126"/>
        <v/>
      </c>
      <c r="EP667" s="1247" t="str">
        <f t="shared" si="127"/>
        <v/>
      </c>
      <c r="EQ667" s="1247" t="str">
        <f t="shared" si="128"/>
        <v/>
      </c>
      <c r="ER667" s="1247" t="str">
        <f t="shared" si="129"/>
        <v/>
      </c>
      <c r="ES667" s="1247" t="str">
        <f t="shared" si="130"/>
        <v/>
      </c>
      <c r="ET667" s="1247" t="str">
        <f t="shared" si="131"/>
        <v/>
      </c>
      <c r="EU667" s="1247" t="str">
        <f t="shared" si="132"/>
        <v/>
      </c>
      <c r="EV667" s="2909" t="str">
        <f t="shared" si="133"/>
        <v/>
      </c>
      <c r="EW667" s="2909" t="str">
        <f t="shared" si="134"/>
        <v/>
      </c>
      <c r="EX667" s="2909" t="str">
        <f t="shared" si="135"/>
        <v/>
      </c>
      <c r="EY667" s="2909" t="str">
        <f t="shared" si="136"/>
        <v/>
      </c>
      <c r="EZ667" s="2909" t="str">
        <f t="shared" si="137"/>
        <v/>
      </c>
      <c r="FA667" s="2909" t="str">
        <f t="shared" si="138"/>
        <v/>
      </c>
      <c r="FB667" s="2909" t="str">
        <f t="shared" si="139"/>
        <v/>
      </c>
      <c r="FC667" s="2909" t="str">
        <f t="shared" si="140"/>
        <v/>
      </c>
      <c r="FD667" s="2909" t="str">
        <f t="shared" si="141"/>
        <v/>
      </c>
      <c r="FE667" s="2909" t="str">
        <f t="shared" si="142"/>
        <v/>
      </c>
      <c r="FF667" s="2909" t="str">
        <f t="shared" si="143"/>
        <v/>
      </c>
      <c r="FG667" s="2909" t="str">
        <f t="shared" si="144"/>
        <v/>
      </c>
      <c r="FH667" s="2909" t="str">
        <f t="shared" si="145"/>
        <v/>
      </c>
      <c r="FI667" s="2909" t="str">
        <f t="shared" si="146"/>
        <v/>
      </c>
      <c r="FJ667" s="2909" t="str">
        <f t="shared" si="147"/>
        <v/>
      </c>
      <c r="FK667" s="2909" t="str">
        <f t="shared" si="148"/>
        <v/>
      </c>
      <c r="FL667" s="2909" t="str">
        <f t="shared" si="149"/>
        <v/>
      </c>
      <c r="FM667" s="2909" t="str">
        <f t="shared" si="150"/>
        <v/>
      </c>
      <c r="FN667" s="2909" t="str">
        <f t="shared" si="151"/>
        <v/>
      </c>
      <c r="FO667" s="2909" t="str">
        <f t="shared" si="152"/>
        <v/>
      </c>
      <c r="FP667" s="2909" t="str">
        <f t="shared" si="153"/>
        <v/>
      </c>
      <c r="FQ667" s="2909" t="str">
        <f t="shared" si="154"/>
        <v/>
      </c>
      <c r="FR667" s="2909" t="str">
        <f t="shared" si="155"/>
        <v/>
      </c>
      <c r="FS667" s="2909" t="str">
        <f t="shared" si="156"/>
        <v/>
      </c>
      <c r="FT667" s="2909" t="str">
        <f t="shared" si="157"/>
        <v/>
      </c>
      <c r="FU667" s="2909" t="str">
        <f t="shared" si="158"/>
        <v/>
      </c>
      <c r="FV667" s="2909" t="str">
        <f t="shared" si="159"/>
        <v/>
      </c>
      <c r="FW667" s="2909" t="str">
        <f t="shared" si="160"/>
        <v/>
      </c>
      <c r="FX667" s="2909" t="str">
        <f t="shared" si="161"/>
        <v/>
      </c>
      <c r="FY667" s="2909" t="str">
        <f t="shared" si="162"/>
        <v/>
      </c>
      <c r="FZ667" s="2909" t="str">
        <f t="shared" si="163"/>
        <v/>
      </c>
      <c r="GA667" s="2909" t="str">
        <f t="shared" si="164"/>
        <v/>
      </c>
      <c r="GB667" s="2909" t="str">
        <f t="shared" si="165"/>
        <v/>
      </c>
      <c r="GC667" s="2909" t="str">
        <f t="shared" si="166"/>
        <v/>
      </c>
      <c r="GD667" s="2909" t="str">
        <f t="shared" si="167"/>
        <v/>
      </c>
      <c r="GE667" s="2909" t="str">
        <f t="shared" si="168"/>
        <v/>
      </c>
      <c r="GF667" s="2909" t="str">
        <f t="shared" si="169"/>
        <v/>
      </c>
      <c r="GG667" s="2909" t="str">
        <f t="shared" si="170"/>
        <v/>
      </c>
      <c r="GH667" s="2909" t="str">
        <f t="shared" si="171"/>
        <v/>
      </c>
      <c r="GI667" s="2909" t="str">
        <f t="shared" si="172"/>
        <v/>
      </c>
      <c r="GJ667" s="2909" t="str">
        <f t="shared" si="173"/>
        <v/>
      </c>
      <c r="GK667" s="2909" t="str">
        <f t="shared" si="174"/>
        <v/>
      </c>
      <c r="GL667" s="2909" t="str">
        <f t="shared" si="175"/>
        <v/>
      </c>
      <c r="GM667" s="2909" t="str">
        <f t="shared" si="176"/>
        <v/>
      </c>
      <c r="GN667" s="2909" t="str">
        <f t="shared" si="177"/>
        <v/>
      </c>
      <c r="GO667" s="2909" t="str">
        <f t="shared" si="178"/>
        <v/>
      </c>
      <c r="GP667" s="2909" t="str">
        <f t="shared" si="179"/>
        <v/>
      </c>
      <c r="GQ667" s="2909" t="str">
        <f t="shared" si="180"/>
        <v/>
      </c>
      <c r="GR667" s="2909" t="str">
        <f t="shared" si="181"/>
        <v/>
      </c>
      <c r="GS667" s="2909" t="str">
        <f t="shared" si="182"/>
        <v/>
      </c>
      <c r="GT667" s="2909" t="str">
        <f t="shared" si="183"/>
        <v/>
      </c>
      <c r="GU667" s="2909" t="str">
        <f t="shared" si="184"/>
        <v/>
      </c>
      <c r="GV667" s="2909" t="str">
        <f t="shared" si="185"/>
        <v/>
      </c>
      <c r="GW667" s="2909" t="str">
        <f t="shared" si="186"/>
        <v/>
      </c>
      <c r="GX667" s="2909" t="str">
        <f t="shared" si="187"/>
        <v/>
      </c>
      <c r="GY667" s="2909" t="str">
        <f t="shared" si="188"/>
        <v/>
      </c>
      <c r="GZ667" s="2909" t="str">
        <f t="shared" si="189"/>
        <v/>
      </c>
      <c r="HA667" s="2909" t="str">
        <f t="shared" si="190"/>
        <v/>
      </c>
      <c r="HB667" s="2909" t="str">
        <f t="shared" si="191"/>
        <v/>
      </c>
      <c r="HC667" s="2909" t="str">
        <f t="shared" si="192"/>
        <v/>
      </c>
      <c r="HD667" s="2909" t="str">
        <f t="shared" si="193"/>
        <v/>
      </c>
      <c r="HE667" s="2909" t="str">
        <f t="shared" si="194"/>
        <v/>
      </c>
      <c r="HF667" s="2909" t="str">
        <f t="shared" si="195"/>
        <v/>
      </c>
      <c r="HG667" s="2909" t="str">
        <f t="shared" si="196"/>
        <v/>
      </c>
      <c r="HH667" s="2909" t="str">
        <f t="shared" si="197"/>
        <v/>
      </c>
      <c r="HI667" s="2909" t="str">
        <f t="shared" si="198"/>
        <v/>
      </c>
      <c r="HJ667" s="2909" t="str">
        <f t="shared" si="199"/>
        <v/>
      </c>
      <c r="HK667" s="2909" t="str">
        <f t="shared" si="200"/>
        <v/>
      </c>
      <c r="HL667" s="2909" t="str">
        <f t="shared" si="201"/>
        <v/>
      </c>
      <c r="HM667" s="2909" t="str">
        <f t="shared" si="202"/>
        <v/>
      </c>
      <c r="HN667" s="2909" t="str">
        <f t="shared" si="203"/>
        <v/>
      </c>
      <c r="HO667" s="2909" t="str">
        <f t="shared" si="204"/>
        <v/>
      </c>
      <c r="HP667" s="2909" t="str">
        <f t="shared" si="205"/>
        <v/>
      </c>
      <c r="HQ667" s="2909" t="str">
        <f t="shared" si="206"/>
        <v/>
      </c>
      <c r="HR667" s="2909" t="str">
        <f t="shared" si="207"/>
        <v/>
      </c>
      <c r="HS667" s="2909" t="str">
        <f t="shared" si="208"/>
        <v/>
      </c>
      <c r="HT667" s="2909" t="str">
        <f t="shared" si="209"/>
        <v/>
      </c>
      <c r="HU667" s="2909" t="str">
        <f t="shared" si="210"/>
        <v/>
      </c>
      <c r="HV667" s="2909" t="str">
        <f t="shared" si="211"/>
        <v/>
      </c>
      <c r="HW667" s="2909" t="str">
        <f t="shared" si="212"/>
        <v/>
      </c>
      <c r="HX667" s="2909" t="str">
        <f t="shared" si="213"/>
        <v/>
      </c>
      <c r="HY667" s="2909" t="str">
        <f t="shared" si="214"/>
        <v/>
      </c>
      <c r="HZ667" s="2909" t="str">
        <f t="shared" si="215"/>
        <v/>
      </c>
      <c r="IA667" s="2909" t="str">
        <f t="shared" si="216"/>
        <v/>
      </c>
      <c r="IB667" s="2909" t="str">
        <f t="shared" si="217"/>
        <v/>
      </c>
      <c r="IC667" s="2879" t="str">
        <f t="shared" si="218"/>
        <v/>
      </c>
      <c r="ID667" s="2879" t="str">
        <f t="shared" si="219"/>
        <v/>
      </c>
      <c r="IE667" s="2879" t="str">
        <f t="shared" si="220"/>
        <v/>
      </c>
      <c r="IF667" s="2879" t="str">
        <f t="shared" si="221"/>
        <v/>
      </c>
      <c r="IG667" s="2879" t="str">
        <f t="shared" si="222"/>
        <v/>
      </c>
      <c r="IH667" s="1247" t="str">
        <f t="shared" si="223"/>
        <v/>
      </c>
      <c r="II667" s="1247" t="str">
        <f t="shared" si="224"/>
        <v/>
      </c>
      <c r="IJ667" s="1247" t="str">
        <f t="shared" si="225"/>
        <v/>
      </c>
      <c r="IK667" s="1247" t="str">
        <f t="shared" si="226"/>
        <v/>
      </c>
      <c r="IL667" s="1247" t="str">
        <f t="shared" si="227"/>
        <v/>
      </c>
      <c r="IM667" s="1247" t="str">
        <f t="shared" si="228"/>
        <v/>
      </c>
      <c r="IN667" s="1247" t="str">
        <f t="shared" si="229"/>
        <v/>
      </c>
      <c r="IO667" s="1247" t="str">
        <f t="shared" si="230"/>
        <v/>
      </c>
      <c r="IP667" s="1247" t="str">
        <f t="shared" si="231"/>
        <v/>
      </c>
      <c r="IQ667" s="1247" t="str">
        <f t="shared" si="232"/>
        <v/>
      </c>
      <c r="IR667" s="1247" t="str">
        <f t="shared" si="233"/>
        <v/>
      </c>
      <c r="IS667" s="1247" t="str">
        <f t="shared" si="234"/>
        <v/>
      </c>
      <c r="IT667" s="1247" t="str">
        <f t="shared" si="235"/>
        <v/>
      </c>
      <c r="IU667" s="1247" t="str">
        <f t="shared" si="236"/>
        <v/>
      </c>
      <c r="IV667" s="1247" t="str">
        <f t="shared" si="237"/>
        <v/>
      </c>
      <c r="IW667" s="1247" t="str">
        <f t="shared" si="238"/>
        <v/>
      </c>
      <c r="IX667" s="1247" t="str">
        <f t="shared" si="239"/>
        <v/>
      </c>
      <c r="IY667" s="1247" t="str">
        <f t="shared" si="240"/>
        <v/>
      </c>
      <c r="IZ667" s="1247" t="str">
        <f t="shared" si="241"/>
        <v/>
      </c>
      <c r="JA667" s="1247" t="str">
        <f t="shared" si="242"/>
        <v/>
      </c>
      <c r="JB667" s="2877">
        <f t="shared" si="243"/>
        <v>0</v>
      </c>
      <c r="JC667" s="2877">
        <f t="shared" si="244"/>
        <v>0</v>
      </c>
      <c r="JD667" s="2877">
        <f t="shared" si="245"/>
        <v>0</v>
      </c>
      <c r="JE667" s="2877">
        <f t="shared" si="246"/>
        <v>0</v>
      </c>
      <c r="JF667" s="2877">
        <f t="shared" si="247"/>
        <v>0</v>
      </c>
      <c r="JG667" s="2877">
        <f t="shared" si="248"/>
        <v>0</v>
      </c>
      <c r="JH667" s="2877">
        <f t="shared" si="249"/>
        <v>0</v>
      </c>
      <c r="JI667" s="2877">
        <f t="shared" si="250"/>
        <v>0</v>
      </c>
      <c r="JJ667" s="2877">
        <f t="shared" si="251"/>
        <v>0</v>
      </c>
      <c r="JK667" s="2877">
        <f t="shared" si="252"/>
        <v>0</v>
      </c>
      <c r="JL667" s="2877">
        <f t="shared" si="253"/>
        <v>0</v>
      </c>
      <c r="JM667" s="2877">
        <f t="shared" si="254"/>
        <v>0</v>
      </c>
      <c r="JN667" s="2877">
        <f t="shared" si="255"/>
        <v>0</v>
      </c>
      <c r="JO667" s="2877">
        <f t="shared" si="256"/>
        <v>0</v>
      </c>
      <c r="JP667" s="2877">
        <f t="shared" si="257"/>
        <v>0</v>
      </c>
    </row>
    <row r="668" spans="1:277" ht="14.45" customHeight="1">
      <c r="A668" s="2891">
        <f>COUNT(A630,A631,A632,A633,A634,A635,A636,A637,A638,A639,A640,A641,A642,A643,A644,A645,A646,A647,A648,A649,A650,A651,A652,A653,A654,A655,A656,A657,A658,A659)</f>
        <v>0</v>
      </c>
      <c r="B668" s="523"/>
      <c r="C668" s="523"/>
      <c r="D668" s="2910" t="s">
        <v>1068</v>
      </c>
      <c r="E668" s="2911">
        <f>SUM(E630:E667)</f>
        <v>96</v>
      </c>
      <c r="F668" s="2911">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103944</v>
      </c>
      <c r="G668" s="525"/>
      <c r="H668" s="525"/>
      <c r="I668" s="525"/>
      <c r="J668" s="525"/>
      <c r="K668" s="2912" t="s">
        <v>1367</v>
      </c>
      <c r="L668" s="2911">
        <f>SUM(L630:L667)</f>
        <v>52280</v>
      </c>
      <c r="M668" s="523"/>
      <c r="N668" s="523"/>
      <c r="O668" s="523"/>
      <c r="P668" s="523"/>
      <c r="Q668" s="523"/>
      <c r="R668" s="523"/>
      <c r="S668" s="523"/>
      <c r="T668" s="2894"/>
      <c r="U668" s="2913"/>
      <c r="V668" s="2913">
        <f t="shared" ref="V668:CG668" si="258">SUM(V630:V667)</f>
        <v>0</v>
      </c>
      <c r="W668" s="2913">
        <f t="shared" si="258"/>
        <v>14</v>
      </c>
      <c r="X668" s="2913">
        <f t="shared" si="258"/>
        <v>42</v>
      </c>
      <c r="Y668" s="2913">
        <f t="shared" si="258"/>
        <v>20</v>
      </c>
      <c r="Z668" s="2913">
        <f t="shared" si="258"/>
        <v>0</v>
      </c>
      <c r="AA668" s="2913">
        <f t="shared" si="258"/>
        <v>0</v>
      </c>
      <c r="AB668" s="2913">
        <f t="shared" si="258"/>
        <v>4</v>
      </c>
      <c r="AC668" s="2913">
        <f t="shared" si="258"/>
        <v>12</v>
      </c>
      <c r="AD668" s="2913">
        <f t="shared" si="258"/>
        <v>4</v>
      </c>
      <c r="AE668" s="2913">
        <f t="shared" si="258"/>
        <v>0</v>
      </c>
      <c r="AF668" s="2913">
        <f t="shared" si="258"/>
        <v>0</v>
      </c>
      <c r="AG668" s="2913">
        <f t="shared" si="258"/>
        <v>0</v>
      </c>
      <c r="AH668" s="2913">
        <f t="shared" si="258"/>
        <v>0</v>
      </c>
      <c r="AI668" s="2913">
        <f t="shared" si="258"/>
        <v>0</v>
      </c>
      <c r="AJ668" s="2913">
        <f t="shared" si="258"/>
        <v>0</v>
      </c>
      <c r="AK668" s="2913">
        <f t="shared" si="258"/>
        <v>0</v>
      </c>
      <c r="AL668" s="2913">
        <f t="shared" si="258"/>
        <v>0</v>
      </c>
      <c r="AM668" s="2913">
        <f t="shared" si="258"/>
        <v>0</v>
      </c>
      <c r="AN668" s="2913">
        <f t="shared" si="258"/>
        <v>0</v>
      </c>
      <c r="AO668" s="2913">
        <f t="shared" si="258"/>
        <v>0</v>
      </c>
      <c r="AP668" s="2913">
        <f t="shared" si="258"/>
        <v>0</v>
      </c>
      <c r="AQ668" s="2913">
        <f t="shared" si="258"/>
        <v>0</v>
      </c>
      <c r="AR668" s="2913">
        <f t="shared" si="258"/>
        <v>0</v>
      </c>
      <c r="AS668" s="2913">
        <f t="shared" si="258"/>
        <v>0</v>
      </c>
      <c r="AT668" s="2913">
        <f t="shared" si="258"/>
        <v>0</v>
      </c>
      <c r="AU668" s="2913">
        <f t="shared" si="258"/>
        <v>0</v>
      </c>
      <c r="AV668" s="2913">
        <f t="shared" si="258"/>
        <v>0</v>
      </c>
      <c r="AW668" s="2913">
        <f t="shared" si="258"/>
        <v>0</v>
      </c>
      <c r="AX668" s="2913">
        <f t="shared" si="258"/>
        <v>0</v>
      </c>
      <c r="AY668" s="2913">
        <f t="shared" si="258"/>
        <v>0</v>
      </c>
      <c r="AZ668" s="2913">
        <f t="shared" si="258"/>
        <v>0</v>
      </c>
      <c r="BA668" s="2913">
        <f t="shared" si="258"/>
        <v>0</v>
      </c>
      <c r="BB668" s="2913">
        <f t="shared" si="258"/>
        <v>0</v>
      </c>
      <c r="BC668" s="2913">
        <f t="shared" si="258"/>
        <v>0</v>
      </c>
      <c r="BD668" s="2913">
        <f t="shared" si="258"/>
        <v>0</v>
      </c>
      <c r="BE668" s="2913">
        <f t="shared" si="258"/>
        <v>0</v>
      </c>
      <c r="BF668" s="2913">
        <f t="shared" si="258"/>
        <v>0</v>
      </c>
      <c r="BG668" s="2913">
        <f t="shared" si="258"/>
        <v>0</v>
      </c>
      <c r="BH668" s="2913">
        <f t="shared" si="258"/>
        <v>0</v>
      </c>
      <c r="BI668" s="2913">
        <f t="shared" si="258"/>
        <v>0</v>
      </c>
      <c r="BJ668" s="2913">
        <f t="shared" si="258"/>
        <v>0</v>
      </c>
      <c r="BK668" s="2913">
        <f t="shared" si="258"/>
        <v>0</v>
      </c>
      <c r="BL668" s="2913">
        <f t="shared" si="258"/>
        <v>0</v>
      </c>
      <c r="BM668" s="2913">
        <f t="shared" si="258"/>
        <v>0</v>
      </c>
      <c r="BN668" s="2913">
        <f t="shared" si="258"/>
        <v>0</v>
      </c>
      <c r="BO668" s="2913">
        <f t="shared" si="258"/>
        <v>0</v>
      </c>
      <c r="BP668" s="2913">
        <f t="shared" si="258"/>
        <v>0</v>
      </c>
      <c r="BQ668" s="2913">
        <f t="shared" si="258"/>
        <v>0</v>
      </c>
      <c r="BR668" s="2913">
        <f t="shared" si="258"/>
        <v>0</v>
      </c>
      <c r="BS668" s="2913">
        <f t="shared" si="258"/>
        <v>0</v>
      </c>
      <c r="BT668" s="2913">
        <f t="shared" si="258"/>
        <v>0</v>
      </c>
      <c r="BU668" s="2913">
        <f t="shared" si="258"/>
        <v>0</v>
      </c>
      <c r="BV668" s="2913">
        <f t="shared" si="258"/>
        <v>0</v>
      </c>
      <c r="BW668" s="2913">
        <f t="shared" si="258"/>
        <v>0</v>
      </c>
      <c r="BX668" s="2913">
        <f t="shared" si="258"/>
        <v>0</v>
      </c>
      <c r="BY668" s="2913">
        <f t="shared" si="258"/>
        <v>0</v>
      </c>
      <c r="BZ668" s="2913">
        <f t="shared" si="258"/>
        <v>11606</v>
      </c>
      <c r="CA668" s="2913">
        <f t="shared" si="258"/>
        <v>45066</v>
      </c>
      <c r="CB668" s="2913">
        <f t="shared" si="258"/>
        <v>25900</v>
      </c>
      <c r="CC668" s="2913">
        <f t="shared" si="258"/>
        <v>0</v>
      </c>
      <c r="CD668" s="2913">
        <f t="shared" si="258"/>
        <v>0</v>
      </c>
      <c r="CE668" s="2913">
        <f t="shared" si="258"/>
        <v>3316</v>
      </c>
      <c r="CF668" s="2913">
        <f t="shared" si="258"/>
        <v>12876</v>
      </c>
      <c r="CG668" s="2913">
        <f t="shared" si="258"/>
        <v>5180</v>
      </c>
      <c r="CH668" s="2913">
        <f t="shared" ref="CH668:ES668" si="259">SUM(CH630:CH667)</f>
        <v>0</v>
      </c>
      <c r="CI668" s="2913">
        <f t="shared" si="259"/>
        <v>0</v>
      </c>
      <c r="CJ668" s="2913">
        <f t="shared" si="259"/>
        <v>0</v>
      </c>
      <c r="CK668" s="2913">
        <f t="shared" si="259"/>
        <v>0</v>
      </c>
      <c r="CL668" s="2913">
        <f t="shared" si="259"/>
        <v>0</v>
      </c>
      <c r="CM668" s="2913">
        <f t="shared" si="259"/>
        <v>0</v>
      </c>
      <c r="CN668" s="2913">
        <f t="shared" si="259"/>
        <v>0</v>
      </c>
      <c r="CO668" s="2913">
        <f t="shared" si="259"/>
        <v>0</v>
      </c>
      <c r="CP668" s="2913">
        <f t="shared" si="259"/>
        <v>0</v>
      </c>
      <c r="CQ668" s="2913">
        <f t="shared" si="259"/>
        <v>0</v>
      </c>
      <c r="CR668" s="2913">
        <f t="shared" si="259"/>
        <v>0</v>
      </c>
      <c r="CS668" s="2913">
        <f t="shared" si="259"/>
        <v>0</v>
      </c>
      <c r="CT668" s="2913">
        <f t="shared" si="259"/>
        <v>0</v>
      </c>
      <c r="CU668" s="2913">
        <f t="shared" si="259"/>
        <v>0</v>
      </c>
      <c r="CV668" s="2913">
        <f t="shared" si="259"/>
        <v>0</v>
      </c>
      <c r="CW668" s="2913">
        <f t="shared" si="259"/>
        <v>0</v>
      </c>
      <c r="CX668" s="2913">
        <f t="shared" si="259"/>
        <v>0</v>
      </c>
      <c r="CY668" s="2913">
        <f t="shared" si="259"/>
        <v>0</v>
      </c>
      <c r="CZ668" s="2913">
        <f t="shared" si="259"/>
        <v>0</v>
      </c>
      <c r="DA668" s="2913">
        <f t="shared" si="259"/>
        <v>0</v>
      </c>
      <c r="DB668" s="2913">
        <f t="shared" si="259"/>
        <v>0</v>
      </c>
      <c r="DC668" s="2913">
        <f t="shared" si="259"/>
        <v>0</v>
      </c>
      <c r="DD668" s="2913">
        <f t="shared" si="259"/>
        <v>18</v>
      </c>
      <c r="DE668" s="2913">
        <f t="shared" si="259"/>
        <v>54</v>
      </c>
      <c r="DF668" s="2913">
        <f t="shared" si="259"/>
        <v>24</v>
      </c>
      <c r="DG668" s="2913">
        <f t="shared" si="259"/>
        <v>0</v>
      </c>
      <c r="DH668" s="2913">
        <f t="shared" si="259"/>
        <v>0</v>
      </c>
      <c r="DI668" s="2913">
        <f t="shared" si="259"/>
        <v>0</v>
      </c>
      <c r="DJ668" s="2913">
        <f t="shared" si="259"/>
        <v>0</v>
      </c>
      <c r="DK668" s="2913">
        <f t="shared" si="259"/>
        <v>0</v>
      </c>
      <c r="DL668" s="2913">
        <f t="shared" si="259"/>
        <v>0</v>
      </c>
      <c r="DM668" s="2913">
        <f t="shared" si="259"/>
        <v>0</v>
      </c>
      <c r="DN668" s="2913">
        <f t="shared" si="259"/>
        <v>0</v>
      </c>
      <c r="DO668" s="2913">
        <f t="shared" si="259"/>
        <v>0</v>
      </c>
      <c r="DP668" s="2913">
        <f t="shared" si="259"/>
        <v>0</v>
      </c>
      <c r="DQ668" s="2913">
        <f t="shared" si="259"/>
        <v>0</v>
      </c>
      <c r="DR668" s="2913">
        <f t="shared" si="259"/>
        <v>0</v>
      </c>
      <c r="DS668" s="2913">
        <f t="shared" si="259"/>
        <v>0</v>
      </c>
      <c r="DT668" s="2913">
        <f t="shared" si="259"/>
        <v>0</v>
      </c>
      <c r="DU668" s="2913">
        <f t="shared" si="259"/>
        <v>0</v>
      </c>
      <c r="DV668" s="2913">
        <f t="shared" si="259"/>
        <v>0</v>
      </c>
      <c r="DW668" s="2913">
        <f t="shared" si="259"/>
        <v>0</v>
      </c>
      <c r="DX668" s="2913">
        <f t="shared" si="259"/>
        <v>0</v>
      </c>
      <c r="DY668" s="2913">
        <f t="shared" si="259"/>
        <v>0</v>
      </c>
      <c r="DZ668" s="2913">
        <f t="shared" si="259"/>
        <v>0</v>
      </c>
      <c r="EA668" s="2913">
        <f t="shared" si="259"/>
        <v>0</v>
      </c>
      <c r="EB668" s="2913">
        <f t="shared" si="259"/>
        <v>0</v>
      </c>
      <c r="EC668" s="2913">
        <f t="shared" si="259"/>
        <v>0</v>
      </c>
      <c r="ED668" s="2913">
        <f t="shared" si="259"/>
        <v>0</v>
      </c>
      <c r="EE668" s="2913">
        <f t="shared" si="259"/>
        <v>0</v>
      </c>
      <c r="EF668" s="2913">
        <f t="shared" si="259"/>
        <v>0</v>
      </c>
      <c r="EG668" s="2913">
        <f t="shared" si="259"/>
        <v>0</v>
      </c>
      <c r="EH668" s="2913">
        <f t="shared" si="259"/>
        <v>0</v>
      </c>
      <c r="EI668" s="2913">
        <f t="shared" si="259"/>
        <v>0</v>
      </c>
      <c r="EJ668" s="2913">
        <f t="shared" si="259"/>
        <v>0</v>
      </c>
      <c r="EK668" s="2913">
        <f t="shared" si="259"/>
        <v>0</v>
      </c>
      <c r="EL668" s="2913">
        <f t="shared" si="259"/>
        <v>0</v>
      </c>
      <c r="EM668" s="2913">
        <f t="shared" si="259"/>
        <v>0</v>
      </c>
      <c r="EN668" s="2913">
        <f t="shared" si="259"/>
        <v>0</v>
      </c>
      <c r="EO668" s="2913">
        <f t="shared" si="259"/>
        <v>0</v>
      </c>
      <c r="EP668" s="2913">
        <f t="shared" si="259"/>
        <v>0</v>
      </c>
      <c r="EQ668" s="2913">
        <f t="shared" si="259"/>
        <v>0</v>
      </c>
      <c r="ER668" s="2913">
        <f t="shared" si="259"/>
        <v>0</v>
      </c>
      <c r="ES668" s="2913">
        <f t="shared" si="259"/>
        <v>0</v>
      </c>
      <c r="ET668" s="2913">
        <f t="shared" ref="ET668:HE668" si="260">SUM(ET630:ET667)</f>
        <v>0</v>
      </c>
      <c r="EU668" s="2913">
        <f t="shared" si="260"/>
        <v>0</v>
      </c>
      <c r="EV668" s="2913">
        <f t="shared" si="260"/>
        <v>0</v>
      </c>
      <c r="EW668" s="2913">
        <f t="shared" si="260"/>
        <v>18</v>
      </c>
      <c r="EX668" s="2913">
        <f t="shared" si="260"/>
        <v>54</v>
      </c>
      <c r="EY668" s="2913">
        <f t="shared" si="260"/>
        <v>24</v>
      </c>
      <c r="EZ668" s="2913">
        <f t="shared" si="260"/>
        <v>0</v>
      </c>
      <c r="FA668" s="2913">
        <f t="shared" si="260"/>
        <v>0</v>
      </c>
      <c r="FB668" s="2913">
        <f t="shared" si="260"/>
        <v>0</v>
      </c>
      <c r="FC668" s="2913">
        <f t="shared" si="260"/>
        <v>0</v>
      </c>
      <c r="FD668" s="2913">
        <f t="shared" si="260"/>
        <v>0</v>
      </c>
      <c r="FE668" s="2913">
        <f t="shared" si="260"/>
        <v>0</v>
      </c>
      <c r="FF668" s="2913">
        <f t="shared" si="260"/>
        <v>0</v>
      </c>
      <c r="FG668" s="2913">
        <f t="shared" si="260"/>
        <v>0</v>
      </c>
      <c r="FH668" s="2913">
        <f t="shared" si="260"/>
        <v>0</v>
      </c>
      <c r="FI668" s="2913">
        <f t="shared" si="260"/>
        <v>0</v>
      </c>
      <c r="FJ668" s="2913">
        <f t="shared" si="260"/>
        <v>0</v>
      </c>
      <c r="FK668" s="2913">
        <f t="shared" si="260"/>
        <v>0</v>
      </c>
      <c r="FL668" s="2913">
        <f t="shared" si="260"/>
        <v>0</v>
      </c>
      <c r="FM668" s="2913">
        <f t="shared" si="260"/>
        <v>0</v>
      </c>
      <c r="FN668" s="2913">
        <f t="shared" si="260"/>
        <v>0</v>
      </c>
      <c r="FO668" s="2913">
        <f t="shared" si="260"/>
        <v>0</v>
      </c>
      <c r="FP668" s="2913">
        <f t="shared" si="260"/>
        <v>0</v>
      </c>
      <c r="FQ668" s="2913">
        <f t="shared" si="260"/>
        <v>0</v>
      </c>
      <c r="FR668" s="2913">
        <f t="shared" si="260"/>
        <v>0</v>
      </c>
      <c r="FS668" s="2913">
        <f t="shared" si="260"/>
        <v>0</v>
      </c>
      <c r="FT668" s="2913">
        <f t="shared" si="260"/>
        <v>0</v>
      </c>
      <c r="FU668" s="2913">
        <f t="shared" si="260"/>
        <v>0</v>
      </c>
      <c r="FV668" s="2913">
        <f t="shared" si="260"/>
        <v>0</v>
      </c>
      <c r="FW668" s="2913">
        <f t="shared" si="260"/>
        <v>0</v>
      </c>
      <c r="FX668" s="2913">
        <f t="shared" si="260"/>
        <v>0</v>
      </c>
      <c r="FY668" s="2913">
        <f t="shared" si="260"/>
        <v>0</v>
      </c>
      <c r="FZ668" s="2913">
        <f t="shared" si="260"/>
        <v>0</v>
      </c>
      <c r="GA668" s="2913">
        <f t="shared" si="260"/>
        <v>0</v>
      </c>
      <c r="GB668" s="2913">
        <f t="shared" si="260"/>
        <v>0</v>
      </c>
      <c r="GC668" s="2913">
        <f t="shared" si="260"/>
        <v>0</v>
      </c>
      <c r="GD668" s="2913">
        <f t="shared" si="260"/>
        <v>0</v>
      </c>
      <c r="GE668" s="2913">
        <f t="shared" si="260"/>
        <v>0</v>
      </c>
      <c r="GF668" s="2913">
        <f t="shared" si="260"/>
        <v>0</v>
      </c>
      <c r="GG668" s="2913">
        <f t="shared" si="260"/>
        <v>0</v>
      </c>
      <c r="GH668" s="2913">
        <f t="shared" si="260"/>
        <v>0</v>
      </c>
      <c r="GI668" s="2913">
        <f t="shared" si="260"/>
        <v>0</v>
      </c>
      <c r="GJ668" s="2913">
        <f t="shared" si="260"/>
        <v>0</v>
      </c>
      <c r="GK668" s="2913">
        <f t="shared" si="260"/>
        <v>0</v>
      </c>
      <c r="GL668" s="2913">
        <f t="shared" si="260"/>
        <v>0</v>
      </c>
      <c r="GM668" s="2913">
        <f t="shared" si="260"/>
        <v>0</v>
      </c>
      <c r="GN668" s="2913">
        <f t="shared" si="260"/>
        <v>0</v>
      </c>
      <c r="GO668" s="2913">
        <f t="shared" si="260"/>
        <v>0</v>
      </c>
      <c r="GP668" s="2913">
        <f t="shared" si="260"/>
        <v>0</v>
      </c>
      <c r="GQ668" s="2913">
        <f t="shared" si="260"/>
        <v>0</v>
      </c>
      <c r="GR668" s="2913">
        <f t="shared" si="260"/>
        <v>0</v>
      </c>
      <c r="GS668" s="2913">
        <f t="shared" si="260"/>
        <v>0</v>
      </c>
      <c r="GT668" s="2913">
        <f t="shared" si="260"/>
        <v>0</v>
      </c>
      <c r="GU668" s="2913">
        <f t="shared" si="260"/>
        <v>0</v>
      </c>
      <c r="GV668" s="2913">
        <f t="shared" si="260"/>
        <v>0</v>
      </c>
      <c r="GW668" s="2913">
        <f t="shared" si="260"/>
        <v>0</v>
      </c>
      <c r="GX668" s="2913">
        <f t="shared" si="260"/>
        <v>0</v>
      </c>
      <c r="GY668" s="2913">
        <f t="shared" si="260"/>
        <v>0</v>
      </c>
      <c r="GZ668" s="2913">
        <f t="shared" si="260"/>
        <v>0</v>
      </c>
      <c r="HA668" s="2913">
        <f t="shared" si="260"/>
        <v>0</v>
      </c>
      <c r="HB668" s="2913">
        <f t="shared" si="260"/>
        <v>0</v>
      </c>
      <c r="HC668" s="2913">
        <f t="shared" si="260"/>
        <v>0</v>
      </c>
      <c r="HD668" s="2913">
        <f t="shared" si="260"/>
        <v>0</v>
      </c>
      <c r="HE668" s="2913">
        <f t="shared" si="260"/>
        <v>0</v>
      </c>
      <c r="HF668" s="2913">
        <f t="shared" ref="HF668:JQ668" si="261">SUM(HF630:HF667)</f>
        <v>0</v>
      </c>
      <c r="HG668" s="2913">
        <f t="shared" si="261"/>
        <v>0</v>
      </c>
      <c r="HH668" s="2913">
        <f t="shared" si="261"/>
        <v>0</v>
      </c>
      <c r="HI668" s="2913">
        <f t="shared" si="261"/>
        <v>0</v>
      </c>
      <c r="HJ668" s="2913">
        <f t="shared" si="261"/>
        <v>0</v>
      </c>
      <c r="HK668" s="2913">
        <f t="shared" si="261"/>
        <v>0</v>
      </c>
      <c r="HL668" s="2913">
        <f t="shared" si="261"/>
        <v>0</v>
      </c>
      <c r="HM668" s="2913">
        <f t="shared" si="261"/>
        <v>0</v>
      </c>
      <c r="HN668" s="2913">
        <f t="shared" si="261"/>
        <v>0</v>
      </c>
      <c r="HO668" s="2913">
        <f t="shared" si="261"/>
        <v>0</v>
      </c>
      <c r="HP668" s="2913">
        <f t="shared" si="261"/>
        <v>0</v>
      </c>
      <c r="HQ668" s="2913">
        <f t="shared" si="261"/>
        <v>0</v>
      </c>
      <c r="HR668" s="2913">
        <f t="shared" si="261"/>
        <v>0</v>
      </c>
      <c r="HS668" s="2913">
        <f t="shared" si="261"/>
        <v>0</v>
      </c>
      <c r="HT668" s="2913">
        <f t="shared" si="261"/>
        <v>18</v>
      </c>
      <c r="HU668" s="2913">
        <f t="shared" si="261"/>
        <v>54</v>
      </c>
      <c r="HV668" s="2913">
        <f t="shared" si="261"/>
        <v>24</v>
      </c>
      <c r="HW668" s="2913">
        <f t="shared" si="261"/>
        <v>0</v>
      </c>
      <c r="HX668" s="2913">
        <f t="shared" si="261"/>
        <v>0</v>
      </c>
      <c r="HY668" s="2913">
        <f t="shared" si="261"/>
        <v>0</v>
      </c>
      <c r="HZ668" s="2913">
        <f t="shared" si="261"/>
        <v>0</v>
      </c>
      <c r="IA668" s="2913">
        <f t="shared" si="261"/>
        <v>0</v>
      </c>
      <c r="IB668" s="2913">
        <f t="shared" si="261"/>
        <v>0</v>
      </c>
      <c r="IC668" s="2913">
        <f t="shared" si="261"/>
        <v>0</v>
      </c>
      <c r="ID668" s="2913">
        <f t="shared" si="261"/>
        <v>0</v>
      </c>
      <c r="IE668" s="2913">
        <f t="shared" si="261"/>
        <v>0</v>
      </c>
      <c r="IF668" s="2913">
        <f t="shared" si="261"/>
        <v>0</v>
      </c>
      <c r="IG668" s="2913">
        <f t="shared" si="261"/>
        <v>0</v>
      </c>
      <c r="IH668" s="2913">
        <f t="shared" si="261"/>
        <v>0</v>
      </c>
      <c r="II668" s="2913">
        <f t="shared" si="261"/>
        <v>0</v>
      </c>
      <c r="IJ668" s="2913">
        <f t="shared" si="261"/>
        <v>0</v>
      </c>
      <c r="IK668" s="2913">
        <f t="shared" si="261"/>
        <v>0</v>
      </c>
      <c r="IL668" s="2913">
        <f t="shared" si="261"/>
        <v>0</v>
      </c>
      <c r="IM668" s="2913">
        <f t="shared" si="261"/>
        <v>0</v>
      </c>
      <c r="IN668" s="2913">
        <f t="shared" si="261"/>
        <v>0</v>
      </c>
      <c r="IO668" s="2913">
        <f t="shared" si="261"/>
        <v>0</v>
      </c>
      <c r="IP668" s="2913">
        <f t="shared" si="261"/>
        <v>0</v>
      </c>
      <c r="IQ668" s="2913">
        <f t="shared" si="261"/>
        <v>0</v>
      </c>
      <c r="IR668" s="2913">
        <f t="shared" si="261"/>
        <v>0</v>
      </c>
      <c r="IS668" s="2913">
        <f t="shared" si="261"/>
        <v>0</v>
      </c>
      <c r="IT668" s="2913">
        <f t="shared" si="261"/>
        <v>0</v>
      </c>
      <c r="IU668" s="2913">
        <f t="shared" si="261"/>
        <v>0</v>
      </c>
      <c r="IV668" s="2913">
        <f t="shared" si="261"/>
        <v>0</v>
      </c>
      <c r="IW668" s="2913">
        <f t="shared" si="261"/>
        <v>0</v>
      </c>
      <c r="IX668" s="2913">
        <f t="shared" si="261"/>
        <v>0</v>
      </c>
      <c r="IY668" s="2913">
        <f t="shared" si="261"/>
        <v>0</v>
      </c>
      <c r="IZ668" s="2913">
        <f t="shared" si="261"/>
        <v>0</v>
      </c>
      <c r="JA668" s="2913">
        <f t="shared" si="261"/>
        <v>0</v>
      </c>
      <c r="JB668" s="2913">
        <f t="shared" si="261"/>
        <v>0</v>
      </c>
      <c r="JC668" s="2913">
        <f t="shared" si="261"/>
        <v>0</v>
      </c>
      <c r="JD668" s="2913">
        <f t="shared" si="261"/>
        <v>0</v>
      </c>
      <c r="JE668" s="2913">
        <f t="shared" si="261"/>
        <v>0</v>
      </c>
      <c r="JF668" s="2913">
        <f t="shared" si="261"/>
        <v>0</v>
      </c>
      <c r="JG668" s="2913">
        <f t="shared" si="261"/>
        <v>0</v>
      </c>
      <c r="JH668" s="2913">
        <f t="shared" si="261"/>
        <v>18</v>
      </c>
      <c r="JI668" s="2913">
        <f t="shared" si="261"/>
        <v>54</v>
      </c>
      <c r="JJ668" s="2913">
        <f t="shared" si="261"/>
        <v>24</v>
      </c>
      <c r="JK668" s="2913">
        <f t="shared" si="261"/>
        <v>0</v>
      </c>
      <c r="JL668" s="2913">
        <f t="shared" si="261"/>
        <v>0</v>
      </c>
      <c r="JM668" s="2913">
        <f t="shared" si="261"/>
        <v>0</v>
      </c>
      <c r="JN668" s="2913">
        <f t="shared" si="261"/>
        <v>0</v>
      </c>
      <c r="JO668" s="2913">
        <f t="shared" si="261"/>
        <v>0</v>
      </c>
      <c r="JP668" s="2913">
        <f t="shared" si="261"/>
        <v>0</v>
      </c>
      <c r="JQ668" s="2913">
        <f t="shared" si="261"/>
        <v>0</v>
      </c>
    </row>
    <row r="669" spans="1:277" ht="14.45" customHeight="1">
      <c r="B669" s="523"/>
      <c r="D669" s="2910"/>
      <c r="E669" s="2911"/>
      <c r="F669" s="2911"/>
      <c r="G669" s="525"/>
      <c r="H669" s="525"/>
      <c r="I669" s="525"/>
      <c r="J669" s="525"/>
      <c r="K669" s="2910" t="s">
        <v>856</v>
      </c>
      <c r="L669" s="2911">
        <f>L668*12</f>
        <v>627360</v>
      </c>
      <c r="M669" s="523"/>
      <c r="N669" s="523"/>
      <c r="O669" s="523"/>
      <c r="P669" s="523"/>
      <c r="Q669" s="523"/>
      <c r="R669" s="523"/>
      <c r="S669" s="523"/>
      <c r="T669" s="523"/>
      <c r="U669" s="2913"/>
      <c r="V669" s="2913"/>
      <c r="W669" s="2913"/>
      <c r="X669" s="2913"/>
      <c r="Y669" s="2913"/>
      <c r="Z669" s="2913"/>
      <c r="AA669" s="2913"/>
      <c r="AB669" s="2913"/>
      <c r="AC669" s="2913"/>
      <c r="AD669" s="2913"/>
      <c r="AE669" s="2913"/>
      <c r="AF669" s="2913"/>
      <c r="AG669" s="2913"/>
      <c r="AH669" s="2913"/>
      <c r="AI669" s="2913"/>
      <c r="AJ669" s="2913"/>
      <c r="AK669" s="2913"/>
      <c r="AL669" s="2913"/>
      <c r="AM669" s="2913"/>
      <c r="AN669" s="2913"/>
      <c r="AO669" s="2913"/>
      <c r="AP669" s="2913"/>
      <c r="AQ669" s="2913"/>
      <c r="AR669" s="2913"/>
      <c r="AS669" s="2913"/>
      <c r="AT669" s="2913"/>
      <c r="AU669" s="2913"/>
      <c r="AV669" s="2913"/>
      <c r="AW669" s="2913"/>
      <c r="AX669" s="2913"/>
      <c r="AY669" s="2913"/>
      <c r="AZ669" s="2913"/>
      <c r="BA669" s="2913"/>
      <c r="BB669" s="2913"/>
      <c r="BC669" s="2913"/>
      <c r="BD669" s="2913"/>
      <c r="BE669" s="2913"/>
      <c r="BF669" s="2913"/>
      <c r="BG669" s="2913"/>
      <c r="BH669" s="2913"/>
      <c r="BI669" s="2913"/>
      <c r="BJ669" s="2913"/>
      <c r="BK669" s="2913"/>
      <c r="BL669" s="2913"/>
      <c r="BM669" s="2913"/>
      <c r="BN669" s="2913"/>
      <c r="BO669" s="2913"/>
      <c r="BP669" s="2913"/>
      <c r="BQ669" s="2913"/>
      <c r="BR669" s="2913"/>
      <c r="BS669" s="2913"/>
      <c r="BT669" s="2913"/>
      <c r="BU669" s="2913"/>
      <c r="BV669" s="2913"/>
      <c r="BW669" s="2913"/>
      <c r="BX669" s="2913"/>
      <c r="BY669" s="2913"/>
      <c r="BZ669" s="2913"/>
      <c r="CA669" s="2913"/>
      <c r="CB669" s="2913"/>
      <c r="CC669" s="2913"/>
      <c r="CD669" s="2913"/>
      <c r="CE669" s="2913"/>
      <c r="CF669" s="2913"/>
      <c r="CG669" s="2913"/>
      <c r="CH669" s="2913"/>
      <c r="CI669" s="2913"/>
      <c r="CJ669" s="2913"/>
      <c r="CK669" s="2913"/>
      <c r="CL669" s="2913"/>
      <c r="CM669" s="2913"/>
      <c r="CN669" s="2913"/>
      <c r="CO669" s="2913"/>
      <c r="CP669" s="2913"/>
      <c r="CQ669" s="2913"/>
      <c r="CR669" s="2913"/>
      <c r="CS669" s="2913"/>
      <c r="CT669" s="2913"/>
      <c r="CU669" s="2913"/>
      <c r="CV669" s="2913"/>
      <c r="CW669" s="2913"/>
      <c r="CX669" s="2913"/>
      <c r="CY669" s="2913"/>
      <c r="CZ669" s="2913"/>
      <c r="DA669" s="2913"/>
      <c r="DB669" s="2913"/>
      <c r="DC669" s="2913"/>
      <c r="DD669" s="2913"/>
      <c r="DE669" s="2913"/>
      <c r="DF669" s="2913"/>
      <c r="DG669" s="2913"/>
      <c r="DH669" s="2913"/>
      <c r="DI669" s="2913"/>
      <c r="DJ669" s="2913"/>
      <c r="DK669" s="2913"/>
      <c r="DL669" s="2913"/>
      <c r="DM669" s="2913"/>
      <c r="DN669" s="2913"/>
      <c r="DO669" s="2913"/>
      <c r="DP669" s="2913"/>
      <c r="DQ669" s="2913"/>
      <c r="DR669" s="2913"/>
      <c r="DS669" s="2913"/>
      <c r="DT669" s="2913"/>
      <c r="DU669" s="2913"/>
      <c r="DV669" s="2913"/>
      <c r="DW669" s="2913"/>
      <c r="DX669" s="2913"/>
      <c r="DY669" s="2913"/>
      <c r="DZ669" s="2913"/>
      <c r="EA669" s="2913"/>
      <c r="EB669" s="2913"/>
      <c r="EC669" s="2913"/>
      <c r="ED669" s="2913"/>
      <c r="EE669" s="2913"/>
      <c r="EF669" s="2913"/>
      <c r="EG669" s="2913"/>
      <c r="EH669" s="2913"/>
      <c r="EI669" s="2913"/>
      <c r="EJ669" s="2913"/>
      <c r="EK669" s="2913"/>
      <c r="EL669" s="2913"/>
      <c r="EM669" s="2913"/>
      <c r="EN669" s="2913"/>
      <c r="EO669" s="2913"/>
      <c r="EP669" s="2913"/>
      <c r="EQ669" s="2913"/>
      <c r="ER669" s="2913"/>
      <c r="ES669" s="2913"/>
      <c r="ET669" s="2913"/>
      <c r="EU669" s="2913"/>
      <c r="EV669" s="2913"/>
      <c r="EW669" s="2913"/>
      <c r="EX669" s="2913"/>
      <c r="EY669" s="2913"/>
      <c r="EZ669" s="2913"/>
      <c r="FA669" s="2913"/>
      <c r="FB669" s="2913"/>
      <c r="FC669" s="2913"/>
      <c r="FD669" s="2913"/>
      <c r="FE669" s="2913"/>
      <c r="FF669" s="2913"/>
      <c r="FG669" s="2913"/>
      <c r="FH669" s="2913"/>
      <c r="FI669" s="2913"/>
      <c r="FJ669" s="2913"/>
      <c r="FK669" s="2913"/>
      <c r="FL669" s="2913"/>
      <c r="FM669" s="2913"/>
      <c r="FN669" s="2913"/>
      <c r="FO669" s="2913"/>
      <c r="FP669" s="2913"/>
      <c r="FQ669" s="2913"/>
      <c r="FR669" s="2913"/>
      <c r="FS669" s="2913"/>
      <c r="FT669" s="2913"/>
      <c r="FU669" s="2913"/>
      <c r="FV669" s="2913"/>
      <c r="FW669" s="2913"/>
      <c r="FX669" s="2913"/>
      <c r="FY669" s="2913"/>
      <c r="FZ669" s="2913"/>
      <c r="GA669" s="2913"/>
      <c r="GB669" s="2913"/>
      <c r="GC669" s="2913"/>
      <c r="GD669" s="2913"/>
      <c r="GE669" s="2913"/>
      <c r="GF669" s="2913"/>
      <c r="GG669" s="2913"/>
      <c r="GH669" s="2913"/>
      <c r="GI669" s="2913"/>
      <c r="GJ669" s="2913"/>
      <c r="GK669" s="2913"/>
      <c r="GL669" s="2913"/>
      <c r="GM669" s="2913"/>
      <c r="GN669" s="2913"/>
      <c r="GO669" s="2913"/>
      <c r="GP669" s="2913"/>
      <c r="GQ669" s="2913"/>
      <c r="GR669" s="2913"/>
      <c r="GS669" s="2913"/>
      <c r="GT669" s="2913"/>
      <c r="GU669" s="2913"/>
      <c r="GV669" s="2913"/>
      <c r="GW669" s="2913"/>
      <c r="GX669" s="2913"/>
      <c r="GY669" s="2913"/>
      <c r="GZ669" s="2913"/>
      <c r="HA669" s="2913"/>
      <c r="HB669" s="2913"/>
      <c r="HC669" s="2913"/>
      <c r="HD669" s="2913"/>
      <c r="HE669" s="2913"/>
      <c r="HF669" s="2913"/>
      <c r="HG669" s="2913"/>
      <c r="HH669" s="2913"/>
      <c r="HI669" s="2913"/>
      <c r="HJ669" s="2913"/>
      <c r="HK669" s="2913"/>
      <c r="HL669" s="2913"/>
      <c r="HM669" s="2913"/>
      <c r="HN669" s="2913"/>
      <c r="HO669" s="2913"/>
      <c r="HP669" s="2913"/>
      <c r="HQ669" s="2913"/>
      <c r="HR669" s="2913"/>
      <c r="HS669" s="2913"/>
      <c r="HT669" s="2913"/>
      <c r="HU669" s="2913"/>
      <c r="HV669" s="2913"/>
      <c r="HW669" s="2913"/>
      <c r="HX669" s="2913"/>
      <c r="HY669" s="2913"/>
      <c r="HZ669" s="2913"/>
      <c r="IA669" s="2913"/>
      <c r="IB669" s="2913"/>
      <c r="IC669" s="2913"/>
      <c r="ID669" s="2913"/>
      <c r="IE669" s="2913"/>
      <c r="IF669" s="2913"/>
      <c r="IG669" s="2913"/>
      <c r="IH669" s="2913"/>
      <c r="II669" s="2913"/>
      <c r="IJ669" s="2913"/>
      <c r="IK669" s="2913"/>
      <c r="IL669" s="2913"/>
      <c r="IM669" s="2913"/>
      <c r="IN669" s="2913"/>
      <c r="IO669" s="2913"/>
      <c r="IP669" s="2913"/>
      <c r="IQ669" s="2913"/>
      <c r="IR669" s="2913"/>
      <c r="IS669" s="2913"/>
      <c r="IT669" s="2913"/>
      <c r="IU669" s="2913"/>
      <c r="IV669" s="2913"/>
      <c r="IW669" s="2913"/>
      <c r="IX669" s="2913"/>
      <c r="IY669" s="2913"/>
      <c r="IZ669" s="2913"/>
      <c r="JA669" s="2913"/>
    </row>
    <row r="670" spans="1:277" ht="3" customHeight="1">
      <c r="A670" s="524"/>
      <c r="B670" s="523"/>
      <c r="D670" s="2910"/>
      <c r="E670" s="2911"/>
      <c r="F670" s="2911"/>
      <c r="G670" s="525"/>
      <c r="H670" s="525"/>
      <c r="I670" s="525"/>
      <c r="J670" s="525"/>
      <c r="K670" s="2910"/>
      <c r="L670" s="2911"/>
      <c r="M670" s="523"/>
      <c r="N670" s="523"/>
      <c r="O670" s="523"/>
      <c r="P670" s="523"/>
      <c r="Q670" s="523"/>
      <c r="R670" s="523"/>
      <c r="S670" s="523"/>
      <c r="T670" s="523"/>
      <c r="U670" s="2913"/>
      <c r="V670" s="2913"/>
      <c r="W670" s="2913"/>
      <c r="X670" s="2913"/>
      <c r="Y670" s="2913"/>
      <c r="Z670" s="2913"/>
      <c r="AA670" s="2913"/>
      <c r="AB670" s="2913"/>
      <c r="AC670" s="2913"/>
      <c r="AD670" s="2913"/>
      <c r="AE670" s="2913"/>
      <c r="AF670" s="2913"/>
      <c r="AG670" s="2913"/>
      <c r="AH670" s="2913"/>
      <c r="AI670" s="2913"/>
      <c r="AJ670" s="2913"/>
      <c r="AK670" s="2913"/>
      <c r="AL670" s="2913"/>
      <c r="AM670" s="2913"/>
      <c r="AN670" s="2913"/>
      <c r="AO670" s="2913"/>
      <c r="AP670" s="2913"/>
      <c r="AQ670" s="2913"/>
      <c r="AR670" s="2913"/>
      <c r="AS670" s="2913"/>
      <c r="AT670" s="2913"/>
      <c r="AU670" s="2913"/>
      <c r="AV670" s="2913"/>
      <c r="AW670" s="2913"/>
      <c r="AX670" s="2913"/>
      <c r="AY670" s="2913"/>
      <c r="AZ670" s="2913"/>
      <c r="BA670" s="2913"/>
      <c r="BB670" s="2913"/>
      <c r="BC670" s="2913"/>
      <c r="BD670" s="2913"/>
      <c r="BE670" s="2913"/>
      <c r="BF670" s="2913"/>
      <c r="BG670" s="2913"/>
      <c r="BH670" s="2913"/>
      <c r="BI670" s="2913"/>
      <c r="BJ670" s="2913"/>
      <c r="BK670" s="2913"/>
      <c r="BL670" s="2913"/>
      <c r="BM670" s="2913"/>
      <c r="BN670" s="2913"/>
      <c r="BO670" s="2913"/>
      <c r="BP670" s="2913"/>
      <c r="BQ670" s="2913"/>
      <c r="BR670" s="2913"/>
      <c r="BS670" s="2913"/>
      <c r="BT670" s="2913"/>
      <c r="BU670" s="2913"/>
      <c r="BV670" s="2913"/>
      <c r="BW670" s="2913"/>
      <c r="BX670" s="2913"/>
      <c r="BY670" s="2913"/>
      <c r="BZ670" s="2913"/>
      <c r="CA670" s="2913"/>
      <c r="CB670" s="2913"/>
      <c r="CC670" s="2913"/>
      <c r="CD670" s="2913"/>
      <c r="CE670" s="2913"/>
      <c r="CF670" s="2913"/>
      <c r="CG670" s="2913"/>
      <c r="CH670" s="2913"/>
      <c r="CI670" s="2913"/>
      <c r="CJ670" s="2913"/>
      <c r="CK670" s="2913"/>
      <c r="CL670" s="2913"/>
      <c r="CM670" s="2913"/>
      <c r="CN670" s="2913"/>
      <c r="CO670" s="2913"/>
      <c r="CP670" s="2913"/>
      <c r="CQ670" s="2913"/>
      <c r="CR670" s="2913"/>
      <c r="CS670" s="2913"/>
      <c r="CT670" s="2913"/>
      <c r="CU670" s="2913"/>
      <c r="CV670" s="2913"/>
      <c r="CW670" s="2913"/>
      <c r="CX670" s="2913"/>
      <c r="CY670" s="2913"/>
      <c r="CZ670" s="2913"/>
      <c r="DA670" s="2913"/>
      <c r="DB670" s="2913"/>
      <c r="DC670" s="2913"/>
      <c r="DD670" s="2913"/>
      <c r="DE670" s="2913"/>
      <c r="DF670" s="2913"/>
      <c r="DG670" s="2913"/>
      <c r="DH670" s="2913"/>
      <c r="DI670" s="2913"/>
      <c r="DJ670" s="2913"/>
      <c r="DK670" s="2913"/>
      <c r="DL670" s="2913"/>
      <c r="DM670" s="2913"/>
      <c r="DN670" s="2913"/>
      <c r="DO670" s="2913"/>
      <c r="DP670" s="2913"/>
      <c r="DQ670" s="2913"/>
      <c r="DR670" s="2913"/>
      <c r="DS670" s="2913"/>
      <c r="DT670" s="2913"/>
      <c r="DU670" s="2913"/>
      <c r="DV670" s="2913"/>
      <c r="DW670" s="2913"/>
      <c r="DX670" s="2913"/>
      <c r="DY670" s="2913"/>
      <c r="DZ670" s="2913"/>
      <c r="EA670" s="2913"/>
      <c r="EB670" s="2913"/>
      <c r="EC670" s="2913"/>
      <c r="ED670" s="2913"/>
      <c r="EE670" s="2913"/>
      <c r="EF670" s="2913"/>
      <c r="EG670" s="2913"/>
      <c r="EH670" s="2913"/>
      <c r="EI670" s="2913"/>
      <c r="EJ670" s="2913"/>
      <c r="EK670" s="2913"/>
      <c r="EL670" s="2913"/>
      <c r="EM670" s="2913"/>
      <c r="EN670" s="2913"/>
      <c r="EO670" s="2913"/>
      <c r="EP670" s="2913"/>
      <c r="EQ670" s="2913"/>
      <c r="ER670" s="2913"/>
      <c r="ES670" s="2913"/>
      <c r="ET670" s="2913"/>
      <c r="EU670" s="2913"/>
      <c r="EV670" s="2913"/>
      <c r="EW670" s="2913"/>
      <c r="EX670" s="2913"/>
      <c r="EY670" s="2913"/>
      <c r="EZ670" s="2913"/>
      <c r="FA670" s="2913"/>
      <c r="FB670" s="2913"/>
      <c r="FC670" s="2913"/>
      <c r="FD670" s="2913"/>
      <c r="FE670" s="2913"/>
      <c r="FF670" s="2913"/>
      <c r="FG670" s="2913"/>
      <c r="FH670" s="2913"/>
      <c r="FI670" s="2913"/>
      <c r="FJ670" s="2913"/>
      <c r="FK670" s="2913"/>
      <c r="FL670" s="2913"/>
      <c r="FM670" s="2913"/>
      <c r="FN670" s="2913"/>
      <c r="FO670" s="2913"/>
      <c r="FP670" s="2913"/>
      <c r="FQ670" s="2913"/>
      <c r="FR670" s="2913"/>
      <c r="FS670" s="2913"/>
      <c r="FT670" s="2913"/>
      <c r="FU670" s="2913"/>
      <c r="FV670" s="2913"/>
      <c r="FW670" s="2913"/>
      <c r="FX670" s="2913"/>
      <c r="FY670" s="2913"/>
      <c r="FZ670" s="2913"/>
      <c r="GA670" s="2913"/>
      <c r="GB670" s="2913"/>
      <c r="GC670" s="2913"/>
      <c r="GD670" s="2913"/>
      <c r="GE670" s="2913"/>
      <c r="GF670" s="2913"/>
      <c r="GG670" s="2913"/>
      <c r="GH670" s="2913"/>
      <c r="GI670" s="2913"/>
      <c r="GJ670" s="2913"/>
      <c r="GK670" s="2913"/>
      <c r="GL670" s="2913"/>
      <c r="GM670" s="2913"/>
      <c r="GN670" s="2913"/>
      <c r="GO670" s="2913"/>
      <c r="GP670" s="2913"/>
      <c r="GQ670" s="2913"/>
      <c r="GR670" s="2913"/>
      <c r="GS670" s="2913"/>
      <c r="GT670" s="2913"/>
      <c r="GU670" s="2913"/>
      <c r="GV670" s="2913"/>
      <c r="GW670" s="2913"/>
      <c r="GX670" s="2913"/>
      <c r="GY670" s="2913"/>
      <c r="GZ670" s="2913"/>
      <c r="HA670" s="2913"/>
      <c r="HB670" s="2913"/>
      <c r="HC670" s="2913"/>
      <c r="HD670" s="2913"/>
      <c r="HE670" s="2913"/>
      <c r="HF670" s="2913"/>
      <c r="HG670" s="2913"/>
      <c r="HH670" s="2913"/>
      <c r="HI670" s="2913"/>
      <c r="HJ670" s="2913"/>
      <c r="HK670" s="2913"/>
      <c r="HL670" s="2913"/>
      <c r="HM670" s="2913"/>
      <c r="HN670" s="2913"/>
      <c r="HO670" s="2913"/>
      <c r="HP670" s="2913"/>
      <c r="HQ670" s="2913"/>
      <c r="HR670" s="2913"/>
      <c r="HS670" s="2913"/>
      <c r="HT670" s="2913"/>
      <c r="HU670" s="2913"/>
      <c r="HV670" s="2913"/>
      <c r="HW670" s="2913"/>
      <c r="HX670" s="2913"/>
      <c r="HY670" s="2913"/>
      <c r="HZ670" s="2913"/>
      <c r="IA670" s="2913"/>
      <c r="IB670" s="2913"/>
      <c r="IC670" s="2913"/>
      <c r="ID670" s="2913"/>
      <c r="IE670" s="2913"/>
      <c r="IF670" s="2913"/>
      <c r="IG670" s="2913"/>
      <c r="IH670" s="2913"/>
      <c r="II670" s="2913"/>
      <c r="IJ670" s="2913"/>
      <c r="IK670" s="2913"/>
      <c r="IL670" s="2913"/>
      <c r="IM670" s="2913"/>
      <c r="IN670" s="2913"/>
      <c r="IO670" s="2913"/>
      <c r="IP670" s="2913"/>
      <c r="IQ670" s="2913"/>
      <c r="IR670" s="2913"/>
      <c r="IS670" s="2913"/>
      <c r="IT670" s="2913"/>
      <c r="IU670" s="2913"/>
      <c r="IV670" s="2913"/>
      <c r="IW670" s="2913"/>
      <c r="IX670" s="2913"/>
      <c r="IY670" s="2913"/>
      <c r="IZ670" s="2913"/>
      <c r="JA670" s="2913"/>
    </row>
    <row r="671" spans="1:277" ht="12" customHeight="1">
      <c r="A671" s="2914" t="s">
        <v>4580</v>
      </c>
      <c r="B671" s="2915"/>
      <c r="C671" s="2915"/>
      <c r="D671" s="2915"/>
      <c r="E671" s="2915"/>
      <c r="F671" s="2915"/>
      <c r="G671" s="2915"/>
      <c r="H671" s="2915"/>
      <c r="I671" s="2915"/>
      <c r="J671" s="2915"/>
      <c r="K671" s="2915"/>
      <c r="L671" s="2915"/>
      <c r="M671" s="2915"/>
      <c r="N671" s="2915"/>
      <c r="O671" s="2915"/>
      <c r="P671" s="2915"/>
      <c r="Q671" s="523"/>
      <c r="R671" s="523"/>
      <c r="S671" s="523"/>
      <c r="T671" s="523"/>
      <c r="U671" s="2913"/>
      <c r="V671" s="2913"/>
      <c r="W671" s="2913"/>
      <c r="X671" s="2913"/>
      <c r="Y671" s="2913"/>
      <c r="Z671" s="2913"/>
      <c r="AA671" s="2913"/>
      <c r="AB671" s="2913"/>
      <c r="AC671" s="2913"/>
      <c r="AD671" s="2913"/>
      <c r="AE671" s="2913"/>
      <c r="AF671" s="2913"/>
      <c r="AG671" s="2913"/>
      <c r="AH671" s="2913"/>
      <c r="AI671" s="2913"/>
      <c r="AJ671" s="2913"/>
      <c r="AK671" s="2913"/>
      <c r="AL671" s="2913"/>
      <c r="AM671" s="2913"/>
      <c r="AN671" s="2913"/>
      <c r="AO671" s="2913"/>
      <c r="AP671" s="2913"/>
      <c r="AQ671" s="2913"/>
      <c r="AR671" s="2913"/>
      <c r="AS671" s="2913"/>
      <c r="AT671" s="2913"/>
      <c r="AU671" s="2913"/>
      <c r="AV671" s="2913"/>
      <c r="AW671" s="2913"/>
      <c r="AX671" s="2913"/>
      <c r="AY671" s="2913"/>
      <c r="AZ671" s="2913"/>
      <c r="BA671" s="2913"/>
      <c r="BB671" s="2913"/>
      <c r="BC671" s="2913"/>
      <c r="BD671" s="2913"/>
      <c r="BE671" s="2913"/>
      <c r="BF671" s="2913"/>
      <c r="BG671" s="2913"/>
      <c r="BH671" s="2913"/>
      <c r="BI671" s="2913"/>
      <c r="BJ671" s="2913"/>
      <c r="BK671" s="2913"/>
      <c r="BL671" s="2913"/>
      <c r="BM671" s="2913"/>
      <c r="BN671" s="2913"/>
      <c r="BO671" s="2913"/>
      <c r="BP671" s="2913"/>
      <c r="BQ671" s="2913"/>
      <c r="BR671" s="2913"/>
      <c r="BS671" s="2913"/>
      <c r="BT671" s="2913"/>
      <c r="BU671" s="2913"/>
      <c r="BV671" s="2913"/>
      <c r="BW671" s="2913"/>
      <c r="BX671" s="2913"/>
      <c r="BY671" s="2913"/>
      <c r="BZ671" s="2913"/>
      <c r="CA671" s="2913"/>
      <c r="CB671" s="2913"/>
      <c r="CC671" s="2913"/>
      <c r="CD671" s="2913"/>
      <c r="CE671" s="2913"/>
      <c r="CF671" s="2913"/>
      <c r="CG671" s="2913"/>
      <c r="CH671" s="2913"/>
      <c r="CI671" s="2913"/>
      <c r="CJ671" s="2913"/>
      <c r="CK671" s="2913"/>
      <c r="CL671" s="2913"/>
      <c r="CM671" s="2913"/>
      <c r="CN671" s="2913"/>
      <c r="CO671" s="2913"/>
      <c r="CP671" s="2913"/>
      <c r="CQ671" s="2913"/>
      <c r="CR671" s="2913"/>
      <c r="CS671" s="2913"/>
      <c r="CT671" s="2913"/>
      <c r="CU671" s="2913"/>
      <c r="CV671" s="2913"/>
      <c r="CW671" s="2913"/>
      <c r="CX671" s="2913"/>
      <c r="CY671" s="2913"/>
      <c r="CZ671" s="2913"/>
      <c r="DA671" s="2913"/>
      <c r="DB671" s="2913"/>
      <c r="DC671" s="2913"/>
      <c r="DD671" s="2913"/>
      <c r="DE671" s="2913"/>
      <c r="DF671" s="2913"/>
      <c r="DG671" s="2913"/>
      <c r="DH671" s="2913"/>
      <c r="DI671" s="2913"/>
      <c r="DJ671" s="2913"/>
      <c r="DK671" s="2913"/>
      <c r="DL671" s="2913"/>
      <c r="DM671" s="2913"/>
      <c r="DN671" s="2913"/>
      <c r="DO671" s="2913"/>
      <c r="DP671" s="2913"/>
      <c r="DQ671" s="2913"/>
      <c r="DR671" s="2913"/>
      <c r="DS671" s="2913"/>
      <c r="DT671" s="2913"/>
      <c r="DU671" s="2913"/>
      <c r="DV671" s="2913"/>
      <c r="DW671" s="2913"/>
      <c r="DX671" s="2913"/>
      <c r="DY671" s="2913"/>
      <c r="DZ671" s="2913"/>
      <c r="EA671" s="2913"/>
      <c r="EB671" s="2913"/>
      <c r="EC671" s="2913"/>
      <c r="ED671" s="2913"/>
      <c r="EE671" s="2913"/>
      <c r="EF671" s="2913"/>
      <c r="EG671" s="2913"/>
      <c r="EH671" s="2913"/>
      <c r="EI671" s="2913"/>
      <c r="EJ671" s="2913"/>
      <c r="EK671" s="2913"/>
      <c r="EL671" s="2913"/>
      <c r="EM671" s="2913"/>
      <c r="EN671" s="2913"/>
      <c r="EO671" s="2913"/>
      <c r="EP671" s="2913"/>
      <c r="EQ671" s="2913"/>
      <c r="ER671" s="2913"/>
      <c r="ES671" s="2913"/>
      <c r="ET671" s="2913"/>
      <c r="EU671" s="2913"/>
      <c r="EV671" s="2913"/>
      <c r="EW671" s="2913"/>
      <c r="EX671" s="2913"/>
      <c r="EY671" s="2913"/>
      <c r="EZ671" s="2913"/>
      <c r="FA671" s="2913"/>
      <c r="FB671" s="2913"/>
      <c r="FC671" s="2913"/>
      <c r="FD671" s="2913"/>
      <c r="FE671" s="2913"/>
      <c r="FF671" s="2913"/>
      <c r="FG671" s="2913"/>
      <c r="FH671" s="2913"/>
      <c r="FI671" s="2913"/>
      <c r="FJ671" s="2913"/>
      <c r="FK671" s="2913"/>
      <c r="FL671" s="2913"/>
      <c r="FM671" s="2913"/>
      <c r="FN671" s="2913"/>
      <c r="FO671" s="2913"/>
      <c r="FP671" s="2913"/>
      <c r="FQ671" s="2913"/>
      <c r="FR671" s="2913"/>
      <c r="FS671" s="2913"/>
      <c r="FT671" s="2913"/>
      <c r="FU671" s="2913"/>
      <c r="FV671" s="2913"/>
      <c r="FW671" s="2913"/>
      <c r="FX671" s="2913"/>
      <c r="FY671" s="2913"/>
      <c r="FZ671" s="2913"/>
      <c r="GA671" s="2913"/>
      <c r="GB671" s="2913"/>
      <c r="GC671" s="2913"/>
      <c r="GD671" s="2913"/>
      <c r="GE671" s="2913"/>
      <c r="GF671" s="2913"/>
      <c r="GG671" s="2913"/>
      <c r="GH671" s="2913"/>
      <c r="GI671" s="2913"/>
      <c r="GJ671" s="2913"/>
      <c r="GK671" s="2913"/>
      <c r="GL671" s="2913"/>
      <c r="GM671" s="2913"/>
      <c r="GN671" s="2913"/>
      <c r="GO671" s="2913"/>
      <c r="GP671" s="2913"/>
      <c r="GQ671" s="2913"/>
      <c r="GR671" s="2913"/>
      <c r="GS671" s="2913"/>
      <c r="GT671" s="2913"/>
      <c r="GU671" s="2913"/>
      <c r="GV671" s="2913"/>
      <c r="GW671" s="2913"/>
      <c r="GX671" s="2913"/>
      <c r="GY671" s="2913"/>
      <c r="GZ671" s="2913"/>
      <c r="HA671" s="2913"/>
      <c r="HB671" s="2913"/>
      <c r="HC671" s="2913"/>
      <c r="HD671" s="2913"/>
      <c r="HE671" s="2913"/>
      <c r="HF671" s="2913"/>
      <c r="HG671" s="2913"/>
      <c r="HH671" s="2913"/>
      <c r="HI671" s="2913"/>
      <c r="HJ671" s="2913"/>
      <c r="HK671" s="2913"/>
      <c r="HL671" s="2913"/>
      <c r="HM671" s="2913"/>
      <c r="HN671" s="2913"/>
      <c r="HO671" s="2913"/>
      <c r="HP671" s="2913"/>
      <c r="HQ671" s="2913"/>
      <c r="HR671" s="2913"/>
      <c r="HS671" s="2913"/>
      <c r="HT671" s="2913"/>
      <c r="HU671" s="2913"/>
      <c r="HV671" s="2913"/>
      <c r="HW671" s="2913"/>
      <c r="HX671" s="2913"/>
      <c r="HY671" s="2913"/>
      <c r="HZ671" s="2913"/>
      <c r="IA671" s="2913"/>
      <c r="IB671" s="2913"/>
      <c r="IC671" s="2913"/>
      <c r="ID671" s="2913"/>
      <c r="IE671" s="2913"/>
      <c r="IF671" s="2913"/>
      <c r="IG671" s="2913"/>
      <c r="IH671" s="2913"/>
      <c r="II671" s="2913"/>
      <c r="IJ671" s="2913"/>
      <c r="IK671" s="2913"/>
      <c r="IL671" s="2913"/>
      <c r="IM671" s="2913"/>
      <c r="IN671" s="2913"/>
      <c r="IO671" s="2913"/>
      <c r="IP671" s="2913"/>
      <c r="IQ671" s="2913"/>
      <c r="IR671" s="2913"/>
      <c r="IS671" s="2913"/>
      <c r="IT671" s="2913"/>
      <c r="IU671" s="2913"/>
      <c r="IV671" s="2913"/>
      <c r="IW671" s="2913"/>
      <c r="IX671" s="2913"/>
      <c r="IY671" s="2913"/>
      <c r="IZ671" s="2913"/>
      <c r="JA671" s="2913"/>
    </row>
    <row r="672" spans="1:277" ht="12" customHeight="1">
      <c r="A672" s="2915"/>
      <c r="B672" s="2915"/>
      <c r="C672" s="2915"/>
      <c r="D672" s="2915"/>
      <c r="E672" s="2915"/>
      <c r="F672" s="2915"/>
      <c r="G672" s="2915"/>
      <c r="H672" s="2915"/>
      <c r="I672" s="2915"/>
      <c r="J672" s="2915"/>
      <c r="K672" s="2915"/>
      <c r="L672" s="2915"/>
      <c r="M672" s="2915"/>
      <c r="N672" s="2915"/>
      <c r="O672" s="2915"/>
      <c r="P672" s="2915"/>
      <c r="Q672" s="523"/>
      <c r="R672" s="523"/>
      <c r="S672" s="523"/>
      <c r="T672" s="523"/>
      <c r="U672" s="2913"/>
      <c r="V672" s="2913"/>
      <c r="W672" s="2913"/>
      <c r="X672" s="2913"/>
      <c r="Y672" s="2913"/>
      <c r="Z672" s="2913"/>
      <c r="AA672" s="2913"/>
      <c r="AB672" s="2913"/>
      <c r="AC672" s="2913"/>
      <c r="AD672" s="2913"/>
      <c r="AE672" s="2913"/>
      <c r="AF672" s="2913"/>
      <c r="AG672" s="2913"/>
      <c r="AH672" s="2913"/>
      <c r="AI672" s="2913"/>
      <c r="AJ672" s="2913"/>
      <c r="AK672" s="2913"/>
      <c r="AL672" s="2913"/>
      <c r="AM672" s="2913"/>
      <c r="AN672" s="2913"/>
      <c r="AO672" s="2913"/>
      <c r="AP672" s="2913"/>
      <c r="AQ672" s="2913"/>
      <c r="AR672" s="2913"/>
      <c r="AS672" s="2913"/>
      <c r="AT672" s="2913"/>
      <c r="AU672" s="2913"/>
      <c r="AV672" s="2913"/>
      <c r="AW672" s="2913"/>
      <c r="AX672" s="2913"/>
      <c r="AY672" s="2913"/>
      <c r="AZ672" s="2913"/>
      <c r="BA672" s="2913"/>
      <c r="BB672" s="2913"/>
      <c r="BC672" s="2913"/>
      <c r="BD672" s="2913"/>
      <c r="BE672" s="2913"/>
      <c r="BF672" s="2913"/>
      <c r="BG672" s="2913"/>
      <c r="BH672" s="2913"/>
      <c r="BI672" s="2913"/>
      <c r="BJ672" s="2913"/>
      <c r="BK672" s="2913"/>
      <c r="BL672" s="2913"/>
      <c r="BM672" s="2913"/>
      <c r="BN672" s="2913"/>
      <c r="BO672" s="2913"/>
      <c r="BP672" s="2913"/>
      <c r="BQ672" s="2913"/>
      <c r="BR672" s="2913"/>
      <c r="BS672" s="2913"/>
      <c r="BT672" s="2913"/>
      <c r="BU672" s="2913"/>
      <c r="BV672" s="2913"/>
      <c r="BW672" s="2913"/>
      <c r="BX672" s="2913"/>
      <c r="BY672" s="2913"/>
      <c r="BZ672" s="2913"/>
      <c r="CA672" s="2913"/>
      <c r="CB672" s="2913"/>
      <c r="CC672" s="2913"/>
      <c r="CD672" s="2913"/>
      <c r="CE672" s="2913"/>
      <c r="CF672" s="2913"/>
      <c r="CG672" s="2913"/>
      <c r="CH672" s="2913"/>
      <c r="CI672" s="2913"/>
      <c r="CJ672" s="2913"/>
      <c r="CK672" s="2913"/>
      <c r="CL672" s="2913"/>
      <c r="CM672" s="2913"/>
      <c r="CN672" s="2913"/>
      <c r="CO672" s="2913"/>
      <c r="CP672" s="2913"/>
      <c r="CQ672" s="2913"/>
      <c r="CR672" s="2913"/>
      <c r="CS672" s="2913"/>
      <c r="CT672" s="2913"/>
      <c r="CU672" s="2913"/>
      <c r="CV672" s="2913"/>
      <c r="CW672" s="2913"/>
      <c r="CX672" s="2913"/>
      <c r="CY672" s="2913"/>
      <c r="CZ672" s="2913"/>
      <c r="DA672" s="2913"/>
      <c r="DB672" s="2913"/>
      <c r="DC672" s="2913"/>
      <c r="DD672" s="2913"/>
      <c r="DE672" s="2913"/>
      <c r="DF672" s="2913"/>
      <c r="DG672" s="2913"/>
      <c r="DH672" s="2913"/>
      <c r="DI672" s="2913"/>
      <c r="DJ672" s="2913"/>
      <c r="DK672" s="2913"/>
      <c r="DL672" s="2913"/>
      <c r="DM672" s="2913"/>
      <c r="DN672" s="2913"/>
      <c r="DO672" s="2913"/>
      <c r="DP672" s="2913"/>
      <c r="DQ672" s="2913"/>
      <c r="DR672" s="2913"/>
      <c r="DS672" s="2913"/>
      <c r="DT672" s="2913"/>
      <c r="DU672" s="2913"/>
      <c r="DV672" s="2913"/>
      <c r="DW672" s="2913"/>
      <c r="DX672" s="2913"/>
      <c r="DY672" s="2913"/>
      <c r="DZ672" s="2913"/>
      <c r="EA672" s="2913"/>
      <c r="EB672" s="2913"/>
      <c r="EC672" s="2913"/>
      <c r="ED672" s="2913"/>
      <c r="EE672" s="2913"/>
      <c r="EF672" s="2913"/>
      <c r="EG672" s="2913"/>
      <c r="EH672" s="2913"/>
      <c r="EI672" s="2913"/>
      <c r="EJ672" s="2913"/>
      <c r="EK672" s="2913"/>
      <c r="EL672" s="2913"/>
      <c r="EM672" s="2913"/>
      <c r="EN672" s="2913"/>
      <c r="EO672" s="2913"/>
      <c r="EP672" s="2913"/>
      <c r="EQ672" s="2913"/>
      <c r="ER672" s="2913"/>
      <c r="ES672" s="2913"/>
      <c r="ET672" s="2913"/>
      <c r="EU672" s="2913"/>
      <c r="EV672" s="2913"/>
      <c r="EW672" s="2913"/>
      <c r="EX672" s="2913"/>
      <c r="EY672" s="2913"/>
      <c r="EZ672" s="2913"/>
      <c r="FA672" s="2913"/>
      <c r="FB672" s="2913"/>
      <c r="FC672" s="2913"/>
      <c r="FD672" s="2913"/>
      <c r="FE672" s="2913"/>
      <c r="FF672" s="2913"/>
      <c r="FG672" s="2913"/>
      <c r="FH672" s="2913"/>
      <c r="FI672" s="2913"/>
      <c r="FJ672" s="2913"/>
      <c r="FK672" s="2913"/>
      <c r="FL672" s="2913"/>
      <c r="FM672" s="2913"/>
      <c r="FN672" s="2913"/>
      <c r="FO672" s="2913"/>
      <c r="FP672" s="2913"/>
      <c r="FQ672" s="2913"/>
      <c r="FR672" s="2913"/>
      <c r="FS672" s="2913"/>
      <c r="FT672" s="2913"/>
      <c r="FU672" s="2913"/>
      <c r="FV672" s="2913"/>
      <c r="FW672" s="2913"/>
      <c r="FX672" s="2913"/>
      <c r="FY672" s="2913"/>
      <c r="FZ672" s="2913"/>
      <c r="GA672" s="2913"/>
      <c r="GB672" s="2913"/>
      <c r="GC672" s="2913"/>
      <c r="GD672" s="2913"/>
      <c r="GE672" s="2913"/>
      <c r="GF672" s="2913"/>
      <c r="GG672" s="2913"/>
      <c r="GH672" s="2913"/>
      <c r="GI672" s="2913"/>
      <c r="GJ672" s="2913"/>
      <c r="GK672" s="2913"/>
      <c r="GL672" s="2913"/>
      <c r="GM672" s="2913"/>
      <c r="GN672" s="2913"/>
      <c r="GO672" s="2913"/>
      <c r="GP672" s="2913"/>
      <c r="GQ672" s="2913"/>
      <c r="GR672" s="2913"/>
      <c r="GS672" s="2913"/>
      <c r="GT672" s="2913"/>
      <c r="GU672" s="2913"/>
      <c r="GV672" s="2913"/>
      <c r="GW672" s="2913"/>
      <c r="GX672" s="2913"/>
      <c r="GY672" s="2913"/>
      <c r="GZ672" s="2913"/>
      <c r="HA672" s="2913"/>
      <c r="HB672" s="2913"/>
      <c r="HC672" s="2913"/>
      <c r="HD672" s="2913"/>
      <c r="HE672" s="2913"/>
      <c r="HF672" s="2913"/>
      <c r="HG672" s="2913"/>
      <c r="HH672" s="2913"/>
      <c r="HI672" s="2913"/>
      <c r="HJ672" s="2913"/>
      <c r="HK672" s="2913"/>
      <c r="HL672" s="2913"/>
      <c r="HM672" s="2913"/>
      <c r="HN672" s="2913"/>
      <c r="HO672" s="2913"/>
      <c r="HP672" s="2913"/>
      <c r="HQ672" s="2913"/>
      <c r="HR672" s="2913"/>
      <c r="HS672" s="2913"/>
      <c r="HT672" s="2913"/>
      <c r="HU672" s="2913"/>
      <c r="HV672" s="2913"/>
      <c r="HW672" s="2913"/>
      <c r="HX672" s="2913"/>
      <c r="HY672" s="2913"/>
      <c r="HZ672" s="2913"/>
      <c r="IA672" s="2913"/>
      <c r="IB672" s="2913"/>
      <c r="IC672" s="2913"/>
      <c r="ID672" s="2913"/>
      <c r="IE672" s="2913"/>
      <c r="IF672" s="2913"/>
      <c r="IG672" s="2913"/>
      <c r="IH672" s="2913"/>
      <c r="II672" s="2913"/>
      <c r="IJ672" s="2913"/>
      <c r="IK672" s="2913"/>
      <c r="IL672" s="2913"/>
      <c r="IM672" s="2913"/>
      <c r="IN672" s="2913"/>
      <c r="IO672" s="2913"/>
      <c r="IP672" s="2913"/>
      <c r="IQ672" s="2913"/>
      <c r="IR672" s="2913"/>
      <c r="IS672" s="2913"/>
      <c r="IT672" s="2913"/>
      <c r="IU672" s="2913"/>
      <c r="IV672" s="2913"/>
      <c r="IW672" s="2913"/>
      <c r="IX672" s="2913"/>
      <c r="IY672" s="2913"/>
      <c r="IZ672" s="2913"/>
      <c r="JA672" s="2913"/>
    </row>
    <row r="673" spans="1:261" ht="14.45" customHeight="1">
      <c r="A673" s="2875" t="s">
        <v>780</v>
      </c>
      <c r="B673" s="2875" t="s">
        <v>558</v>
      </c>
      <c r="Q673" s="2916" t="str">
        <f>IF(SUM(Q676:Q740)&gt;0,"ERROR Between Rent Schedule &amp; Unit Summary:", "")</f>
        <v>ERROR Between Rent Schedule &amp; Unit Summary:</v>
      </c>
      <c r="R673" s="2917"/>
      <c r="S673" s="2917"/>
      <c r="T673" s="526" t="str">
        <f>B673</f>
        <v>UNIT SUMMARY</v>
      </c>
      <c r="U673" s="2875" t="s">
        <v>558</v>
      </c>
      <c r="AH673" s="523"/>
      <c r="GS673" s="2877"/>
      <c r="GX673" s="2877"/>
      <c r="GY673" s="2877"/>
      <c r="GZ673" s="2877"/>
      <c r="HA673" s="2877"/>
      <c r="HB673" s="2877"/>
      <c r="HC673" s="2877"/>
      <c r="HD673" s="2877"/>
      <c r="HE673" s="2877"/>
      <c r="HF673" s="2877"/>
      <c r="HG673" s="2877"/>
      <c r="HH673" s="2877"/>
      <c r="HI673" s="2877"/>
      <c r="HJ673" s="2877"/>
      <c r="HK673" s="2877"/>
      <c r="HL673" s="2877"/>
      <c r="HM673" s="2877"/>
      <c r="HN673" s="2877"/>
      <c r="HO673" s="2877"/>
      <c r="HP673" s="2877"/>
      <c r="HQ673" s="2877"/>
      <c r="HR673" s="2877"/>
      <c r="HS673" s="2877"/>
      <c r="HT673" s="2877"/>
      <c r="HU673" s="2877"/>
      <c r="HV673" s="2877"/>
      <c r="HW673" s="2877"/>
      <c r="HX673" s="2877"/>
      <c r="HY673" s="2877"/>
      <c r="HZ673" s="2877"/>
      <c r="IA673" s="2877"/>
      <c r="IB673" s="2877"/>
      <c r="IC673" s="2877"/>
      <c r="IJ673" s="2875"/>
      <c r="IK673" s="2875"/>
      <c r="JA673" s="2875"/>
    </row>
    <row r="674" spans="1:261" ht="3" customHeight="1">
      <c r="A674" s="2875"/>
      <c r="B674" s="2875"/>
      <c r="Q674" s="2918"/>
      <c r="R674" s="2919"/>
      <c r="S674" s="2919"/>
      <c r="T674" s="2875"/>
      <c r="U674" s="2875"/>
      <c r="AH674" s="523"/>
      <c r="GS674" s="2877"/>
      <c r="GX674" s="2877"/>
      <c r="GY674" s="2877"/>
      <c r="GZ674" s="2877"/>
      <c r="HA674" s="2877"/>
      <c r="HB674" s="2877"/>
      <c r="HC674" s="2877"/>
      <c r="HD674" s="2877"/>
      <c r="HE674" s="2877"/>
      <c r="HF674" s="2877"/>
      <c r="HG674" s="2877"/>
      <c r="HH674" s="2877"/>
      <c r="HI674" s="2877"/>
      <c r="HJ674" s="2877"/>
      <c r="HK674" s="2877"/>
      <c r="HL674" s="2877"/>
      <c r="HM674" s="2877"/>
      <c r="HN674" s="2877"/>
      <c r="HO674" s="2877"/>
      <c r="HP674" s="2877"/>
      <c r="HQ674" s="2877"/>
      <c r="HR674" s="2877"/>
      <c r="HS674" s="2877"/>
      <c r="HT674" s="2877"/>
      <c r="HU674" s="2877"/>
      <c r="HV674" s="2877"/>
      <c r="HW674" s="2877"/>
      <c r="HX674" s="2877"/>
      <c r="HY674" s="2877"/>
      <c r="HZ674" s="2877"/>
      <c r="IA674" s="2877"/>
      <c r="IB674" s="2877"/>
      <c r="IC674" s="2877"/>
      <c r="IJ674" s="2875"/>
      <c r="IK674" s="2875"/>
      <c r="JA674" s="2875"/>
    </row>
    <row r="675" spans="1:261" ht="14.45" customHeight="1">
      <c r="A675" s="2875"/>
      <c r="B675" s="2875" t="s">
        <v>1190</v>
      </c>
      <c r="H675" s="522" t="s">
        <v>592</v>
      </c>
      <c r="I675" s="522" t="s">
        <v>559</v>
      </c>
      <c r="J675" s="522" t="s">
        <v>560</v>
      </c>
      <c r="K675" s="522" t="s">
        <v>561</v>
      </c>
      <c r="L675" s="522" t="s">
        <v>562</v>
      </c>
      <c r="M675" s="522" t="s">
        <v>563</v>
      </c>
      <c r="Q675" s="2918"/>
      <c r="R675" s="2919"/>
      <c r="S675" s="2919"/>
      <c r="T675" s="2782" t="s">
        <v>1938</v>
      </c>
      <c r="U675" s="2782"/>
      <c r="AA675" s="522"/>
      <c r="AB675" s="522"/>
      <c r="AC675" s="522"/>
      <c r="AD675" s="522"/>
      <c r="AE675" s="522"/>
      <c r="AF675" s="522"/>
      <c r="AH675" s="523"/>
      <c r="GS675" s="2877"/>
      <c r="GX675" s="2877"/>
      <c r="GY675" s="2877"/>
      <c r="GZ675" s="2877"/>
      <c r="HA675" s="2877"/>
      <c r="HB675" s="2877"/>
      <c r="HC675" s="2877"/>
      <c r="HD675" s="2877"/>
      <c r="HE675" s="2877"/>
      <c r="HF675" s="2877"/>
      <c r="HG675" s="2877"/>
      <c r="HH675" s="2877"/>
      <c r="HI675" s="2877"/>
      <c r="HJ675" s="2877"/>
      <c r="HK675" s="2877"/>
      <c r="HL675" s="2877"/>
      <c r="HM675" s="2877"/>
      <c r="HN675" s="2877"/>
      <c r="HO675" s="2877"/>
      <c r="HP675" s="2877"/>
      <c r="HQ675" s="2877"/>
      <c r="HR675" s="2877"/>
      <c r="HS675" s="2877"/>
      <c r="HT675" s="2877"/>
      <c r="HU675" s="2877"/>
      <c r="HV675" s="2877"/>
      <c r="HW675" s="2877"/>
      <c r="HX675" s="2877"/>
      <c r="HY675" s="2877"/>
      <c r="HZ675" s="2877"/>
      <c r="IA675" s="2877"/>
      <c r="IB675" s="2877"/>
      <c r="IC675" s="2877"/>
      <c r="IJ675" s="2875"/>
      <c r="IK675" s="2875"/>
      <c r="JA675" s="2875"/>
    </row>
    <row r="676" spans="1:261" ht="12" customHeight="1">
      <c r="C676" s="523" t="s">
        <v>1192</v>
      </c>
      <c r="D676" s="523"/>
      <c r="E676" s="523"/>
      <c r="F676" s="523"/>
      <c r="G676" s="524" t="s">
        <v>1204</v>
      </c>
      <c r="H676" s="2920">
        <f>V668</f>
        <v>0</v>
      </c>
      <c r="I676" s="2920">
        <f>W668</f>
        <v>14</v>
      </c>
      <c r="J676" s="2920">
        <f>X668</f>
        <v>42</v>
      </c>
      <c r="K676" s="2920">
        <f>Y668</f>
        <v>20</v>
      </c>
      <c r="L676" s="2920">
        <f>Z668</f>
        <v>0</v>
      </c>
      <c r="M676" s="2920">
        <f t="shared" ref="M676:M682" si="262">SUM(H676:L676)</f>
        <v>76</v>
      </c>
      <c r="N676" s="2921" t="s">
        <v>934</v>
      </c>
      <c r="O676" s="2921"/>
      <c r="P676" s="2922"/>
      <c r="Q676" s="2923">
        <f t="shared" ref="Q676:Q682" si="263">ABS(M676-AF676)</f>
        <v>76</v>
      </c>
      <c r="R676" s="2923"/>
      <c r="S676" s="2923"/>
      <c r="T676" s="2837">
        <f>'Part VI-Revenues &amp; Expenses'!T56</f>
        <v>0</v>
      </c>
      <c r="U676" s="2908"/>
      <c r="V676" s="523"/>
      <c r="W676" s="523"/>
      <c r="X676" s="523"/>
      <c r="Y676" s="523"/>
      <c r="Z676" s="524"/>
      <c r="AA676" s="525"/>
      <c r="AB676" s="525"/>
      <c r="AC676" s="525"/>
      <c r="AD676" s="525"/>
      <c r="AE676" s="525"/>
      <c r="AF676" s="525"/>
      <c r="AG676" s="524"/>
      <c r="AH676" s="523"/>
      <c r="GS676" s="2877"/>
      <c r="GX676" s="2877"/>
      <c r="GY676" s="2877"/>
      <c r="GZ676" s="2877"/>
      <c r="HA676" s="2877"/>
      <c r="HB676" s="2877"/>
      <c r="HC676" s="2877"/>
      <c r="HD676" s="2877"/>
      <c r="HE676" s="2877"/>
      <c r="HF676" s="2877"/>
      <c r="HG676" s="2877"/>
      <c r="HH676" s="2877"/>
      <c r="HI676" s="2877"/>
      <c r="HJ676" s="2877"/>
      <c r="HK676" s="2877"/>
      <c r="HL676" s="2877"/>
      <c r="HM676" s="2877"/>
      <c r="HN676" s="2877"/>
      <c r="HO676" s="2877"/>
      <c r="HP676" s="2877"/>
      <c r="HQ676" s="2877"/>
      <c r="HR676" s="2877"/>
      <c r="HS676" s="2877"/>
      <c r="HT676" s="2877"/>
      <c r="HU676" s="2877"/>
      <c r="HV676" s="2877"/>
      <c r="HW676" s="2877"/>
      <c r="HX676" s="2877"/>
      <c r="HY676" s="2877"/>
      <c r="HZ676" s="2877"/>
      <c r="IA676" s="2877"/>
      <c r="IB676" s="2877"/>
      <c r="IC676" s="2877"/>
      <c r="IJ676" s="2875"/>
      <c r="IK676" s="2875"/>
      <c r="JA676" s="2875"/>
    </row>
    <row r="677" spans="1:261" ht="12" customHeight="1">
      <c r="A677" s="2924" t="s">
        <v>459</v>
      </c>
      <c r="B677" s="2924"/>
      <c r="C677" s="526"/>
      <c r="D677" s="523"/>
      <c r="E677" s="523"/>
      <c r="F677" s="523"/>
      <c r="G677" s="524" t="s">
        <v>120</v>
      </c>
      <c r="H677" s="2920">
        <f>AA668</f>
        <v>0</v>
      </c>
      <c r="I677" s="2920">
        <f>AB668</f>
        <v>4</v>
      </c>
      <c r="J677" s="2920">
        <f>AC668</f>
        <v>12</v>
      </c>
      <c r="K677" s="2920">
        <f>AD668</f>
        <v>4</v>
      </c>
      <c r="L677" s="2920">
        <f>AE668</f>
        <v>0</v>
      </c>
      <c r="M677" s="2920">
        <f t="shared" si="262"/>
        <v>20</v>
      </c>
      <c r="N677" s="2921"/>
      <c r="O677" s="2921"/>
      <c r="P677" s="2922"/>
      <c r="Q677" s="2923">
        <f t="shared" si="263"/>
        <v>20</v>
      </c>
      <c r="R677" s="2923"/>
      <c r="S677" s="2923"/>
      <c r="T677" s="2908"/>
      <c r="U677" s="2908"/>
      <c r="V677" s="526"/>
      <c r="W677" s="523"/>
      <c r="X677" s="523"/>
      <c r="Y677" s="523"/>
      <c r="Z677" s="524"/>
      <c r="AA677" s="525"/>
      <c r="AB677" s="525"/>
      <c r="AC677" s="525"/>
      <c r="AD677" s="525"/>
      <c r="AE677" s="525"/>
      <c r="AF677" s="525"/>
      <c r="AG677" s="524"/>
      <c r="AH677" s="523"/>
      <c r="GS677" s="2877"/>
      <c r="GX677" s="2877"/>
      <c r="GY677" s="2877"/>
      <c r="GZ677" s="2877"/>
      <c r="HA677" s="2877"/>
      <c r="HB677" s="2877"/>
      <c r="HC677" s="2877"/>
      <c r="HD677" s="2877"/>
      <c r="HE677" s="2877"/>
      <c r="HF677" s="2877"/>
      <c r="HG677" s="2877"/>
      <c r="HH677" s="2877"/>
      <c r="HI677" s="2877"/>
      <c r="HJ677" s="2877"/>
      <c r="HK677" s="2877"/>
      <c r="HL677" s="2877"/>
      <c r="HM677" s="2877"/>
      <c r="HN677" s="2877"/>
      <c r="HO677" s="2877"/>
      <c r="HP677" s="2877"/>
      <c r="HQ677" s="2877"/>
      <c r="HR677" s="2877"/>
      <c r="HS677" s="2877"/>
      <c r="HT677" s="2877"/>
      <c r="HU677" s="2877"/>
      <c r="HV677" s="2877"/>
      <c r="HW677" s="2877"/>
      <c r="HX677" s="2877"/>
      <c r="HY677" s="2877"/>
      <c r="HZ677" s="2877"/>
      <c r="IA677" s="2877"/>
      <c r="IB677" s="2877"/>
      <c r="IC677" s="2877"/>
      <c r="IJ677" s="2875"/>
      <c r="IK677" s="2875"/>
      <c r="JA677" s="2875"/>
    </row>
    <row r="678" spans="1:261" ht="12" customHeight="1">
      <c r="A678" s="2924"/>
      <c r="B678" s="2924"/>
      <c r="C678" s="526"/>
      <c r="D678" s="523"/>
      <c r="E678" s="523"/>
      <c r="F678" s="523"/>
      <c r="G678" s="524" t="s">
        <v>563</v>
      </c>
      <c r="H678" s="2920">
        <f>SUM(H676:H677)</f>
        <v>0</v>
      </c>
      <c r="I678" s="2920">
        <f>SUM(I676:I677)</f>
        <v>18</v>
      </c>
      <c r="J678" s="2920">
        <f>SUM(J676:J677)</f>
        <v>54</v>
      </c>
      <c r="K678" s="2920">
        <f>SUM(K676:K677)</f>
        <v>24</v>
      </c>
      <c r="L678" s="2920">
        <f>SUM(L676:L677)</f>
        <v>0</v>
      </c>
      <c r="M678" s="2920">
        <f t="shared" si="262"/>
        <v>96</v>
      </c>
      <c r="N678" s="2925"/>
      <c r="Q678" s="2923">
        <f t="shared" si="263"/>
        <v>96</v>
      </c>
      <c r="R678" s="2923"/>
      <c r="S678" s="2923"/>
      <c r="T678" s="2908"/>
      <c r="U678" s="2908"/>
      <c r="V678" s="526"/>
      <c r="W678" s="523"/>
      <c r="X678" s="523"/>
      <c r="Y678" s="523"/>
      <c r="Z678" s="524"/>
      <c r="AA678" s="525"/>
      <c r="AB678" s="525"/>
      <c r="AC678" s="525"/>
      <c r="AD678" s="525"/>
      <c r="AE678" s="525"/>
      <c r="AF678" s="525"/>
      <c r="AG678" s="524"/>
      <c r="AH678" s="523"/>
      <c r="GS678" s="2877"/>
      <c r="GX678" s="2877"/>
      <c r="GY678" s="2877"/>
      <c r="GZ678" s="2877"/>
      <c r="HA678" s="2877"/>
      <c r="HB678" s="2877"/>
      <c r="HC678" s="2877"/>
      <c r="HD678" s="2877"/>
      <c r="HE678" s="2877"/>
      <c r="HF678" s="2877"/>
      <c r="HG678" s="2877"/>
      <c r="HH678" s="2877"/>
      <c r="HI678" s="2877"/>
      <c r="HJ678" s="2877"/>
      <c r="HK678" s="2877"/>
      <c r="HL678" s="2877"/>
      <c r="HM678" s="2877"/>
      <c r="HN678" s="2877"/>
      <c r="HO678" s="2877"/>
      <c r="HP678" s="2877"/>
      <c r="HQ678" s="2877"/>
      <c r="HR678" s="2877"/>
      <c r="HS678" s="2877"/>
      <c r="HT678" s="2877"/>
      <c r="HU678" s="2877"/>
      <c r="HV678" s="2877"/>
      <c r="HW678" s="2877"/>
      <c r="HX678" s="2877"/>
      <c r="HY678" s="2877"/>
      <c r="HZ678" s="2877"/>
      <c r="IA678" s="2877"/>
      <c r="IB678" s="2877"/>
      <c r="IC678" s="2877"/>
      <c r="IJ678" s="2875"/>
      <c r="IK678" s="2875"/>
      <c r="JA678" s="2875"/>
    </row>
    <row r="679" spans="1:261" ht="12" customHeight="1">
      <c r="A679" s="2924"/>
      <c r="B679" s="2924"/>
      <c r="C679" s="523" t="s">
        <v>316</v>
      </c>
      <c r="D679" s="523"/>
      <c r="E679" s="523"/>
      <c r="F679" s="523"/>
      <c r="G679" s="524"/>
      <c r="H679" s="2920">
        <f>AK668</f>
        <v>0</v>
      </c>
      <c r="I679" s="2920">
        <f>AL668</f>
        <v>0</v>
      </c>
      <c r="J679" s="2920">
        <f>AM668</f>
        <v>0</v>
      </c>
      <c r="K679" s="2920">
        <f>AN668</f>
        <v>0</v>
      </c>
      <c r="L679" s="2920">
        <f>AO668</f>
        <v>0</v>
      </c>
      <c r="M679" s="2920">
        <f t="shared" si="262"/>
        <v>0</v>
      </c>
      <c r="N679" s="507"/>
      <c r="Q679" s="2923">
        <f t="shared" si="263"/>
        <v>0</v>
      </c>
      <c r="R679" s="2923"/>
      <c r="S679" s="2923"/>
      <c r="T679" s="2908"/>
      <c r="U679" s="2908"/>
      <c r="V679" s="523"/>
      <c r="W679" s="523"/>
      <c r="X679" s="523"/>
      <c r="Y679" s="523"/>
      <c r="Z679" s="524"/>
      <c r="AA679" s="525"/>
      <c r="AB679" s="525"/>
      <c r="AC679" s="525"/>
      <c r="AD679" s="525"/>
      <c r="AE679" s="525"/>
      <c r="AF679" s="525"/>
      <c r="AG679" s="507"/>
      <c r="AH679" s="523"/>
      <c r="GS679" s="2877"/>
      <c r="GX679" s="2877"/>
      <c r="GY679" s="2877"/>
      <c r="GZ679" s="2877"/>
      <c r="HA679" s="2877"/>
      <c r="HB679" s="2877"/>
      <c r="HC679" s="2877"/>
      <c r="HD679" s="2877"/>
      <c r="HE679" s="2877"/>
      <c r="HF679" s="2877"/>
      <c r="HG679" s="2877"/>
      <c r="HH679" s="2877"/>
      <c r="HI679" s="2877"/>
      <c r="HJ679" s="2877"/>
      <c r="HK679" s="2877"/>
      <c r="HL679" s="2877"/>
      <c r="HM679" s="2877"/>
      <c r="HN679" s="2877"/>
      <c r="HO679" s="2877"/>
      <c r="HP679" s="2877"/>
      <c r="HQ679" s="2877"/>
      <c r="HR679" s="2877"/>
      <c r="HS679" s="2877"/>
      <c r="HT679" s="2877"/>
      <c r="HU679" s="2877"/>
      <c r="HV679" s="2877"/>
      <c r="HW679" s="2877"/>
      <c r="HX679" s="2877"/>
      <c r="HY679" s="2877"/>
      <c r="HZ679" s="2877"/>
      <c r="IA679" s="2877"/>
      <c r="IB679" s="2877"/>
      <c r="IC679" s="2877"/>
      <c r="IJ679" s="2875"/>
      <c r="IK679" s="2875"/>
      <c r="JA679" s="2875"/>
    </row>
    <row r="680" spans="1:261" ht="12" customHeight="1">
      <c r="A680" s="2924"/>
      <c r="B680" s="2924"/>
      <c r="C680" s="523" t="s">
        <v>1193</v>
      </c>
      <c r="D680" s="523"/>
      <c r="E680" s="523"/>
      <c r="F680" s="523"/>
      <c r="G680" s="524"/>
      <c r="H680" s="2920">
        <f>SUM(H678:H679)</f>
        <v>0</v>
      </c>
      <c r="I680" s="2920">
        <f>SUM(I678:I679)</f>
        <v>18</v>
      </c>
      <c r="J680" s="2920">
        <f>SUM(J678:J679)</f>
        <v>54</v>
      </c>
      <c r="K680" s="2920">
        <f>SUM(K678:K679)</f>
        <v>24</v>
      </c>
      <c r="L680" s="2920">
        <f>SUM(L678:L679)</f>
        <v>0</v>
      </c>
      <c r="M680" s="2920">
        <f t="shared" si="262"/>
        <v>96</v>
      </c>
      <c r="N680" s="507"/>
      <c r="Q680" s="2923">
        <f t="shared" si="263"/>
        <v>96</v>
      </c>
      <c r="R680" s="2923"/>
      <c r="S680" s="2923"/>
      <c r="T680" s="2908"/>
      <c r="U680" s="2908"/>
      <c r="V680" s="523"/>
      <c r="W680" s="523"/>
      <c r="X680" s="523"/>
      <c r="Y680" s="523"/>
      <c r="Z680" s="524"/>
      <c r="AA680" s="525"/>
      <c r="AB680" s="525"/>
      <c r="AC680" s="525"/>
      <c r="AD680" s="525"/>
      <c r="AE680" s="525"/>
      <c r="AF680" s="525"/>
      <c r="AG680" s="507"/>
      <c r="AH680" s="523"/>
      <c r="GS680" s="2877"/>
      <c r="GX680" s="2877"/>
      <c r="GY680" s="2877"/>
      <c r="GZ680" s="2877"/>
      <c r="HA680" s="2877"/>
      <c r="HB680" s="2877"/>
      <c r="HC680" s="2877"/>
      <c r="HD680" s="2877"/>
      <c r="HE680" s="2877"/>
      <c r="HF680" s="2877"/>
      <c r="HG680" s="2877"/>
      <c r="HH680" s="2877"/>
      <c r="HI680" s="2877"/>
      <c r="HJ680" s="2877"/>
      <c r="HK680" s="2877"/>
      <c r="HL680" s="2877"/>
      <c r="HM680" s="2877"/>
      <c r="HN680" s="2877"/>
      <c r="HO680" s="2877"/>
      <c r="HP680" s="2877"/>
      <c r="HQ680" s="2877"/>
      <c r="HR680" s="2877"/>
      <c r="HS680" s="2877"/>
      <c r="HT680" s="2877"/>
      <c r="HU680" s="2877"/>
      <c r="HV680" s="2877"/>
      <c r="HW680" s="2877"/>
      <c r="HX680" s="2877"/>
      <c r="HY680" s="2877"/>
      <c r="HZ680" s="2877"/>
      <c r="IA680" s="2877"/>
      <c r="IB680" s="2877"/>
      <c r="IC680" s="2877"/>
      <c r="IJ680" s="2875"/>
      <c r="IK680" s="2875"/>
      <c r="JA680" s="2875"/>
    </row>
    <row r="681" spans="1:261" ht="12" customHeight="1">
      <c r="A681" s="2924"/>
      <c r="B681" s="2924"/>
      <c r="C681" s="523" t="s">
        <v>2637</v>
      </c>
      <c r="D681" s="523"/>
      <c r="E681" s="523"/>
      <c r="F681" s="523"/>
      <c r="G681" s="524"/>
      <c r="H681" s="2920">
        <f>BT668</f>
        <v>0</v>
      </c>
      <c r="I681" s="2920">
        <f>BU668</f>
        <v>0</v>
      </c>
      <c r="J681" s="2920">
        <f>BV668</f>
        <v>0</v>
      </c>
      <c r="K681" s="2920">
        <f>BW668</f>
        <v>0</v>
      </c>
      <c r="L681" s="2920">
        <f>BX668</f>
        <v>0</v>
      </c>
      <c r="M681" s="2920">
        <f t="shared" si="262"/>
        <v>0</v>
      </c>
      <c r="N681" s="524" t="s">
        <v>2318</v>
      </c>
      <c r="Q681" s="2923">
        <f t="shared" si="263"/>
        <v>0</v>
      </c>
      <c r="R681" s="2923"/>
      <c r="S681" s="2923"/>
      <c r="T681" s="2908"/>
      <c r="U681" s="2908"/>
      <c r="V681" s="523"/>
      <c r="W681" s="523"/>
      <c r="X681" s="523"/>
      <c r="Y681" s="523"/>
      <c r="Z681" s="524"/>
      <c r="AA681" s="525"/>
      <c r="AB681" s="525"/>
      <c r="AC681" s="525"/>
      <c r="AD681" s="525"/>
      <c r="AE681" s="525"/>
      <c r="AF681" s="525"/>
      <c r="AG681" s="524"/>
      <c r="AH681" s="523"/>
      <c r="GS681" s="2877"/>
      <c r="GX681" s="2877"/>
      <c r="GY681" s="2877"/>
      <c r="GZ681" s="2877"/>
      <c r="HA681" s="2877"/>
      <c r="HB681" s="2877"/>
      <c r="HC681" s="2877"/>
      <c r="HD681" s="2877"/>
      <c r="HE681" s="2877"/>
      <c r="HF681" s="2877"/>
      <c r="HG681" s="2877"/>
      <c r="HH681" s="2877"/>
      <c r="HI681" s="2877"/>
      <c r="HJ681" s="2877"/>
      <c r="HK681" s="2877"/>
      <c r="HL681" s="2877"/>
      <c r="HM681" s="2877"/>
      <c r="HN681" s="2877"/>
      <c r="HO681" s="2877"/>
      <c r="HP681" s="2877"/>
      <c r="HQ681" s="2877"/>
      <c r="HR681" s="2877"/>
      <c r="HS681" s="2877"/>
      <c r="HT681" s="2877"/>
      <c r="HU681" s="2877"/>
      <c r="HV681" s="2877"/>
      <c r="HW681" s="2877"/>
      <c r="HX681" s="2877"/>
      <c r="HY681" s="2877"/>
      <c r="HZ681" s="2877"/>
      <c r="IA681" s="2877"/>
      <c r="IB681" s="2877"/>
      <c r="IC681" s="2877"/>
      <c r="IJ681" s="2875"/>
      <c r="IK681" s="2875"/>
      <c r="JA681" s="2875"/>
    </row>
    <row r="682" spans="1:261" ht="12" customHeight="1">
      <c r="A682" s="2924"/>
      <c r="B682" s="2924"/>
      <c r="C682" s="523" t="s">
        <v>563</v>
      </c>
      <c r="D682" s="523"/>
      <c r="E682" s="523"/>
      <c r="F682" s="523"/>
      <c r="G682" s="524"/>
      <c r="H682" s="2920">
        <f>SUM(H680:H681)</f>
        <v>0</v>
      </c>
      <c r="I682" s="2920">
        <f>SUM(I680:I681)</f>
        <v>18</v>
      </c>
      <c r="J682" s="2920">
        <f>SUM(J680:J681)</f>
        <v>54</v>
      </c>
      <c r="K682" s="2920">
        <f>SUM(K680:K681)</f>
        <v>24</v>
      </c>
      <c r="L682" s="2920">
        <f>SUM(L680:L681)</f>
        <v>0</v>
      </c>
      <c r="M682" s="2920">
        <f t="shared" si="262"/>
        <v>96</v>
      </c>
      <c r="Q682" s="2923">
        <f t="shared" si="263"/>
        <v>96</v>
      </c>
      <c r="R682" s="2923"/>
      <c r="S682" s="2923"/>
      <c r="T682" s="2908"/>
      <c r="U682" s="2908"/>
      <c r="V682" s="523"/>
      <c r="W682" s="523"/>
      <c r="X682" s="523"/>
      <c r="Y682" s="523"/>
      <c r="Z682" s="524"/>
      <c r="AA682" s="525"/>
      <c r="AB682" s="525"/>
      <c r="AC682" s="525"/>
      <c r="AD682" s="525"/>
      <c r="AE682" s="525"/>
      <c r="AF682" s="525"/>
      <c r="AH682" s="523"/>
      <c r="GS682" s="2877"/>
      <c r="GX682" s="2877"/>
      <c r="GY682" s="2877"/>
      <c r="GZ682" s="2877"/>
      <c r="HA682" s="2877"/>
      <c r="HB682" s="2877"/>
      <c r="HC682" s="2877"/>
      <c r="HD682" s="2877"/>
      <c r="HE682" s="2877"/>
      <c r="HF682" s="2877"/>
      <c r="HG682" s="2877"/>
      <c r="HH682" s="2877"/>
      <c r="HI682" s="2877"/>
      <c r="HJ682" s="2877"/>
      <c r="HK682" s="2877"/>
      <c r="HL682" s="2877"/>
      <c r="HM682" s="2877"/>
      <c r="HN682" s="2877"/>
      <c r="HO682" s="2877"/>
      <c r="HP682" s="2877"/>
      <c r="HQ682" s="2877"/>
      <c r="HR682" s="2877"/>
      <c r="HS682" s="2877"/>
      <c r="HT682" s="2877"/>
      <c r="HU682" s="2877"/>
      <c r="HV682" s="2877"/>
      <c r="HW682" s="2877"/>
      <c r="HX682" s="2877"/>
      <c r="HY682" s="2877"/>
      <c r="HZ682" s="2877"/>
      <c r="IA682" s="2877"/>
      <c r="IB682" s="2877"/>
      <c r="IC682" s="2877"/>
      <c r="IJ682" s="2875"/>
      <c r="IK682" s="2875"/>
      <c r="JA682" s="2875"/>
    </row>
    <row r="683" spans="1:261" ht="12" customHeight="1">
      <c r="A683" s="2924"/>
      <c r="B683" s="2924"/>
      <c r="C683" s="523"/>
      <c r="D683" s="523"/>
      <c r="E683" s="523"/>
      <c r="F683" s="523"/>
      <c r="G683" s="524"/>
      <c r="H683" s="2926"/>
      <c r="I683" s="2926"/>
      <c r="J683" s="2926"/>
      <c r="K683" s="2926"/>
      <c r="L683" s="2926"/>
      <c r="M683" s="2926"/>
      <c r="Q683" s="2923"/>
      <c r="R683" s="2923"/>
      <c r="S683" s="2923"/>
      <c r="T683" s="2687" t="str">
        <f>C684</f>
        <v>PBRA-Assisted</v>
      </c>
      <c r="V683" s="523"/>
      <c r="W683" s="523"/>
      <c r="X683" s="523"/>
      <c r="Y683" s="523"/>
      <c r="Z683" s="524"/>
      <c r="AA683" s="523"/>
      <c r="AB683" s="523"/>
      <c r="AC683" s="523"/>
      <c r="AD683" s="523"/>
      <c r="AE683" s="523"/>
      <c r="AF683" s="523"/>
      <c r="AH683" s="523"/>
      <c r="GS683" s="2877"/>
      <c r="GX683" s="2877"/>
      <c r="GY683" s="2877"/>
      <c r="GZ683" s="2877"/>
      <c r="HA683" s="2877"/>
      <c r="HB683" s="2877"/>
      <c r="HC683" s="2877"/>
      <c r="HD683" s="2877"/>
      <c r="HE683" s="2877"/>
      <c r="HF683" s="2877"/>
      <c r="HG683" s="2877"/>
      <c r="HH683" s="2877"/>
      <c r="HI683" s="2877"/>
      <c r="HJ683" s="2877"/>
      <c r="HK683" s="2877"/>
      <c r="HL683" s="2877"/>
      <c r="HM683" s="2877"/>
      <c r="HN683" s="2877"/>
      <c r="HO683" s="2877"/>
      <c r="HP683" s="2877"/>
      <c r="HQ683" s="2877"/>
      <c r="HR683" s="2877"/>
      <c r="HS683" s="2877"/>
      <c r="HT683" s="2877"/>
      <c r="HU683" s="2877"/>
      <c r="HV683" s="2877"/>
      <c r="HW683" s="2877"/>
      <c r="HX683" s="2877"/>
      <c r="HY683" s="2877"/>
      <c r="HZ683" s="2877"/>
      <c r="IA683" s="2877"/>
      <c r="IB683" s="2877"/>
      <c r="IC683" s="2877"/>
      <c r="IJ683" s="2875"/>
      <c r="IK683" s="2875"/>
      <c r="JA683" s="2875"/>
    </row>
    <row r="684" spans="1:261" ht="12" customHeight="1">
      <c r="A684" s="2924"/>
      <c r="B684" s="2924"/>
      <c r="C684" s="523" t="s">
        <v>978</v>
      </c>
      <c r="D684" s="523"/>
      <c r="E684" s="527"/>
      <c r="F684" s="523"/>
      <c r="G684" s="524" t="s">
        <v>1204</v>
      </c>
      <c r="H684" s="2920">
        <f>AZ668</f>
        <v>0</v>
      </c>
      <c r="I684" s="2920">
        <f>BA668</f>
        <v>0</v>
      </c>
      <c r="J684" s="2920">
        <f>BB668</f>
        <v>0</v>
      </c>
      <c r="K684" s="2920">
        <f>BC668</f>
        <v>0</v>
      </c>
      <c r="L684" s="2920">
        <f>BD668</f>
        <v>0</v>
      </c>
      <c r="M684" s="2920">
        <f>SUM(H684:L684)</f>
        <v>0</v>
      </c>
      <c r="N684" s="524"/>
      <c r="Q684" s="2923">
        <f>ABS(M684-AF684)</f>
        <v>0</v>
      </c>
      <c r="R684" s="2923"/>
      <c r="S684" s="2923"/>
      <c r="T684" s="2837">
        <f>'Part VI-Revenues &amp; Expenses'!T64</f>
        <v>0</v>
      </c>
      <c r="U684" s="2908"/>
      <c r="V684" s="523"/>
      <c r="W684" s="523"/>
      <c r="X684" s="527"/>
      <c r="Y684" s="523"/>
      <c r="Z684" s="524"/>
      <c r="AA684" s="525"/>
      <c r="AB684" s="525"/>
      <c r="AC684" s="525"/>
      <c r="AD684" s="525"/>
      <c r="AE684" s="525"/>
      <c r="AF684" s="525"/>
      <c r="AG684" s="524"/>
      <c r="AH684" s="523"/>
      <c r="GS684" s="2877"/>
      <c r="GX684" s="2877"/>
      <c r="GY684" s="2877"/>
      <c r="GZ684" s="2877"/>
      <c r="HA684" s="2877"/>
      <c r="HB684" s="2877"/>
      <c r="HC684" s="2877"/>
      <c r="HD684" s="2877"/>
      <c r="HE684" s="2877"/>
      <c r="HF684" s="2877"/>
      <c r="HG684" s="2877"/>
      <c r="HH684" s="2877"/>
      <c r="HI684" s="2877"/>
      <c r="HJ684" s="2877"/>
      <c r="HK684" s="2877"/>
      <c r="HL684" s="2877"/>
      <c r="HM684" s="2877"/>
      <c r="HN684" s="2877"/>
      <c r="HO684" s="2877"/>
      <c r="HP684" s="2877"/>
      <c r="HQ684" s="2877"/>
      <c r="HR684" s="2877"/>
      <c r="HS684" s="2877"/>
      <c r="HT684" s="2877"/>
      <c r="HU684" s="2877"/>
      <c r="HV684" s="2877"/>
      <c r="HW684" s="2877"/>
      <c r="HX684" s="2877"/>
      <c r="HY684" s="2877"/>
      <c r="HZ684" s="2877"/>
      <c r="IA684" s="2877"/>
      <c r="IB684" s="2877"/>
      <c r="IC684" s="2877"/>
      <c r="IJ684" s="2875"/>
      <c r="IK684" s="2875"/>
      <c r="JA684" s="2875"/>
    </row>
    <row r="685" spans="1:261" ht="12" customHeight="1">
      <c r="A685" s="2924"/>
      <c r="B685" s="2924"/>
      <c r="C685" s="524" t="s">
        <v>2638</v>
      </c>
      <c r="D685" s="523"/>
      <c r="E685" s="527"/>
      <c r="F685" s="523"/>
      <c r="G685" s="524" t="s">
        <v>120</v>
      </c>
      <c r="H685" s="2920">
        <f>AU668</f>
        <v>0</v>
      </c>
      <c r="I685" s="2920">
        <f>AV668</f>
        <v>0</v>
      </c>
      <c r="J685" s="2920">
        <f>AW668</f>
        <v>0</v>
      </c>
      <c r="K685" s="2920">
        <f>AX668</f>
        <v>0</v>
      </c>
      <c r="L685" s="2920">
        <f>AY668</f>
        <v>0</v>
      </c>
      <c r="M685" s="2920">
        <f>SUM(H685:L685)</f>
        <v>0</v>
      </c>
      <c r="N685" s="524"/>
      <c r="Q685" s="2923">
        <f>ABS(M685-AF685)</f>
        <v>0</v>
      </c>
      <c r="R685" s="2923"/>
      <c r="S685" s="2923"/>
      <c r="T685" s="2908"/>
      <c r="U685" s="2908"/>
      <c r="V685" s="524"/>
      <c r="W685" s="523"/>
      <c r="X685" s="527"/>
      <c r="Y685" s="523"/>
      <c r="Z685" s="524"/>
      <c r="AA685" s="525"/>
      <c r="AB685" s="525"/>
      <c r="AC685" s="525"/>
      <c r="AD685" s="525"/>
      <c r="AE685" s="525"/>
      <c r="AF685" s="525"/>
      <c r="AG685" s="524"/>
      <c r="AH685" s="523"/>
      <c r="GS685" s="2877"/>
      <c r="GX685" s="2877"/>
      <c r="GY685" s="2877"/>
      <c r="GZ685" s="2877"/>
      <c r="HA685" s="2877"/>
      <c r="HB685" s="2877"/>
      <c r="HC685" s="2877"/>
      <c r="HD685" s="2877"/>
      <c r="HE685" s="2877"/>
      <c r="HF685" s="2877"/>
      <c r="HG685" s="2877"/>
      <c r="HH685" s="2877"/>
      <c r="HI685" s="2877"/>
      <c r="HJ685" s="2877"/>
      <c r="HK685" s="2877"/>
      <c r="HL685" s="2877"/>
      <c r="HM685" s="2877"/>
      <c r="HN685" s="2877"/>
      <c r="HO685" s="2877"/>
      <c r="HP685" s="2877"/>
      <c r="HQ685" s="2877"/>
      <c r="HR685" s="2877"/>
      <c r="HS685" s="2877"/>
      <c r="HT685" s="2877"/>
      <c r="HU685" s="2877"/>
      <c r="HV685" s="2877"/>
      <c r="HW685" s="2877"/>
      <c r="HX685" s="2877"/>
      <c r="HY685" s="2877"/>
      <c r="HZ685" s="2877"/>
      <c r="IA685" s="2877"/>
      <c r="IB685" s="2877"/>
      <c r="IC685" s="2877"/>
      <c r="IJ685" s="2875"/>
      <c r="IK685" s="2875"/>
      <c r="JA685" s="2875"/>
    </row>
    <row r="686" spans="1:261" ht="12" customHeight="1">
      <c r="A686" s="2924"/>
      <c r="B686" s="2924"/>
      <c r="C686" s="526"/>
      <c r="D686" s="523"/>
      <c r="E686" s="527"/>
      <c r="F686" s="523"/>
      <c r="G686" s="524" t="s">
        <v>563</v>
      </c>
      <c r="H686" s="2920">
        <f>SUM(H684:H685)</f>
        <v>0</v>
      </c>
      <c r="I686" s="2920">
        <f>SUM(I684:I685)</f>
        <v>0</v>
      </c>
      <c r="J686" s="2920">
        <f>SUM(J684:J685)</f>
        <v>0</v>
      </c>
      <c r="K686" s="2920">
        <f>SUM(K684:K685)</f>
        <v>0</v>
      </c>
      <c r="L686" s="2920">
        <f>SUM(L684:L685)</f>
        <v>0</v>
      </c>
      <c r="M686" s="2920">
        <f>SUM(H686:L686)</f>
        <v>0</v>
      </c>
      <c r="N686" s="524"/>
      <c r="Q686" s="2923">
        <f>ABS(M686-AF686)</f>
        <v>0</v>
      </c>
      <c r="R686" s="2923"/>
      <c r="S686" s="2923"/>
      <c r="T686" s="2908"/>
      <c r="U686" s="2908"/>
      <c r="V686" s="526"/>
      <c r="W686" s="523"/>
      <c r="X686" s="527"/>
      <c r="Y686" s="523"/>
      <c r="Z686" s="524"/>
      <c r="AA686" s="525"/>
      <c r="AB686" s="525"/>
      <c r="AC686" s="525"/>
      <c r="AD686" s="525"/>
      <c r="AE686" s="525"/>
      <c r="AF686" s="525"/>
      <c r="AG686" s="524"/>
      <c r="AH686" s="523"/>
      <c r="GS686" s="2877"/>
      <c r="GX686" s="2877"/>
      <c r="GY686" s="2877"/>
      <c r="GZ686" s="2877"/>
      <c r="HA686" s="2877"/>
      <c r="HB686" s="2877"/>
      <c r="HC686" s="2877"/>
      <c r="HD686" s="2877"/>
      <c r="HE686" s="2877"/>
      <c r="HF686" s="2877"/>
      <c r="HG686" s="2877"/>
      <c r="HH686" s="2877"/>
      <c r="HI686" s="2877"/>
      <c r="HJ686" s="2877"/>
      <c r="HK686" s="2877"/>
      <c r="HL686" s="2877"/>
      <c r="HM686" s="2877"/>
      <c r="HN686" s="2877"/>
      <c r="HO686" s="2877"/>
      <c r="HP686" s="2877"/>
      <c r="HQ686" s="2877"/>
      <c r="HR686" s="2877"/>
      <c r="HS686" s="2877"/>
      <c r="HT686" s="2877"/>
      <c r="HU686" s="2877"/>
      <c r="HV686" s="2877"/>
      <c r="HW686" s="2877"/>
      <c r="HX686" s="2877"/>
      <c r="HY686" s="2877"/>
      <c r="HZ686" s="2877"/>
      <c r="IA686" s="2877"/>
      <c r="IB686" s="2877"/>
      <c r="IC686" s="2877"/>
      <c r="IJ686" s="2875"/>
      <c r="IK686" s="2875"/>
      <c r="JA686" s="2875"/>
    </row>
    <row r="687" spans="1:261" ht="12" customHeight="1">
      <c r="A687" s="2924"/>
      <c r="B687" s="2924"/>
      <c r="C687" s="523"/>
      <c r="D687" s="523"/>
      <c r="E687" s="523"/>
      <c r="F687" s="523"/>
      <c r="G687" s="524"/>
      <c r="H687" s="2926"/>
      <c r="I687" s="2926"/>
      <c r="J687" s="2926"/>
      <c r="K687" s="2926"/>
      <c r="L687" s="2926"/>
      <c r="M687" s="2926"/>
      <c r="Q687" s="2923"/>
      <c r="R687" s="2923"/>
      <c r="S687" s="2923"/>
      <c r="T687" s="2687" t="str">
        <f>C688</f>
        <v>PHA Operating Subsidy-Assisted</v>
      </c>
      <c r="V687" s="523"/>
      <c r="W687" s="523"/>
      <c r="X687" s="523"/>
      <c r="Y687" s="523"/>
      <c r="Z687" s="524"/>
      <c r="AA687" s="523"/>
      <c r="AB687" s="523"/>
      <c r="AC687" s="523"/>
      <c r="AD687" s="523"/>
      <c r="AE687" s="523"/>
      <c r="AF687" s="523"/>
      <c r="AH687" s="523"/>
      <c r="GS687" s="2877"/>
      <c r="GX687" s="2877"/>
      <c r="GY687" s="2877"/>
      <c r="GZ687" s="2877"/>
      <c r="HA687" s="2877"/>
      <c r="HB687" s="2877"/>
      <c r="HC687" s="2877"/>
      <c r="HD687" s="2877"/>
      <c r="HE687" s="2877"/>
      <c r="HF687" s="2877"/>
      <c r="HG687" s="2877"/>
      <c r="HH687" s="2877"/>
      <c r="HI687" s="2877"/>
      <c r="HJ687" s="2877"/>
      <c r="HK687" s="2877"/>
      <c r="HL687" s="2877"/>
      <c r="HM687" s="2877"/>
      <c r="HN687" s="2877"/>
      <c r="HO687" s="2877"/>
      <c r="HP687" s="2877"/>
      <c r="HQ687" s="2877"/>
      <c r="HR687" s="2877"/>
      <c r="HS687" s="2877"/>
      <c r="HT687" s="2877"/>
      <c r="HU687" s="2877"/>
      <c r="HV687" s="2877"/>
      <c r="HW687" s="2877"/>
      <c r="HX687" s="2877"/>
      <c r="HY687" s="2877"/>
      <c r="HZ687" s="2877"/>
      <c r="IA687" s="2877"/>
      <c r="IB687" s="2877"/>
      <c r="IC687" s="2877"/>
      <c r="IJ687" s="2875"/>
      <c r="IK687" s="2875"/>
      <c r="JA687" s="2875"/>
    </row>
    <row r="688" spans="1:261" ht="12" customHeight="1">
      <c r="A688" s="2924"/>
      <c r="B688" s="2924"/>
      <c r="C688" s="523" t="s">
        <v>933</v>
      </c>
      <c r="D688" s="523"/>
      <c r="E688" s="527"/>
      <c r="F688" s="523"/>
      <c r="G688" s="524" t="s">
        <v>1204</v>
      </c>
      <c r="H688" s="2920">
        <f>BO668</f>
        <v>0</v>
      </c>
      <c r="I688" s="2920">
        <f>BP668</f>
        <v>0</v>
      </c>
      <c r="J688" s="2920">
        <f>BQ668</f>
        <v>0</v>
      </c>
      <c r="K688" s="2920">
        <f>BR668</f>
        <v>0</v>
      </c>
      <c r="L688" s="2920">
        <f>BS668</f>
        <v>0</v>
      </c>
      <c r="M688" s="2920">
        <f>SUM(H688:L688)</f>
        <v>0</v>
      </c>
      <c r="N688" s="524"/>
      <c r="Q688" s="2923">
        <f>ABS(M688-AF688)</f>
        <v>0</v>
      </c>
      <c r="R688" s="2923"/>
      <c r="S688" s="2923"/>
      <c r="T688" s="2837">
        <f>'Part VI-Revenues &amp; Expenses'!T68</f>
        <v>0</v>
      </c>
      <c r="U688" s="2908"/>
      <c r="V688" s="523"/>
      <c r="W688" s="523"/>
      <c r="X688" s="527"/>
      <c r="Y688" s="523"/>
      <c r="Z688" s="524"/>
      <c r="AA688" s="525"/>
      <c r="AB688" s="525"/>
      <c r="AC688" s="525"/>
      <c r="AD688" s="525"/>
      <c r="AE688" s="525"/>
      <c r="AF688" s="525"/>
      <c r="AG688" s="524"/>
      <c r="AH688" s="523"/>
      <c r="GS688" s="2877"/>
      <c r="GX688" s="2877"/>
      <c r="GY688" s="2877"/>
      <c r="GZ688" s="2877"/>
      <c r="HA688" s="2877"/>
      <c r="HB688" s="2877"/>
      <c r="HC688" s="2877"/>
      <c r="HD688" s="2877"/>
      <c r="HE688" s="2877"/>
      <c r="HF688" s="2877"/>
      <c r="HG688" s="2877"/>
      <c r="HH688" s="2877"/>
      <c r="HI688" s="2877"/>
      <c r="HJ688" s="2877"/>
      <c r="HK688" s="2877"/>
      <c r="HL688" s="2877"/>
      <c r="HM688" s="2877"/>
      <c r="HN688" s="2877"/>
      <c r="HO688" s="2877"/>
      <c r="HP688" s="2877"/>
      <c r="HQ688" s="2877"/>
      <c r="HR688" s="2877"/>
      <c r="HS688" s="2877"/>
      <c r="HT688" s="2877"/>
      <c r="HU688" s="2877"/>
      <c r="HV688" s="2877"/>
      <c r="HW688" s="2877"/>
      <c r="HX688" s="2877"/>
      <c r="HY688" s="2877"/>
      <c r="HZ688" s="2877"/>
      <c r="IA688" s="2877"/>
      <c r="IB688" s="2877"/>
      <c r="IC688" s="2877"/>
      <c r="IJ688" s="2875"/>
      <c r="IK688" s="2875"/>
      <c r="JA688" s="2875"/>
    </row>
    <row r="689" spans="1:261" ht="12" customHeight="1">
      <c r="A689" s="2924"/>
      <c r="B689" s="2924"/>
      <c r="C689" s="524" t="s">
        <v>2638</v>
      </c>
      <c r="D689" s="523"/>
      <c r="E689" s="527"/>
      <c r="F689" s="523"/>
      <c r="G689" s="524" t="s">
        <v>120</v>
      </c>
      <c r="H689" s="2920">
        <f>BJ668</f>
        <v>0</v>
      </c>
      <c r="I689" s="2920">
        <f>BK668</f>
        <v>0</v>
      </c>
      <c r="J689" s="2920">
        <f>BL668</f>
        <v>0</v>
      </c>
      <c r="K689" s="2920">
        <f>BM668</f>
        <v>0</v>
      </c>
      <c r="L689" s="2920">
        <f>BN668</f>
        <v>0</v>
      </c>
      <c r="M689" s="2920">
        <f>SUM(H689:L689)</f>
        <v>0</v>
      </c>
      <c r="N689" s="524"/>
      <c r="Q689" s="2923">
        <f>ABS(M689-AF689)</f>
        <v>0</v>
      </c>
      <c r="R689" s="2923"/>
      <c r="S689" s="2923"/>
      <c r="T689" s="2908"/>
      <c r="U689" s="2908"/>
      <c r="V689" s="524"/>
      <c r="W689" s="523"/>
      <c r="X689" s="527"/>
      <c r="Y689" s="523"/>
      <c r="Z689" s="524"/>
      <c r="AA689" s="525"/>
      <c r="AB689" s="525"/>
      <c r="AC689" s="525"/>
      <c r="AD689" s="525"/>
      <c r="AE689" s="525"/>
      <c r="AF689" s="525"/>
      <c r="AG689" s="524"/>
      <c r="AH689" s="523"/>
      <c r="GS689" s="2877"/>
      <c r="GX689" s="2877"/>
      <c r="GY689" s="2877"/>
      <c r="GZ689" s="2877"/>
      <c r="HA689" s="2877"/>
      <c r="HB689" s="2877"/>
      <c r="HC689" s="2877"/>
      <c r="HD689" s="2877"/>
      <c r="HE689" s="2877"/>
      <c r="HF689" s="2877"/>
      <c r="HG689" s="2877"/>
      <c r="HH689" s="2877"/>
      <c r="HI689" s="2877"/>
      <c r="HJ689" s="2877"/>
      <c r="HK689" s="2877"/>
      <c r="HL689" s="2877"/>
      <c r="HM689" s="2877"/>
      <c r="HN689" s="2877"/>
      <c r="HO689" s="2877"/>
      <c r="HP689" s="2877"/>
      <c r="HQ689" s="2877"/>
      <c r="HR689" s="2877"/>
      <c r="HS689" s="2877"/>
      <c r="HT689" s="2877"/>
      <c r="HU689" s="2877"/>
      <c r="HV689" s="2877"/>
      <c r="HW689" s="2877"/>
      <c r="HX689" s="2877"/>
      <c r="HY689" s="2877"/>
      <c r="HZ689" s="2877"/>
      <c r="IA689" s="2877"/>
      <c r="IB689" s="2877"/>
      <c r="IC689" s="2877"/>
      <c r="IJ689" s="2875"/>
      <c r="IK689" s="2875"/>
      <c r="JA689" s="2875"/>
    </row>
    <row r="690" spans="1:261" ht="12" customHeight="1">
      <c r="A690" s="2924"/>
      <c r="B690" s="2924"/>
      <c r="C690" s="526"/>
      <c r="D690" s="523"/>
      <c r="E690" s="527"/>
      <c r="F690" s="523"/>
      <c r="G690" s="524" t="s">
        <v>563</v>
      </c>
      <c r="H690" s="2920">
        <f>SUM(H688:H689)</f>
        <v>0</v>
      </c>
      <c r="I690" s="2920">
        <f>SUM(I688:I689)</f>
        <v>0</v>
      </c>
      <c r="J690" s="2920">
        <f>SUM(J688:J689)</f>
        <v>0</v>
      </c>
      <c r="K690" s="2920">
        <f>SUM(K688:K689)</f>
        <v>0</v>
      </c>
      <c r="L690" s="2920">
        <f>SUM(L688:L689)</f>
        <v>0</v>
      </c>
      <c r="M690" s="2920">
        <f>SUM(H690:L690)</f>
        <v>0</v>
      </c>
      <c r="N690" s="524"/>
      <c r="Q690" s="2923">
        <f>ABS(M690-AF690)</f>
        <v>0</v>
      </c>
      <c r="R690" s="2923"/>
      <c r="S690" s="2923"/>
      <c r="T690" s="2908"/>
      <c r="U690" s="2908"/>
      <c r="V690" s="526"/>
      <c r="W690" s="523"/>
      <c r="X690" s="527"/>
      <c r="Y690" s="523"/>
      <c r="Z690" s="524"/>
      <c r="AA690" s="525"/>
      <c r="AB690" s="525"/>
      <c r="AC690" s="525"/>
      <c r="AD690" s="525"/>
      <c r="AE690" s="525"/>
      <c r="AF690" s="525"/>
      <c r="AG690" s="524"/>
      <c r="AH690" s="523"/>
      <c r="GS690" s="2877"/>
      <c r="GX690" s="2877"/>
      <c r="GY690" s="2877"/>
      <c r="GZ690" s="2877"/>
      <c r="HA690" s="2877"/>
      <c r="HB690" s="2877"/>
      <c r="HC690" s="2877"/>
      <c r="HD690" s="2877"/>
      <c r="HE690" s="2877"/>
      <c r="HF690" s="2877"/>
      <c r="HG690" s="2877"/>
      <c r="HH690" s="2877"/>
      <c r="HI690" s="2877"/>
      <c r="HJ690" s="2877"/>
      <c r="HK690" s="2877"/>
      <c r="HL690" s="2877"/>
      <c r="HM690" s="2877"/>
      <c r="HN690" s="2877"/>
      <c r="HO690" s="2877"/>
      <c r="HP690" s="2877"/>
      <c r="HQ690" s="2877"/>
      <c r="HR690" s="2877"/>
      <c r="HS690" s="2877"/>
      <c r="HT690" s="2877"/>
      <c r="HU690" s="2877"/>
      <c r="HV690" s="2877"/>
      <c r="HW690" s="2877"/>
      <c r="HX690" s="2877"/>
      <c r="HY690" s="2877"/>
      <c r="HZ690" s="2877"/>
      <c r="IA690" s="2877"/>
      <c r="IB690" s="2877"/>
      <c r="IC690" s="2877"/>
      <c r="IJ690" s="2875"/>
      <c r="IK690" s="2875"/>
      <c r="JA690" s="2875"/>
    </row>
    <row r="691" spans="1:261" ht="12" customHeight="1">
      <c r="A691" s="2924"/>
      <c r="B691" s="2924"/>
      <c r="D691" s="541"/>
      <c r="E691" s="527"/>
      <c r="F691" s="523"/>
      <c r="G691" s="524"/>
      <c r="H691" s="2926"/>
      <c r="I691" s="2926"/>
      <c r="J691" s="2926"/>
      <c r="K691" s="2926"/>
      <c r="L691" s="2926"/>
      <c r="M691" s="2926"/>
      <c r="Q691" s="2923"/>
      <c r="R691" s="2923"/>
      <c r="S691" s="2923"/>
      <c r="T691" s="2687" t="str">
        <f>C692</f>
        <v>Type of Construction Activity</v>
      </c>
      <c r="V691" s="523"/>
      <c r="W691" s="523"/>
      <c r="X691" s="527"/>
      <c r="Y691" s="523"/>
      <c r="Z691" s="524"/>
      <c r="AA691" s="523"/>
      <c r="AB691" s="523"/>
      <c r="AC691" s="523"/>
      <c r="AD691" s="523"/>
      <c r="AE691" s="523"/>
      <c r="AF691" s="523"/>
      <c r="AH691" s="523"/>
      <c r="GS691" s="2877"/>
      <c r="GX691" s="2877"/>
      <c r="GY691" s="2877"/>
      <c r="GZ691" s="2877"/>
      <c r="HA691" s="2877"/>
      <c r="HB691" s="2877"/>
      <c r="HC691" s="2877"/>
      <c r="HD691" s="2877"/>
      <c r="HE691" s="2877"/>
      <c r="HF691" s="2877"/>
      <c r="HG691" s="2877"/>
      <c r="HH691" s="2877"/>
      <c r="HI691" s="2877"/>
      <c r="HJ691" s="2877"/>
      <c r="HK691" s="2877"/>
      <c r="HL691" s="2877"/>
      <c r="HM691" s="2877"/>
      <c r="HN691" s="2877"/>
      <c r="HO691" s="2877"/>
      <c r="HP691" s="2877"/>
      <c r="HQ691" s="2877"/>
      <c r="HR691" s="2877"/>
      <c r="HS691" s="2877"/>
      <c r="HT691" s="2877"/>
      <c r="HU691" s="2877"/>
      <c r="HV691" s="2877"/>
      <c r="HW691" s="2877"/>
      <c r="HX691" s="2877"/>
      <c r="HY691" s="2877"/>
      <c r="HZ691" s="2877"/>
      <c r="IA691" s="2877"/>
      <c r="IB691" s="2877"/>
      <c r="IC691" s="2877"/>
      <c r="IJ691" s="2875"/>
      <c r="IK691" s="2875"/>
      <c r="JA691" s="2875"/>
    </row>
    <row r="692" spans="1:261" ht="12" customHeight="1">
      <c r="A692" s="2924"/>
      <c r="B692" s="2924"/>
      <c r="C692" s="2810" t="s">
        <v>40</v>
      </c>
      <c r="D692" s="2810"/>
      <c r="E692" s="527" t="s">
        <v>2404</v>
      </c>
      <c r="F692" s="523"/>
      <c r="G692" s="524" t="s">
        <v>1504</v>
      </c>
      <c r="H692" s="2920">
        <f>DC668</f>
        <v>0</v>
      </c>
      <c r="I692" s="2920">
        <f>DD668</f>
        <v>18</v>
      </c>
      <c r="J692" s="2920">
        <f>DE668</f>
        <v>54</v>
      </c>
      <c r="K692" s="2920">
        <f>DF668</f>
        <v>24</v>
      </c>
      <c r="L692" s="2920">
        <f>DG668</f>
        <v>0</v>
      </c>
      <c r="M692" s="2920">
        <f t="shared" ref="M692:M702" si="264">SUM(H692:L692)</f>
        <v>96</v>
      </c>
      <c r="Q692" s="2923">
        <f t="shared" ref="Q692:Q700" si="265">ABS(M692-AF692)</f>
        <v>96</v>
      </c>
      <c r="R692" s="2923"/>
      <c r="S692" s="2923"/>
      <c r="T692" s="2837">
        <f>'Part VI-Revenues &amp; Expenses'!T72</f>
        <v>0</v>
      </c>
      <c r="U692" s="2908"/>
      <c r="V692" s="523"/>
      <c r="W692" s="523"/>
      <c r="X692" s="527"/>
      <c r="Y692" s="523"/>
      <c r="Z692" s="524"/>
      <c r="AA692" s="525"/>
      <c r="AB692" s="525"/>
      <c r="AC692" s="525"/>
      <c r="AD692" s="525"/>
      <c r="AE692" s="525"/>
      <c r="AF692" s="525"/>
      <c r="IJ692" s="2875"/>
      <c r="IK692" s="2875"/>
      <c r="JA692" s="2875"/>
    </row>
    <row r="693" spans="1:261" ht="12" customHeight="1">
      <c r="A693" s="2924"/>
      <c r="B693" s="2924"/>
      <c r="C693" s="2810"/>
      <c r="D693" s="2810"/>
      <c r="E693" s="527"/>
      <c r="F693" s="523"/>
      <c r="G693" s="524" t="s">
        <v>316</v>
      </c>
      <c r="H693" s="2920">
        <f>DH668</f>
        <v>0</v>
      </c>
      <c r="I693" s="2920">
        <f>DI668</f>
        <v>0</v>
      </c>
      <c r="J693" s="2920">
        <f>DJ668</f>
        <v>0</v>
      </c>
      <c r="K693" s="2920">
        <f>DK668</f>
        <v>0</v>
      </c>
      <c r="L693" s="2920">
        <f>DL668</f>
        <v>0</v>
      </c>
      <c r="M693" s="2920">
        <f t="shared" si="264"/>
        <v>0</v>
      </c>
      <c r="N693" s="507"/>
      <c r="Q693" s="2923">
        <f t="shared" si="265"/>
        <v>0</v>
      </c>
      <c r="R693" s="2923"/>
      <c r="S693" s="2923"/>
      <c r="T693" s="2908"/>
      <c r="U693" s="2908"/>
      <c r="V693" s="523"/>
      <c r="W693" s="523"/>
      <c r="X693" s="527"/>
      <c r="Y693" s="523"/>
      <c r="Z693" s="524"/>
      <c r="AA693" s="525"/>
      <c r="AB693" s="525"/>
      <c r="AC693" s="525"/>
      <c r="AD693" s="525"/>
      <c r="AE693" s="525"/>
      <c r="AF693" s="525"/>
      <c r="AG693" s="507"/>
      <c r="AH693" s="523"/>
      <c r="GS693" s="2877"/>
      <c r="GX693" s="2877"/>
      <c r="GY693" s="2877"/>
      <c r="GZ693" s="2877"/>
      <c r="HA693" s="2877"/>
      <c r="HB693" s="2877"/>
      <c r="HC693" s="2877"/>
      <c r="HD693" s="2877"/>
      <c r="HE693" s="2877"/>
      <c r="HF693" s="2877"/>
      <c r="HG693" s="2877"/>
      <c r="HH693" s="2877"/>
      <c r="HI693" s="2877"/>
      <c r="HJ693" s="2877"/>
      <c r="HK693" s="2877"/>
      <c r="HL693" s="2877"/>
      <c r="HM693" s="2877"/>
      <c r="HN693" s="2877"/>
      <c r="HO693" s="2877"/>
      <c r="HP693" s="2877"/>
      <c r="HQ693" s="2877"/>
      <c r="HR693" s="2877"/>
      <c r="HS693" s="2877"/>
      <c r="HT693" s="2877"/>
      <c r="HU693" s="2877"/>
      <c r="HV693" s="2877"/>
      <c r="HW693" s="2877"/>
      <c r="HX693" s="2877"/>
      <c r="HY693" s="2877"/>
      <c r="HZ693" s="2877"/>
      <c r="IA693" s="2877"/>
      <c r="IB693" s="2877"/>
      <c r="IC693" s="2877"/>
      <c r="IJ693" s="2875"/>
      <c r="IK693" s="2875"/>
      <c r="JA693" s="2875"/>
    </row>
    <row r="694" spans="1:261" ht="12" customHeight="1">
      <c r="A694" s="2924"/>
      <c r="B694" s="2924"/>
      <c r="C694" s="2810"/>
      <c r="D694" s="2810"/>
      <c r="E694" s="527"/>
      <c r="F694" s="523"/>
      <c r="G694" s="524" t="s">
        <v>33</v>
      </c>
      <c r="H694" s="2920">
        <f>SUM(H692:H693)+DM668</f>
        <v>0</v>
      </c>
      <c r="I694" s="2920">
        <f>SUM(I692:I693)+DN668</f>
        <v>18</v>
      </c>
      <c r="J694" s="2920">
        <f>SUM(J692:J693)+DO668</f>
        <v>54</v>
      </c>
      <c r="K694" s="2920">
        <f>SUM(K692:K693)+DP668</f>
        <v>24</v>
      </c>
      <c r="L694" s="2920">
        <f>SUM(L692:L693)+DQ668</f>
        <v>0</v>
      </c>
      <c r="M694" s="2920">
        <f t="shared" si="264"/>
        <v>96</v>
      </c>
      <c r="N694" s="524"/>
      <c r="Q694" s="2923">
        <f t="shared" si="265"/>
        <v>96</v>
      </c>
      <c r="R694" s="2923"/>
      <c r="S694" s="2923"/>
      <c r="T694" s="2908"/>
      <c r="U694" s="2908"/>
      <c r="V694" s="526"/>
      <c r="W694" s="523"/>
      <c r="X694" s="527"/>
      <c r="Y694" s="523"/>
      <c r="Z694" s="524"/>
      <c r="AA694" s="525"/>
      <c r="AB694" s="525"/>
      <c r="AC694" s="525"/>
      <c r="AD694" s="525"/>
      <c r="AE694" s="525"/>
      <c r="AF694" s="525"/>
      <c r="AG694" s="524"/>
      <c r="AH694" s="523"/>
      <c r="GS694" s="2877"/>
      <c r="GX694" s="2877"/>
      <c r="GY694" s="2877"/>
      <c r="GZ694" s="2877"/>
      <c r="HA694" s="2877"/>
      <c r="HB694" s="2877"/>
      <c r="HC694" s="2877"/>
      <c r="HD694" s="2877"/>
      <c r="HE694" s="2877"/>
      <c r="HF694" s="2877"/>
      <c r="HG694" s="2877"/>
      <c r="HH694" s="2877"/>
      <c r="HI694" s="2877"/>
      <c r="HJ694" s="2877"/>
      <c r="HK694" s="2877"/>
      <c r="HL694" s="2877"/>
      <c r="HM694" s="2877"/>
      <c r="HN694" s="2877"/>
      <c r="HO694" s="2877"/>
      <c r="HP694" s="2877"/>
      <c r="HQ694" s="2877"/>
      <c r="HR694" s="2877"/>
      <c r="HS694" s="2877"/>
      <c r="HT694" s="2877"/>
      <c r="HU694" s="2877"/>
      <c r="HV694" s="2877"/>
      <c r="HW694" s="2877"/>
      <c r="HX694" s="2877"/>
      <c r="HY694" s="2877"/>
      <c r="HZ694" s="2877"/>
      <c r="IA694" s="2877"/>
      <c r="IB694" s="2877"/>
      <c r="IC694" s="2877"/>
      <c r="IJ694" s="2875"/>
      <c r="IK694" s="2875"/>
      <c r="JA694" s="2875"/>
    </row>
    <row r="695" spans="1:261" ht="12" customHeight="1">
      <c r="A695" s="2924"/>
      <c r="B695" s="2924"/>
      <c r="C695" s="2810"/>
      <c r="D695" s="2810"/>
      <c r="E695" s="527" t="s">
        <v>2238</v>
      </c>
      <c r="F695" s="523"/>
      <c r="G695" s="524" t="s">
        <v>1504</v>
      </c>
      <c r="H695" s="2920">
        <f>DR668</f>
        <v>0</v>
      </c>
      <c r="I695" s="2920">
        <f>DS668</f>
        <v>0</v>
      </c>
      <c r="J695" s="2920">
        <f>DT668</f>
        <v>0</v>
      </c>
      <c r="K695" s="2920">
        <f>DU668</f>
        <v>0</v>
      </c>
      <c r="L695" s="2920">
        <f>DV668</f>
        <v>0</v>
      </c>
      <c r="M695" s="2920">
        <f t="shared" si="264"/>
        <v>0</v>
      </c>
      <c r="Q695" s="2923">
        <f t="shared" si="265"/>
        <v>0</v>
      </c>
      <c r="R695" s="2923"/>
      <c r="S695" s="2923"/>
      <c r="T695" s="2908"/>
      <c r="U695" s="2908"/>
      <c r="V695" s="523"/>
      <c r="W695" s="523"/>
      <c r="X695" s="527"/>
      <c r="Y695" s="523"/>
      <c r="Z695" s="524"/>
      <c r="AA695" s="525"/>
      <c r="AB695" s="525"/>
      <c r="AC695" s="525"/>
      <c r="AD695" s="525"/>
      <c r="AE695" s="525"/>
      <c r="AF695" s="525"/>
      <c r="IJ695" s="2875"/>
      <c r="IK695" s="2875"/>
      <c r="JA695" s="2875"/>
    </row>
    <row r="696" spans="1:261" ht="12" customHeight="1">
      <c r="C696" s="2810"/>
      <c r="D696" s="2810"/>
      <c r="E696" s="527"/>
      <c r="F696" s="523"/>
      <c r="G696" s="524" t="s">
        <v>316</v>
      </c>
      <c r="H696" s="2920">
        <f>DW668</f>
        <v>0</v>
      </c>
      <c r="I696" s="2920">
        <f>DX668</f>
        <v>0</v>
      </c>
      <c r="J696" s="2920">
        <f>DY668</f>
        <v>0</v>
      </c>
      <c r="K696" s="2920">
        <f>DZ668</f>
        <v>0</v>
      </c>
      <c r="L696" s="2920">
        <f>EA668</f>
        <v>0</v>
      </c>
      <c r="M696" s="2920">
        <f t="shared" si="264"/>
        <v>0</v>
      </c>
      <c r="N696" s="507"/>
      <c r="Q696" s="2923">
        <f t="shared" si="265"/>
        <v>0</v>
      </c>
      <c r="R696" s="2923"/>
      <c r="S696" s="2923"/>
      <c r="T696" s="2908"/>
      <c r="U696" s="2908"/>
      <c r="V696" s="523"/>
      <c r="W696" s="523"/>
      <c r="X696" s="527"/>
      <c r="Y696" s="523"/>
      <c r="Z696" s="524"/>
      <c r="AA696" s="525"/>
      <c r="AB696" s="525"/>
      <c r="AC696" s="525"/>
      <c r="AD696" s="525"/>
      <c r="AE696" s="525"/>
      <c r="AF696" s="525"/>
      <c r="AG696" s="507"/>
      <c r="AH696" s="523"/>
      <c r="GS696" s="2877"/>
      <c r="GX696" s="2877"/>
      <c r="GY696" s="2877"/>
      <c r="GZ696" s="2877"/>
      <c r="HA696" s="2877"/>
      <c r="HB696" s="2877"/>
      <c r="HC696" s="2877"/>
      <c r="HD696" s="2877"/>
      <c r="HE696" s="2877"/>
      <c r="HF696" s="2877"/>
      <c r="HG696" s="2877"/>
      <c r="HH696" s="2877"/>
      <c r="HI696" s="2877"/>
      <c r="HJ696" s="2877"/>
      <c r="HK696" s="2877"/>
      <c r="HL696" s="2877"/>
      <c r="HM696" s="2877"/>
      <c r="HN696" s="2877"/>
      <c r="HO696" s="2877"/>
      <c r="HP696" s="2877"/>
      <c r="HQ696" s="2877"/>
      <c r="HR696" s="2877"/>
      <c r="HS696" s="2877"/>
      <c r="HT696" s="2877"/>
      <c r="HU696" s="2877"/>
      <c r="HV696" s="2877"/>
      <c r="HW696" s="2877"/>
      <c r="HX696" s="2877"/>
      <c r="HY696" s="2877"/>
      <c r="HZ696" s="2877"/>
      <c r="IA696" s="2877"/>
      <c r="IB696" s="2877"/>
      <c r="IC696" s="2877"/>
      <c r="IJ696" s="2875"/>
      <c r="IK696" s="2875"/>
      <c r="JA696" s="2875"/>
    </row>
    <row r="697" spans="1:261" ht="12" customHeight="1">
      <c r="C697" s="526"/>
      <c r="D697" s="523"/>
      <c r="E697" s="527"/>
      <c r="F697" s="523"/>
      <c r="G697" s="524" t="s">
        <v>33</v>
      </c>
      <c r="H697" s="2920">
        <f>SUM(H695:H696)+EB668</f>
        <v>0</v>
      </c>
      <c r="I697" s="2920">
        <f>SUM(I695:I696)+EC668</f>
        <v>0</v>
      </c>
      <c r="J697" s="2920">
        <f>SUM(J695:J696)+ED668</f>
        <v>0</v>
      </c>
      <c r="K697" s="2920">
        <f>SUM(K695:K696)+EE668</f>
        <v>0</v>
      </c>
      <c r="L697" s="2920">
        <f>SUM(L695:L696)+EF668</f>
        <v>0</v>
      </c>
      <c r="M697" s="2920">
        <f t="shared" si="264"/>
        <v>0</v>
      </c>
      <c r="N697" s="524"/>
      <c r="Q697" s="2923">
        <f t="shared" si="265"/>
        <v>0</v>
      </c>
      <c r="R697" s="2923"/>
      <c r="S697" s="2923"/>
      <c r="T697" s="2908"/>
      <c r="U697" s="2908"/>
      <c r="V697" s="526"/>
      <c r="W697" s="523"/>
      <c r="X697" s="527"/>
      <c r="Y697" s="523"/>
      <c r="Z697" s="524"/>
      <c r="AA697" s="525"/>
      <c r="AB697" s="525"/>
      <c r="AC697" s="525"/>
      <c r="AD697" s="525"/>
      <c r="AE697" s="525"/>
      <c r="AF697" s="525"/>
      <c r="AG697" s="524"/>
      <c r="AH697" s="523"/>
      <c r="GS697" s="2877"/>
      <c r="GX697" s="2877"/>
      <c r="GY697" s="2877"/>
      <c r="GZ697" s="2877"/>
      <c r="HA697" s="2877"/>
      <c r="HB697" s="2877"/>
      <c r="HC697" s="2877"/>
      <c r="HD697" s="2877"/>
      <c r="HE697" s="2877"/>
      <c r="HF697" s="2877"/>
      <c r="HG697" s="2877"/>
      <c r="HH697" s="2877"/>
      <c r="HI697" s="2877"/>
      <c r="HJ697" s="2877"/>
      <c r="HK697" s="2877"/>
      <c r="HL697" s="2877"/>
      <c r="HM697" s="2877"/>
      <c r="HN697" s="2877"/>
      <c r="HO697" s="2877"/>
      <c r="HP697" s="2877"/>
      <c r="HQ697" s="2877"/>
      <c r="HR697" s="2877"/>
      <c r="HS697" s="2877"/>
      <c r="HT697" s="2877"/>
      <c r="HU697" s="2877"/>
      <c r="HV697" s="2877"/>
      <c r="HW697" s="2877"/>
      <c r="HX697" s="2877"/>
      <c r="HY697" s="2877"/>
      <c r="HZ697" s="2877"/>
      <c r="IA697" s="2877"/>
      <c r="IB697" s="2877"/>
      <c r="IC697" s="2877"/>
      <c r="IJ697" s="2875"/>
      <c r="IK697" s="2875"/>
      <c r="JA697" s="2875"/>
    </row>
    <row r="698" spans="1:261" ht="12" customHeight="1">
      <c r="C698" s="523"/>
      <c r="D698" s="523"/>
      <c r="E698" s="2882" t="s">
        <v>1490</v>
      </c>
      <c r="F698" s="2882"/>
      <c r="G698" s="524" t="s">
        <v>1504</v>
      </c>
      <c r="H698" s="2920">
        <f>EG668</f>
        <v>0</v>
      </c>
      <c r="I698" s="2920">
        <f>EH668</f>
        <v>0</v>
      </c>
      <c r="J698" s="2920">
        <f>EI668</f>
        <v>0</v>
      </c>
      <c r="K698" s="2920">
        <f>EJ668</f>
        <v>0</v>
      </c>
      <c r="L698" s="2920">
        <f>EK668</f>
        <v>0</v>
      </c>
      <c r="M698" s="2920">
        <f t="shared" si="264"/>
        <v>0</v>
      </c>
      <c r="Q698" s="2923">
        <f t="shared" si="265"/>
        <v>0</v>
      </c>
      <c r="R698" s="2923"/>
      <c r="S698" s="2923"/>
      <c r="T698" s="2908"/>
      <c r="U698" s="2908"/>
      <c r="V698" s="523"/>
      <c r="W698" s="523"/>
      <c r="X698" s="527"/>
      <c r="Y698" s="523"/>
      <c r="Z698" s="524"/>
      <c r="AA698" s="525"/>
      <c r="AB698" s="525"/>
      <c r="AC698" s="525"/>
      <c r="AD698" s="525"/>
      <c r="AE698" s="525"/>
      <c r="AF698" s="525"/>
      <c r="IJ698" s="2875"/>
      <c r="IK698" s="2875"/>
      <c r="JA698" s="2875"/>
    </row>
    <row r="699" spans="1:261" ht="12" customHeight="1">
      <c r="C699" s="523"/>
      <c r="D699" s="523"/>
      <c r="E699" s="2882"/>
      <c r="F699" s="2882"/>
      <c r="G699" s="524" t="s">
        <v>316</v>
      </c>
      <c r="H699" s="2920">
        <f>EL668</f>
        <v>0</v>
      </c>
      <c r="I699" s="2920">
        <f>EM668</f>
        <v>0</v>
      </c>
      <c r="J699" s="2920">
        <f>EN668</f>
        <v>0</v>
      </c>
      <c r="K699" s="2920">
        <f>EO668</f>
        <v>0</v>
      </c>
      <c r="L699" s="2920">
        <f>EP668</f>
        <v>0</v>
      </c>
      <c r="M699" s="2920">
        <f t="shared" si="264"/>
        <v>0</v>
      </c>
      <c r="N699" s="507"/>
      <c r="Q699" s="2923">
        <f t="shared" si="265"/>
        <v>0</v>
      </c>
      <c r="R699" s="2923"/>
      <c r="S699" s="2923"/>
      <c r="T699" s="2908"/>
      <c r="U699" s="2908"/>
      <c r="V699" s="523"/>
      <c r="W699" s="523"/>
      <c r="X699" s="523"/>
      <c r="Y699" s="523"/>
      <c r="Z699" s="524"/>
      <c r="AA699" s="525"/>
      <c r="AB699" s="525"/>
      <c r="AC699" s="525"/>
      <c r="AD699" s="525"/>
      <c r="AE699" s="525"/>
      <c r="AF699" s="525"/>
      <c r="AG699" s="507"/>
      <c r="AH699" s="523"/>
      <c r="GS699" s="2877"/>
      <c r="GX699" s="2877"/>
      <c r="GY699" s="2877"/>
      <c r="GZ699" s="2877"/>
      <c r="HA699" s="2877"/>
      <c r="HB699" s="2877"/>
      <c r="HC699" s="2877"/>
      <c r="HD699" s="2877"/>
      <c r="HE699" s="2877"/>
      <c r="HF699" s="2877"/>
      <c r="HG699" s="2877"/>
      <c r="HH699" s="2877"/>
      <c r="HI699" s="2877"/>
      <c r="HJ699" s="2877"/>
      <c r="HK699" s="2877"/>
      <c r="HL699" s="2877"/>
      <c r="HM699" s="2877"/>
      <c r="HN699" s="2877"/>
      <c r="HO699" s="2877"/>
      <c r="HP699" s="2877"/>
      <c r="HQ699" s="2877"/>
      <c r="HR699" s="2877"/>
      <c r="HS699" s="2877"/>
      <c r="HT699" s="2877"/>
      <c r="HU699" s="2877"/>
      <c r="HV699" s="2877"/>
      <c r="HW699" s="2877"/>
      <c r="HX699" s="2877"/>
      <c r="HY699" s="2877"/>
      <c r="HZ699" s="2877"/>
      <c r="IA699" s="2877"/>
      <c r="IB699" s="2877"/>
      <c r="IC699" s="2877"/>
      <c r="IJ699" s="2875"/>
      <c r="IK699" s="2875"/>
      <c r="JA699" s="2875"/>
    </row>
    <row r="700" spans="1:261" ht="12" customHeight="1">
      <c r="C700" s="526"/>
      <c r="D700" s="523"/>
      <c r="E700" s="527"/>
      <c r="F700" s="523"/>
      <c r="G700" s="524" t="s">
        <v>33</v>
      </c>
      <c r="H700" s="2920">
        <f>SUM(H698:H699)+EQ668</f>
        <v>0</v>
      </c>
      <c r="I700" s="2920">
        <f>SUM(I698:I699)+ER668</f>
        <v>0</v>
      </c>
      <c r="J700" s="2920">
        <f>SUM(J698:J699)+ES668</f>
        <v>0</v>
      </c>
      <c r="K700" s="2920">
        <f>SUM(K698:K699)+ET668</f>
        <v>0</v>
      </c>
      <c r="L700" s="2920">
        <f>SUM(L698:L699)+EU668</f>
        <v>0</v>
      </c>
      <c r="M700" s="2920">
        <f t="shared" si="264"/>
        <v>0</v>
      </c>
      <c r="N700" s="524"/>
      <c r="Q700" s="2923">
        <f t="shared" si="265"/>
        <v>0</v>
      </c>
      <c r="R700" s="2923"/>
      <c r="S700" s="2923"/>
      <c r="T700" s="2908"/>
      <c r="U700" s="2908"/>
      <c r="V700" s="526"/>
      <c r="W700" s="523"/>
      <c r="X700" s="527"/>
      <c r="Y700" s="523"/>
      <c r="Z700" s="524"/>
      <c r="AA700" s="525"/>
      <c r="AB700" s="525"/>
      <c r="AC700" s="525"/>
      <c r="AD700" s="525"/>
      <c r="AE700" s="525"/>
      <c r="AF700" s="525"/>
      <c r="AG700" s="524"/>
      <c r="AH700" s="523"/>
      <c r="GS700" s="2877"/>
      <c r="GX700" s="2877"/>
      <c r="GY700" s="2877"/>
      <c r="GZ700" s="2877"/>
      <c r="HA700" s="2877"/>
      <c r="HB700" s="2877"/>
      <c r="HC700" s="2877"/>
      <c r="HD700" s="2877"/>
      <c r="HE700" s="2877"/>
      <c r="HF700" s="2877"/>
      <c r="HG700" s="2877"/>
      <c r="HH700" s="2877"/>
      <c r="HI700" s="2877"/>
      <c r="HJ700" s="2877"/>
      <c r="HK700" s="2877"/>
      <c r="HL700" s="2877"/>
      <c r="HM700" s="2877"/>
      <c r="HN700" s="2877"/>
      <c r="HO700" s="2877"/>
      <c r="HP700" s="2877"/>
      <c r="HQ700" s="2877"/>
      <c r="HR700" s="2877"/>
      <c r="HS700" s="2877"/>
      <c r="HT700" s="2877"/>
      <c r="HU700" s="2877"/>
      <c r="HV700" s="2877"/>
      <c r="HW700" s="2877"/>
      <c r="HX700" s="2877"/>
      <c r="HY700" s="2877"/>
      <c r="HZ700" s="2877"/>
      <c r="IA700" s="2877"/>
      <c r="IB700" s="2877"/>
      <c r="IC700" s="2877"/>
      <c r="IJ700" s="2875"/>
      <c r="IK700" s="2875"/>
      <c r="JA700" s="2875"/>
    </row>
    <row r="701" spans="1:261" ht="12" customHeight="1">
      <c r="C701" s="523"/>
      <c r="D701" s="523"/>
      <c r="E701" s="527" t="s">
        <v>379</v>
      </c>
      <c r="F701" s="523"/>
      <c r="G701" s="524"/>
      <c r="H701" s="2920">
        <f>'Part VI-Revenues &amp; Expenses'!H81</f>
        <v>0</v>
      </c>
      <c r="I701" s="2920">
        <f>'Part VI-Revenues &amp; Expenses'!I81</f>
        <v>0</v>
      </c>
      <c r="J701" s="2920">
        <f>'Part VI-Revenues &amp; Expenses'!J81</f>
        <v>0</v>
      </c>
      <c r="K701" s="2920">
        <f>'Part VI-Revenues &amp; Expenses'!K81</f>
        <v>0</v>
      </c>
      <c r="L701" s="2920">
        <f>'Part VI-Revenues &amp; Expenses'!L81</f>
        <v>0</v>
      </c>
      <c r="M701" s="2920">
        <f t="shared" si="264"/>
        <v>0</v>
      </c>
      <c r="T701" s="2908"/>
      <c r="U701" s="2908"/>
      <c r="V701" s="523"/>
      <c r="W701" s="523"/>
      <c r="X701" s="523"/>
      <c r="Y701" s="523"/>
      <c r="Z701" s="524"/>
      <c r="AA701" s="525"/>
      <c r="AB701" s="525"/>
      <c r="AC701" s="525"/>
      <c r="AD701" s="525"/>
      <c r="AE701" s="525"/>
      <c r="AF701" s="525"/>
      <c r="AG701" s="507"/>
      <c r="AH701" s="523"/>
      <c r="GS701" s="2877"/>
      <c r="GX701" s="2877"/>
      <c r="GY701" s="2877"/>
      <c r="GZ701" s="2877"/>
      <c r="HA701" s="2877"/>
      <c r="HB701" s="2877"/>
      <c r="HC701" s="2877"/>
      <c r="HD701" s="2877"/>
      <c r="HE701" s="2877"/>
      <c r="HF701" s="2877"/>
      <c r="HG701" s="2877"/>
      <c r="HH701" s="2877"/>
      <c r="HI701" s="2877"/>
      <c r="HJ701" s="2877"/>
      <c r="HK701" s="2877"/>
      <c r="HL701" s="2877"/>
      <c r="HM701" s="2877"/>
      <c r="HN701" s="2877"/>
      <c r="HO701" s="2877"/>
      <c r="HP701" s="2877"/>
      <c r="HQ701" s="2877"/>
      <c r="HR701" s="2877"/>
      <c r="HS701" s="2877"/>
      <c r="HT701" s="2877"/>
      <c r="HU701" s="2877"/>
      <c r="HV701" s="2877"/>
      <c r="HW701" s="2877"/>
      <c r="HX701" s="2877"/>
      <c r="HY701" s="2877"/>
      <c r="HZ701" s="2877"/>
      <c r="IA701" s="2877"/>
      <c r="IB701" s="2877"/>
      <c r="IC701" s="2877"/>
      <c r="IJ701" s="2875"/>
      <c r="IK701" s="2875"/>
      <c r="JA701" s="2875"/>
    </row>
    <row r="702" spans="1:261" ht="12" customHeight="1">
      <c r="A702" s="2927" t="str">
        <f>IF(AND('Part IV-Uses of Funds'!$T$163="Yes",'Part IX A-Scoring Criteria'!$O$300&gt;0,M702&lt;1),"SHOW HISTORIC UNITS HERE &gt;&gt;&gt;&gt;","")</f>
        <v/>
      </c>
      <c r="B702" s="2927"/>
      <c r="C702" s="2927"/>
      <c r="D702" s="2927"/>
      <c r="E702" s="527" t="s">
        <v>4378</v>
      </c>
      <c r="F702" s="523"/>
      <c r="G702" s="524"/>
      <c r="H702" s="2920">
        <f>'Part VI-Revenues &amp; Expenses'!H82</f>
        <v>0</v>
      </c>
      <c r="I702" s="2920">
        <f>'Part VI-Revenues &amp; Expenses'!I82</f>
        <v>0</v>
      </c>
      <c r="J702" s="2920">
        <f>'Part VI-Revenues &amp; Expenses'!J82</f>
        <v>0</v>
      </c>
      <c r="K702" s="2920">
        <f>'Part VI-Revenues &amp; Expenses'!K82</f>
        <v>0</v>
      </c>
      <c r="L702" s="2920">
        <f>'Part VI-Revenues &amp; Expenses'!L82</f>
        <v>0</v>
      </c>
      <c r="M702" s="2920">
        <f t="shared" si="264"/>
        <v>0</v>
      </c>
      <c r="N702" s="507"/>
      <c r="T702" s="2908"/>
      <c r="U702" s="2908"/>
      <c r="V702" s="523"/>
      <c r="W702" s="523"/>
      <c r="X702" s="523"/>
      <c r="Y702" s="523"/>
      <c r="Z702" s="524"/>
      <c r="AA702" s="525"/>
      <c r="AB702" s="525"/>
      <c r="AC702" s="525"/>
      <c r="AD702" s="525"/>
      <c r="AE702" s="525"/>
      <c r="AF702" s="525"/>
      <c r="AG702" s="507"/>
      <c r="AH702" s="523"/>
      <c r="GS702" s="2877"/>
      <c r="GX702" s="2877"/>
      <c r="GY702" s="2877"/>
      <c r="GZ702" s="2877"/>
      <c r="HA702" s="2877"/>
      <c r="HB702" s="2877"/>
      <c r="HC702" s="2877"/>
      <c r="HD702" s="2877"/>
      <c r="HE702" s="2877"/>
      <c r="HF702" s="2877"/>
      <c r="HG702" s="2877"/>
      <c r="HH702" s="2877"/>
      <c r="HI702" s="2877"/>
      <c r="HJ702" s="2877"/>
      <c r="HK702" s="2877"/>
      <c r="HL702" s="2877"/>
      <c r="HM702" s="2877"/>
      <c r="HN702" s="2877"/>
      <c r="HO702" s="2877"/>
      <c r="HP702" s="2877"/>
      <c r="HQ702" s="2877"/>
      <c r="HR702" s="2877"/>
      <c r="HS702" s="2877"/>
      <c r="HT702" s="2877"/>
      <c r="HU702" s="2877"/>
      <c r="HV702" s="2877"/>
      <c r="HW702" s="2877"/>
      <c r="HX702" s="2877"/>
      <c r="HY702" s="2877"/>
      <c r="HZ702" s="2877"/>
      <c r="IA702" s="2877"/>
      <c r="IB702" s="2877"/>
      <c r="IC702" s="2877"/>
      <c r="IJ702" s="2875"/>
      <c r="IK702" s="2875"/>
      <c r="JA702" s="2875"/>
    </row>
    <row r="703" spans="1:261" ht="12" customHeight="1">
      <c r="A703" s="2928"/>
      <c r="B703" s="2928"/>
      <c r="C703" s="2928"/>
      <c r="D703" s="2928"/>
      <c r="E703" s="527"/>
      <c r="F703" s="523"/>
      <c r="G703" s="524"/>
      <c r="H703" s="524"/>
      <c r="I703" s="524"/>
      <c r="J703" s="524"/>
      <c r="K703" s="524"/>
      <c r="L703" s="524"/>
      <c r="M703" s="524"/>
      <c r="N703" s="524"/>
      <c r="T703" s="2908"/>
      <c r="U703" s="2908"/>
      <c r="V703" s="523"/>
      <c r="W703" s="523"/>
      <c r="X703" s="523"/>
      <c r="Y703" s="523"/>
      <c r="Z703" s="524"/>
      <c r="AA703" s="525"/>
      <c r="AB703" s="525"/>
      <c r="AC703" s="525"/>
      <c r="AD703" s="525"/>
      <c r="AE703" s="525"/>
      <c r="AF703" s="525"/>
      <c r="AG703" s="507"/>
      <c r="AH703" s="523"/>
      <c r="GS703" s="2877"/>
      <c r="GX703" s="2877"/>
      <c r="GY703" s="2877"/>
      <c r="GZ703" s="2877"/>
      <c r="HA703" s="2877"/>
      <c r="HB703" s="2877"/>
      <c r="HC703" s="2877"/>
      <c r="HD703" s="2877"/>
      <c r="HE703" s="2877"/>
      <c r="HF703" s="2877"/>
      <c r="HG703" s="2877"/>
      <c r="HH703" s="2877"/>
      <c r="HI703" s="2877"/>
      <c r="HJ703" s="2877"/>
      <c r="HK703" s="2877"/>
      <c r="HL703" s="2877"/>
      <c r="HM703" s="2877"/>
      <c r="HN703" s="2877"/>
      <c r="HO703" s="2877"/>
      <c r="HP703" s="2877"/>
      <c r="HQ703" s="2877"/>
      <c r="HR703" s="2877"/>
      <c r="HS703" s="2877"/>
      <c r="HT703" s="2877"/>
      <c r="HU703" s="2877"/>
      <c r="HV703" s="2877"/>
      <c r="HW703" s="2877"/>
      <c r="HX703" s="2877"/>
      <c r="HY703" s="2877"/>
      <c r="HZ703" s="2877"/>
      <c r="IA703" s="2877"/>
      <c r="IB703" s="2877"/>
      <c r="IC703" s="2877"/>
      <c r="IJ703" s="2875"/>
      <c r="IK703" s="2875"/>
      <c r="JA703" s="2875"/>
    </row>
    <row r="704" spans="1:261" ht="12" customHeight="1">
      <c r="A704" s="2928"/>
      <c r="B704" s="2928"/>
      <c r="C704" s="2928"/>
      <c r="D704" s="2928"/>
      <c r="E704" s="527" t="s">
        <v>3814</v>
      </c>
      <c r="F704" s="523"/>
      <c r="G704" s="524"/>
      <c r="H704" s="2920">
        <f>H708+H710+H712+H714+H716+H718+H720+H722</f>
        <v>0</v>
      </c>
      <c r="I704" s="2920">
        <f>I708+I710+I712+I714+I716+I718+I720+I722</f>
        <v>0</v>
      </c>
      <c r="J704" s="2920">
        <f>J708+J710+J712+J714+J716+J718+J720+J722</f>
        <v>0</v>
      </c>
      <c r="K704" s="2920">
        <f>K708+K710+K712+K714+K716+K718+K720+K722</f>
        <v>0</v>
      </c>
      <c r="L704" s="2920">
        <f>L708+L710+L712+L714+L716+L718+L720+L722</f>
        <v>0</v>
      </c>
      <c r="M704" s="2920">
        <f>SUM(H704:L704)</f>
        <v>0</v>
      </c>
      <c r="N704" s="507"/>
      <c r="T704" s="2908"/>
      <c r="U704" s="2908"/>
      <c r="V704" s="523"/>
      <c r="W704" s="523"/>
      <c r="X704" s="523"/>
      <c r="Y704" s="523"/>
      <c r="Z704" s="524"/>
      <c r="AA704" s="525"/>
      <c r="AB704" s="525"/>
      <c r="AC704" s="525"/>
      <c r="AD704" s="525"/>
      <c r="AE704" s="525"/>
      <c r="AF704" s="525"/>
      <c r="AG704" s="507"/>
      <c r="AH704" s="523"/>
      <c r="GS704" s="2877"/>
      <c r="GX704" s="2877"/>
      <c r="GY704" s="2877"/>
      <c r="GZ704" s="2877"/>
      <c r="HA704" s="2877"/>
      <c r="HB704" s="2877"/>
      <c r="HC704" s="2877"/>
      <c r="HD704" s="2877"/>
      <c r="HE704" s="2877"/>
      <c r="HF704" s="2877"/>
      <c r="HG704" s="2877"/>
      <c r="HH704" s="2877"/>
      <c r="HI704" s="2877"/>
      <c r="HJ704" s="2877"/>
      <c r="HK704" s="2877"/>
      <c r="HL704" s="2877"/>
      <c r="HM704" s="2877"/>
      <c r="HN704" s="2877"/>
      <c r="HO704" s="2877"/>
      <c r="HP704" s="2877"/>
      <c r="HQ704" s="2877"/>
      <c r="HR704" s="2877"/>
      <c r="HS704" s="2877"/>
      <c r="HT704" s="2877"/>
      <c r="HU704" s="2877"/>
      <c r="HV704" s="2877"/>
      <c r="HW704" s="2877"/>
      <c r="HX704" s="2877"/>
      <c r="HY704" s="2877"/>
      <c r="HZ704" s="2877"/>
      <c r="IA704" s="2877"/>
      <c r="IB704" s="2877"/>
      <c r="IC704" s="2877"/>
      <c r="IJ704" s="2875"/>
      <c r="IK704" s="2875"/>
      <c r="JA704" s="2875"/>
    </row>
    <row r="705" spans="3:261" ht="12" customHeight="1">
      <c r="D705" s="523"/>
      <c r="E705" s="527"/>
      <c r="F705" s="523"/>
      <c r="G705" s="524"/>
      <c r="H705" s="2926"/>
      <c r="I705" s="2926"/>
      <c r="J705" s="2926"/>
      <c r="K705" s="2926"/>
      <c r="L705" s="2926"/>
      <c r="M705" s="2926"/>
      <c r="O705" s="2929"/>
      <c r="Q705" s="2923"/>
      <c r="R705" s="2923"/>
      <c r="S705" s="2923"/>
      <c r="T705" s="2740" t="str">
        <f>C706</f>
        <v>Building Type: (for Utility Allowance and other purposes)</v>
      </c>
      <c r="V705" s="523"/>
      <c r="W705" s="523"/>
      <c r="X705" s="527"/>
      <c r="Y705" s="523"/>
      <c r="Z705" s="524"/>
      <c r="AA705" s="523"/>
      <c r="AB705" s="523"/>
      <c r="AC705" s="523"/>
      <c r="AD705" s="523"/>
      <c r="AE705" s="523"/>
      <c r="AF705" s="523"/>
      <c r="AH705" s="523"/>
      <c r="GS705" s="2877"/>
      <c r="GX705" s="2877"/>
      <c r="GY705" s="2877"/>
      <c r="GZ705" s="2877"/>
      <c r="HA705" s="2877"/>
      <c r="HB705" s="2877"/>
      <c r="HC705" s="2877"/>
      <c r="HD705" s="2877"/>
      <c r="HE705" s="2877"/>
      <c r="HF705" s="2877"/>
      <c r="HG705" s="2877"/>
      <c r="HH705" s="2877"/>
      <c r="HI705" s="2877"/>
      <c r="HJ705" s="2877"/>
      <c r="HK705" s="2877"/>
      <c r="HL705" s="2877"/>
      <c r="HM705" s="2877"/>
      <c r="HN705" s="2877"/>
      <c r="HO705" s="2877"/>
      <c r="HP705" s="2877"/>
      <c r="HQ705" s="2877"/>
      <c r="HR705" s="2877"/>
      <c r="HS705" s="2877"/>
      <c r="HT705" s="2877"/>
      <c r="HU705" s="2877"/>
      <c r="HV705" s="2877"/>
      <c r="HW705" s="2877"/>
      <c r="HX705" s="2877"/>
      <c r="HY705" s="2877"/>
      <c r="HZ705" s="2877"/>
      <c r="IA705" s="2877"/>
      <c r="IB705" s="2877"/>
      <c r="IC705" s="2877"/>
      <c r="IJ705" s="2875"/>
      <c r="IK705" s="2875"/>
      <c r="JA705" s="2875"/>
    </row>
    <row r="706" spans="3:261" ht="12" customHeight="1">
      <c r="C706" s="2810" t="s">
        <v>4581</v>
      </c>
      <c r="D706" s="2810"/>
      <c r="E706" s="527" t="s">
        <v>41</v>
      </c>
      <c r="F706" s="523"/>
      <c r="G706" s="524"/>
      <c r="H706" s="2920">
        <f t="shared" ref="H706:M706" si="266">SUM(H707:H714)</f>
        <v>0</v>
      </c>
      <c r="I706" s="2920">
        <f t="shared" si="266"/>
        <v>18</v>
      </c>
      <c r="J706" s="2920">
        <f t="shared" si="266"/>
        <v>54</v>
      </c>
      <c r="K706" s="2920">
        <f t="shared" si="266"/>
        <v>24</v>
      </c>
      <c r="L706" s="2920">
        <f t="shared" si="266"/>
        <v>0</v>
      </c>
      <c r="M706" s="2920">
        <f t="shared" si="266"/>
        <v>96</v>
      </c>
      <c r="Q706" s="2923">
        <f>ABS(M706-AF706)</f>
        <v>96</v>
      </c>
      <c r="R706" s="2923"/>
      <c r="S706" s="2923"/>
      <c r="T706" s="2837">
        <f>'Part VI-Revenues &amp; Expenses'!T86</f>
        <v>0</v>
      </c>
      <c r="U706" s="2908"/>
      <c r="V706" s="523"/>
      <c r="W706" s="523"/>
      <c r="X706" s="527"/>
      <c r="Y706" s="523"/>
      <c r="Z706" s="524"/>
      <c r="AA706" s="525"/>
      <c r="AB706" s="525"/>
      <c r="AC706" s="525"/>
      <c r="AD706" s="525"/>
      <c r="AE706" s="525"/>
      <c r="AF706" s="525"/>
      <c r="IJ706" s="2875"/>
      <c r="IK706" s="2875"/>
      <c r="JA706" s="2875"/>
    </row>
    <row r="707" spans="3:261" ht="12" customHeight="1">
      <c r="C707" s="2810"/>
      <c r="D707" s="2810"/>
      <c r="E707" s="527"/>
      <c r="F707" s="523"/>
      <c r="G707" s="524" t="s">
        <v>2732</v>
      </c>
      <c r="H707" s="2920">
        <f>GO668</f>
        <v>0</v>
      </c>
      <c r="I707" s="2920">
        <f>GP668</f>
        <v>0</v>
      </c>
      <c r="J707" s="2920">
        <f>GQ668</f>
        <v>0</v>
      </c>
      <c r="K707" s="2920">
        <f>GR668</f>
        <v>0</v>
      </c>
      <c r="L707" s="2920">
        <f>GS668</f>
        <v>0</v>
      </c>
      <c r="M707" s="2920">
        <f t="shared" ref="M707:M722" si="267">SUM(H707:L707)</f>
        <v>0</v>
      </c>
      <c r="Q707" s="2923"/>
      <c r="R707" s="2923"/>
      <c r="S707" s="2923"/>
      <c r="T707" s="2908"/>
      <c r="U707" s="2908"/>
      <c r="V707" s="523"/>
      <c r="W707" s="523"/>
      <c r="X707" s="527"/>
      <c r="Y707" s="523"/>
      <c r="Z707" s="524"/>
      <c r="AA707" s="525"/>
      <c r="AB707" s="525"/>
      <c r="AC707" s="525"/>
      <c r="AD707" s="525"/>
      <c r="AE707" s="525"/>
      <c r="AF707" s="525"/>
      <c r="IJ707" s="2875"/>
      <c r="IK707" s="2875"/>
      <c r="JA707" s="2875"/>
    </row>
    <row r="708" spans="3:261" ht="12" customHeight="1">
      <c r="C708" s="2810"/>
      <c r="D708" s="2810"/>
      <c r="E708" s="527"/>
      <c r="F708" s="523"/>
      <c r="G708" s="2930" t="s">
        <v>3814</v>
      </c>
      <c r="H708" s="2920">
        <f>GT668</f>
        <v>0</v>
      </c>
      <c r="I708" s="2920">
        <f>GU668</f>
        <v>0</v>
      </c>
      <c r="J708" s="2920">
        <f>GV668</f>
        <v>0</v>
      </c>
      <c r="K708" s="2920">
        <f>GW668</f>
        <v>0</v>
      </c>
      <c r="L708" s="2920">
        <f>GX668</f>
        <v>0</v>
      </c>
      <c r="M708" s="2920">
        <f t="shared" si="267"/>
        <v>0</v>
      </c>
      <c r="Q708" s="2923"/>
      <c r="R708" s="2923"/>
      <c r="S708" s="2923"/>
      <c r="T708" s="2908"/>
      <c r="U708" s="2908"/>
      <c r="V708" s="523"/>
      <c r="W708" s="523"/>
      <c r="X708" s="527"/>
      <c r="Y708" s="523"/>
      <c r="Z708" s="524"/>
      <c r="AA708" s="525"/>
      <c r="AB708" s="525"/>
      <c r="AC708" s="525"/>
      <c r="AD708" s="525"/>
      <c r="AE708" s="525"/>
      <c r="AF708" s="525"/>
      <c r="IJ708" s="2875"/>
      <c r="IK708" s="2875"/>
      <c r="JA708" s="2875"/>
    </row>
    <row r="709" spans="3:261" ht="12" customHeight="1">
      <c r="C709" s="2810"/>
      <c r="D709" s="2810"/>
      <c r="E709" s="527"/>
      <c r="F709" s="523"/>
      <c r="G709" s="524" t="s">
        <v>2733</v>
      </c>
      <c r="H709" s="2920">
        <f>GY668</f>
        <v>0</v>
      </c>
      <c r="I709" s="2920">
        <f>GZ668</f>
        <v>0</v>
      </c>
      <c r="J709" s="2920">
        <f>HA668</f>
        <v>0</v>
      </c>
      <c r="K709" s="2920">
        <f>HB668</f>
        <v>0</v>
      </c>
      <c r="L709" s="2920">
        <f>HC668</f>
        <v>0</v>
      </c>
      <c r="M709" s="2920">
        <f t="shared" si="267"/>
        <v>0</v>
      </c>
      <c r="Q709" s="2923"/>
      <c r="R709" s="2923"/>
      <c r="S709" s="2923"/>
      <c r="T709" s="2908"/>
      <c r="U709" s="2908"/>
      <c r="V709" s="523"/>
      <c r="W709" s="523"/>
      <c r="X709" s="527"/>
      <c r="Y709" s="523"/>
      <c r="Z709" s="524"/>
      <c r="AA709" s="525"/>
      <c r="AB709" s="525"/>
      <c r="AC709" s="525"/>
      <c r="AD709" s="525"/>
      <c r="AE709" s="525"/>
      <c r="AF709" s="525"/>
      <c r="IJ709" s="2875"/>
      <c r="IK709" s="2875"/>
      <c r="JA709" s="2875"/>
    </row>
    <row r="710" spans="3:261" ht="12" customHeight="1">
      <c r="C710" s="2810"/>
      <c r="D710" s="2810"/>
      <c r="E710" s="527"/>
      <c r="F710" s="523"/>
      <c r="G710" s="2930" t="s">
        <v>3814</v>
      </c>
      <c r="H710" s="2920">
        <f>HD668</f>
        <v>0</v>
      </c>
      <c r="I710" s="2920">
        <f>HE668</f>
        <v>0</v>
      </c>
      <c r="J710" s="2920">
        <f>HF668</f>
        <v>0</v>
      </c>
      <c r="K710" s="2920">
        <f>HG668</f>
        <v>0</v>
      </c>
      <c r="L710" s="2920">
        <f>HH668</f>
        <v>0</v>
      </c>
      <c r="M710" s="2920">
        <f t="shared" si="267"/>
        <v>0</v>
      </c>
      <c r="Q710" s="2923"/>
      <c r="R710" s="2923"/>
      <c r="S710" s="2923"/>
      <c r="T710" s="2908"/>
      <c r="U710" s="2908"/>
      <c r="V710" s="523"/>
      <c r="W710" s="523"/>
      <c r="X710" s="527"/>
      <c r="Y710" s="523"/>
      <c r="Z710" s="524"/>
      <c r="AA710" s="525"/>
      <c r="AB710" s="525"/>
      <c r="AC710" s="525"/>
      <c r="AD710" s="525"/>
      <c r="AE710" s="525"/>
      <c r="AF710" s="525"/>
      <c r="IJ710" s="2875"/>
      <c r="IK710" s="2875"/>
      <c r="JA710" s="2875"/>
    </row>
    <row r="711" spans="3:261" ht="12" customHeight="1">
      <c r="C711" s="2810"/>
      <c r="D711" s="2810"/>
      <c r="E711" s="527"/>
      <c r="F711" s="523"/>
      <c r="G711" s="524" t="s">
        <v>2735</v>
      </c>
      <c r="H711" s="2920">
        <f>HI668</f>
        <v>0</v>
      </c>
      <c r="I711" s="2920">
        <f>HJ668</f>
        <v>0</v>
      </c>
      <c r="J711" s="2920">
        <f>HK668</f>
        <v>0</v>
      </c>
      <c r="K711" s="2920">
        <f>HL668</f>
        <v>0</v>
      </c>
      <c r="L711" s="2920">
        <f>HM668</f>
        <v>0</v>
      </c>
      <c r="M711" s="2920">
        <f t="shared" si="267"/>
        <v>0</v>
      </c>
      <c r="Q711" s="2923"/>
      <c r="R711" s="2923"/>
      <c r="S711" s="2923"/>
      <c r="T711" s="2908"/>
      <c r="U711" s="2908"/>
      <c r="V711" s="523"/>
      <c r="W711" s="523"/>
      <c r="X711" s="527"/>
      <c r="Y711" s="523"/>
      <c r="Z711" s="524"/>
      <c r="AA711" s="525"/>
      <c r="AB711" s="525"/>
      <c r="AC711" s="525"/>
      <c r="AD711" s="525"/>
      <c r="AE711" s="525"/>
      <c r="AF711" s="525"/>
      <c r="IJ711" s="2875"/>
      <c r="IK711" s="2875"/>
      <c r="JA711" s="2875"/>
    </row>
    <row r="712" spans="3:261" ht="12" customHeight="1">
      <c r="C712" s="2810"/>
      <c r="D712" s="2810"/>
      <c r="E712" s="527"/>
      <c r="F712" s="523"/>
      <c r="G712" s="2930" t="s">
        <v>3814</v>
      </c>
      <c r="H712" s="2920">
        <f>HN668</f>
        <v>0</v>
      </c>
      <c r="I712" s="2920">
        <f>HO668</f>
        <v>0</v>
      </c>
      <c r="J712" s="2920">
        <f>HP668</f>
        <v>0</v>
      </c>
      <c r="K712" s="2920">
        <f>HQ668</f>
        <v>0</v>
      </c>
      <c r="L712" s="2920">
        <f>HR668</f>
        <v>0</v>
      </c>
      <c r="M712" s="2920">
        <f t="shared" si="267"/>
        <v>0</v>
      </c>
      <c r="Q712" s="2923"/>
      <c r="R712" s="2923"/>
      <c r="S712" s="2923"/>
      <c r="T712" s="2908"/>
      <c r="U712" s="2908"/>
      <c r="V712" s="523"/>
      <c r="W712" s="523"/>
      <c r="X712" s="527"/>
      <c r="Y712" s="523"/>
      <c r="Z712" s="524"/>
      <c r="AA712" s="525"/>
      <c r="AB712" s="525"/>
      <c r="AC712" s="525"/>
      <c r="AD712" s="525"/>
      <c r="AE712" s="525"/>
      <c r="AF712" s="525"/>
      <c r="IJ712" s="2875"/>
      <c r="IK712" s="2875"/>
      <c r="JA712" s="2875"/>
    </row>
    <row r="713" spans="3:261" ht="12" customHeight="1">
      <c r="E713" s="527"/>
      <c r="F713" s="523"/>
      <c r="G713" s="524" t="s">
        <v>2734</v>
      </c>
      <c r="H713" s="2920">
        <f>HS668</f>
        <v>0</v>
      </c>
      <c r="I713" s="2920">
        <f>HT668</f>
        <v>18</v>
      </c>
      <c r="J713" s="2920">
        <f>HU668</f>
        <v>54</v>
      </c>
      <c r="K713" s="2920">
        <f>HV668</f>
        <v>24</v>
      </c>
      <c r="L713" s="2920">
        <f>HW668</f>
        <v>0</v>
      </c>
      <c r="M713" s="2920">
        <f t="shared" si="267"/>
        <v>96</v>
      </c>
      <c r="Q713" s="2923"/>
      <c r="R713" s="2923"/>
      <c r="S713" s="2923"/>
      <c r="T713" s="2908"/>
      <c r="U713" s="2908"/>
      <c r="V713" s="523"/>
      <c r="W713" s="523"/>
      <c r="X713" s="527"/>
      <c r="Y713" s="523"/>
      <c r="Z713" s="524"/>
      <c r="AA713" s="525"/>
      <c r="AB713" s="525"/>
      <c r="AC713" s="525"/>
      <c r="AD713" s="525"/>
      <c r="AE713" s="525"/>
      <c r="AF713" s="525"/>
      <c r="IJ713" s="2875"/>
      <c r="IK713" s="2875"/>
      <c r="JA713" s="2875"/>
    </row>
    <row r="714" spans="3:261" ht="12" customHeight="1">
      <c r="E714" s="527"/>
      <c r="F714" s="523"/>
      <c r="G714" s="2930" t="s">
        <v>3814</v>
      </c>
      <c r="H714" s="2920">
        <f>HX668</f>
        <v>0</v>
      </c>
      <c r="I714" s="2920">
        <f>HY668</f>
        <v>0</v>
      </c>
      <c r="J714" s="2920">
        <f>HZ668</f>
        <v>0</v>
      </c>
      <c r="K714" s="2920">
        <f>IA668</f>
        <v>0</v>
      </c>
      <c r="L714" s="2920">
        <f>IB668</f>
        <v>0</v>
      </c>
      <c r="M714" s="2920">
        <f t="shared" si="267"/>
        <v>0</v>
      </c>
      <c r="Q714" s="2923"/>
      <c r="R714" s="2923"/>
      <c r="S714" s="2923"/>
      <c r="T714" s="2908"/>
      <c r="U714" s="2908"/>
      <c r="V714" s="523"/>
      <c r="W714" s="523"/>
      <c r="X714" s="527"/>
      <c r="Y714" s="523"/>
      <c r="Z714" s="524"/>
      <c r="AA714" s="525"/>
      <c r="AB714" s="525"/>
      <c r="AC714" s="525"/>
      <c r="AD714" s="525"/>
      <c r="AE714" s="525"/>
      <c r="AF714" s="525"/>
      <c r="IJ714" s="2875"/>
      <c r="IK714" s="2875"/>
      <c r="JA714" s="2875"/>
    </row>
    <row r="715" spans="3:261" ht="12" customHeight="1">
      <c r="E715" s="527" t="s">
        <v>42</v>
      </c>
      <c r="F715" s="523"/>
      <c r="G715" s="524"/>
      <c r="H715" s="2920">
        <f>FA668</f>
        <v>0</v>
      </c>
      <c r="I715" s="2920">
        <f>FB668</f>
        <v>0</v>
      </c>
      <c r="J715" s="2920">
        <f>FC668</f>
        <v>0</v>
      </c>
      <c r="K715" s="2920">
        <f>FD668</f>
        <v>0</v>
      </c>
      <c r="L715" s="2920">
        <f>FE668</f>
        <v>0</v>
      </c>
      <c r="M715" s="2920">
        <f t="shared" si="267"/>
        <v>0</v>
      </c>
      <c r="N715" s="524"/>
      <c r="O715" s="541"/>
      <c r="Q715" s="2923">
        <f>ABS(M715-AF715)</f>
        <v>0</v>
      </c>
      <c r="R715" s="2923"/>
      <c r="S715" s="2923"/>
      <c r="T715" s="2908"/>
      <c r="U715" s="2908"/>
      <c r="V715" s="523"/>
      <c r="W715" s="523"/>
      <c r="X715" s="527"/>
      <c r="Y715" s="523"/>
      <c r="Z715" s="524"/>
      <c r="AA715" s="525"/>
      <c r="AB715" s="525"/>
      <c r="AC715" s="525"/>
      <c r="AD715" s="525"/>
      <c r="AE715" s="525"/>
      <c r="AF715" s="525"/>
      <c r="AG715" s="507"/>
      <c r="AH715" s="523"/>
      <c r="GS715" s="2877"/>
      <c r="GX715" s="2877"/>
      <c r="GY715" s="2877"/>
      <c r="GZ715" s="2877"/>
      <c r="HA715" s="2877"/>
      <c r="HB715" s="2877"/>
      <c r="HC715" s="2877"/>
      <c r="HD715" s="2877"/>
      <c r="HE715" s="2877"/>
      <c r="HF715" s="2877"/>
      <c r="HG715" s="2877"/>
      <c r="HH715" s="2877"/>
      <c r="HI715" s="2877"/>
      <c r="HJ715" s="2877"/>
      <c r="HK715" s="2877"/>
      <c r="HL715" s="2877"/>
      <c r="HM715" s="2877"/>
      <c r="HN715" s="2877"/>
      <c r="HO715" s="2877"/>
      <c r="HP715" s="2877"/>
      <c r="HQ715" s="2877"/>
      <c r="HR715" s="2877"/>
      <c r="HS715" s="2877"/>
      <c r="HT715" s="2877"/>
      <c r="HU715" s="2877"/>
      <c r="HV715" s="2877"/>
      <c r="HW715" s="2877"/>
      <c r="HX715" s="2877"/>
      <c r="HY715" s="2877"/>
      <c r="HZ715" s="2877"/>
      <c r="IA715" s="2877"/>
      <c r="IB715" s="2877"/>
      <c r="IC715" s="2877"/>
      <c r="IJ715" s="2875"/>
      <c r="IK715" s="2875"/>
      <c r="JA715" s="2875"/>
    </row>
    <row r="716" spans="3:261" ht="12" customHeight="1">
      <c r="E716" s="527"/>
      <c r="F716" s="523"/>
      <c r="G716" s="2930" t="s">
        <v>3814</v>
      </c>
      <c r="H716" s="2920">
        <f>FF668</f>
        <v>0</v>
      </c>
      <c r="I716" s="2920">
        <f>FG668</f>
        <v>0</v>
      </c>
      <c r="J716" s="2920">
        <f>FH668</f>
        <v>0</v>
      </c>
      <c r="K716" s="2920">
        <f>FI668</f>
        <v>0</v>
      </c>
      <c r="L716" s="2920">
        <f>FJ668</f>
        <v>0</v>
      </c>
      <c r="M716" s="2920">
        <f t="shared" si="267"/>
        <v>0</v>
      </c>
      <c r="N716" s="524"/>
      <c r="O716" s="541"/>
      <c r="Q716" s="2923"/>
      <c r="R716" s="2923"/>
      <c r="S716" s="2923"/>
      <c r="T716" s="2908"/>
      <c r="U716" s="2908"/>
      <c r="V716" s="523"/>
      <c r="W716" s="523"/>
      <c r="X716" s="527"/>
      <c r="Y716" s="523"/>
      <c r="Z716" s="524"/>
      <c r="AA716" s="525"/>
      <c r="AB716" s="525"/>
      <c r="AC716" s="525"/>
      <c r="AD716" s="525"/>
      <c r="AE716" s="525"/>
      <c r="AF716" s="525"/>
      <c r="AG716" s="507"/>
      <c r="AH716" s="523"/>
      <c r="GS716" s="2877"/>
      <c r="GX716" s="2877"/>
      <c r="GY716" s="2877"/>
      <c r="GZ716" s="2877"/>
      <c r="HA716" s="2877"/>
      <c r="HB716" s="2877"/>
      <c r="HC716" s="2877"/>
      <c r="HD716" s="2877"/>
      <c r="HE716" s="2877"/>
      <c r="HF716" s="2877"/>
      <c r="HG716" s="2877"/>
      <c r="HH716" s="2877"/>
      <c r="HI716" s="2877"/>
      <c r="HJ716" s="2877"/>
      <c r="HK716" s="2877"/>
      <c r="HL716" s="2877"/>
      <c r="HM716" s="2877"/>
      <c r="HN716" s="2877"/>
      <c r="HO716" s="2877"/>
      <c r="HP716" s="2877"/>
      <c r="HQ716" s="2877"/>
      <c r="HR716" s="2877"/>
      <c r="HS716" s="2877"/>
      <c r="HT716" s="2877"/>
      <c r="HU716" s="2877"/>
      <c r="HV716" s="2877"/>
      <c r="HW716" s="2877"/>
      <c r="HX716" s="2877"/>
      <c r="HY716" s="2877"/>
      <c r="HZ716" s="2877"/>
      <c r="IA716" s="2877"/>
      <c r="IB716" s="2877"/>
      <c r="IC716" s="2877"/>
      <c r="IJ716" s="2875"/>
      <c r="IK716" s="2875"/>
      <c r="JA716" s="2875"/>
    </row>
    <row r="717" spans="3:261" ht="12" customHeight="1">
      <c r="C717" s="523"/>
      <c r="D717" s="523"/>
      <c r="E717" s="527" t="s">
        <v>43</v>
      </c>
      <c r="F717" s="523"/>
      <c r="G717" s="524"/>
      <c r="H717" s="2920">
        <f>GE668</f>
        <v>0</v>
      </c>
      <c r="I717" s="2920">
        <f>GF668</f>
        <v>0</v>
      </c>
      <c r="J717" s="2920">
        <f>GG668</f>
        <v>0</v>
      </c>
      <c r="K717" s="2920">
        <f>GH668</f>
        <v>0</v>
      </c>
      <c r="L717" s="2920">
        <f>GI668</f>
        <v>0</v>
      </c>
      <c r="M717" s="2920">
        <f t="shared" si="267"/>
        <v>0</v>
      </c>
      <c r="N717" s="524"/>
      <c r="O717" s="541"/>
      <c r="Q717" s="2923">
        <f>ABS(M717-AF717)</f>
        <v>0</v>
      </c>
      <c r="R717" s="2923"/>
      <c r="S717" s="2923"/>
      <c r="T717" s="2908"/>
      <c r="U717" s="2908"/>
      <c r="V717" s="523"/>
      <c r="W717" s="523"/>
      <c r="X717" s="527"/>
      <c r="Y717" s="523"/>
      <c r="Z717" s="524"/>
      <c r="AA717" s="525"/>
      <c r="AB717" s="525"/>
      <c r="AC717" s="525"/>
      <c r="AD717" s="525"/>
      <c r="AE717" s="525"/>
      <c r="AF717" s="525"/>
      <c r="IJ717" s="2875"/>
      <c r="IK717" s="2875"/>
      <c r="JA717" s="2875"/>
    </row>
    <row r="718" spans="3:261" ht="12" customHeight="1">
      <c r="C718" s="523"/>
      <c r="D718" s="523"/>
      <c r="E718" s="527"/>
      <c r="F718" s="523"/>
      <c r="G718" s="2930" t="s">
        <v>3814</v>
      </c>
      <c r="H718" s="2920">
        <f>GJ668</f>
        <v>0</v>
      </c>
      <c r="I718" s="2920">
        <f>GK668</f>
        <v>0</v>
      </c>
      <c r="J718" s="2920">
        <f>GL668</f>
        <v>0</v>
      </c>
      <c r="K718" s="2920">
        <f>GM668</f>
        <v>0</v>
      </c>
      <c r="L718" s="2920">
        <f>GN668</f>
        <v>0</v>
      </c>
      <c r="M718" s="2920">
        <f t="shared" si="267"/>
        <v>0</v>
      </c>
      <c r="N718" s="524"/>
      <c r="O718" s="541"/>
      <c r="Q718" s="2923"/>
      <c r="R718" s="2923"/>
      <c r="S718" s="2923"/>
      <c r="T718" s="2908"/>
      <c r="U718" s="2908"/>
      <c r="V718" s="523"/>
      <c r="W718" s="523"/>
      <c r="X718" s="527"/>
      <c r="Y718" s="523"/>
      <c r="Z718" s="524"/>
      <c r="AA718" s="525"/>
      <c r="AB718" s="525"/>
      <c r="AC718" s="525"/>
      <c r="AD718" s="525"/>
      <c r="AE718" s="525"/>
      <c r="AF718" s="525"/>
      <c r="IJ718" s="2875"/>
      <c r="IK718" s="2875"/>
      <c r="JA718" s="2875"/>
    </row>
    <row r="719" spans="3:261" ht="12" customHeight="1">
      <c r="C719" s="523"/>
      <c r="D719" s="523"/>
      <c r="E719" s="527" t="s">
        <v>589</v>
      </c>
      <c r="F719" s="523"/>
      <c r="G719" s="524"/>
      <c r="H719" s="2920">
        <f>FU668</f>
        <v>0</v>
      </c>
      <c r="I719" s="2920">
        <f>FV668</f>
        <v>0</v>
      </c>
      <c r="J719" s="2920">
        <f>FW668</f>
        <v>0</v>
      </c>
      <c r="K719" s="2920">
        <f>FX668</f>
        <v>0</v>
      </c>
      <c r="L719" s="2920">
        <f>FY668</f>
        <v>0</v>
      </c>
      <c r="M719" s="2920">
        <f t="shared" si="267"/>
        <v>0</v>
      </c>
      <c r="N719" s="524"/>
      <c r="O719" s="541"/>
      <c r="Q719" s="2923">
        <f>ABS(M719-AF719)</f>
        <v>0</v>
      </c>
      <c r="R719" s="2923"/>
      <c r="S719" s="2923"/>
      <c r="T719" s="2908"/>
      <c r="U719" s="2908"/>
      <c r="V719" s="523"/>
      <c r="W719" s="523"/>
      <c r="X719" s="527"/>
      <c r="Y719" s="523"/>
      <c r="Z719" s="524"/>
      <c r="AA719" s="525"/>
      <c r="AB719" s="525"/>
      <c r="AC719" s="525"/>
      <c r="AD719" s="525"/>
      <c r="AE719" s="525"/>
      <c r="AF719" s="525"/>
      <c r="AG719" s="507"/>
      <c r="AH719" s="523"/>
      <c r="GS719" s="2877"/>
      <c r="GX719" s="2877"/>
      <c r="GY719" s="2877"/>
      <c r="GZ719" s="2877"/>
      <c r="HA719" s="2877"/>
      <c r="HB719" s="2877"/>
      <c r="HC719" s="2877"/>
      <c r="HD719" s="2877"/>
      <c r="HE719" s="2877"/>
      <c r="HF719" s="2877"/>
      <c r="HG719" s="2877"/>
      <c r="HH719" s="2877"/>
      <c r="HI719" s="2877"/>
      <c r="HJ719" s="2877"/>
      <c r="HK719" s="2877"/>
      <c r="HL719" s="2877"/>
      <c r="HM719" s="2877"/>
      <c r="HN719" s="2877"/>
      <c r="HO719" s="2877"/>
      <c r="HP719" s="2877"/>
      <c r="HQ719" s="2877"/>
      <c r="HR719" s="2877"/>
      <c r="HS719" s="2877"/>
      <c r="HT719" s="2877"/>
      <c r="HU719" s="2877"/>
      <c r="HV719" s="2877"/>
      <c r="HW719" s="2877"/>
      <c r="HX719" s="2877"/>
      <c r="HY719" s="2877"/>
      <c r="HZ719" s="2877"/>
      <c r="IA719" s="2877"/>
      <c r="IB719" s="2877"/>
      <c r="IC719" s="2877"/>
      <c r="IJ719" s="2875"/>
      <c r="IK719" s="2875"/>
      <c r="JA719" s="2875"/>
    </row>
    <row r="720" spans="3:261" ht="12" customHeight="1">
      <c r="C720" s="523"/>
      <c r="D720" s="523"/>
      <c r="E720" s="527"/>
      <c r="F720" s="523"/>
      <c r="G720" s="2930" t="s">
        <v>3814</v>
      </c>
      <c r="H720" s="2920">
        <f>FZ668</f>
        <v>0</v>
      </c>
      <c r="I720" s="2920">
        <f>GA668</f>
        <v>0</v>
      </c>
      <c r="J720" s="2920">
        <f>GB668</f>
        <v>0</v>
      </c>
      <c r="K720" s="2920">
        <f>GC668</f>
        <v>0</v>
      </c>
      <c r="L720" s="2920">
        <f>GD668</f>
        <v>0</v>
      </c>
      <c r="M720" s="2920">
        <f t="shared" si="267"/>
        <v>0</v>
      </c>
      <c r="N720" s="524"/>
      <c r="O720" s="541"/>
      <c r="Q720" s="2923"/>
      <c r="R720" s="2923"/>
      <c r="S720" s="2923"/>
      <c r="T720" s="2908"/>
      <c r="U720" s="2908"/>
      <c r="V720" s="523"/>
      <c r="W720" s="523"/>
      <c r="X720" s="527"/>
      <c r="Y720" s="523"/>
      <c r="Z720" s="524"/>
      <c r="AA720" s="525"/>
      <c r="AB720" s="525"/>
      <c r="AC720" s="525"/>
      <c r="AD720" s="525"/>
      <c r="AE720" s="525"/>
      <c r="AF720" s="525"/>
      <c r="AG720" s="507"/>
      <c r="AH720" s="523"/>
      <c r="GS720" s="2877"/>
      <c r="GX720" s="2877"/>
      <c r="GY720" s="2877"/>
      <c r="GZ720" s="2877"/>
      <c r="HA720" s="2877"/>
      <c r="HB720" s="2877"/>
      <c r="HC720" s="2877"/>
      <c r="HD720" s="2877"/>
      <c r="HE720" s="2877"/>
      <c r="HF720" s="2877"/>
      <c r="HG720" s="2877"/>
      <c r="HH720" s="2877"/>
      <c r="HI720" s="2877"/>
      <c r="HJ720" s="2877"/>
      <c r="HK720" s="2877"/>
      <c r="HL720" s="2877"/>
      <c r="HM720" s="2877"/>
      <c r="HN720" s="2877"/>
      <c r="HO720" s="2877"/>
      <c r="HP720" s="2877"/>
      <c r="HQ720" s="2877"/>
      <c r="HR720" s="2877"/>
      <c r="HS720" s="2877"/>
      <c r="HT720" s="2877"/>
      <c r="HU720" s="2877"/>
      <c r="HV720" s="2877"/>
      <c r="HW720" s="2877"/>
      <c r="HX720" s="2877"/>
      <c r="HY720" s="2877"/>
      <c r="HZ720" s="2877"/>
      <c r="IA720" s="2877"/>
      <c r="IB720" s="2877"/>
      <c r="IC720" s="2877"/>
      <c r="IJ720" s="2875"/>
      <c r="IK720" s="2875"/>
      <c r="JA720" s="2875"/>
    </row>
    <row r="721" spans="1:261" ht="12" customHeight="1">
      <c r="C721" s="523"/>
      <c r="D721" s="523"/>
      <c r="E721" s="2884" t="s">
        <v>590</v>
      </c>
      <c r="F721" s="523"/>
      <c r="G721" s="524"/>
      <c r="H721" s="2920">
        <f>FK668</f>
        <v>0</v>
      </c>
      <c r="I721" s="2920">
        <f>FL668</f>
        <v>0</v>
      </c>
      <c r="J721" s="2920">
        <f>FM668</f>
        <v>0</v>
      </c>
      <c r="K721" s="2920">
        <f>FN668</f>
        <v>0</v>
      </c>
      <c r="L721" s="2920">
        <f>FO668</f>
        <v>0</v>
      </c>
      <c r="M721" s="2920">
        <f t="shared" si="267"/>
        <v>0</v>
      </c>
      <c r="N721" s="524"/>
      <c r="O721" s="541"/>
      <c r="Q721" s="2923">
        <f>ABS(M721-AF721)</f>
        <v>0</v>
      </c>
      <c r="R721" s="2923"/>
      <c r="S721" s="2923"/>
      <c r="T721" s="2908"/>
      <c r="U721" s="2908"/>
      <c r="V721" s="523"/>
      <c r="W721" s="523"/>
      <c r="X721" s="2884"/>
      <c r="Y721" s="523"/>
      <c r="Z721" s="524"/>
      <c r="AA721" s="525"/>
      <c r="AB721" s="525"/>
      <c r="AC721" s="525"/>
      <c r="AD721" s="525"/>
      <c r="AE721" s="525"/>
      <c r="AF721" s="525"/>
      <c r="IJ721" s="2875"/>
      <c r="IK721" s="2875"/>
      <c r="JA721" s="2875"/>
    </row>
    <row r="722" spans="1:261" ht="12" customHeight="1">
      <c r="C722" s="523"/>
      <c r="D722" s="523"/>
      <c r="E722" s="2884"/>
      <c r="F722" s="523"/>
      <c r="G722" s="2930" t="s">
        <v>3814</v>
      </c>
      <c r="H722" s="2920">
        <f>FP668</f>
        <v>0</v>
      </c>
      <c r="I722" s="2920">
        <f>FQ668</f>
        <v>0</v>
      </c>
      <c r="J722" s="2920">
        <f>FR668</f>
        <v>0</v>
      </c>
      <c r="K722" s="2920">
        <f>FS668</f>
        <v>0</v>
      </c>
      <c r="L722" s="2920">
        <f>FT668</f>
        <v>0</v>
      </c>
      <c r="M722" s="2920">
        <f t="shared" si="267"/>
        <v>0</v>
      </c>
      <c r="N722" s="524"/>
      <c r="O722" s="2931"/>
      <c r="Q722" s="2923"/>
      <c r="R722" s="2923"/>
      <c r="S722" s="2923"/>
      <c r="T722" s="2908"/>
      <c r="U722" s="2908"/>
      <c r="V722" s="523"/>
      <c r="W722" s="523"/>
      <c r="X722" s="2884"/>
      <c r="Y722" s="523"/>
      <c r="Z722" s="524"/>
      <c r="AA722" s="525"/>
      <c r="AB722" s="525"/>
      <c r="AC722" s="525"/>
      <c r="AD722" s="525"/>
      <c r="AE722" s="525"/>
      <c r="AF722" s="525"/>
      <c r="IJ722" s="2875"/>
      <c r="IK722" s="2875"/>
      <c r="JA722" s="2875"/>
    </row>
    <row r="723" spans="1:261">
      <c r="C723" s="523"/>
      <c r="H723" s="2932"/>
      <c r="I723" s="2932"/>
      <c r="J723" s="2932"/>
      <c r="K723" s="2932"/>
      <c r="L723" s="2932"/>
      <c r="M723" s="2932"/>
      <c r="T723" s="2687" t="str">
        <f>C724</f>
        <v>Building Type:
(for Cost Limit purposes)</v>
      </c>
      <c r="GS723" s="2877"/>
      <c r="GX723" s="2877"/>
      <c r="GY723" s="2877"/>
      <c r="GZ723" s="2877"/>
      <c r="HA723" s="2877"/>
      <c r="HB723" s="2877"/>
      <c r="HC723" s="2877"/>
      <c r="HD723" s="2877"/>
      <c r="HE723" s="2877"/>
      <c r="HF723" s="2877"/>
      <c r="HG723" s="2877"/>
      <c r="HH723" s="2877"/>
      <c r="HI723" s="2877"/>
      <c r="HJ723" s="2877"/>
      <c r="HK723" s="2877"/>
      <c r="HL723" s="2877"/>
      <c r="HM723" s="2877"/>
      <c r="HN723" s="2877"/>
      <c r="HO723" s="2877"/>
      <c r="HP723" s="2877"/>
      <c r="HQ723" s="2877"/>
      <c r="HR723" s="2877"/>
      <c r="HS723" s="2877"/>
      <c r="HT723" s="2877"/>
      <c r="HU723" s="2877"/>
      <c r="HV723" s="2877"/>
      <c r="HW723" s="2877"/>
      <c r="HX723" s="2877"/>
      <c r="HY723" s="2877"/>
      <c r="HZ723" s="2877"/>
      <c r="IA723" s="2877"/>
      <c r="IB723" s="2877"/>
      <c r="IC723" s="2877"/>
      <c r="IJ723" s="2875"/>
      <c r="IZ723" s="2875"/>
      <c r="JA723" s="2875"/>
    </row>
    <row r="724" spans="1:261" ht="11.25" customHeight="1">
      <c r="C724" s="2933" t="s">
        <v>4582</v>
      </c>
      <c r="D724" s="2933"/>
      <c r="E724" s="2757" t="s">
        <v>3809</v>
      </c>
      <c r="F724" s="2686"/>
      <c r="G724" s="2686"/>
      <c r="H724" s="2920">
        <f t="shared" ref="H724:L725" si="268">H715+H719+H721</f>
        <v>0</v>
      </c>
      <c r="I724" s="2920">
        <f t="shared" si="268"/>
        <v>0</v>
      </c>
      <c r="J724" s="2920">
        <f t="shared" si="268"/>
        <v>0</v>
      </c>
      <c r="K724" s="2920">
        <f t="shared" si="268"/>
        <v>0</v>
      </c>
      <c r="L724" s="2920">
        <f t="shared" si="268"/>
        <v>0</v>
      </c>
      <c r="M724" s="2920">
        <f t="shared" ref="M724:M731" si="269">SUM(H724:L724)</f>
        <v>0</v>
      </c>
      <c r="N724" s="2934"/>
      <c r="O724" s="2931"/>
      <c r="Q724" s="2923"/>
      <c r="R724" s="2923"/>
      <c r="S724" s="2923"/>
      <c r="T724" s="2837">
        <f>'Part VI-Revenues &amp; Expenses'!T104</f>
        <v>0</v>
      </c>
      <c r="U724" s="2908"/>
      <c r="V724" s="523"/>
      <c r="W724" s="523"/>
      <c r="X724" s="2884"/>
      <c r="Y724" s="523"/>
      <c r="Z724" s="524"/>
      <c r="AA724" s="525"/>
      <c r="AB724" s="525"/>
      <c r="AC724" s="525"/>
      <c r="AD724" s="525"/>
      <c r="AE724" s="525"/>
      <c r="AF724" s="525"/>
      <c r="IJ724" s="2875"/>
      <c r="IK724" s="2875"/>
      <c r="JA724" s="2875"/>
    </row>
    <row r="725" spans="1:261" ht="11.25" customHeight="1">
      <c r="C725" s="2933"/>
      <c r="D725" s="2933"/>
      <c r="E725" s="2757"/>
      <c r="F725" s="2686"/>
      <c r="G725" s="2935" t="s">
        <v>3814</v>
      </c>
      <c r="H725" s="2920">
        <f t="shared" si="268"/>
        <v>0</v>
      </c>
      <c r="I725" s="2920">
        <f t="shared" si="268"/>
        <v>0</v>
      </c>
      <c r="J725" s="2920">
        <f t="shared" si="268"/>
        <v>0</v>
      </c>
      <c r="K725" s="2920">
        <f t="shared" si="268"/>
        <v>0</v>
      </c>
      <c r="L725" s="2920">
        <f t="shared" si="268"/>
        <v>0</v>
      </c>
      <c r="M725" s="2920">
        <f t="shared" si="269"/>
        <v>0</v>
      </c>
      <c r="N725" s="2934"/>
      <c r="O725" s="2931"/>
      <c r="Q725" s="2923"/>
      <c r="R725" s="2923"/>
      <c r="S725" s="2923"/>
      <c r="T725" s="2908"/>
      <c r="U725" s="2908"/>
      <c r="V725" s="523"/>
      <c r="W725" s="523"/>
      <c r="X725" s="2884"/>
      <c r="Y725" s="523"/>
      <c r="Z725" s="524"/>
      <c r="AA725" s="525"/>
      <c r="AB725" s="525"/>
      <c r="AC725" s="525"/>
      <c r="AD725" s="525"/>
      <c r="AE725" s="525"/>
      <c r="AF725" s="525"/>
      <c r="IJ725" s="2875"/>
      <c r="IK725" s="2875"/>
      <c r="JA725" s="2875"/>
    </row>
    <row r="726" spans="1:261" ht="11.25" customHeight="1">
      <c r="C726" s="2933"/>
      <c r="D726" s="2933"/>
      <c r="E726" s="2757" t="s">
        <v>3810</v>
      </c>
      <c r="F726" s="2686"/>
      <c r="G726" s="2686"/>
      <c r="H726" s="2920">
        <f>H707+H717</f>
        <v>0</v>
      </c>
      <c r="I726" s="2920">
        <f t="shared" ref="I726:L727" si="270">I707+I717</f>
        <v>0</v>
      </c>
      <c r="J726" s="2920">
        <f t="shared" si="270"/>
        <v>0</v>
      </c>
      <c r="K726" s="2920">
        <f t="shared" si="270"/>
        <v>0</v>
      </c>
      <c r="L726" s="2920">
        <f t="shared" si="270"/>
        <v>0</v>
      </c>
      <c r="M726" s="2920">
        <f t="shared" si="269"/>
        <v>0</v>
      </c>
      <c r="N726" s="2934"/>
      <c r="O726" s="2931"/>
      <c r="Q726" s="2923"/>
      <c r="R726" s="2923"/>
      <c r="S726" s="2923"/>
      <c r="T726" s="2908"/>
      <c r="U726" s="2908"/>
      <c r="V726" s="523"/>
      <c r="W726" s="523"/>
      <c r="X726" s="2884"/>
      <c r="Y726" s="523"/>
      <c r="Z726" s="524"/>
      <c r="AA726" s="525"/>
      <c r="AB726" s="525"/>
      <c r="AC726" s="525"/>
      <c r="AD726" s="525"/>
      <c r="AE726" s="525"/>
      <c r="AF726" s="525"/>
      <c r="IJ726" s="2875"/>
      <c r="IK726" s="2875"/>
      <c r="JA726" s="2875"/>
    </row>
    <row r="727" spans="1:261" ht="11.25" customHeight="1">
      <c r="C727" s="2933"/>
      <c r="D727" s="2933"/>
      <c r="E727" s="2757"/>
      <c r="F727" s="2686"/>
      <c r="G727" s="2935" t="s">
        <v>3814</v>
      </c>
      <c r="H727" s="2920">
        <f>H708+H718</f>
        <v>0</v>
      </c>
      <c r="I727" s="2920">
        <f t="shared" si="270"/>
        <v>0</v>
      </c>
      <c r="J727" s="2920">
        <f t="shared" si="270"/>
        <v>0</v>
      </c>
      <c r="K727" s="2920">
        <f t="shared" si="270"/>
        <v>0</v>
      </c>
      <c r="L727" s="2920">
        <f t="shared" si="270"/>
        <v>0</v>
      </c>
      <c r="M727" s="2920">
        <f t="shared" si="269"/>
        <v>0</v>
      </c>
      <c r="N727" s="2934"/>
      <c r="O727" s="2931"/>
      <c r="Q727" s="2923"/>
      <c r="R727" s="2923"/>
      <c r="S727" s="2923"/>
      <c r="T727" s="2908"/>
      <c r="U727" s="2908"/>
      <c r="V727" s="523"/>
      <c r="W727" s="523"/>
      <c r="X727" s="2884"/>
      <c r="Y727" s="523"/>
      <c r="Z727" s="524"/>
      <c r="AA727" s="525"/>
      <c r="AB727" s="525"/>
      <c r="AC727" s="525"/>
      <c r="AD727" s="525"/>
      <c r="AE727" s="525"/>
      <c r="AF727" s="525"/>
      <c r="IJ727" s="2875"/>
      <c r="IK727" s="2875"/>
      <c r="JA727" s="2875"/>
    </row>
    <row r="728" spans="1:261" ht="11.25" customHeight="1">
      <c r="C728" s="2933"/>
      <c r="D728" s="2933"/>
      <c r="E728" s="2757" t="s">
        <v>3811</v>
      </c>
      <c r="F728" s="2686"/>
      <c r="G728" s="2686"/>
      <c r="H728" s="2920">
        <f>H711</f>
        <v>0</v>
      </c>
      <c r="I728" s="2920">
        <f t="shared" ref="I728:L729" si="271">I711</f>
        <v>0</v>
      </c>
      <c r="J728" s="2920">
        <f t="shared" si="271"/>
        <v>0</v>
      </c>
      <c r="K728" s="2920">
        <f t="shared" si="271"/>
        <v>0</v>
      </c>
      <c r="L728" s="2920">
        <f t="shared" si="271"/>
        <v>0</v>
      </c>
      <c r="M728" s="2920">
        <f t="shared" si="269"/>
        <v>0</v>
      </c>
      <c r="N728" s="2934"/>
      <c r="O728" s="2931"/>
      <c r="Q728" s="2923"/>
      <c r="R728" s="2923"/>
      <c r="S728" s="2923"/>
      <c r="T728" s="2908"/>
      <c r="U728" s="2908"/>
      <c r="V728" s="523"/>
      <c r="W728" s="523"/>
      <c r="X728" s="2884"/>
      <c r="Y728" s="523"/>
      <c r="Z728" s="524"/>
      <c r="AA728" s="525"/>
      <c r="AB728" s="525"/>
      <c r="AC728" s="525"/>
      <c r="AD728" s="525"/>
      <c r="AE728" s="525"/>
      <c r="AF728" s="525"/>
      <c r="IJ728" s="2875"/>
      <c r="IK728" s="2875"/>
      <c r="JA728" s="2875"/>
    </row>
    <row r="729" spans="1:261" ht="11.25" customHeight="1">
      <c r="C729" s="2933"/>
      <c r="D729" s="2933"/>
      <c r="E729" s="2757"/>
      <c r="F729" s="2686"/>
      <c r="G729" s="2935" t="s">
        <v>3814</v>
      </c>
      <c r="H729" s="2920">
        <f>H712</f>
        <v>0</v>
      </c>
      <c r="I729" s="2920">
        <f t="shared" si="271"/>
        <v>0</v>
      </c>
      <c r="J729" s="2920">
        <f t="shared" si="271"/>
        <v>0</v>
      </c>
      <c r="K729" s="2920">
        <f t="shared" si="271"/>
        <v>0</v>
      </c>
      <c r="L729" s="2920">
        <f t="shared" si="271"/>
        <v>0</v>
      </c>
      <c r="M729" s="2920">
        <f t="shared" si="269"/>
        <v>0</v>
      </c>
      <c r="N729" s="2934"/>
      <c r="O729" s="2931"/>
      <c r="Q729" s="2923"/>
      <c r="R729" s="2923"/>
      <c r="S729" s="2923"/>
      <c r="T729" s="2908"/>
      <c r="U729" s="2908"/>
      <c r="V729" s="523"/>
      <c r="W729" s="523"/>
      <c r="X729" s="2884"/>
      <c r="Y729" s="523"/>
      <c r="Z729" s="524"/>
      <c r="AA729" s="525"/>
      <c r="AB729" s="525"/>
      <c r="AC729" s="525"/>
      <c r="AD729" s="525"/>
      <c r="AE729" s="525"/>
      <c r="AF729" s="525"/>
      <c r="IJ729" s="2875"/>
      <c r="IK729" s="2875"/>
      <c r="JA729" s="2875"/>
    </row>
    <row r="730" spans="1:261" ht="11.25" customHeight="1">
      <c r="C730" s="2933"/>
      <c r="D730" s="2933"/>
      <c r="E730" s="2757" t="s">
        <v>3812</v>
      </c>
      <c r="F730" s="2686"/>
      <c r="G730" s="2686"/>
      <c r="H730" s="2920">
        <f>H709+H713</f>
        <v>0</v>
      </c>
      <c r="I730" s="2920">
        <f t="shared" ref="I730:L731" si="272">I709+I713</f>
        <v>18</v>
      </c>
      <c r="J730" s="2920">
        <f t="shared" si="272"/>
        <v>54</v>
      </c>
      <c r="K730" s="2920">
        <f t="shared" si="272"/>
        <v>24</v>
      </c>
      <c r="L730" s="2920">
        <f t="shared" si="272"/>
        <v>0</v>
      </c>
      <c r="M730" s="2920">
        <f t="shared" si="269"/>
        <v>96</v>
      </c>
      <c r="N730" s="2934"/>
      <c r="O730" s="2931"/>
      <c r="Q730" s="2923"/>
      <c r="R730" s="2923"/>
      <c r="S730" s="2923"/>
      <c r="T730" s="2908"/>
      <c r="U730" s="2908"/>
      <c r="V730" s="523"/>
      <c r="W730" s="523"/>
      <c r="X730" s="2884"/>
      <c r="Y730" s="523"/>
      <c r="Z730" s="524"/>
      <c r="AA730" s="525"/>
      <c r="AB730" s="525"/>
      <c r="AC730" s="525"/>
      <c r="AD730" s="525"/>
      <c r="AE730" s="525"/>
      <c r="AF730" s="525"/>
      <c r="IJ730" s="2875"/>
      <c r="IK730" s="2875"/>
      <c r="JA730" s="2875"/>
    </row>
    <row r="731" spans="1:261" ht="11.25" customHeight="1">
      <c r="C731" s="523"/>
      <c r="D731" s="523"/>
      <c r="E731" s="2936"/>
      <c r="F731" s="2686"/>
      <c r="G731" s="2935" t="s">
        <v>3814</v>
      </c>
      <c r="H731" s="2920">
        <f>H710+H714</f>
        <v>0</v>
      </c>
      <c r="I731" s="2920">
        <f t="shared" si="272"/>
        <v>0</v>
      </c>
      <c r="J731" s="2920">
        <f t="shared" si="272"/>
        <v>0</v>
      </c>
      <c r="K731" s="2920">
        <f t="shared" si="272"/>
        <v>0</v>
      </c>
      <c r="L731" s="2920">
        <f t="shared" si="272"/>
        <v>0</v>
      </c>
      <c r="M731" s="2920">
        <f t="shared" si="269"/>
        <v>0</v>
      </c>
      <c r="N731" s="2934"/>
      <c r="O731" s="2931"/>
      <c r="Q731" s="2923"/>
      <c r="R731" s="2923"/>
      <c r="S731" s="2923"/>
      <c r="T731" s="2908"/>
      <c r="U731" s="2908"/>
      <c r="V731" s="523"/>
      <c r="W731" s="523"/>
      <c r="X731" s="2884"/>
      <c r="Y731" s="523"/>
      <c r="Z731" s="524"/>
      <c r="AA731" s="525"/>
      <c r="AB731" s="525"/>
      <c r="AC731" s="525"/>
      <c r="AD731" s="525"/>
      <c r="AE731" s="525"/>
      <c r="AF731" s="525"/>
      <c r="IJ731" s="2875"/>
      <c r="IK731" s="2875"/>
      <c r="JA731" s="2875"/>
    </row>
    <row r="732" spans="1:261" ht="2.25" customHeight="1">
      <c r="C732" s="523"/>
      <c r="D732" s="523"/>
      <c r="E732" s="2936"/>
      <c r="F732" s="2686"/>
      <c r="G732" s="2935"/>
      <c r="H732" s="2937"/>
      <c r="I732" s="2937"/>
      <c r="J732" s="2937"/>
      <c r="K732" s="2937"/>
      <c r="L732" s="2937"/>
      <c r="M732" s="2937"/>
      <c r="N732" s="2934"/>
      <c r="O732" s="2931"/>
      <c r="Q732" s="2923"/>
      <c r="R732" s="2923"/>
      <c r="S732" s="2923"/>
      <c r="T732" s="2837"/>
      <c r="U732" s="2837"/>
      <c r="V732" s="523"/>
      <c r="W732" s="523"/>
      <c r="X732" s="2884"/>
      <c r="Y732" s="523"/>
      <c r="Z732" s="524"/>
      <c r="AA732" s="525"/>
      <c r="AB732" s="525"/>
      <c r="AC732" s="525"/>
      <c r="AD732" s="525"/>
      <c r="AE732" s="525"/>
      <c r="AF732" s="525"/>
      <c r="IJ732" s="2875"/>
      <c r="IK732" s="2875"/>
      <c r="JA732" s="2875"/>
    </row>
    <row r="733" spans="1:261" ht="12" customHeight="1">
      <c r="A733" s="2875"/>
      <c r="B733" s="2875" t="s">
        <v>2267</v>
      </c>
      <c r="C733" s="523"/>
      <c r="D733" s="523"/>
      <c r="E733" s="523"/>
      <c r="F733" s="523"/>
      <c r="G733" s="524"/>
      <c r="H733" s="2938"/>
      <c r="I733" s="2938"/>
      <c r="J733" s="2938"/>
      <c r="K733" s="2938"/>
      <c r="L733" s="2938"/>
      <c r="M733" s="2938"/>
      <c r="Q733" s="2923"/>
      <c r="R733" s="2923"/>
      <c r="S733" s="2923"/>
      <c r="T733" s="2687" t="str">
        <f>B733</f>
        <v>Unit Square Footage:</v>
      </c>
      <c r="U733" s="2875" t="s">
        <v>1191</v>
      </c>
      <c r="V733" s="523"/>
      <c r="W733" s="523"/>
      <c r="X733" s="523"/>
      <c r="Y733" s="523"/>
      <c r="Z733" s="524"/>
      <c r="AA733" s="523"/>
      <c r="AB733" s="523"/>
      <c r="AC733" s="523"/>
      <c r="AD733" s="523"/>
      <c r="AE733" s="523"/>
      <c r="AF733" s="523"/>
      <c r="AH733" s="523"/>
      <c r="GS733" s="2877"/>
      <c r="GX733" s="2877"/>
      <c r="GY733" s="2877"/>
      <c r="GZ733" s="2877"/>
      <c r="HA733" s="2877"/>
      <c r="HB733" s="2877"/>
      <c r="HC733" s="2877"/>
      <c r="HD733" s="2877"/>
      <c r="HE733" s="2877"/>
      <c r="HF733" s="2877"/>
      <c r="HG733" s="2877"/>
      <c r="HH733" s="2877"/>
      <c r="HI733" s="2877"/>
      <c r="HJ733" s="2877"/>
      <c r="HK733" s="2877"/>
      <c r="HL733" s="2877"/>
      <c r="HM733" s="2877"/>
      <c r="HN733" s="2877"/>
      <c r="HO733" s="2877"/>
      <c r="HP733" s="2877"/>
      <c r="HQ733" s="2877"/>
      <c r="HR733" s="2877"/>
      <c r="HS733" s="2877"/>
      <c r="HT733" s="2877"/>
      <c r="HU733" s="2877"/>
      <c r="HV733" s="2877"/>
      <c r="HW733" s="2877"/>
      <c r="HX733" s="2877"/>
      <c r="HY733" s="2877"/>
      <c r="HZ733" s="2877"/>
      <c r="IA733" s="2877"/>
      <c r="IB733" s="2877"/>
      <c r="IC733" s="2877"/>
      <c r="IJ733" s="2875"/>
      <c r="IK733" s="2875"/>
      <c r="JA733" s="2875"/>
    </row>
    <row r="734" spans="1:261" ht="12" customHeight="1">
      <c r="C734" s="523" t="s">
        <v>2237</v>
      </c>
      <c r="D734" s="523"/>
      <c r="E734" s="523"/>
      <c r="F734" s="523"/>
      <c r="G734" s="524" t="s">
        <v>1204</v>
      </c>
      <c r="H734" s="2939">
        <f>BY668</f>
        <v>0</v>
      </c>
      <c r="I734" s="2939">
        <f>BZ668</f>
        <v>11606</v>
      </c>
      <c r="J734" s="2939">
        <f>CA668</f>
        <v>45066</v>
      </c>
      <c r="K734" s="2939">
        <f>CB668</f>
        <v>25900</v>
      </c>
      <c r="L734" s="2939">
        <f>CC668</f>
        <v>0</v>
      </c>
      <c r="M734" s="2939">
        <f t="shared" ref="M734:M740" si="273">SUM(H734:L734)</f>
        <v>82572</v>
      </c>
      <c r="Q734" s="2923">
        <f t="shared" ref="Q734:Q740" si="274">ABS(M734-AF734)</f>
        <v>82572</v>
      </c>
      <c r="R734" s="2923"/>
      <c r="S734" s="2923"/>
      <c r="T734" s="2837">
        <f>'Part VI-Revenues &amp; Expenses'!T114</f>
        <v>0</v>
      </c>
      <c r="U734" s="2908"/>
      <c r="V734" s="523"/>
      <c r="W734" s="523"/>
      <c r="X734" s="523"/>
      <c r="Y734" s="523"/>
      <c r="Z734" s="524"/>
      <c r="AA734" s="525"/>
      <c r="AB734" s="525"/>
      <c r="AC734" s="525"/>
      <c r="AD734" s="525"/>
      <c r="AE734" s="525"/>
      <c r="AF734" s="525"/>
      <c r="AH734" s="523"/>
      <c r="GS734" s="2877"/>
      <c r="GX734" s="2877"/>
      <c r="GY734" s="2877"/>
      <c r="GZ734" s="2877"/>
      <c r="HA734" s="2877"/>
      <c r="HB734" s="2877"/>
      <c r="HC734" s="2877"/>
      <c r="HD734" s="2877"/>
      <c r="HE734" s="2877"/>
      <c r="HF734" s="2877"/>
      <c r="HG734" s="2877"/>
      <c r="HH734" s="2877"/>
      <c r="HI734" s="2877"/>
      <c r="HJ734" s="2877"/>
      <c r="HK734" s="2877"/>
      <c r="HL734" s="2877"/>
      <c r="HM734" s="2877"/>
      <c r="HN734" s="2877"/>
      <c r="HO734" s="2877"/>
      <c r="HP734" s="2877"/>
      <c r="HQ734" s="2877"/>
      <c r="HR734" s="2877"/>
      <c r="HS734" s="2877"/>
      <c r="HT734" s="2877"/>
      <c r="HU734" s="2877"/>
      <c r="HV734" s="2877"/>
      <c r="HW734" s="2877"/>
      <c r="HX734" s="2877"/>
      <c r="HY734" s="2877"/>
      <c r="HZ734" s="2877"/>
      <c r="IA734" s="2877"/>
      <c r="IB734" s="2877"/>
      <c r="IC734" s="2877"/>
      <c r="IJ734" s="2875"/>
      <c r="IK734" s="2875"/>
      <c r="JA734" s="2875"/>
    </row>
    <row r="735" spans="1:261" ht="12" customHeight="1">
      <c r="C735" s="526"/>
      <c r="D735" s="523"/>
      <c r="E735" s="523"/>
      <c r="F735" s="523"/>
      <c r="G735" s="524" t="s">
        <v>120</v>
      </c>
      <c r="H735" s="2939">
        <f>CD668</f>
        <v>0</v>
      </c>
      <c r="I735" s="2939">
        <f>CE668</f>
        <v>3316</v>
      </c>
      <c r="J735" s="2939">
        <f>CF668</f>
        <v>12876</v>
      </c>
      <c r="K735" s="2939">
        <f>CG668</f>
        <v>5180</v>
      </c>
      <c r="L735" s="2939">
        <f>CH668</f>
        <v>0</v>
      </c>
      <c r="M735" s="2939">
        <f t="shared" si="273"/>
        <v>21372</v>
      </c>
      <c r="N735" s="523"/>
      <c r="Q735" s="2923">
        <f t="shared" si="274"/>
        <v>21372</v>
      </c>
      <c r="R735" s="2923"/>
      <c r="S735" s="2923"/>
      <c r="T735" s="2908"/>
      <c r="U735" s="2908"/>
      <c r="V735" s="526"/>
      <c r="W735" s="523"/>
      <c r="X735" s="523"/>
      <c r="Y735" s="523"/>
      <c r="Z735" s="524"/>
      <c r="AA735" s="525"/>
      <c r="AB735" s="525"/>
      <c r="AC735" s="525"/>
      <c r="AD735" s="525"/>
      <c r="AE735" s="525"/>
      <c r="AF735" s="525"/>
      <c r="AG735" s="523"/>
      <c r="AH735" s="523"/>
      <c r="GS735" s="2877"/>
      <c r="GX735" s="2877"/>
      <c r="GY735" s="2877"/>
      <c r="GZ735" s="2877"/>
      <c r="HA735" s="2877"/>
      <c r="HB735" s="2877"/>
      <c r="HC735" s="2877"/>
      <c r="HD735" s="2877"/>
      <c r="HE735" s="2877"/>
      <c r="HF735" s="2877"/>
      <c r="HG735" s="2877"/>
      <c r="HH735" s="2877"/>
      <c r="HI735" s="2877"/>
      <c r="HJ735" s="2877"/>
      <c r="HK735" s="2877"/>
      <c r="HL735" s="2877"/>
      <c r="HM735" s="2877"/>
      <c r="HN735" s="2877"/>
      <c r="HO735" s="2877"/>
      <c r="HP735" s="2877"/>
      <c r="HQ735" s="2877"/>
      <c r="HR735" s="2877"/>
      <c r="HS735" s="2877"/>
      <c r="HT735" s="2877"/>
      <c r="HU735" s="2877"/>
      <c r="HV735" s="2877"/>
      <c r="HW735" s="2877"/>
      <c r="HX735" s="2877"/>
      <c r="HY735" s="2877"/>
      <c r="HZ735" s="2877"/>
      <c r="IA735" s="2877"/>
      <c r="IB735" s="2877"/>
      <c r="IC735" s="2877"/>
      <c r="IJ735" s="2875"/>
      <c r="IK735" s="2875"/>
      <c r="JA735" s="2875"/>
    </row>
    <row r="736" spans="1:261" ht="12" customHeight="1">
      <c r="C736" s="526"/>
      <c r="D736" s="523"/>
      <c r="E736" s="523"/>
      <c r="F736" s="523"/>
      <c r="G736" s="524" t="s">
        <v>563</v>
      </c>
      <c r="H736" s="2939">
        <f>SUM(H734:H735)</f>
        <v>0</v>
      </c>
      <c r="I736" s="2939">
        <f>SUM(I734:I735)</f>
        <v>14922</v>
      </c>
      <c r="J736" s="2939">
        <f>SUM(J734:J735)</f>
        <v>57942</v>
      </c>
      <c r="K736" s="2939">
        <f>SUM(K734:K735)</f>
        <v>31080</v>
      </c>
      <c r="L736" s="2939">
        <f>SUM(L734:L735)</f>
        <v>0</v>
      </c>
      <c r="M736" s="2939">
        <f t="shared" si="273"/>
        <v>103944</v>
      </c>
      <c r="N736" s="523"/>
      <c r="Q736" s="2923">
        <f t="shared" si="274"/>
        <v>103944</v>
      </c>
      <c r="R736" s="2923"/>
      <c r="S736" s="2923"/>
      <c r="T736" s="2908"/>
      <c r="U736" s="2908"/>
      <c r="V736" s="526"/>
      <c r="W736" s="523"/>
      <c r="X736" s="523"/>
      <c r="Y736" s="523"/>
      <c r="Z736" s="524"/>
      <c r="AA736" s="525"/>
      <c r="AB736" s="525"/>
      <c r="AC736" s="525"/>
      <c r="AD736" s="525"/>
      <c r="AE736" s="525"/>
      <c r="AF736" s="525"/>
      <c r="AG736" s="523"/>
      <c r="AH736" s="523"/>
      <c r="GS736" s="2877"/>
      <c r="GX736" s="2877"/>
      <c r="GY736" s="2877"/>
      <c r="GZ736" s="2877"/>
      <c r="HA736" s="2877"/>
      <c r="HB736" s="2877"/>
      <c r="HC736" s="2877"/>
      <c r="HD736" s="2877"/>
      <c r="HE736" s="2877"/>
      <c r="HF736" s="2877"/>
      <c r="HG736" s="2877"/>
      <c r="HH736" s="2877"/>
      <c r="HI736" s="2877"/>
      <c r="HJ736" s="2877"/>
      <c r="HK736" s="2877"/>
      <c r="HL736" s="2877"/>
      <c r="HM736" s="2877"/>
      <c r="HN736" s="2877"/>
      <c r="HO736" s="2877"/>
      <c r="HP736" s="2877"/>
      <c r="HQ736" s="2877"/>
      <c r="HR736" s="2877"/>
      <c r="HS736" s="2877"/>
      <c r="HT736" s="2877"/>
      <c r="HU736" s="2877"/>
      <c r="HV736" s="2877"/>
      <c r="HW736" s="2877"/>
      <c r="HX736" s="2877"/>
      <c r="HY736" s="2877"/>
      <c r="HZ736" s="2877"/>
      <c r="IA736" s="2877"/>
      <c r="IB736" s="2877"/>
      <c r="IC736" s="2877"/>
      <c r="IJ736" s="2875"/>
      <c r="IK736" s="2875"/>
      <c r="JA736" s="2875"/>
    </row>
    <row r="737" spans="1:262" ht="12" customHeight="1">
      <c r="C737" s="523" t="s">
        <v>316</v>
      </c>
      <c r="D737" s="523"/>
      <c r="E737" s="523"/>
      <c r="F737" s="523"/>
      <c r="G737" s="523"/>
      <c r="H737" s="2939">
        <f>CN668</f>
        <v>0</v>
      </c>
      <c r="I737" s="2939">
        <f>CO668</f>
        <v>0</v>
      </c>
      <c r="J737" s="2939">
        <f>CP668</f>
        <v>0</v>
      </c>
      <c r="K737" s="2939">
        <f>CQ668</f>
        <v>0</v>
      </c>
      <c r="L737" s="2939">
        <f>CR668</f>
        <v>0</v>
      </c>
      <c r="M737" s="2939">
        <f t="shared" si="273"/>
        <v>0</v>
      </c>
      <c r="Q737" s="2923">
        <f t="shared" si="274"/>
        <v>0</v>
      </c>
      <c r="R737" s="2923"/>
      <c r="S737" s="2923"/>
      <c r="T737" s="2908"/>
      <c r="U737" s="2908"/>
      <c r="V737" s="523"/>
      <c r="W737" s="523"/>
      <c r="X737" s="523"/>
      <c r="Y737" s="523"/>
      <c r="Z737" s="523"/>
      <c r="AA737" s="525"/>
      <c r="AB737" s="525"/>
      <c r="AC737" s="525"/>
      <c r="AD737" s="525"/>
      <c r="AE737" s="525"/>
      <c r="AF737" s="525"/>
      <c r="AH737" s="523"/>
      <c r="GS737" s="2877"/>
      <c r="GX737" s="2877"/>
      <c r="GY737" s="2877"/>
      <c r="GZ737" s="2877"/>
      <c r="HA737" s="2877"/>
      <c r="HB737" s="2877"/>
      <c r="HC737" s="2877"/>
      <c r="HD737" s="2877"/>
      <c r="HE737" s="2877"/>
      <c r="HF737" s="2877"/>
      <c r="HG737" s="2877"/>
      <c r="HH737" s="2877"/>
      <c r="HI737" s="2877"/>
      <c r="HJ737" s="2877"/>
      <c r="HK737" s="2877"/>
      <c r="HL737" s="2877"/>
      <c r="HM737" s="2877"/>
      <c r="HN737" s="2877"/>
      <c r="HO737" s="2877"/>
      <c r="HP737" s="2877"/>
      <c r="HQ737" s="2877"/>
      <c r="HR737" s="2877"/>
      <c r="HS737" s="2877"/>
      <c r="HT737" s="2877"/>
      <c r="HU737" s="2877"/>
      <c r="HV737" s="2877"/>
      <c r="HW737" s="2877"/>
      <c r="HX737" s="2877"/>
      <c r="HY737" s="2877"/>
      <c r="HZ737" s="2877"/>
      <c r="IA737" s="2877"/>
      <c r="IB737" s="2877"/>
      <c r="IC737" s="2877"/>
      <c r="IJ737" s="2875"/>
      <c r="IK737" s="2875"/>
      <c r="JA737" s="2875"/>
    </row>
    <row r="738" spans="1:262" ht="12" customHeight="1">
      <c r="C738" s="523" t="s">
        <v>1193</v>
      </c>
      <c r="D738" s="523"/>
      <c r="E738" s="523"/>
      <c r="F738" s="523"/>
      <c r="G738" s="523"/>
      <c r="H738" s="2939">
        <f>SUM(H736:H737)</f>
        <v>0</v>
      </c>
      <c r="I738" s="2939">
        <f>SUM(I736:I737)</f>
        <v>14922</v>
      </c>
      <c r="J738" s="2939">
        <f>SUM(J736:J737)</f>
        <v>57942</v>
      </c>
      <c r="K738" s="2939">
        <f>SUM(K736:K737)</f>
        <v>31080</v>
      </c>
      <c r="L738" s="2939">
        <f>SUM(L736:L737)</f>
        <v>0</v>
      </c>
      <c r="M738" s="2939">
        <f t="shared" si="273"/>
        <v>103944</v>
      </c>
      <c r="Q738" s="2923">
        <f t="shared" si="274"/>
        <v>103944</v>
      </c>
      <c r="R738" s="2923"/>
      <c r="S738" s="2923"/>
      <c r="T738" s="2908"/>
      <c r="U738" s="2908"/>
      <c r="V738" s="523"/>
      <c r="W738" s="523"/>
      <c r="X738" s="523"/>
      <c r="Y738" s="523"/>
      <c r="Z738" s="523"/>
      <c r="AA738" s="525"/>
      <c r="AB738" s="525"/>
      <c r="AC738" s="525"/>
      <c r="AD738" s="525"/>
      <c r="AE738" s="525"/>
      <c r="AF738" s="525"/>
      <c r="AH738" s="523"/>
      <c r="GS738" s="2877"/>
      <c r="GX738" s="2877"/>
      <c r="GY738" s="2877"/>
      <c r="GZ738" s="2877"/>
      <c r="HA738" s="2877"/>
      <c r="HB738" s="2877"/>
      <c r="HC738" s="2877"/>
      <c r="HD738" s="2877"/>
      <c r="HE738" s="2877"/>
      <c r="HF738" s="2877"/>
      <c r="HG738" s="2877"/>
      <c r="HH738" s="2877"/>
      <c r="HI738" s="2877"/>
      <c r="HJ738" s="2877"/>
      <c r="HK738" s="2877"/>
      <c r="HL738" s="2877"/>
      <c r="HM738" s="2877"/>
      <c r="HN738" s="2877"/>
      <c r="HO738" s="2877"/>
      <c r="HP738" s="2877"/>
      <c r="HQ738" s="2877"/>
      <c r="HR738" s="2877"/>
      <c r="HS738" s="2877"/>
      <c r="HT738" s="2877"/>
      <c r="HU738" s="2877"/>
      <c r="HV738" s="2877"/>
      <c r="HW738" s="2877"/>
      <c r="HX738" s="2877"/>
      <c r="HY738" s="2877"/>
      <c r="HZ738" s="2877"/>
      <c r="IA738" s="2877"/>
      <c r="IB738" s="2877"/>
      <c r="IC738" s="2877"/>
      <c r="IJ738" s="2875"/>
      <c r="IK738" s="2875"/>
      <c r="JA738" s="2875"/>
    </row>
    <row r="739" spans="1:262" ht="12" customHeight="1">
      <c r="C739" s="523" t="s">
        <v>2637</v>
      </c>
      <c r="D739" s="523"/>
      <c r="E739" s="523"/>
      <c r="F739" s="523"/>
      <c r="G739" s="523"/>
      <c r="H739" s="2939">
        <f>CX668</f>
        <v>0</v>
      </c>
      <c r="I739" s="2939">
        <f>CY668</f>
        <v>0</v>
      </c>
      <c r="J739" s="2939">
        <f>CZ668</f>
        <v>0</v>
      </c>
      <c r="K739" s="2939">
        <f>DA668</f>
        <v>0</v>
      </c>
      <c r="L739" s="2939">
        <f>DB668</f>
        <v>0</v>
      </c>
      <c r="M739" s="2939">
        <f t="shared" si="273"/>
        <v>0</v>
      </c>
      <c r="Q739" s="2923">
        <f t="shared" si="274"/>
        <v>0</v>
      </c>
      <c r="R739" s="2923"/>
      <c r="S739" s="2923"/>
      <c r="T739" s="2908"/>
      <c r="U739" s="2908"/>
      <c r="V739" s="523"/>
      <c r="W739" s="523"/>
      <c r="X739" s="523"/>
      <c r="Y739" s="523"/>
      <c r="Z739" s="523"/>
      <c r="AA739" s="525"/>
      <c r="AB739" s="525"/>
      <c r="AC739" s="525"/>
      <c r="AD739" s="525"/>
      <c r="AE739" s="525"/>
      <c r="AF739" s="525"/>
      <c r="AH739" s="523"/>
      <c r="GS739" s="2877"/>
      <c r="GX739" s="2877"/>
      <c r="GY739" s="2877"/>
      <c r="GZ739" s="2877"/>
      <c r="HA739" s="2877"/>
      <c r="HB739" s="2877"/>
      <c r="HC739" s="2877"/>
      <c r="HD739" s="2877"/>
      <c r="HE739" s="2877"/>
      <c r="HF739" s="2877"/>
      <c r="HG739" s="2877"/>
      <c r="HH739" s="2877"/>
      <c r="HI739" s="2877"/>
      <c r="HJ739" s="2877"/>
      <c r="HK739" s="2877"/>
      <c r="HL739" s="2877"/>
      <c r="HM739" s="2877"/>
      <c r="HN739" s="2877"/>
      <c r="HO739" s="2877"/>
      <c r="HP739" s="2877"/>
      <c r="HQ739" s="2877"/>
      <c r="HR739" s="2877"/>
      <c r="HS739" s="2877"/>
      <c r="HT739" s="2877"/>
      <c r="HU739" s="2877"/>
      <c r="HV739" s="2877"/>
      <c r="HW739" s="2877"/>
      <c r="HX739" s="2877"/>
      <c r="HY739" s="2877"/>
      <c r="HZ739" s="2877"/>
      <c r="IA739" s="2877"/>
      <c r="IB739" s="2877"/>
      <c r="IC739" s="2877"/>
      <c r="IJ739" s="2875"/>
      <c r="IK739" s="2875"/>
      <c r="JA739" s="2875"/>
    </row>
    <row r="740" spans="1:262" ht="12" customHeight="1">
      <c r="C740" s="523" t="s">
        <v>563</v>
      </c>
      <c r="D740" s="523"/>
      <c r="E740" s="523"/>
      <c r="F740" s="523"/>
      <c r="G740" s="523"/>
      <c r="H740" s="2939">
        <f>SUM(H738:H739)</f>
        <v>0</v>
      </c>
      <c r="I740" s="2939">
        <f>SUM(I738:I739)</f>
        <v>14922</v>
      </c>
      <c r="J740" s="2939">
        <f>SUM(J738:J739)</f>
        <v>57942</v>
      </c>
      <c r="K740" s="2939">
        <f>SUM(K738:K739)</f>
        <v>31080</v>
      </c>
      <c r="L740" s="2939">
        <f>SUM(L738:L739)</f>
        <v>0</v>
      </c>
      <c r="M740" s="2939">
        <f t="shared" si="273"/>
        <v>103944</v>
      </c>
      <c r="Q740" s="2923">
        <f t="shared" si="274"/>
        <v>103944</v>
      </c>
      <c r="R740" s="2923"/>
      <c r="S740" s="2923"/>
      <c r="T740" s="2908"/>
      <c r="U740" s="2908"/>
      <c r="V740" s="523"/>
      <c r="W740" s="523"/>
      <c r="X740" s="523"/>
      <c r="Y740" s="523"/>
      <c r="Z740" s="523"/>
      <c r="AA740" s="525"/>
      <c r="AB740" s="525"/>
      <c r="AC740" s="525"/>
      <c r="AD740" s="525"/>
      <c r="AE740" s="525"/>
      <c r="AF740" s="525"/>
      <c r="AH740" s="523"/>
      <c r="GS740" s="2877"/>
      <c r="GX740" s="2877"/>
      <c r="GY740" s="2877"/>
      <c r="GZ740" s="2877"/>
      <c r="HA740" s="2877"/>
      <c r="HB740" s="2877"/>
      <c r="HC740" s="2877"/>
      <c r="HD740" s="2877"/>
      <c r="HE740" s="2877"/>
      <c r="HF740" s="2877"/>
      <c r="HG740" s="2877"/>
      <c r="HH740" s="2877"/>
      <c r="HI740" s="2877"/>
      <c r="HJ740" s="2877"/>
      <c r="HK740" s="2877"/>
      <c r="HL740" s="2877"/>
      <c r="HM740" s="2877"/>
      <c r="HN740" s="2877"/>
      <c r="HO740" s="2877"/>
      <c r="HP740" s="2877"/>
      <c r="HQ740" s="2877"/>
      <c r="HR740" s="2877"/>
      <c r="HS740" s="2877"/>
      <c r="HT740" s="2877"/>
      <c r="HU740" s="2877"/>
      <c r="HV740" s="2877"/>
      <c r="HW740" s="2877"/>
      <c r="HX740" s="2877"/>
      <c r="HY740" s="2877"/>
      <c r="HZ740" s="2877"/>
      <c r="IA740" s="2877"/>
      <c r="IB740" s="2877"/>
      <c r="IC740" s="2877"/>
      <c r="IJ740" s="2875"/>
      <c r="IK740" s="2875"/>
      <c r="JA740" s="2875"/>
    </row>
    <row r="741" spans="1:262" ht="4.5" customHeight="1">
      <c r="B741" s="2875"/>
      <c r="O741" s="523"/>
      <c r="P741" s="523"/>
      <c r="GS741" s="2877"/>
      <c r="GX741" s="2877"/>
      <c r="GY741" s="2877"/>
      <c r="GZ741" s="2877"/>
      <c r="HA741" s="2877"/>
      <c r="HB741" s="2877"/>
      <c r="HC741" s="2877"/>
      <c r="HD741" s="2877"/>
      <c r="HE741" s="2877"/>
      <c r="HF741" s="2877"/>
      <c r="HG741" s="2877"/>
      <c r="HH741" s="2877"/>
      <c r="HI741" s="2877"/>
      <c r="HJ741" s="2877"/>
      <c r="HK741" s="2877"/>
      <c r="HL741" s="2877"/>
      <c r="HM741" s="2877"/>
      <c r="HN741" s="2877"/>
      <c r="HO741" s="2877"/>
      <c r="HP741" s="2877"/>
      <c r="HQ741" s="2877"/>
      <c r="HR741" s="2877"/>
      <c r="HS741" s="2877"/>
      <c r="HT741" s="2877"/>
      <c r="HU741" s="2877"/>
      <c r="HV741" s="2877"/>
      <c r="HW741" s="2877"/>
      <c r="HX741" s="2877"/>
      <c r="HY741" s="2877"/>
      <c r="HZ741" s="2877"/>
      <c r="IA741" s="2877"/>
      <c r="IB741" s="2877"/>
      <c r="IC741" s="2877"/>
      <c r="IJ741" s="2875"/>
      <c r="IK741" s="2875"/>
      <c r="JA741" s="2875"/>
    </row>
    <row r="742" spans="1:262" ht="13.9" customHeight="1">
      <c r="A742" s="2875" t="s">
        <v>782</v>
      </c>
      <c r="B742" s="2875" t="s">
        <v>4583</v>
      </c>
      <c r="Q742" s="523"/>
      <c r="R742" s="523"/>
      <c r="S742" s="523"/>
      <c r="T742" s="2875" t="s">
        <v>1938</v>
      </c>
      <c r="GY742" s="2877"/>
      <c r="GZ742" s="2877"/>
      <c r="HA742" s="2877"/>
      <c r="HB742" s="2877"/>
      <c r="HC742" s="2877"/>
      <c r="HD742" s="2877"/>
      <c r="HE742" s="2877"/>
      <c r="HF742" s="2877"/>
      <c r="HG742" s="2877"/>
      <c r="HH742" s="2877"/>
      <c r="HI742" s="2877"/>
      <c r="HJ742" s="2877"/>
      <c r="HK742" s="2877"/>
      <c r="HL742" s="2877"/>
      <c r="HM742" s="2877"/>
      <c r="HN742" s="2877"/>
      <c r="HO742" s="2877"/>
      <c r="HP742" s="2877"/>
      <c r="HQ742" s="2877"/>
      <c r="HR742" s="2877"/>
      <c r="HS742" s="2877"/>
      <c r="HT742" s="2877"/>
      <c r="HU742" s="2877"/>
      <c r="HV742" s="2877"/>
      <c r="HW742" s="2877"/>
      <c r="HX742" s="2877"/>
      <c r="HY742" s="2877"/>
      <c r="HZ742" s="2877"/>
      <c r="IA742" s="2877"/>
      <c r="IB742" s="2877"/>
      <c r="IC742" s="2877"/>
      <c r="ID742" s="2877"/>
      <c r="IK742" s="2875"/>
      <c r="JA742" s="2875"/>
      <c r="JB742" s="2875"/>
    </row>
    <row r="743" spans="1:262" ht="2.25" customHeight="1">
      <c r="P743" s="523"/>
      <c r="GS743" s="2877"/>
      <c r="GX743" s="2877"/>
      <c r="GY743" s="2877"/>
      <c r="GZ743" s="2877"/>
      <c r="HA743" s="2877"/>
      <c r="HB743" s="2877"/>
      <c r="HC743" s="2877"/>
      <c r="HD743" s="2877"/>
      <c r="HE743" s="2877"/>
      <c r="HF743" s="2877"/>
      <c r="HG743" s="2877"/>
      <c r="HH743" s="2877"/>
      <c r="HI743" s="2877"/>
      <c r="HJ743" s="2877"/>
      <c r="HK743" s="2877"/>
      <c r="HL743" s="2877"/>
      <c r="HM743" s="2877"/>
      <c r="HN743" s="2877"/>
      <c r="HO743" s="2877"/>
      <c r="HP743" s="2877"/>
      <c r="HQ743" s="2877"/>
      <c r="HR743" s="2877"/>
      <c r="HS743" s="2877"/>
      <c r="HT743" s="2877"/>
      <c r="HU743" s="2877"/>
      <c r="HV743" s="2877"/>
      <c r="HW743" s="2877"/>
      <c r="HX743" s="2877"/>
      <c r="HY743" s="2877"/>
      <c r="HZ743" s="2877"/>
      <c r="IA743" s="2877"/>
      <c r="IB743" s="2877"/>
      <c r="IC743" s="2877"/>
      <c r="IJ743" s="2875"/>
      <c r="IZ743" s="2875"/>
      <c r="JA743" s="2875"/>
    </row>
    <row r="744" spans="1:262" ht="12" customHeight="1">
      <c r="B744" s="2875" t="s">
        <v>1066</v>
      </c>
      <c r="D744" s="527"/>
      <c r="H744" s="2940">
        <f>'Part VI-Revenues &amp; Expenses'!H124</f>
        <v>12547.2</v>
      </c>
      <c r="I744" s="2940"/>
      <c r="K744" s="2941" t="s">
        <v>4584</v>
      </c>
      <c r="O744" s="2942">
        <f>H744/L669</f>
        <v>0.02</v>
      </c>
      <c r="P744" s="527"/>
      <c r="T744" s="526" t="str">
        <f>B744</f>
        <v>Ancillary Income</v>
      </c>
      <c r="GS744" s="2877"/>
      <c r="GX744" s="2877"/>
      <c r="GY744" s="2877"/>
      <c r="GZ744" s="2877"/>
      <c r="HA744" s="2877"/>
      <c r="HB744" s="2877"/>
      <c r="HC744" s="2877"/>
      <c r="HD744" s="2877"/>
      <c r="HE744" s="2877"/>
      <c r="HF744" s="2877"/>
      <c r="HG744" s="2877"/>
      <c r="HH744" s="2877"/>
      <c r="HI744" s="2877"/>
      <c r="HJ744" s="2877"/>
      <c r="HK744" s="2877"/>
      <c r="HL744" s="2877"/>
      <c r="HM744" s="2877"/>
      <c r="HN744" s="2877"/>
      <c r="HO744" s="2877"/>
      <c r="HP744" s="2877"/>
      <c r="HQ744" s="2877"/>
      <c r="HR744" s="2877"/>
      <c r="HS744" s="2877"/>
      <c r="HT744" s="2877"/>
      <c r="HU744" s="2877"/>
      <c r="HV744" s="2877"/>
      <c r="HW744" s="2877"/>
      <c r="HX744" s="2877"/>
      <c r="HY744" s="2877"/>
      <c r="HZ744" s="2877"/>
      <c r="IA744" s="2877"/>
      <c r="IB744" s="2877"/>
      <c r="IC744" s="2877"/>
      <c r="IJ744" s="2875"/>
      <c r="IZ744" s="2875"/>
      <c r="JA744" s="2875"/>
    </row>
    <row r="745" spans="1:262" ht="2.25" customHeight="1">
      <c r="B745" s="2875"/>
      <c r="D745" s="527"/>
      <c r="E745" s="2943"/>
      <c r="I745" s="2944"/>
      <c r="P745" s="527"/>
      <c r="GS745" s="2877"/>
      <c r="GX745" s="2877"/>
      <c r="GY745" s="2877"/>
      <c r="GZ745" s="2877"/>
      <c r="HA745" s="2877"/>
      <c r="HB745" s="2877"/>
      <c r="HC745" s="2877"/>
      <c r="HD745" s="2877"/>
      <c r="HE745" s="2877"/>
      <c r="HF745" s="2877"/>
      <c r="HG745" s="2877"/>
      <c r="HH745" s="2877"/>
      <c r="HI745" s="2877"/>
      <c r="HJ745" s="2877"/>
      <c r="HK745" s="2877"/>
      <c r="HL745" s="2877"/>
      <c r="HM745" s="2877"/>
      <c r="HN745" s="2877"/>
      <c r="HO745" s="2877"/>
      <c r="HP745" s="2877"/>
      <c r="HQ745" s="2877"/>
      <c r="HR745" s="2877"/>
      <c r="HS745" s="2877"/>
      <c r="HT745" s="2877"/>
      <c r="HU745" s="2877"/>
      <c r="HV745" s="2877"/>
      <c r="HW745" s="2877"/>
      <c r="HX745" s="2877"/>
      <c r="HY745" s="2877"/>
      <c r="HZ745" s="2877"/>
      <c r="IA745" s="2877"/>
      <c r="IB745" s="2877"/>
      <c r="IC745" s="2877"/>
      <c r="IJ745" s="2875"/>
      <c r="IZ745" s="2875"/>
      <c r="JA745" s="2875"/>
    </row>
    <row r="746" spans="1:262" ht="12" customHeight="1">
      <c r="B746" s="2875" t="s">
        <v>1519</v>
      </c>
      <c r="I746" s="2875"/>
      <c r="K746" s="2945"/>
      <c r="T746" s="526" t="str">
        <f>B746</f>
        <v>Other Income (OI) by Year:</v>
      </c>
      <c r="GS746" s="2877"/>
      <c r="GX746" s="2877"/>
      <c r="GY746" s="2877"/>
      <c r="GZ746" s="2877"/>
      <c r="HA746" s="2877"/>
      <c r="HB746" s="2877"/>
      <c r="HC746" s="2877"/>
      <c r="HD746" s="2877"/>
      <c r="HE746" s="2877"/>
      <c r="HF746" s="2877"/>
      <c r="HG746" s="2877"/>
      <c r="HH746" s="2877"/>
      <c r="HI746" s="2877"/>
      <c r="HJ746" s="2877"/>
      <c r="HK746" s="2877"/>
      <c r="HL746" s="2877"/>
      <c r="HM746" s="2877"/>
      <c r="HN746" s="2877"/>
      <c r="HO746" s="2877"/>
      <c r="HP746" s="2877"/>
      <c r="HQ746" s="2877"/>
      <c r="HR746" s="2877"/>
      <c r="HS746" s="2877"/>
      <c r="HT746" s="2877"/>
      <c r="HU746" s="2877"/>
      <c r="HV746" s="2877"/>
      <c r="HW746" s="2877"/>
      <c r="HX746" s="2877"/>
      <c r="HY746" s="2877"/>
      <c r="HZ746" s="2877"/>
      <c r="IA746" s="2877"/>
      <c r="IB746" s="2877"/>
      <c r="IC746" s="2877"/>
      <c r="IJ746" s="2875"/>
      <c r="IZ746" s="2875"/>
      <c r="JA746" s="2875"/>
    </row>
    <row r="747" spans="1:262" ht="12.75" customHeight="1">
      <c r="B747" s="2946" t="s">
        <v>2395</v>
      </c>
      <c r="G747" s="2947">
        <v>1</v>
      </c>
      <c r="H747" s="2947">
        <v>2</v>
      </c>
      <c r="I747" s="2947">
        <v>3</v>
      </c>
      <c r="J747" s="2947">
        <v>4</v>
      </c>
      <c r="K747" s="2947">
        <v>5</v>
      </c>
      <c r="L747" s="2947">
        <v>6</v>
      </c>
      <c r="M747" s="2947">
        <v>7</v>
      </c>
      <c r="N747" s="2947">
        <v>8</v>
      </c>
      <c r="O747" s="2947">
        <v>9</v>
      </c>
      <c r="P747" s="2947">
        <v>10</v>
      </c>
      <c r="T747" s="523" t="str">
        <f>B747</f>
        <v>Included in Mgt Fee:</v>
      </c>
      <c r="GS747" s="2877"/>
      <c r="GX747" s="2877"/>
      <c r="GY747" s="2877"/>
      <c r="GZ747" s="2877"/>
      <c r="HA747" s="2877"/>
      <c r="HB747" s="2877"/>
      <c r="HC747" s="2877"/>
      <c r="HD747" s="2877"/>
      <c r="HE747" s="2877"/>
      <c r="HF747" s="2877"/>
      <c r="HG747" s="2877"/>
      <c r="HH747" s="2877"/>
      <c r="HI747" s="2877"/>
      <c r="HJ747" s="2877"/>
      <c r="HK747" s="2877"/>
      <c r="HL747" s="2877"/>
      <c r="HM747" s="2877"/>
      <c r="HN747" s="2877"/>
      <c r="HO747" s="2877"/>
      <c r="HP747" s="2877"/>
      <c r="HQ747" s="2877"/>
      <c r="HR747" s="2877"/>
      <c r="HS747" s="2877"/>
      <c r="HT747" s="2877"/>
      <c r="HU747" s="2877"/>
      <c r="HV747" s="2877"/>
      <c r="HW747" s="2877"/>
      <c r="HX747" s="2877"/>
      <c r="HY747" s="2877"/>
      <c r="HZ747" s="2877"/>
      <c r="IA747" s="2877"/>
      <c r="IB747" s="2877"/>
      <c r="IC747" s="2877"/>
      <c r="IJ747" s="2875"/>
      <c r="IZ747" s="2875"/>
      <c r="JA747" s="2875"/>
    </row>
    <row r="748" spans="1:262" ht="11.25" customHeight="1">
      <c r="B748" s="523" t="s">
        <v>1067</v>
      </c>
      <c r="C748" s="523"/>
      <c r="D748" s="523"/>
      <c r="E748" s="523"/>
      <c r="F748" s="523"/>
      <c r="G748" s="2948">
        <f>'Part VI-Revenues &amp; Expenses'!G128</f>
        <v>0</v>
      </c>
      <c r="H748" s="2948">
        <f>'Part VI-Revenues &amp; Expenses'!H128</f>
        <v>0</v>
      </c>
      <c r="I748" s="2948">
        <f>'Part VI-Revenues &amp; Expenses'!I128</f>
        <v>0</v>
      </c>
      <c r="J748" s="2948">
        <f>'Part VI-Revenues &amp; Expenses'!J128</f>
        <v>0</v>
      </c>
      <c r="K748" s="2948">
        <f>'Part VI-Revenues &amp; Expenses'!K128</f>
        <v>0</v>
      </c>
      <c r="L748" s="2948">
        <f>'Part VI-Revenues &amp; Expenses'!L128</f>
        <v>0</v>
      </c>
      <c r="M748" s="2948">
        <f>'Part VI-Revenues &amp; Expenses'!M128</f>
        <v>0</v>
      </c>
      <c r="N748" s="2948">
        <f>'Part VI-Revenues &amp; Expenses'!N128</f>
        <v>0</v>
      </c>
      <c r="O748" s="2948">
        <f>'Part VI-Revenues &amp; Expenses'!O128</f>
        <v>0</v>
      </c>
      <c r="P748" s="2948">
        <f>'Part VI-Revenues &amp; Expenses'!P128</f>
        <v>0</v>
      </c>
      <c r="T748" s="2837">
        <f>'Part VI-Revenues &amp; Expenses'!T128</f>
        <v>0</v>
      </c>
      <c r="U748" s="2908"/>
      <c r="GS748" s="2877"/>
      <c r="GX748" s="2877"/>
      <c r="GY748" s="2877"/>
      <c r="GZ748" s="2877"/>
      <c r="HA748" s="2877"/>
      <c r="HB748" s="2877"/>
      <c r="HC748" s="2877"/>
      <c r="HD748" s="2877"/>
      <c r="HE748" s="2877"/>
      <c r="HF748" s="2877"/>
      <c r="HG748" s="2877"/>
      <c r="HH748" s="2877"/>
      <c r="HI748" s="2877"/>
      <c r="HJ748" s="2877"/>
      <c r="HK748" s="2877"/>
      <c r="HL748" s="2877"/>
      <c r="HM748" s="2877"/>
      <c r="HN748" s="2877"/>
      <c r="HO748" s="2877"/>
      <c r="HP748" s="2877"/>
      <c r="HQ748" s="2877"/>
      <c r="HR748" s="2877"/>
      <c r="HS748" s="2877"/>
      <c r="HT748" s="2877"/>
      <c r="HU748" s="2877"/>
      <c r="HV748" s="2877"/>
      <c r="HW748" s="2877"/>
      <c r="HX748" s="2877"/>
      <c r="HY748" s="2877"/>
      <c r="HZ748" s="2877"/>
      <c r="IA748" s="2877"/>
      <c r="IB748" s="2877"/>
      <c r="IC748" s="2877"/>
      <c r="IJ748" s="2875"/>
      <c r="IZ748" s="2875"/>
      <c r="JA748" s="2875"/>
    </row>
    <row r="749" spans="1:262" ht="11.25" customHeight="1">
      <c r="B749" s="523" t="s">
        <v>781</v>
      </c>
      <c r="C749" s="2949">
        <f>'Part VI-Revenues &amp; Expenses'!C129</f>
        <v>0</v>
      </c>
      <c r="D749" s="2949"/>
      <c r="E749" s="2949"/>
      <c r="F749" s="2949"/>
      <c r="G749" s="2948">
        <f>'Part VI-Revenues &amp; Expenses'!G129</f>
        <v>0</v>
      </c>
      <c r="H749" s="2948">
        <f>'Part VI-Revenues &amp; Expenses'!H129</f>
        <v>0</v>
      </c>
      <c r="I749" s="2948">
        <f>'Part VI-Revenues &amp; Expenses'!I129</f>
        <v>0</v>
      </c>
      <c r="J749" s="2948">
        <f>'Part VI-Revenues &amp; Expenses'!J129</f>
        <v>0</v>
      </c>
      <c r="K749" s="2948">
        <f>'Part VI-Revenues &amp; Expenses'!K129</f>
        <v>0</v>
      </c>
      <c r="L749" s="2948">
        <f>'Part VI-Revenues &amp; Expenses'!L129</f>
        <v>0</v>
      </c>
      <c r="M749" s="2948">
        <f>'Part VI-Revenues &amp; Expenses'!M129</f>
        <v>0</v>
      </c>
      <c r="N749" s="2948">
        <f>'Part VI-Revenues &amp; Expenses'!N129</f>
        <v>0</v>
      </c>
      <c r="O749" s="2948">
        <f>'Part VI-Revenues &amp; Expenses'!O129</f>
        <v>0</v>
      </c>
      <c r="P749" s="2948">
        <f>'Part VI-Revenues &amp; Expenses'!P129</f>
        <v>0</v>
      </c>
      <c r="T749" s="2908"/>
      <c r="U749" s="2908"/>
      <c r="GS749" s="2877"/>
      <c r="GX749" s="2877"/>
      <c r="GY749" s="2877"/>
      <c r="GZ749" s="2877"/>
      <c r="HA749" s="2877"/>
      <c r="HB749" s="2877"/>
      <c r="HC749" s="2877"/>
      <c r="HD749" s="2877"/>
      <c r="HE749" s="2877"/>
      <c r="HF749" s="2877"/>
      <c r="HG749" s="2877"/>
      <c r="HH749" s="2877"/>
      <c r="HI749" s="2877"/>
      <c r="HJ749" s="2877"/>
      <c r="HK749" s="2877"/>
      <c r="HL749" s="2877"/>
      <c r="HM749" s="2877"/>
      <c r="HN749" s="2877"/>
      <c r="HO749" s="2877"/>
      <c r="HP749" s="2877"/>
      <c r="HQ749" s="2877"/>
      <c r="HR749" s="2877"/>
      <c r="HS749" s="2877"/>
      <c r="HT749" s="2877"/>
      <c r="HU749" s="2877"/>
      <c r="HV749" s="2877"/>
      <c r="HW749" s="2877"/>
      <c r="HX749" s="2877"/>
      <c r="HY749" s="2877"/>
      <c r="HZ749" s="2877"/>
      <c r="IA749" s="2877"/>
      <c r="IB749" s="2877"/>
      <c r="IC749" s="2877"/>
      <c r="IJ749" s="2875"/>
      <c r="IZ749" s="2875"/>
      <c r="JA749" s="2875"/>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908"/>
      <c r="U750" s="2908"/>
      <c r="GS750" s="2877"/>
      <c r="GX750" s="2877"/>
      <c r="GY750" s="2877"/>
      <c r="GZ750" s="2877"/>
      <c r="HA750" s="2877"/>
      <c r="HB750" s="2877"/>
      <c r="HC750" s="2877"/>
      <c r="HD750" s="2877"/>
      <c r="HE750" s="2877"/>
      <c r="HF750" s="2877"/>
      <c r="HG750" s="2877"/>
      <c r="HH750" s="2877"/>
      <c r="HI750" s="2877"/>
      <c r="HJ750" s="2877"/>
      <c r="HK750" s="2877"/>
      <c r="HL750" s="2877"/>
      <c r="HM750" s="2877"/>
      <c r="HN750" s="2877"/>
      <c r="HO750" s="2877"/>
      <c r="HP750" s="2877"/>
      <c r="HQ750" s="2877"/>
      <c r="HR750" s="2877"/>
      <c r="HS750" s="2877"/>
      <c r="HT750" s="2877"/>
      <c r="HU750" s="2877"/>
      <c r="HV750" s="2877"/>
      <c r="HW750" s="2877"/>
      <c r="HX750" s="2877"/>
      <c r="HY750" s="2877"/>
      <c r="HZ750" s="2877"/>
      <c r="IA750" s="2877"/>
      <c r="IB750" s="2877"/>
      <c r="IC750" s="2877"/>
      <c r="IJ750" s="2875"/>
      <c r="IZ750" s="2875"/>
      <c r="JA750" s="2875"/>
    </row>
    <row r="751" spans="1:262" ht="12" customHeight="1">
      <c r="B751" s="2946" t="s">
        <v>4585</v>
      </c>
      <c r="G751" s="2950"/>
      <c r="T751" s="523" t="str">
        <f>B751</f>
        <v>NOT Included in Mgt Fee:</v>
      </c>
      <c r="GS751" s="2877"/>
      <c r="GX751" s="2877"/>
      <c r="GY751" s="2877"/>
      <c r="GZ751" s="2877"/>
      <c r="HA751" s="2877"/>
      <c r="HB751" s="2877"/>
      <c r="HC751" s="2877"/>
      <c r="HD751" s="2877"/>
      <c r="HE751" s="2877"/>
      <c r="HF751" s="2877"/>
      <c r="HG751" s="2877"/>
      <c r="HH751" s="2877"/>
      <c r="HI751" s="2877"/>
      <c r="HJ751" s="2877"/>
      <c r="HK751" s="2877"/>
      <c r="HL751" s="2877"/>
      <c r="HM751" s="2877"/>
      <c r="HN751" s="2877"/>
      <c r="HO751" s="2877"/>
      <c r="HP751" s="2877"/>
      <c r="HQ751" s="2877"/>
      <c r="HR751" s="2877"/>
      <c r="HS751" s="2877"/>
      <c r="HT751" s="2877"/>
      <c r="HU751" s="2877"/>
      <c r="HV751" s="2877"/>
      <c r="HW751" s="2877"/>
      <c r="HX751" s="2877"/>
      <c r="HY751" s="2877"/>
      <c r="HZ751" s="2877"/>
      <c r="IA751" s="2877"/>
      <c r="IB751" s="2877"/>
      <c r="IC751" s="2877"/>
      <c r="IJ751" s="2875"/>
      <c r="IZ751" s="2875"/>
      <c r="JA751" s="2875"/>
    </row>
    <row r="752" spans="1:262" ht="11.25" customHeight="1">
      <c r="B752" s="523" t="s">
        <v>557</v>
      </c>
      <c r="C752" s="523"/>
      <c r="D752" s="523"/>
      <c r="E752" s="523"/>
      <c r="F752" s="523"/>
      <c r="G752" s="2948">
        <f>'Part VI-Revenues &amp; Expenses'!G132</f>
        <v>0</v>
      </c>
      <c r="H752" s="2948">
        <f>'Part VI-Revenues &amp; Expenses'!H132</f>
        <v>0</v>
      </c>
      <c r="I752" s="2948">
        <f>'Part VI-Revenues &amp; Expenses'!I132</f>
        <v>0</v>
      </c>
      <c r="J752" s="2948">
        <f>'Part VI-Revenues &amp; Expenses'!J132</f>
        <v>0</v>
      </c>
      <c r="K752" s="2948">
        <f>'Part VI-Revenues &amp; Expenses'!K132</f>
        <v>0</v>
      </c>
      <c r="L752" s="2948">
        <f>'Part VI-Revenues &amp; Expenses'!L132</f>
        <v>0</v>
      </c>
      <c r="M752" s="2948">
        <f>'Part VI-Revenues &amp; Expenses'!M132</f>
        <v>0</v>
      </c>
      <c r="N752" s="2948">
        <f>'Part VI-Revenues &amp; Expenses'!N132</f>
        <v>0</v>
      </c>
      <c r="O752" s="2948">
        <f>'Part VI-Revenues &amp; Expenses'!O132</f>
        <v>0</v>
      </c>
      <c r="P752" s="2948">
        <f>'Part VI-Revenues &amp; Expenses'!P132</f>
        <v>0</v>
      </c>
      <c r="T752" s="2837">
        <f>'Part VI-Revenues &amp; Expenses'!T132</f>
        <v>0</v>
      </c>
      <c r="U752" s="2908"/>
      <c r="GS752" s="2877"/>
      <c r="GX752" s="2877"/>
      <c r="GY752" s="2877"/>
      <c r="GZ752" s="2877"/>
      <c r="HA752" s="2877"/>
      <c r="HB752" s="2877"/>
      <c r="HC752" s="2877"/>
      <c r="HD752" s="2877"/>
      <c r="HE752" s="2877"/>
      <c r="HF752" s="2877"/>
      <c r="HG752" s="2877"/>
      <c r="HH752" s="2877"/>
      <c r="HI752" s="2877"/>
      <c r="HJ752" s="2877"/>
      <c r="HK752" s="2877"/>
      <c r="HL752" s="2877"/>
      <c r="HM752" s="2877"/>
      <c r="HN752" s="2877"/>
      <c r="HO752" s="2877"/>
      <c r="HP752" s="2877"/>
      <c r="HQ752" s="2877"/>
      <c r="HR752" s="2877"/>
      <c r="HS752" s="2877"/>
      <c r="HT752" s="2877"/>
      <c r="HU752" s="2877"/>
      <c r="HV752" s="2877"/>
      <c r="HW752" s="2877"/>
      <c r="HX752" s="2877"/>
      <c r="HY752" s="2877"/>
      <c r="HZ752" s="2877"/>
      <c r="IA752" s="2877"/>
      <c r="IB752" s="2877"/>
      <c r="IC752" s="2877"/>
      <c r="IJ752" s="2875"/>
      <c r="IZ752" s="2875"/>
      <c r="JA752" s="2875"/>
    </row>
    <row r="753" spans="2:261" ht="11.25" customHeight="1">
      <c r="B753" s="523" t="s">
        <v>781</v>
      </c>
      <c r="C753" s="2949">
        <f>'Part VI-Revenues &amp; Expenses'!C133</f>
        <v>0</v>
      </c>
      <c r="D753" s="2949"/>
      <c r="E753" s="2949"/>
      <c r="F753" s="2949"/>
      <c r="G753" s="2948">
        <f>'Part VI-Revenues &amp; Expenses'!G133</f>
        <v>0</v>
      </c>
      <c r="H753" s="2948">
        <f>'Part VI-Revenues &amp; Expenses'!H133</f>
        <v>0</v>
      </c>
      <c r="I753" s="2948">
        <f>'Part VI-Revenues &amp; Expenses'!I133</f>
        <v>0</v>
      </c>
      <c r="J753" s="2948">
        <f>'Part VI-Revenues &amp; Expenses'!J133</f>
        <v>0</v>
      </c>
      <c r="K753" s="2948">
        <f>'Part VI-Revenues &amp; Expenses'!K133</f>
        <v>0</v>
      </c>
      <c r="L753" s="2948">
        <f>'Part VI-Revenues &amp; Expenses'!L133</f>
        <v>0</v>
      </c>
      <c r="M753" s="2948">
        <f>'Part VI-Revenues &amp; Expenses'!M133</f>
        <v>0</v>
      </c>
      <c r="N753" s="2948">
        <f>'Part VI-Revenues &amp; Expenses'!N133</f>
        <v>0</v>
      </c>
      <c r="O753" s="2948">
        <f>'Part VI-Revenues &amp; Expenses'!O133</f>
        <v>0</v>
      </c>
      <c r="P753" s="2948">
        <f>'Part VI-Revenues &amp; Expenses'!P133</f>
        <v>0</v>
      </c>
      <c r="T753" s="2908"/>
      <c r="U753" s="2908"/>
      <c r="GS753" s="2877"/>
      <c r="GX753" s="2877"/>
      <c r="GY753" s="2877"/>
      <c r="GZ753" s="2877"/>
      <c r="HA753" s="2877"/>
      <c r="HB753" s="2877"/>
      <c r="HC753" s="2877"/>
      <c r="HD753" s="2877"/>
      <c r="HE753" s="2877"/>
      <c r="HF753" s="2877"/>
      <c r="HG753" s="2877"/>
      <c r="HH753" s="2877"/>
      <c r="HI753" s="2877"/>
      <c r="HJ753" s="2877"/>
      <c r="HK753" s="2877"/>
      <c r="HL753" s="2877"/>
      <c r="HM753" s="2877"/>
      <c r="HN753" s="2877"/>
      <c r="HO753" s="2877"/>
      <c r="HP753" s="2877"/>
      <c r="HQ753" s="2877"/>
      <c r="HR753" s="2877"/>
      <c r="HS753" s="2877"/>
      <c r="HT753" s="2877"/>
      <c r="HU753" s="2877"/>
      <c r="HV753" s="2877"/>
      <c r="HW753" s="2877"/>
      <c r="HX753" s="2877"/>
      <c r="HY753" s="2877"/>
      <c r="HZ753" s="2877"/>
      <c r="IA753" s="2877"/>
      <c r="IB753" s="2877"/>
      <c r="IC753" s="2877"/>
      <c r="IJ753" s="2875"/>
      <c r="IZ753" s="2875"/>
      <c r="JA753" s="2875"/>
    </row>
    <row r="754" spans="2:261" ht="11.25" customHeight="1">
      <c r="B754" s="523"/>
      <c r="C754" s="527" t="s">
        <v>4586</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908"/>
      <c r="U754" s="2908"/>
      <c r="GS754" s="2877"/>
      <c r="GX754" s="2877"/>
      <c r="GY754" s="2877"/>
      <c r="GZ754" s="2877"/>
      <c r="HA754" s="2877"/>
      <c r="HB754" s="2877"/>
      <c r="HC754" s="2877"/>
      <c r="HD754" s="2877"/>
      <c r="HE754" s="2877"/>
      <c r="HF754" s="2877"/>
      <c r="HG754" s="2877"/>
      <c r="HH754" s="2877"/>
      <c r="HI754" s="2877"/>
      <c r="HJ754" s="2877"/>
      <c r="HK754" s="2877"/>
      <c r="HL754" s="2877"/>
      <c r="HM754" s="2877"/>
      <c r="HN754" s="2877"/>
      <c r="HO754" s="2877"/>
      <c r="HP754" s="2877"/>
      <c r="HQ754" s="2877"/>
      <c r="HR754" s="2877"/>
      <c r="HS754" s="2877"/>
      <c r="HT754" s="2877"/>
      <c r="HU754" s="2877"/>
      <c r="HV754" s="2877"/>
      <c r="HW754" s="2877"/>
      <c r="HX754" s="2877"/>
      <c r="HY754" s="2877"/>
      <c r="HZ754" s="2877"/>
      <c r="IA754" s="2877"/>
      <c r="IB754" s="2877"/>
      <c r="IC754" s="2877"/>
      <c r="IJ754" s="2875"/>
      <c r="IZ754" s="2875"/>
      <c r="JA754" s="2875"/>
    </row>
    <row r="755" spans="2:261" ht="6" customHeight="1">
      <c r="B755" s="2875"/>
      <c r="G755" s="2950"/>
      <c r="T755" s="2898" t="s">
        <v>2750</v>
      </c>
      <c r="GS755" s="2877"/>
      <c r="GX755" s="2877"/>
      <c r="GY755" s="2877"/>
      <c r="GZ755" s="2877"/>
      <c r="HA755" s="2877"/>
      <c r="HB755" s="2877"/>
      <c r="HC755" s="2877"/>
      <c r="HD755" s="2877"/>
      <c r="HE755" s="2877"/>
      <c r="HF755" s="2877"/>
      <c r="HG755" s="2877"/>
      <c r="HH755" s="2877"/>
      <c r="HI755" s="2877"/>
      <c r="HJ755" s="2877"/>
      <c r="HK755" s="2877"/>
      <c r="HL755" s="2877"/>
      <c r="HM755" s="2877"/>
      <c r="HN755" s="2877"/>
      <c r="HO755" s="2877"/>
      <c r="HP755" s="2877"/>
      <c r="HQ755" s="2877"/>
      <c r="HR755" s="2877"/>
      <c r="HS755" s="2877"/>
      <c r="HT755" s="2877"/>
      <c r="HU755" s="2877"/>
      <c r="HV755" s="2877"/>
      <c r="HW755" s="2877"/>
      <c r="HX755" s="2877"/>
      <c r="HY755" s="2877"/>
      <c r="HZ755" s="2877"/>
      <c r="IA755" s="2877"/>
      <c r="IB755" s="2877"/>
      <c r="IC755" s="2877"/>
      <c r="IJ755" s="2875"/>
      <c r="IZ755" s="2875"/>
      <c r="JA755" s="2875"/>
    </row>
    <row r="756" spans="2:261" ht="12.75" customHeight="1">
      <c r="B756" s="2946" t="s">
        <v>2395</v>
      </c>
      <c r="G756" s="2947">
        <v>11</v>
      </c>
      <c r="H756" s="2947">
        <v>12</v>
      </c>
      <c r="I756" s="2947">
        <v>13</v>
      </c>
      <c r="J756" s="2947">
        <v>14</v>
      </c>
      <c r="K756" s="2947">
        <v>15</v>
      </c>
      <c r="L756" s="2947">
        <v>16</v>
      </c>
      <c r="M756" s="2947">
        <v>17</v>
      </c>
      <c r="N756" s="2947">
        <v>18</v>
      </c>
      <c r="O756" s="2947">
        <v>19</v>
      </c>
      <c r="P756" s="2947">
        <v>20</v>
      </c>
      <c r="T756" s="523" t="str">
        <f>B756</f>
        <v>Included in Mgt Fee:</v>
      </c>
      <c r="GS756" s="2877"/>
      <c r="GX756" s="2877"/>
      <c r="GY756" s="2877"/>
      <c r="GZ756" s="2877"/>
      <c r="HA756" s="2877"/>
      <c r="HB756" s="2877"/>
      <c r="HC756" s="2877"/>
      <c r="HD756" s="2877"/>
      <c r="HE756" s="2877"/>
      <c r="HF756" s="2877"/>
      <c r="HG756" s="2877"/>
      <c r="HH756" s="2877"/>
      <c r="HI756" s="2877"/>
      <c r="HJ756" s="2877"/>
      <c r="HK756" s="2877"/>
      <c r="HL756" s="2877"/>
      <c r="HM756" s="2877"/>
      <c r="HN756" s="2877"/>
      <c r="HO756" s="2877"/>
      <c r="HP756" s="2877"/>
      <c r="HQ756" s="2877"/>
      <c r="HR756" s="2877"/>
      <c r="HS756" s="2877"/>
      <c r="HT756" s="2877"/>
      <c r="HU756" s="2877"/>
      <c r="HV756" s="2877"/>
      <c r="HW756" s="2877"/>
      <c r="HX756" s="2877"/>
      <c r="HY756" s="2877"/>
      <c r="HZ756" s="2877"/>
      <c r="IA756" s="2877"/>
      <c r="IB756" s="2877"/>
      <c r="IC756" s="2877"/>
      <c r="IJ756" s="2875"/>
      <c r="IZ756" s="2875"/>
      <c r="JA756" s="2875"/>
    </row>
    <row r="757" spans="2:261" ht="11.25" customHeight="1">
      <c r="B757" s="523" t="s">
        <v>1067</v>
      </c>
      <c r="C757" s="523"/>
      <c r="D757" s="523"/>
      <c r="E757" s="523"/>
      <c r="F757" s="523"/>
      <c r="G757" s="2948">
        <f>'Part VI-Revenues &amp; Expenses'!G137</f>
        <v>0</v>
      </c>
      <c r="H757" s="2948">
        <f>'Part VI-Revenues &amp; Expenses'!H137</f>
        <v>0</v>
      </c>
      <c r="I757" s="2948">
        <f>'Part VI-Revenues &amp; Expenses'!I137</f>
        <v>0</v>
      </c>
      <c r="J757" s="2948">
        <f>'Part VI-Revenues &amp; Expenses'!J137</f>
        <v>0</v>
      </c>
      <c r="K757" s="2948">
        <f>'Part VI-Revenues &amp; Expenses'!K137</f>
        <v>0</v>
      </c>
      <c r="L757" s="2948">
        <f>'Part VI-Revenues &amp; Expenses'!L137</f>
        <v>0</v>
      </c>
      <c r="M757" s="2948">
        <f>'Part VI-Revenues &amp; Expenses'!M137</f>
        <v>0</v>
      </c>
      <c r="N757" s="2948">
        <f>'Part VI-Revenues &amp; Expenses'!N137</f>
        <v>0</v>
      </c>
      <c r="O757" s="2948">
        <f>'Part VI-Revenues &amp; Expenses'!O137</f>
        <v>0</v>
      </c>
      <c r="P757" s="2948">
        <f>'Part VI-Revenues &amp; Expenses'!P137</f>
        <v>0</v>
      </c>
      <c r="T757" s="2837">
        <f>'Part VI-Revenues &amp; Expenses'!T137</f>
        <v>0</v>
      </c>
      <c r="U757" s="2908"/>
      <c r="GS757" s="2877"/>
      <c r="GX757" s="2877"/>
      <c r="GY757" s="2877"/>
      <c r="GZ757" s="2877"/>
      <c r="HA757" s="2877"/>
      <c r="HB757" s="2877"/>
      <c r="HC757" s="2877"/>
      <c r="HD757" s="2877"/>
      <c r="HE757" s="2877"/>
      <c r="HF757" s="2877"/>
      <c r="HG757" s="2877"/>
      <c r="HH757" s="2877"/>
      <c r="HI757" s="2877"/>
      <c r="HJ757" s="2877"/>
      <c r="HK757" s="2877"/>
      <c r="HL757" s="2877"/>
      <c r="HM757" s="2877"/>
      <c r="HN757" s="2877"/>
      <c r="HO757" s="2877"/>
      <c r="HP757" s="2877"/>
      <c r="HQ757" s="2877"/>
      <c r="HR757" s="2877"/>
      <c r="HS757" s="2877"/>
      <c r="HT757" s="2877"/>
      <c r="HU757" s="2877"/>
      <c r="HV757" s="2877"/>
      <c r="HW757" s="2877"/>
      <c r="HX757" s="2877"/>
      <c r="HY757" s="2877"/>
      <c r="HZ757" s="2877"/>
      <c r="IA757" s="2877"/>
      <c r="IB757" s="2877"/>
      <c r="IC757" s="2877"/>
      <c r="IJ757" s="2875"/>
      <c r="IZ757" s="2875"/>
      <c r="JA757" s="2875"/>
    </row>
    <row r="758" spans="2:261" ht="11.25" customHeight="1">
      <c r="B758" s="523" t="s">
        <v>781</v>
      </c>
      <c r="C758" s="2949">
        <f>'Part VI-Revenues &amp; Expenses'!C138</f>
        <v>0</v>
      </c>
      <c r="D758" s="2949"/>
      <c r="E758" s="2949"/>
      <c r="F758" s="2949"/>
      <c r="G758" s="2948">
        <f>'Part VI-Revenues &amp; Expenses'!G138</f>
        <v>0</v>
      </c>
      <c r="H758" s="2948">
        <f>'Part VI-Revenues &amp; Expenses'!H138</f>
        <v>0</v>
      </c>
      <c r="I758" s="2948">
        <f>'Part VI-Revenues &amp; Expenses'!I138</f>
        <v>0</v>
      </c>
      <c r="J758" s="2948">
        <f>'Part VI-Revenues &amp; Expenses'!J138</f>
        <v>0</v>
      </c>
      <c r="K758" s="2948">
        <f>'Part VI-Revenues &amp; Expenses'!K138</f>
        <v>0</v>
      </c>
      <c r="L758" s="2948">
        <f>'Part VI-Revenues &amp; Expenses'!L138</f>
        <v>0</v>
      </c>
      <c r="M758" s="2948">
        <f>'Part VI-Revenues &amp; Expenses'!M138</f>
        <v>0</v>
      </c>
      <c r="N758" s="2948">
        <f>'Part VI-Revenues &amp; Expenses'!N138</f>
        <v>0</v>
      </c>
      <c r="O758" s="2948">
        <f>'Part VI-Revenues &amp; Expenses'!O138</f>
        <v>0</v>
      </c>
      <c r="P758" s="2948">
        <f>'Part VI-Revenues &amp; Expenses'!P138</f>
        <v>0</v>
      </c>
      <c r="T758" s="2908"/>
      <c r="U758" s="2908"/>
      <c r="GS758" s="2877"/>
      <c r="GX758" s="2877"/>
      <c r="GY758" s="2877"/>
      <c r="GZ758" s="2877"/>
      <c r="HA758" s="2877"/>
      <c r="HB758" s="2877"/>
      <c r="HC758" s="2877"/>
      <c r="HD758" s="2877"/>
      <c r="HE758" s="2877"/>
      <c r="HF758" s="2877"/>
      <c r="HG758" s="2877"/>
      <c r="HH758" s="2877"/>
      <c r="HI758" s="2877"/>
      <c r="HJ758" s="2877"/>
      <c r="HK758" s="2877"/>
      <c r="HL758" s="2877"/>
      <c r="HM758" s="2877"/>
      <c r="HN758" s="2877"/>
      <c r="HO758" s="2877"/>
      <c r="HP758" s="2877"/>
      <c r="HQ758" s="2877"/>
      <c r="HR758" s="2877"/>
      <c r="HS758" s="2877"/>
      <c r="HT758" s="2877"/>
      <c r="HU758" s="2877"/>
      <c r="HV758" s="2877"/>
      <c r="HW758" s="2877"/>
      <c r="HX758" s="2877"/>
      <c r="HY758" s="2877"/>
      <c r="HZ758" s="2877"/>
      <c r="IA758" s="2877"/>
      <c r="IB758" s="2877"/>
      <c r="IC758" s="2877"/>
      <c r="IJ758" s="2875"/>
      <c r="IZ758" s="2875"/>
      <c r="JA758" s="2875"/>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908"/>
      <c r="U759" s="2908"/>
      <c r="GS759" s="2877"/>
      <c r="GX759" s="2877"/>
      <c r="GY759" s="2877"/>
      <c r="GZ759" s="2877"/>
      <c r="HA759" s="2877"/>
      <c r="HB759" s="2877"/>
      <c r="HC759" s="2877"/>
      <c r="HD759" s="2877"/>
      <c r="HE759" s="2877"/>
      <c r="HF759" s="2877"/>
      <c r="HG759" s="2877"/>
      <c r="HH759" s="2877"/>
      <c r="HI759" s="2877"/>
      <c r="HJ759" s="2877"/>
      <c r="HK759" s="2877"/>
      <c r="HL759" s="2877"/>
      <c r="HM759" s="2877"/>
      <c r="HN759" s="2877"/>
      <c r="HO759" s="2877"/>
      <c r="HP759" s="2877"/>
      <c r="HQ759" s="2877"/>
      <c r="HR759" s="2877"/>
      <c r="HS759" s="2877"/>
      <c r="HT759" s="2877"/>
      <c r="HU759" s="2877"/>
      <c r="HV759" s="2877"/>
      <c r="HW759" s="2877"/>
      <c r="HX759" s="2877"/>
      <c r="HY759" s="2877"/>
      <c r="HZ759" s="2877"/>
      <c r="IA759" s="2877"/>
      <c r="IB759" s="2877"/>
      <c r="IC759" s="2877"/>
      <c r="IJ759" s="2875"/>
      <c r="IZ759" s="2875"/>
      <c r="JA759" s="2875"/>
    </row>
    <row r="760" spans="2:261" ht="12" customHeight="1">
      <c r="B760" s="2946" t="s">
        <v>4585</v>
      </c>
      <c r="G760" s="2950"/>
      <c r="T760" s="523" t="str">
        <f>B760</f>
        <v>NOT Included in Mgt Fee:</v>
      </c>
      <c r="GS760" s="2877"/>
      <c r="GX760" s="2877"/>
      <c r="GY760" s="2877"/>
      <c r="GZ760" s="2877"/>
      <c r="HA760" s="2877"/>
      <c r="HB760" s="2877"/>
      <c r="HC760" s="2877"/>
      <c r="HD760" s="2877"/>
      <c r="HE760" s="2877"/>
      <c r="HF760" s="2877"/>
      <c r="HG760" s="2877"/>
      <c r="HH760" s="2877"/>
      <c r="HI760" s="2877"/>
      <c r="HJ760" s="2877"/>
      <c r="HK760" s="2877"/>
      <c r="HL760" s="2877"/>
      <c r="HM760" s="2877"/>
      <c r="HN760" s="2877"/>
      <c r="HO760" s="2877"/>
      <c r="HP760" s="2877"/>
      <c r="HQ760" s="2877"/>
      <c r="HR760" s="2877"/>
      <c r="HS760" s="2877"/>
      <c r="HT760" s="2877"/>
      <c r="HU760" s="2877"/>
      <c r="HV760" s="2877"/>
      <c r="HW760" s="2877"/>
      <c r="HX760" s="2877"/>
      <c r="HY760" s="2877"/>
      <c r="HZ760" s="2877"/>
      <c r="IA760" s="2877"/>
      <c r="IB760" s="2877"/>
      <c r="IC760" s="2877"/>
      <c r="IJ760" s="2875"/>
      <c r="IZ760" s="2875"/>
      <c r="JA760" s="2875"/>
    </row>
    <row r="761" spans="2:261" ht="11.25" customHeight="1">
      <c r="B761" s="523" t="s">
        <v>557</v>
      </c>
      <c r="C761" s="523"/>
      <c r="D761" s="523"/>
      <c r="E761" s="523"/>
      <c r="F761" s="523"/>
      <c r="G761" s="2948">
        <f>'Part VI-Revenues &amp; Expenses'!G141</f>
        <v>0</v>
      </c>
      <c r="H761" s="2948">
        <f>'Part VI-Revenues &amp; Expenses'!H141</f>
        <v>0</v>
      </c>
      <c r="I761" s="2948">
        <f>'Part VI-Revenues &amp; Expenses'!I141</f>
        <v>0</v>
      </c>
      <c r="J761" s="2948">
        <f>'Part VI-Revenues &amp; Expenses'!J141</f>
        <v>0</v>
      </c>
      <c r="K761" s="2948">
        <f>'Part VI-Revenues &amp; Expenses'!K141</f>
        <v>0</v>
      </c>
      <c r="L761" s="2948">
        <f>'Part VI-Revenues &amp; Expenses'!L141</f>
        <v>0</v>
      </c>
      <c r="M761" s="2948">
        <f>'Part VI-Revenues &amp; Expenses'!M141</f>
        <v>0</v>
      </c>
      <c r="N761" s="2948">
        <f>'Part VI-Revenues &amp; Expenses'!N141</f>
        <v>0</v>
      </c>
      <c r="O761" s="2948">
        <f>'Part VI-Revenues &amp; Expenses'!O141</f>
        <v>0</v>
      </c>
      <c r="P761" s="2948">
        <f>'Part VI-Revenues &amp; Expenses'!P141</f>
        <v>0</v>
      </c>
      <c r="T761" s="2837">
        <f>'Part VI-Revenues &amp; Expenses'!T141</f>
        <v>0</v>
      </c>
      <c r="U761" s="2908"/>
      <c r="GS761" s="2877"/>
      <c r="GX761" s="2877"/>
      <c r="GY761" s="2877"/>
      <c r="GZ761" s="2877"/>
      <c r="HA761" s="2877"/>
      <c r="HB761" s="2877"/>
      <c r="HC761" s="2877"/>
      <c r="HD761" s="2877"/>
      <c r="HE761" s="2877"/>
      <c r="HF761" s="2877"/>
      <c r="HG761" s="2877"/>
      <c r="HH761" s="2877"/>
      <c r="HI761" s="2877"/>
      <c r="HJ761" s="2877"/>
      <c r="HK761" s="2877"/>
      <c r="HL761" s="2877"/>
      <c r="HM761" s="2877"/>
      <c r="HN761" s="2877"/>
      <c r="HO761" s="2877"/>
      <c r="HP761" s="2877"/>
      <c r="HQ761" s="2877"/>
      <c r="HR761" s="2877"/>
      <c r="HS761" s="2877"/>
      <c r="HT761" s="2877"/>
      <c r="HU761" s="2877"/>
      <c r="HV761" s="2877"/>
      <c r="HW761" s="2877"/>
      <c r="HX761" s="2877"/>
      <c r="HY761" s="2877"/>
      <c r="HZ761" s="2877"/>
      <c r="IA761" s="2877"/>
      <c r="IB761" s="2877"/>
      <c r="IC761" s="2877"/>
      <c r="IJ761" s="2875"/>
      <c r="IZ761" s="2875"/>
      <c r="JA761" s="2875"/>
    </row>
    <row r="762" spans="2:261" ht="11.25" customHeight="1">
      <c r="B762" s="523" t="s">
        <v>781</v>
      </c>
      <c r="C762" s="2949">
        <f>'Part VI-Revenues &amp; Expenses'!C142</f>
        <v>0</v>
      </c>
      <c r="D762" s="2949"/>
      <c r="E762" s="2949"/>
      <c r="F762" s="2949"/>
      <c r="G762" s="2948">
        <f>'Part VI-Revenues &amp; Expenses'!G142</f>
        <v>0</v>
      </c>
      <c r="H762" s="2948">
        <f>'Part VI-Revenues &amp; Expenses'!H142</f>
        <v>0</v>
      </c>
      <c r="I762" s="2948">
        <f>'Part VI-Revenues &amp; Expenses'!I142</f>
        <v>0</v>
      </c>
      <c r="J762" s="2948">
        <f>'Part VI-Revenues &amp; Expenses'!J142</f>
        <v>0</v>
      </c>
      <c r="K762" s="2948">
        <f>'Part VI-Revenues &amp; Expenses'!K142</f>
        <v>0</v>
      </c>
      <c r="L762" s="2948">
        <f>'Part VI-Revenues &amp; Expenses'!L142</f>
        <v>0</v>
      </c>
      <c r="M762" s="2948">
        <f>'Part VI-Revenues &amp; Expenses'!M142</f>
        <v>0</v>
      </c>
      <c r="N762" s="2948">
        <f>'Part VI-Revenues &amp; Expenses'!N142</f>
        <v>0</v>
      </c>
      <c r="O762" s="2948">
        <f>'Part VI-Revenues &amp; Expenses'!O142</f>
        <v>0</v>
      </c>
      <c r="P762" s="2948">
        <f>'Part VI-Revenues &amp; Expenses'!P142</f>
        <v>0</v>
      </c>
      <c r="T762" s="2908"/>
      <c r="U762" s="2908"/>
      <c r="GS762" s="2877"/>
      <c r="GX762" s="2877"/>
      <c r="GY762" s="2877"/>
      <c r="GZ762" s="2877"/>
      <c r="HA762" s="2877"/>
      <c r="HB762" s="2877"/>
      <c r="HC762" s="2877"/>
      <c r="HD762" s="2877"/>
      <c r="HE762" s="2877"/>
      <c r="HF762" s="2877"/>
      <c r="HG762" s="2877"/>
      <c r="HH762" s="2877"/>
      <c r="HI762" s="2877"/>
      <c r="HJ762" s="2877"/>
      <c r="HK762" s="2877"/>
      <c r="HL762" s="2877"/>
      <c r="HM762" s="2877"/>
      <c r="HN762" s="2877"/>
      <c r="HO762" s="2877"/>
      <c r="HP762" s="2877"/>
      <c r="HQ762" s="2877"/>
      <c r="HR762" s="2877"/>
      <c r="HS762" s="2877"/>
      <c r="HT762" s="2877"/>
      <c r="HU762" s="2877"/>
      <c r="HV762" s="2877"/>
      <c r="HW762" s="2877"/>
      <c r="HX762" s="2877"/>
      <c r="HY762" s="2877"/>
      <c r="HZ762" s="2877"/>
      <c r="IA762" s="2877"/>
      <c r="IB762" s="2877"/>
      <c r="IC762" s="2877"/>
      <c r="IJ762" s="2875"/>
      <c r="IZ762" s="2875"/>
      <c r="JA762" s="2875"/>
    </row>
    <row r="763" spans="2:261" ht="11.25" customHeight="1">
      <c r="B763" s="523"/>
      <c r="C763" s="527" t="s">
        <v>4586</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908"/>
      <c r="U763" s="2908"/>
      <c r="GS763" s="2877"/>
      <c r="GX763" s="2877"/>
      <c r="GY763" s="2877"/>
      <c r="GZ763" s="2877"/>
      <c r="HA763" s="2877"/>
      <c r="HB763" s="2877"/>
      <c r="HC763" s="2877"/>
      <c r="HD763" s="2877"/>
      <c r="HE763" s="2877"/>
      <c r="HF763" s="2877"/>
      <c r="HG763" s="2877"/>
      <c r="HH763" s="2877"/>
      <c r="HI763" s="2877"/>
      <c r="HJ763" s="2877"/>
      <c r="HK763" s="2877"/>
      <c r="HL763" s="2877"/>
      <c r="HM763" s="2877"/>
      <c r="HN763" s="2877"/>
      <c r="HO763" s="2877"/>
      <c r="HP763" s="2877"/>
      <c r="HQ763" s="2877"/>
      <c r="HR763" s="2877"/>
      <c r="HS763" s="2877"/>
      <c r="HT763" s="2877"/>
      <c r="HU763" s="2877"/>
      <c r="HV763" s="2877"/>
      <c r="HW763" s="2877"/>
      <c r="HX763" s="2877"/>
      <c r="HY763" s="2877"/>
      <c r="HZ763" s="2877"/>
      <c r="IA763" s="2877"/>
      <c r="IB763" s="2877"/>
      <c r="IC763" s="2877"/>
      <c r="IJ763" s="2875"/>
      <c r="IZ763" s="2875"/>
      <c r="JA763" s="2875"/>
    </row>
    <row r="764" spans="2:261" ht="6" customHeight="1">
      <c r="B764" s="2875"/>
      <c r="G764" s="2950"/>
      <c r="T764" s="2898" t="s">
        <v>2751</v>
      </c>
      <c r="GS764" s="2877"/>
      <c r="GX764" s="2877"/>
      <c r="GY764" s="2877"/>
      <c r="GZ764" s="2877"/>
      <c r="HA764" s="2877"/>
      <c r="HB764" s="2877"/>
      <c r="HC764" s="2877"/>
      <c r="HD764" s="2877"/>
      <c r="HE764" s="2877"/>
      <c r="HF764" s="2877"/>
      <c r="HG764" s="2877"/>
      <c r="HH764" s="2877"/>
      <c r="HI764" s="2877"/>
      <c r="HJ764" s="2877"/>
      <c r="HK764" s="2877"/>
      <c r="HL764" s="2877"/>
      <c r="HM764" s="2877"/>
      <c r="HN764" s="2877"/>
      <c r="HO764" s="2877"/>
      <c r="HP764" s="2877"/>
      <c r="HQ764" s="2877"/>
      <c r="HR764" s="2877"/>
      <c r="HS764" s="2877"/>
      <c r="HT764" s="2877"/>
      <c r="HU764" s="2877"/>
      <c r="HV764" s="2877"/>
      <c r="HW764" s="2877"/>
      <c r="HX764" s="2877"/>
      <c r="HY764" s="2877"/>
      <c r="HZ764" s="2877"/>
      <c r="IA764" s="2877"/>
      <c r="IB764" s="2877"/>
      <c r="IC764" s="2877"/>
      <c r="IJ764" s="2875"/>
      <c r="IZ764" s="2875"/>
      <c r="JA764" s="2875"/>
    </row>
    <row r="765" spans="2:261" ht="12.75" customHeight="1">
      <c r="B765" s="2946" t="s">
        <v>2395</v>
      </c>
      <c r="G765" s="2947">
        <v>21</v>
      </c>
      <c r="H765" s="2947">
        <v>22</v>
      </c>
      <c r="I765" s="2947">
        <v>23</v>
      </c>
      <c r="J765" s="2947">
        <v>24</v>
      </c>
      <c r="K765" s="2947">
        <v>25</v>
      </c>
      <c r="L765" s="2947">
        <v>26</v>
      </c>
      <c r="M765" s="2947">
        <v>27</v>
      </c>
      <c r="N765" s="2947">
        <v>28</v>
      </c>
      <c r="O765" s="2947">
        <v>29</v>
      </c>
      <c r="P765" s="2947">
        <v>30</v>
      </c>
      <c r="T765" s="523" t="str">
        <f>B765</f>
        <v>Included in Mgt Fee:</v>
      </c>
      <c r="GS765" s="2877"/>
      <c r="GX765" s="2877"/>
      <c r="GY765" s="2877"/>
      <c r="GZ765" s="2877"/>
      <c r="HA765" s="2877"/>
      <c r="HB765" s="2877"/>
      <c r="HC765" s="2877"/>
      <c r="HD765" s="2877"/>
      <c r="HE765" s="2877"/>
      <c r="HF765" s="2877"/>
      <c r="HG765" s="2877"/>
      <c r="HH765" s="2877"/>
      <c r="HI765" s="2877"/>
      <c r="HJ765" s="2877"/>
      <c r="HK765" s="2877"/>
      <c r="HL765" s="2877"/>
      <c r="HM765" s="2877"/>
      <c r="HN765" s="2877"/>
      <c r="HO765" s="2877"/>
      <c r="HP765" s="2877"/>
      <c r="HQ765" s="2877"/>
      <c r="HR765" s="2877"/>
      <c r="HS765" s="2877"/>
      <c r="HT765" s="2877"/>
      <c r="HU765" s="2877"/>
      <c r="HV765" s="2877"/>
      <c r="HW765" s="2877"/>
      <c r="HX765" s="2877"/>
      <c r="HY765" s="2877"/>
      <c r="HZ765" s="2877"/>
      <c r="IA765" s="2877"/>
      <c r="IB765" s="2877"/>
      <c r="IC765" s="2877"/>
      <c r="IJ765" s="2875"/>
      <c r="IZ765" s="2875"/>
      <c r="JA765" s="2875"/>
    </row>
    <row r="766" spans="2:261" ht="11.25" customHeight="1">
      <c r="B766" s="523" t="s">
        <v>1067</v>
      </c>
      <c r="C766" s="523"/>
      <c r="D766" s="523"/>
      <c r="E766" s="523"/>
      <c r="F766" s="523"/>
      <c r="G766" s="2948">
        <f>'Part VI-Revenues &amp; Expenses'!G146</f>
        <v>0</v>
      </c>
      <c r="H766" s="2948">
        <f>'Part VI-Revenues &amp; Expenses'!H146</f>
        <v>0</v>
      </c>
      <c r="I766" s="2948">
        <f>'Part VI-Revenues &amp; Expenses'!I146</f>
        <v>0</v>
      </c>
      <c r="J766" s="2948">
        <f>'Part VI-Revenues &amp; Expenses'!J146</f>
        <v>0</v>
      </c>
      <c r="K766" s="2948">
        <f>'Part VI-Revenues &amp; Expenses'!K146</f>
        <v>0</v>
      </c>
      <c r="L766" s="2948">
        <f>'Part VI-Revenues &amp; Expenses'!L146</f>
        <v>0</v>
      </c>
      <c r="M766" s="2948">
        <f>'Part VI-Revenues &amp; Expenses'!M146</f>
        <v>0</v>
      </c>
      <c r="N766" s="2948">
        <f>'Part VI-Revenues &amp; Expenses'!N146</f>
        <v>0</v>
      </c>
      <c r="O766" s="2948">
        <f>'Part VI-Revenues &amp; Expenses'!O146</f>
        <v>0</v>
      </c>
      <c r="P766" s="2948">
        <f>'Part VI-Revenues &amp; Expenses'!P146</f>
        <v>0</v>
      </c>
      <c r="T766" s="2837">
        <f>'Part VI-Revenues &amp; Expenses'!T146</f>
        <v>0</v>
      </c>
      <c r="U766" s="2908"/>
      <c r="GS766" s="2877"/>
      <c r="GX766" s="2877"/>
      <c r="GY766" s="2877"/>
      <c r="GZ766" s="2877"/>
      <c r="HA766" s="2877"/>
      <c r="HB766" s="2877"/>
      <c r="HC766" s="2877"/>
      <c r="HD766" s="2877"/>
      <c r="HE766" s="2877"/>
      <c r="HF766" s="2877"/>
      <c r="HG766" s="2877"/>
      <c r="HH766" s="2877"/>
      <c r="HI766" s="2877"/>
      <c r="HJ766" s="2877"/>
      <c r="HK766" s="2877"/>
      <c r="HL766" s="2877"/>
      <c r="HM766" s="2877"/>
      <c r="HN766" s="2877"/>
      <c r="HO766" s="2877"/>
      <c r="HP766" s="2877"/>
      <c r="HQ766" s="2877"/>
      <c r="HR766" s="2877"/>
      <c r="HS766" s="2877"/>
      <c r="HT766" s="2877"/>
      <c r="HU766" s="2877"/>
      <c r="HV766" s="2877"/>
      <c r="HW766" s="2877"/>
      <c r="HX766" s="2877"/>
      <c r="HY766" s="2877"/>
      <c r="HZ766" s="2877"/>
      <c r="IA766" s="2877"/>
      <c r="IB766" s="2877"/>
      <c r="IC766" s="2877"/>
      <c r="IJ766" s="2875"/>
      <c r="IZ766" s="2875"/>
      <c r="JA766" s="2875"/>
    </row>
    <row r="767" spans="2:261" ht="11.25" customHeight="1">
      <c r="B767" s="523" t="s">
        <v>781</v>
      </c>
      <c r="C767" s="2949">
        <f>'Part VI-Revenues &amp; Expenses'!C147</f>
        <v>0</v>
      </c>
      <c r="D767" s="2949"/>
      <c r="E767" s="2949"/>
      <c r="F767" s="2949"/>
      <c r="G767" s="2948">
        <f>'Part VI-Revenues &amp; Expenses'!G147</f>
        <v>0</v>
      </c>
      <c r="H767" s="2948">
        <f>'Part VI-Revenues &amp; Expenses'!H147</f>
        <v>0</v>
      </c>
      <c r="I767" s="2948">
        <f>'Part VI-Revenues &amp; Expenses'!I147</f>
        <v>0</v>
      </c>
      <c r="J767" s="2948">
        <f>'Part VI-Revenues &amp; Expenses'!J147</f>
        <v>0</v>
      </c>
      <c r="K767" s="2948">
        <f>'Part VI-Revenues &amp; Expenses'!K147</f>
        <v>0</v>
      </c>
      <c r="L767" s="2948">
        <f>'Part VI-Revenues &amp; Expenses'!L147</f>
        <v>0</v>
      </c>
      <c r="M767" s="2948">
        <f>'Part VI-Revenues &amp; Expenses'!M147</f>
        <v>0</v>
      </c>
      <c r="N767" s="2948">
        <f>'Part VI-Revenues &amp; Expenses'!N147</f>
        <v>0</v>
      </c>
      <c r="O767" s="2948">
        <f>'Part VI-Revenues &amp; Expenses'!O147</f>
        <v>0</v>
      </c>
      <c r="P767" s="2948">
        <f>'Part VI-Revenues &amp; Expenses'!P147</f>
        <v>0</v>
      </c>
      <c r="T767" s="2908"/>
      <c r="U767" s="2908"/>
      <c r="GS767" s="2877"/>
      <c r="GX767" s="2877"/>
      <c r="GY767" s="2877"/>
      <c r="GZ767" s="2877"/>
      <c r="HA767" s="2877"/>
      <c r="HB767" s="2877"/>
      <c r="HC767" s="2877"/>
      <c r="HD767" s="2877"/>
      <c r="HE767" s="2877"/>
      <c r="HF767" s="2877"/>
      <c r="HG767" s="2877"/>
      <c r="HH767" s="2877"/>
      <c r="HI767" s="2877"/>
      <c r="HJ767" s="2877"/>
      <c r="HK767" s="2877"/>
      <c r="HL767" s="2877"/>
      <c r="HM767" s="2877"/>
      <c r="HN767" s="2877"/>
      <c r="HO767" s="2877"/>
      <c r="HP767" s="2877"/>
      <c r="HQ767" s="2877"/>
      <c r="HR767" s="2877"/>
      <c r="HS767" s="2877"/>
      <c r="HT767" s="2877"/>
      <c r="HU767" s="2877"/>
      <c r="HV767" s="2877"/>
      <c r="HW767" s="2877"/>
      <c r="HX767" s="2877"/>
      <c r="HY767" s="2877"/>
      <c r="HZ767" s="2877"/>
      <c r="IA767" s="2877"/>
      <c r="IB767" s="2877"/>
      <c r="IC767" s="2877"/>
      <c r="IJ767" s="2875"/>
      <c r="IZ767" s="2875"/>
      <c r="JA767" s="2875"/>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908"/>
      <c r="U768" s="2908"/>
      <c r="GS768" s="2877"/>
      <c r="GX768" s="2877"/>
      <c r="GY768" s="2877"/>
      <c r="GZ768" s="2877"/>
      <c r="HA768" s="2877"/>
      <c r="HB768" s="2877"/>
      <c r="HC768" s="2877"/>
      <c r="HD768" s="2877"/>
      <c r="HE768" s="2877"/>
      <c r="HF768" s="2877"/>
      <c r="HG768" s="2877"/>
      <c r="HH768" s="2877"/>
      <c r="HI768" s="2877"/>
      <c r="HJ768" s="2877"/>
      <c r="HK768" s="2877"/>
      <c r="HL768" s="2877"/>
      <c r="HM768" s="2877"/>
      <c r="HN768" s="2877"/>
      <c r="HO768" s="2877"/>
      <c r="HP768" s="2877"/>
      <c r="HQ768" s="2877"/>
      <c r="HR768" s="2877"/>
      <c r="HS768" s="2877"/>
      <c r="HT768" s="2877"/>
      <c r="HU768" s="2877"/>
      <c r="HV768" s="2877"/>
      <c r="HW768" s="2877"/>
      <c r="HX768" s="2877"/>
      <c r="HY768" s="2877"/>
      <c r="HZ768" s="2877"/>
      <c r="IA768" s="2877"/>
      <c r="IB768" s="2877"/>
      <c r="IC768" s="2877"/>
      <c r="IJ768" s="2875"/>
      <c r="IZ768" s="2875"/>
      <c r="JA768" s="2875"/>
    </row>
    <row r="769" spans="1:261" ht="12" customHeight="1">
      <c r="B769" s="2946" t="s">
        <v>4585</v>
      </c>
      <c r="G769" s="2950"/>
      <c r="T769" s="523" t="str">
        <f>B769</f>
        <v>NOT Included in Mgt Fee:</v>
      </c>
      <c r="GS769" s="2877"/>
      <c r="GX769" s="2877"/>
      <c r="GY769" s="2877"/>
      <c r="GZ769" s="2877"/>
      <c r="HA769" s="2877"/>
      <c r="HB769" s="2877"/>
      <c r="HC769" s="2877"/>
      <c r="HD769" s="2877"/>
      <c r="HE769" s="2877"/>
      <c r="HF769" s="2877"/>
      <c r="HG769" s="2877"/>
      <c r="HH769" s="2877"/>
      <c r="HI769" s="2877"/>
      <c r="HJ769" s="2877"/>
      <c r="HK769" s="2877"/>
      <c r="HL769" s="2877"/>
      <c r="HM769" s="2877"/>
      <c r="HN769" s="2877"/>
      <c r="HO769" s="2877"/>
      <c r="HP769" s="2877"/>
      <c r="HQ769" s="2877"/>
      <c r="HR769" s="2877"/>
      <c r="HS769" s="2877"/>
      <c r="HT769" s="2877"/>
      <c r="HU769" s="2877"/>
      <c r="HV769" s="2877"/>
      <c r="HW769" s="2877"/>
      <c r="HX769" s="2877"/>
      <c r="HY769" s="2877"/>
      <c r="HZ769" s="2877"/>
      <c r="IA769" s="2877"/>
      <c r="IB769" s="2877"/>
      <c r="IC769" s="2877"/>
      <c r="IJ769" s="2875"/>
      <c r="IZ769" s="2875"/>
      <c r="JA769" s="2875"/>
    </row>
    <row r="770" spans="1:261" ht="11.25" customHeight="1">
      <c r="B770" s="523" t="s">
        <v>557</v>
      </c>
      <c r="C770" s="523"/>
      <c r="D770" s="523"/>
      <c r="E770" s="523"/>
      <c r="F770" s="523"/>
      <c r="G770" s="2948">
        <f>'Part VI-Revenues &amp; Expenses'!G150</f>
        <v>0</v>
      </c>
      <c r="H770" s="2948">
        <f>'Part VI-Revenues &amp; Expenses'!H150</f>
        <v>0</v>
      </c>
      <c r="I770" s="2948">
        <f>'Part VI-Revenues &amp; Expenses'!I150</f>
        <v>0</v>
      </c>
      <c r="J770" s="2948">
        <f>'Part VI-Revenues &amp; Expenses'!J150</f>
        <v>0</v>
      </c>
      <c r="K770" s="2948">
        <f>'Part VI-Revenues &amp; Expenses'!K150</f>
        <v>0</v>
      </c>
      <c r="L770" s="2948">
        <f>'Part VI-Revenues &amp; Expenses'!L150</f>
        <v>0</v>
      </c>
      <c r="M770" s="2948">
        <f>'Part VI-Revenues &amp; Expenses'!M150</f>
        <v>0</v>
      </c>
      <c r="N770" s="2948">
        <f>'Part VI-Revenues &amp; Expenses'!N150</f>
        <v>0</v>
      </c>
      <c r="O770" s="2948">
        <f>'Part VI-Revenues &amp; Expenses'!O150</f>
        <v>0</v>
      </c>
      <c r="P770" s="2948">
        <f>'Part VI-Revenues &amp; Expenses'!P150</f>
        <v>0</v>
      </c>
      <c r="T770" s="2837">
        <f>'Part VI-Revenues &amp; Expenses'!T150</f>
        <v>0</v>
      </c>
      <c r="U770" s="2908"/>
      <c r="GS770" s="2877"/>
      <c r="GX770" s="2877"/>
      <c r="GY770" s="2877"/>
      <c r="GZ770" s="2877"/>
      <c r="HA770" s="2877"/>
      <c r="HB770" s="2877"/>
      <c r="HC770" s="2877"/>
      <c r="HD770" s="2877"/>
      <c r="HE770" s="2877"/>
      <c r="HF770" s="2877"/>
      <c r="HG770" s="2877"/>
      <c r="HH770" s="2877"/>
      <c r="HI770" s="2877"/>
      <c r="HJ770" s="2877"/>
      <c r="HK770" s="2877"/>
      <c r="HL770" s="2877"/>
      <c r="HM770" s="2877"/>
      <c r="HN770" s="2877"/>
      <c r="HO770" s="2877"/>
      <c r="HP770" s="2877"/>
      <c r="HQ770" s="2877"/>
      <c r="HR770" s="2877"/>
      <c r="HS770" s="2877"/>
      <c r="HT770" s="2877"/>
      <c r="HU770" s="2877"/>
      <c r="HV770" s="2877"/>
      <c r="HW770" s="2877"/>
      <c r="HX770" s="2877"/>
      <c r="HY770" s="2877"/>
      <c r="HZ770" s="2877"/>
      <c r="IA770" s="2877"/>
      <c r="IB770" s="2877"/>
      <c r="IC770" s="2877"/>
      <c r="IJ770" s="2875"/>
      <c r="IZ770" s="2875"/>
      <c r="JA770" s="2875"/>
    </row>
    <row r="771" spans="1:261" ht="11.25" customHeight="1">
      <c r="B771" s="523" t="s">
        <v>781</v>
      </c>
      <c r="C771" s="2949">
        <f>'Part VI-Revenues &amp; Expenses'!C151</f>
        <v>0</v>
      </c>
      <c r="D771" s="2949"/>
      <c r="E771" s="2949"/>
      <c r="F771" s="2949"/>
      <c r="G771" s="2948">
        <f>'Part VI-Revenues &amp; Expenses'!G151</f>
        <v>0</v>
      </c>
      <c r="H771" s="2948">
        <f>'Part VI-Revenues &amp; Expenses'!H151</f>
        <v>0</v>
      </c>
      <c r="I771" s="2948">
        <f>'Part VI-Revenues &amp; Expenses'!I151</f>
        <v>0</v>
      </c>
      <c r="J771" s="2948">
        <f>'Part VI-Revenues &amp; Expenses'!J151</f>
        <v>0</v>
      </c>
      <c r="K771" s="2948">
        <f>'Part VI-Revenues &amp; Expenses'!K151</f>
        <v>0</v>
      </c>
      <c r="L771" s="2948">
        <f>'Part VI-Revenues &amp; Expenses'!L151</f>
        <v>0</v>
      </c>
      <c r="M771" s="2948">
        <f>'Part VI-Revenues &amp; Expenses'!M151</f>
        <v>0</v>
      </c>
      <c r="N771" s="2948">
        <f>'Part VI-Revenues &amp; Expenses'!N151</f>
        <v>0</v>
      </c>
      <c r="O771" s="2948">
        <f>'Part VI-Revenues &amp; Expenses'!O151</f>
        <v>0</v>
      </c>
      <c r="P771" s="2948">
        <f>'Part VI-Revenues &amp; Expenses'!P151</f>
        <v>0</v>
      </c>
      <c r="T771" s="2908"/>
      <c r="U771" s="2908"/>
      <c r="GS771" s="2877"/>
      <c r="GX771" s="2877"/>
      <c r="GY771" s="2877"/>
      <c r="GZ771" s="2877"/>
      <c r="HA771" s="2877"/>
      <c r="HB771" s="2877"/>
      <c r="HC771" s="2877"/>
      <c r="HD771" s="2877"/>
      <c r="HE771" s="2877"/>
      <c r="HF771" s="2877"/>
      <c r="HG771" s="2877"/>
      <c r="HH771" s="2877"/>
      <c r="HI771" s="2877"/>
      <c r="HJ771" s="2877"/>
      <c r="HK771" s="2877"/>
      <c r="HL771" s="2877"/>
      <c r="HM771" s="2877"/>
      <c r="HN771" s="2877"/>
      <c r="HO771" s="2877"/>
      <c r="HP771" s="2877"/>
      <c r="HQ771" s="2877"/>
      <c r="HR771" s="2877"/>
      <c r="HS771" s="2877"/>
      <c r="HT771" s="2877"/>
      <c r="HU771" s="2877"/>
      <c r="HV771" s="2877"/>
      <c r="HW771" s="2877"/>
      <c r="HX771" s="2877"/>
      <c r="HY771" s="2877"/>
      <c r="HZ771" s="2877"/>
      <c r="IA771" s="2877"/>
      <c r="IB771" s="2877"/>
      <c r="IC771" s="2877"/>
      <c r="IJ771" s="2875"/>
      <c r="IZ771" s="2875"/>
      <c r="JA771" s="2875"/>
    </row>
    <row r="772" spans="1:261" ht="11.25" customHeight="1">
      <c r="B772" s="523"/>
      <c r="C772" s="527" t="s">
        <v>4586</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908"/>
      <c r="U772" s="2908"/>
      <c r="GS772" s="2877"/>
      <c r="GX772" s="2877"/>
      <c r="GY772" s="2877"/>
      <c r="GZ772" s="2877"/>
      <c r="HA772" s="2877"/>
      <c r="HB772" s="2877"/>
      <c r="HC772" s="2877"/>
      <c r="HD772" s="2877"/>
      <c r="HE772" s="2877"/>
      <c r="HF772" s="2877"/>
      <c r="HG772" s="2877"/>
      <c r="HH772" s="2877"/>
      <c r="HI772" s="2877"/>
      <c r="HJ772" s="2877"/>
      <c r="HK772" s="2877"/>
      <c r="HL772" s="2877"/>
      <c r="HM772" s="2877"/>
      <c r="HN772" s="2877"/>
      <c r="HO772" s="2877"/>
      <c r="HP772" s="2877"/>
      <c r="HQ772" s="2877"/>
      <c r="HR772" s="2877"/>
      <c r="HS772" s="2877"/>
      <c r="HT772" s="2877"/>
      <c r="HU772" s="2877"/>
      <c r="HV772" s="2877"/>
      <c r="HW772" s="2877"/>
      <c r="HX772" s="2877"/>
      <c r="HY772" s="2877"/>
      <c r="HZ772" s="2877"/>
      <c r="IA772" s="2877"/>
      <c r="IB772" s="2877"/>
      <c r="IC772" s="2877"/>
      <c r="IJ772" s="2875"/>
      <c r="IZ772" s="2875"/>
      <c r="JA772" s="2875"/>
    </row>
    <row r="773" spans="1:261" ht="6" customHeight="1">
      <c r="B773" s="2875"/>
      <c r="G773" s="2950"/>
      <c r="T773" s="2898" t="s">
        <v>2751</v>
      </c>
      <c r="GS773" s="2877"/>
      <c r="GX773" s="2877"/>
      <c r="GY773" s="2877"/>
      <c r="GZ773" s="2877"/>
      <c r="HA773" s="2877"/>
      <c r="HB773" s="2877"/>
      <c r="HC773" s="2877"/>
      <c r="HD773" s="2877"/>
      <c r="HE773" s="2877"/>
      <c r="HF773" s="2877"/>
      <c r="HG773" s="2877"/>
      <c r="HH773" s="2877"/>
      <c r="HI773" s="2877"/>
      <c r="HJ773" s="2877"/>
      <c r="HK773" s="2877"/>
      <c r="HL773" s="2877"/>
      <c r="HM773" s="2877"/>
      <c r="HN773" s="2877"/>
      <c r="HO773" s="2877"/>
      <c r="HP773" s="2877"/>
      <c r="HQ773" s="2877"/>
      <c r="HR773" s="2877"/>
      <c r="HS773" s="2877"/>
      <c r="HT773" s="2877"/>
      <c r="HU773" s="2877"/>
      <c r="HV773" s="2877"/>
      <c r="HW773" s="2877"/>
      <c r="HX773" s="2877"/>
      <c r="HY773" s="2877"/>
      <c r="HZ773" s="2877"/>
      <c r="IA773" s="2877"/>
      <c r="IB773" s="2877"/>
      <c r="IC773" s="2877"/>
      <c r="IJ773" s="2875"/>
      <c r="IZ773" s="2875"/>
      <c r="JA773" s="2875"/>
    </row>
    <row r="774" spans="1:261" ht="12.75" customHeight="1">
      <c r="B774" s="2946" t="s">
        <v>2395</v>
      </c>
      <c r="G774" s="2947">
        <v>31</v>
      </c>
      <c r="H774" s="2947">
        <v>32</v>
      </c>
      <c r="I774" s="2947">
        <v>33</v>
      </c>
      <c r="J774" s="2947">
        <v>34</v>
      </c>
      <c r="K774" s="2947">
        <v>35</v>
      </c>
      <c r="T774" s="523" t="str">
        <f>B774</f>
        <v>Included in Mgt Fee:</v>
      </c>
      <c r="GS774" s="2877"/>
      <c r="GX774" s="2877"/>
      <c r="GY774" s="2877"/>
      <c r="GZ774" s="2877"/>
      <c r="HA774" s="2877"/>
      <c r="HB774" s="2877"/>
      <c r="HC774" s="2877"/>
      <c r="HD774" s="2877"/>
      <c r="HE774" s="2877"/>
      <c r="HF774" s="2877"/>
      <c r="HG774" s="2877"/>
      <c r="HH774" s="2877"/>
      <c r="HI774" s="2877"/>
      <c r="HJ774" s="2877"/>
      <c r="HK774" s="2877"/>
      <c r="HL774" s="2877"/>
      <c r="HM774" s="2877"/>
      <c r="HN774" s="2877"/>
      <c r="HO774" s="2877"/>
      <c r="HP774" s="2877"/>
      <c r="HQ774" s="2877"/>
      <c r="HR774" s="2877"/>
      <c r="HS774" s="2877"/>
      <c r="HT774" s="2877"/>
      <c r="HU774" s="2877"/>
      <c r="HV774" s="2877"/>
      <c r="HW774" s="2877"/>
      <c r="HX774" s="2877"/>
      <c r="HY774" s="2877"/>
      <c r="HZ774" s="2877"/>
      <c r="IA774" s="2877"/>
      <c r="IB774" s="2877"/>
      <c r="IC774" s="2877"/>
      <c r="IJ774" s="2875"/>
      <c r="IZ774" s="2875"/>
      <c r="JA774" s="2875"/>
    </row>
    <row r="775" spans="1:261" ht="11.25" customHeight="1">
      <c r="B775" s="523" t="s">
        <v>1067</v>
      </c>
      <c r="C775" s="523"/>
      <c r="D775" s="523"/>
      <c r="E775" s="523"/>
      <c r="F775" s="523"/>
      <c r="G775" s="2948">
        <f>'Part VI-Revenues &amp; Expenses'!G155</f>
        <v>0</v>
      </c>
      <c r="H775" s="2948">
        <f>'Part VI-Revenues &amp; Expenses'!H155</f>
        <v>0</v>
      </c>
      <c r="I775" s="2948">
        <f>'Part VI-Revenues &amp; Expenses'!I155</f>
        <v>0</v>
      </c>
      <c r="J775" s="2948">
        <f>'Part VI-Revenues &amp; Expenses'!J155</f>
        <v>0</v>
      </c>
      <c r="K775" s="2948">
        <f>'Part VI-Revenues &amp; Expenses'!K155</f>
        <v>0</v>
      </c>
      <c r="T775" s="2837">
        <f>'Part VI-Revenues &amp; Expenses'!T155</f>
        <v>0</v>
      </c>
      <c r="U775" s="2908"/>
      <c r="GS775" s="2877"/>
      <c r="GX775" s="2877"/>
      <c r="GY775" s="2877"/>
      <c r="GZ775" s="2877"/>
      <c r="HA775" s="2877"/>
      <c r="HB775" s="2877"/>
      <c r="HC775" s="2877"/>
      <c r="HD775" s="2877"/>
      <c r="HE775" s="2877"/>
      <c r="HF775" s="2877"/>
      <c r="HG775" s="2877"/>
      <c r="HH775" s="2877"/>
      <c r="HI775" s="2877"/>
      <c r="HJ775" s="2877"/>
      <c r="HK775" s="2877"/>
      <c r="HL775" s="2877"/>
      <c r="HM775" s="2877"/>
      <c r="HN775" s="2877"/>
      <c r="HO775" s="2877"/>
      <c r="HP775" s="2877"/>
      <c r="HQ775" s="2877"/>
      <c r="HR775" s="2877"/>
      <c r="HS775" s="2877"/>
      <c r="HT775" s="2877"/>
      <c r="HU775" s="2877"/>
      <c r="HV775" s="2877"/>
      <c r="HW775" s="2877"/>
      <c r="HX775" s="2877"/>
      <c r="HY775" s="2877"/>
      <c r="HZ775" s="2877"/>
      <c r="IA775" s="2877"/>
      <c r="IB775" s="2877"/>
      <c r="IC775" s="2877"/>
      <c r="IJ775" s="2875"/>
      <c r="IZ775" s="2875"/>
      <c r="JA775" s="2875"/>
    </row>
    <row r="776" spans="1:261" ht="11.25" customHeight="1">
      <c r="B776" s="523" t="s">
        <v>781</v>
      </c>
      <c r="C776" s="2949">
        <f>'Part VI-Revenues &amp; Expenses'!C156</f>
        <v>0</v>
      </c>
      <c r="D776" s="2949"/>
      <c r="E776" s="2949"/>
      <c r="F776" s="2949"/>
      <c r="G776" s="2948">
        <f>'Part VI-Revenues &amp; Expenses'!G156</f>
        <v>0</v>
      </c>
      <c r="H776" s="2948">
        <f>'Part VI-Revenues &amp; Expenses'!H156</f>
        <v>0</v>
      </c>
      <c r="I776" s="2948">
        <f>'Part VI-Revenues &amp; Expenses'!I156</f>
        <v>0</v>
      </c>
      <c r="J776" s="2948">
        <f>'Part VI-Revenues &amp; Expenses'!J156</f>
        <v>0</v>
      </c>
      <c r="K776" s="2948">
        <f>'Part VI-Revenues &amp; Expenses'!K156</f>
        <v>0</v>
      </c>
      <c r="T776" s="2908"/>
      <c r="U776" s="2908"/>
      <c r="GS776" s="2877"/>
      <c r="GX776" s="2877"/>
      <c r="GY776" s="2877"/>
      <c r="GZ776" s="2877"/>
      <c r="HA776" s="2877"/>
      <c r="HB776" s="2877"/>
      <c r="HC776" s="2877"/>
      <c r="HD776" s="2877"/>
      <c r="HE776" s="2877"/>
      <c r="HF776" s="2877"/>
      <c r="HG776" s="2877"/>
      <c r="HH776" s="2877"/>
      <c r="HI776" s="2877"/>
      <c r="HJ776" s="2877"/>
      <c r="HK776" s="2877"/>
      <c r="HL776" s="2877"/>
      <c r="HM776" s="2877"/>
      <c r="HN776" s="2877"/>
      <c r="HO776" s="2877"/>
      <c r="HP776" s="2877"/>
      <c r="HQ776" s="2877"/>
      <c r="HR776" s="2877"/>
      <c r="HS776" s="2877"/>
      <c r="HT776" s="2877"/>
      <c r="HU776" s="2877"/>
      <c r="HV776" s="2877"/>
      <c r="HW776" s="2877"/>
      <c r="HX776" s="2877"/>
      <c r="HY776" s="2877"/>
      <c r="HZ776" s="2877"/>
      <c r="IA776" s="2877"/>
      <c r="IB776" s="2877"/>
      <c r="IC776" s="2877"/>
      <c r="IJ776" s="2875"/>
      <c r="IZ776" s="2875"/>
      <c r="JA776" s="2875"/>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908"/>
      <c r="U777" s="2908"/>
      <c r="GS777" s="2877"/>
      <c r="GX777" s="2877"/>
      <c r="GY777" s="2877"/>
      <c r="GZ777" s="2877"/>
      <c r="HA777" s="2877"/>
      <c r="HB777" s="2877"/>
      <c r="HC777" s="2877"/>
      <c r="HD777" s="2877"/>
      <c r="HE777" s="2877"/>
      <c r="HF777" s="2877"/>
      <c r="HG777" s="2877"/>
      <c r="HH777" s="2877"/>
      <c r="HI777" s="2877"/>
      <c r="HJ777" s="2877"/>
      <c r="HK777" s="2877"/>
      <c r="HL777" s="2877"/>
      <c r="HM777" s="2877"/>
      <c r="HN777" s="2877"/>
      <c r="HO777" s="2877"/>
      <c r="HP777" s="2877"/>
      <c r="HQ777" s="2877"/>
      <c r="HR777" s="2877"/>
      <c r="HS777" s="2877"/>
      <c r="HT777" s="2877"/>
      <c r="HU777" s="2877"/>
      <c r="HV777" s="2877"/>
      <c r="HW777" s="2877"/>
      <c r="HX777" s="2877"/>
      <c r="HY777" s="2877"/>
      <c r="HZ777" s="2877"/>
      <c r="IA777" s="2877"/>
      <c r="IB777" s="2877"/>
      <c r="IC777" s="2877"/>
      <c r="IJ777" s="2875"/>
      <c r="IZ777" s="2875"/>
      <c r="JA777" s="2875"/>
    </row>
    <row r="778" spans="1:261" ht="12" customHeight="1">
      <c r="B778" s="2946" t="s">
        <v>4585</v>
      </c>
      <c r="G778" s="2950"/>
      <c r="T778" s="523" t="str">
        <f>B778</f>
        <v>NOT Included in Mgt Fee:</v>
      </c>
      <c r="GS778" s="2877"/>
      <c r="GX778" s="2877"/>
      <c r="GY778" s="2877"/>
      <c r="GZ778" s="2877"/>
      <c r="HA778" s="2877"/>
      <c r="HB778" s="2877"/>
      <c r="HC778" s="2877"/>
      <c r="HD778" s="2877"/>
      <c r="HE778" s="2877"/>
      <c r="HF778" s="2877"/>
      <c r="HG778" s="2877"/>
      <c r="HH778" s="2877"/>
      <c r="HI778" s="2877"/>
      <c r="HJ778" s="2877"/>
      <c r="HK778" s="2877"/>
      <c r="HL778" s="2877"/>
      <c r="HM778" s="2877"/>
      <c r="HN778" s="2877"/>
      <c r="HO778" s="2877"/>
      <c r="HP778" s="2877"/>
      <c r="HQ778" s="2877"/>
      <c r="HR778" s="2877"/>
      <c r="HS778" s="2877"/>
      <c r="HT778" s="2877"/>
      <c r="HU778" s="2877"/>
      <c r="HV778" s="2877"/>
      <c r="HW778" s="2877"/>
      <c r="HX778" s="2877"/>
      <c r="HY778" s="2877"/>
      <c r="HZ778" s="2877"/>
      <c r="IA778" s="2877"/>
      <c r="IB778" s="2877"/>
      <c r="IC778" s="2877"/>
      <c r="IJ778" s="2875"/>
      <c r="IZ778" s="2875"/>
      <c r="JA778" s="2875"/>
    </row>
    <row r="779" spans="1:261" ht="11.25" customHeight="1">
      <c r="B779" s="523" t="s">
        <v>557</v>
      </c>
      <c r="C779" s="523"/>
      <c r="D779" s="523"/>
      <c r="E779" s="523"/>
      <c r="F779" s="523"/>
      <c r="G779" s="2948">
        <f>'Part VI-Revenues &amp; Expenses'!G159</f>
        <v>0</v>
      </c>
      <c r="H779" s="2948">
        <f>'Part VI-Revenues &amp; Expenses'!H159</f>
        <v>0</v>
      </c>
      <c r="I779" s="2948">
        <f>'Part VI-Revenues &amp; Expenses'!I159</f>
        <v>0</v>
      </c>
      <c r="J779" s="2948">
        <f>'Part VI-Revenues &amp; Expenses'!J159</f>
        <v>0</v>
      </c>
      <c r="K779" s="2948">
        <f>'Part VI-Revenues &amp; Expenses'!K159</f>
        <v>0</v>
      </c>
      <c r="T779" s="2837">
        <f>'Part VI-Revenues &amp; Expenses'!T159</f>
        <v>0</v>
      </c>
      <c r="U779" s="2908"/>
      <c r="GS779" s="2877"/>
      <c r="GX779" s="2877"/>
      <c r="GY779" s="2877"/>
      <c r="GZ779" s="2877"/>
      <c r="HA779" s="2877"/>
      <c r="HB779" s="2877"/>
      <c r="HC779" s="2877"/>
      <c r="HD779" s="2877"/>
      <c r="HE779" s="2877"/>
      <c r="HF779" s="2877"/>
      <c r="HG779" s="2877"/>
      <c r="HH779" s="2877"/>
      <c r="HI779" s="2877"/>
      <c r="HJ779" s="2877"/>
      <c r="HK779" s="2877"/>
      <c r="HL779" s="2877"/>
      <c r="HM779" s="2877"/>
      <c r="HN779" s="2877"/>
      <c r="HO779" s="2877"/>
      <c r="HP779" s="2877"/>
      <c r="HQ779" s="2877"/>
      <c r="HR779" s="2877"/>
      <c r="HS779" s="2877"/>
      <c r="HT779" s="2877"/>
      <c r="HU779" s="2877"/>
      <c r="HV779" s="2877"/>
      <c r="HW779" s="2877"/>
      <c r="HX779" s="2877"/>
      <c r="HY779" s="2877"/>
      <c r="HZ779" s="2877"/>
      <c r="IA779" s="2877"/>
      <c r="IB779" s="2877"/>
      <c r="IC779" s="2877"/>
      <c r="IJ779" s="2875"/>
      <c r="IZ779" s="2875"/>
      <c r="JA779" s="2875"/>
    </row>
    <row r="780" spans="1:261" ht="11.25" customHeight="1">
      <c r="B780" s="523" t="s">
        <v>781</v>
      </c>
      <c r="C780" s="2949">
        <f>'Part VI-Revenues &amp; Expenses'!C160</f>
        <v>0</v>
      </c>
      <c r="D780" s="2949"/>
      <c r="E780" s="2949"/>
      <c r="F780" s="2949"/>
      <c r="G780" s="2948">
        <f>'Part VI-Revenues &amp; Expenses'!G160</f>
        <v>0</v>
      </c>
      <c r="H780" s="2948">
        <f>'Part VI-Revenues &amp; Expenses'!H160</f>
        <v>0</v>
      </c>
      <c r="I780" s="2948">
        <f>'Part VI-Revenues &amp; Expenses'!I160</f>
        <v>0</v>
      </c>
      <c r="J780" s="2948">
        <f>'Part VI-Revenues &amp; Expenses'!J160</f>
        <v>0</v>
      </c>
      <c r="K780" s="2948">
        <f>'Part VI-Revenues &amp; Expenses'!K160</f>
        <v>0</v>
      </c>
      <c r="T780" s="2908"/>
      <c r="U780" s="2908"/>
      <c r="GS780" s="2877"/>
      <c r="GX780" s="2877"/>
      <c r="GY780" s="2877"/>
      <c r="GZ780" s="2877"/>
      <c r="HA780" s="2877"/>
      <c r="HB780" s="2877"/>
      <c r="HC780" s="2877"/>
      <c r="HD780" s="2877"/>
      <c r="HE780" s="2877"/>
      <c r="HF780" s="2877"/>
      <c r="HG780" s="2877"/>
      <c r="HH780" s="2877"/>
      <c r="HI780" s="2877"/>
      <c r="HJ780" s="2877"/>
      <c r="HK780" s="2877"/>
      <c r="HL780" s="2877"/>
      <c r="HM780" s="2877"/>
      <c r="HN780" s="2877"/>
      <c r="HO780" s="2877"/>
      <c r="HP780" s="2877"/>
      <c r="HQ780" s="2877"/>
      <c r="HR780" s="2877"/>
      <c r="HS780" s="2877"/>
      <c r="HT780" s="2877"/>
      <c r="HU780" s="2877"/>
      <c r="HV780" s="2877"/>
      <c r="HW780" s="2877"/>
      <c r="HX780" s="2877"/>
      <c r="HY780" s="2877"/>
      <c r="HZ780" s="2877"/>
      <c r="IA780" s="2877"/>
      <c r="IB780" s="2877"/>
      <c r="IC780" s="2877"/>
      <c r="IJ780" s="2875"/>
      <c r="IZ780" s="2875"/>
      <c r="JA780" s="2875"/>
    </row>
    <row r="781" spans="1:261" ht="11.25" customHeight="1">
      <c r="B781" s="523"/>
      <c r="C781" s="527" t="s">
        <v>4586</v>
      </c>
      <c r="D781" s="523"/>
      <c r="E781" s="523"/>
      <c r="F781" s="523"/>
      <c r="G781" s="525">
        <f>SUM(G779:G780)</f>
        <v>0</v>
      </c>
      <c r="H781" s="525">
        <f>SUM(H779:H780)</f>
        <v>0</v>
      </c>
      <c r="I781" s="525">
        <f>SUM(I779:I780)</f>
        <v>0</v>
      </c>
      <c r="J781" s="525">
        <f>SUM(J779:J780)</f>
        <v>0</v>
      </c>
      <c r="K781" s="525">
        <f>SUM(K779:K780)</f>
        <v>0</v>
      </c>
      <c r="T781" s="2908"/>
      <c r="U781" s="2908"/>
      <c r="GS781" s="2877"/>
      <c r="GX781" s="2877"/>
      <c r="GY781" s="2877"/>
      <c r="GZ781" s="2877"/>
      <c r="HA781" s="2877"/>
      <c r="HB781" s="2877"/>
      <c r="HC781" s="2877"/>
      <c r="HD781" s="2877"/>
      <c r="HE781" s="2877"/>
      <c r="HF781" s="2877"/>
      <c r="HG781" s="2877"/>
      <c r="HH781" s="2877"/>
      <c r="HI781" s="2877"/>
      <c r="HJ781" s="2877"/>
      <c r="HK781" s="2877"/>
      <c r="HL781" s="2877"/>
      <c r="HM781" s="2877"/>
      <c r="HN781" s="2877"/>
      <c r="HO781" s="2877"/>
      <c r="HP781" s="2877"/>
      <c r="HQ781" s="2877"/>
      <c r="HR781" s="2877"/>
      <c r="HS781" s="2877"/>
      <c r="HT781" s="2877"/>
      <c r="HU781" s="2877"/>
      <c r="HV781" s="2877"/>
      <c r="HW781" s="2877"/>
      <c r="HX781" s="2877"/>
      <c r="HY781" s="2877"/>
      <c r="HZ781" s="2877"/>
      <c r="IA781" s="2877"/>
      <c r="IB781" s="2877"/>
      <c r="IC781" s="2877"/>
      <c r="IJ781" s="2875"/>
      <c r="IZ781" s="2875"/>
      <c r="JA781" s="2875"/>
    </row>
    <row r="782" spans="1:261" ht="2.25" customHeight="1">
      <c r="B782" s="2875"/>
      <c r="F782" s="2950"/>
      <c r="G782" s="2950"/>
      <c r="GS782" s="2877"/>
      <c r="GX782" s="2877"/>
      <c r="GY782" s="2877"/>
      <c r="GZ782" s="2877"/>
      <c r="HA782" s="2877"/>
      <c r="HB782" s="2877"/>
      <c r="HC782" s="2877"/>
      <c r="HD782" s="2877"/>
      <c r="HE782" s="2877"/>
      <c r="HF782" s="2877"/>
      <c r="HG782" s="2877"/>
      <c r="HH782" s="2877"/>
      <c r="HI782" s="2877"/>
      <c r="HJ782" s="2877"/>
      <c r="HK782" s="2877"/>
      <c r="HL782" s="2877"/>
      <c r="HM782" s="2877"/>
      <c r="HN782" s="2877"/>
      <c r="HO782" s="2877"/>
      <c r="HP782" s="2877"/>
      <c r="HQ782" s="2877"/>
      <c r="HR782" s="2877"/>
      <c r="HS782" s="2877"/>
      <c r="HT782" s="2877"/>
      <c r="HU782" s="2877"/>
      <c r="HV782" s="2877"/>
      <c r="HW782" s="2877"/>
      <c r="HX782" s="2877"/>
      <c r="HY782" s="2877"/>
      <c r="HZ782" s="2877"/>
      <c r="IA782" s="2877"/>
      <c r="IB782" s="2877"/>
      <c r="IC782" s="2877"/>
      <c r="IJ782" s="2875"/>
      <c r="IZ782" s="2875"/>
      <c r="JA782" s="2875"/>
    </row>
    <row r="783" spans="1:261" s="523" customFormat="1" ht="11.25" customHeight="1">
      <c r="A783" s="526" t="s">
        <v>1880</v>
      </c>
      <c r="B783" s="2874" t="s">
        <v>1069</v>
      </c>
      <c r="C783" s="2874"/>
      <c r="D783" s="2874"/>
      <c r="E783" s="2874"/>
      <c r="F783" s="2874"/>
      <c r="G783" s="2874"/>
      <c r="H783" s="2874"/>
      <c r="I783" s="2874"/>
      <c r="J783" s="2874"/>
      <c r="K783" s="2874"/>
      <c r="M783" s="2910"/>
      <c r="N783" s="2883"/>
      <c r="O783" s="2883"/>
      <c r="T783" s="526" t="str">
        <f>B783</f>
        <v>ANNUAL OPERATING EXPENSE BUDGET</v>
      </c>
      <c r="U783" s="1247"/>
      <c r="V783" s="1247"/>
      <c r="W783" s="1247"/>
      <c r="X783" s="1247"/>
      <c r="GS783" s="2883"/>
      <c r="GX783" s="2883"/>
      <c r="GY783" s="2883"/>
      <c r="GZ783" s="2883"/>
      <c r="HA783" s="2883"/>
      <c r="HB783" s="2883"/>
      <c r="HC783" s="2883"/>
      <c r="HD783" s="2883"/>
      <c r="HE783" s="2883"/>
      <c r="HF783" s="2883"/>
      <c r="HG783" s="2883"/>
      <c r="HH783" s="2883"/>
      <c r="HI783" s="2883"/>
      <c r="HJ783" s="2883"/>
      <c r="HK783" s="2883"/>
      <c r="HL783" s="2883"/>
      <c r="HM783" s="2883"/>
      <c r="HN783" s="2883"/>
      <c r="HO783" s="2883"/>
      <c r="HP783" s="2883"/>
      <c r="HQ783" s="2883"/>
      <c r="HR783" s="2883"/>
      <c r="HS783" s="2883"/>
      <c r="HT783" s="2883"/>
      <c r="HU783" s="2883"/>
      <c r="HV783" s="2883"/>
      <c r="HW783" s="2883"/>
      <c r="HX783" s="2883"/>
      <c r="HY783" s="2883"/>
      <c r="HZ783" s="2883"/>
      <c r="IA783" s="2883"/>
      <c r="IB783" s="2883"/>
      <c r="IC783" s="2883"/>
      <c r="IJ783" s="526"/>
      <c r="IZ783" s="526"/>
      <c r="JA783" s="526"/>
    </row>
    <row r="784" spans="1:261" s="523" customFormat="1" ht="9" customHeight="1">
      <c r="B784" s="2874"/>
      <c r="C784" s="2874"/>
      <c r="D784" s="2874"/>
      <c r="E784" s="2874"/>
      <c r="F784" s="2874"/>
      <c r="G784" s="2874"/>
      <c r="H784" s="2874"/>
      <c r="I784" s="2874"/>
      <c r="J784" s="2874"/>
      <c r="T784" s="2951" t="s">
        <v>1938</v>
      </c>
      <c r="U784" s="2951"/>
      <c r="GS784" s="2883"/>
      <c r="GX784" s="2883"/>
      <c r="GY784" s="2883"/>
      <c r="GZ784" s="2883"/>
      <c r="HA784" s="2883"/>
      <c r="HB784" s="2883"/>
      <c r="HC784" s="2883"/>
      <c r="HD784" s="2883"/>
      <c r="HE784" s="2883"/>
      <c r="HF784" s="2883"/>
      <c r="HG784" s="2883"/>
      <c r="HH784" s="2883"/>
      <c r="HI784" s="2883"/>
      <c r="HJ784" s="2883"/>
      <c r="HK784" s="2883"/>
      <c r="HL784" s="2883"/>
      <c r="HM784" s="2883"/>
      <c r="HN784" s="2883"/>
      <c r="HO784" s="2883"/>
      <c r="HP784" s="2883"/>
      <c r="HQ784" s="2883"/>
      <c r="HR784" s="2883"/>
      <c r="HS784" s="2883"/>
      <c r="HT784" s="2883"/>
      <c r="HU784" s="2883"/>
      <c r="HV784" s="2883"/>
      <c r="HW784" s="2883"/>
      <c r="HX784" s="2883"/>
      <c r="HY784" s="2883"/>
      <c r="HZ784" s="2883"/>
      <c r="IA784" s="2883"/>
      <c r="IB784" s="2883"/>
      <c r="IC784" s="2883"/>
      <c r="IJ784" s="526"/>
      <c r="IZ784" s="526"/>
      <c r="JA784" s="526"/>
    </row>
    <row r="785" spans="2:261" s="523" customFormat="1" ht="13.15" customHeight="1">
      <c r="B785" s="526" t="s">
        <v>1355</v>
      </c>
      <c r="F785" s="1247"/>
      <c r="G785" s="1247"/>
      <c r="I785" s="526" t="s">
        <v>1443</v>
      </c>
      <c r="N785" s="526" t="s">
        <v>1442</v>
      </c>
      <c r="T785" s="2837">
        <f>'Part VI-Revenues &amp; Expenses'!T165</f>
        <v>0</v>
      </c>
      <c r="U785" s="2908"/>
      <c r="V785" s="1247"/>
      <c r="W785" s="1247"/>
      <c r="X785" s="1247"/>
      <c r="GS785" s="2883"/>
      <c r="GX785" s="2883"/>
      <c r="GY785" s="2883"/>
      <c r="GZ785" s="2883"/>
      <c r="HA785" s="2883"/>
      <c r="HB785" s="2883"/>
      <c r="HC785" s="2883"/>
      <c r="HD785" s="2883"/>
      <c r="HE785" s="2883"/>
      <c r="HF785" s="2883"/>
      <c r="HG785" s="2883"/>
      <c r="HH785" s="2883"/>
      <c r="HI785" s="2883"/>
      <c r="HJ785" s="2883"/>
      <c r="HK785" s="2883"/>
      <c r="HL785" s="2883"/>
      <c r="HM785" s="2883"/>
      <c r="HN785" s="2883"/>
      <c r="HO785" s="2883"/>
      <c r="HP785" s="2883"/>
      <c r="HQ785" s="2883"/>
      <c r="HR785" s="2883"/>
      <c r="HS785" s="2883"/>
      <c r="HT785" s="2883"/>
      <c r="HU785" s="2883"/>
      <c r="HV785" s="2883"/>
      <c r="HW785" s="2883"/>
      <c r="HX785" s="2883"/>
      <c r="HY785" s="2883"/>
      <c r="HZ785" s="2883"/>
      <c r="IA785" s="2883"/>
      <c r="IB785" s="2883"/>
      <c r="IC785" s="2883"/>
      <c r="IJ785" s="526"/>
      <c r="IZ785" s="526"/>
      <c r="JA785" s="526"/>
    </row>
    <row r="786" spans="2:261" s="523" customFormat="1" ht="15.6" customHeight="1">
      <c r="B786" s="523" t="s">
        <v>2299</v>
      </c>
      <c r="F786" s="2952">
        <f>'Part VI-Revenues &amp; Expenses'!F166</f>
        <v>38400</v>
      </c>
      <c r="G786" s="2952"/>
      <c r="I786" s="523" t="s">
        <v>1444</v>
      </c>
      <c r="K786" s="2952">
        <f>'Part VI-Revenues &amp; Expenses'!K166</f>
        <v>0</v>
      </c>
      <c r="L786" s="2952"/>
      <c r="N786" s="523" t="s">
        <v>973</v>
      </c>
      <c r="P786" s="2948">
        <f>'Part VI-Revenues &amp; Expenses'!P166</f>
        <v>123167</v>
      </c>
      <c r="T786" s="2908"/>
      <c r="U786" s="2908"/>
      <c r="V786" s="1247"/>
      <c r="W786" s="1247"/>
      <c r="X786" s="1247"/>
      <c r="GS786" s="2883"/>
      <c r="GX786" s="2883"/>
      <c r="GY786" s="2883"/>
      <c r="GZ786" s="2883"/>
      <c r="HA786" s="2883"/>
      <c r="HB786" s="2883"/>
      <c r="HC786" s="2883"/>
      <c r="HD786" s="2883"/>
      <c r="HE786" s="2883"/>
      <c r="HF786" s="2883"/>
      <c r="HG786" s="2883"/>
      <c r="HH786" s="2883"/>
      <c r="HI786" s="2883"/>
      <c r="HJ786" s="2883"/>
      <c r="HK786" s="2883"/>
      <c r="HL786" s="2883"/>
      <c r="HM786" s="2883"/>
      <c r="HN786" s="2883"/>
      <c r="HO786" s="2883"/>
      <c r="HP786" s="2883"/>
      <c r="HQ786" s="2883"/>
      <c r="HR786" s="2883"/>
      <c r="HS786" s="2883"/>
      <c r="HT786" s="2883"/>
      <c r="HU786" s="2883"/>
      <c r="HV786" s="2883"/>
      <c r="HW786" s="2883"/>
      <c r="HX786" s="2883"/>
      <c r="HY786" s="2883"/>
      <c r="HZ786" s="2883"/>
      <c r="IA786" s="2883"/>
      <c r="IB786" s="2883"/>
      <c r="IC786" s="2883"/>
      <c r="IJ786" s="526"/>
      <c r="IZ786" s="526"/>
      <c r="JA786" s="526"/>
    </row>
    <row r="787" spans="2:261" s="523" customFormat="1" ht="15.6" customHeight="1">
      <c r="B787" s="523" t="s">
        <v>1433</v>
      </c>
      <c r="F787" s="2952">
        <f>'Part VI-Revenues &amp; Expenses'!F167</f>
        <v>28800</v>
      </c>
      <c r="G787" s="2952"/>
      <c r="I787" s="523" t="s">
        <v>1445</v>
      </c>
      <c r="K787" s="2952">
        <f>'Part VI-Revenues &amp; Expenses'!K167</f>
        <v>960</v>
      </c>
      <c r="L787" s="2952"/>
      <c r="N787" s="523" t="s">
        <v>152</v>
      </c>
      <c r="P787" s="2948">
        <f>'Part VI-Revenues &amp; Expenses'!P167</f>
        <v>22500</v>
      </c>
      <c r="T787" s="2908"/>
      <c r="U787" s="2908"/>
      <c r="V787" s="1247"/>
      <c r="W787" s="1247"/>
      <c r="X787" s="1247"/>
      <c r="GS787" s="2883"/>
      <c r="GX787" s="2883"/>
      <c r="GY787" s="2883"/>
      <c r="GZ787" s="2883"/>
      <c r="HA787" s="2883"/>
      <c r="HB787" s="2883"/>
      <c r="HC787" s="2883"/>
      <c r="HD787" s="2883"/>
      <c r="HE787" s="2883"/>
      <c r="HF787" s="2883"/>
      <c r="HG787" s="2883"/>
      <c r="HH787" s="2883"/>
      <c r="HI787" s="2883"/>
      <c r="HJ787" s="2883"/>
      <c r="HK787" s="2883"/>
      <c r="HL787" s="2883"/>
      <c r="HM787" s="2883"/>
      <c r="HN787" s="2883"/>
      <c r="HO787" s="2883"/>
      <c r="HP787" s="2883"/>
      <c r="HQ787" s="2883"/>
      <c r="HR787" s="2883"/>
      <c r="HS787" s="2883"/>
      <c r="HT787" s="2883"/>
      <c r="HU787" s="2883"/>
      <c r="HV787" s="2883"/>
      <c r="HW787" s="2883"/>
      <c r="HX787" s="2883"/>
      <c r="HY787" s="2883"/>
      <c r="HZ787" s="2883"/>
      <c r="IA787" s="2883"/>
      <c r="IB787" s="2883"/>
      <c r="IC787" s="2883"/>
      <c r="IJ787" s="526"/>
      <c r="IZ787" s="526"/>
      <c r="JA787" s="526"/>
    </row>
    <row r="788" spans="2:261" s="523" customFormat="1" ht="15.6" customHeight="1">
      <c r="B788" s="523" t="s">
        <v>1299</v>
      </c>
      <c r="F788" s="2952">
        <f>'Part VI-Revenues &amp; Expenses'!F168</f>
        <v>0</v>
      </c>
      <c r="G788" s="2952"/>
      <c r="J788" s="2953" t="s">
        <v>197</v>
      </c>
      <c r="K788" s="2952">
        <f>SUM(K786:L787)</f>
        <v>960</v>
      </c>
      <c r="L788" s="2952"/>
      <c r="N788" s="2954" t="s">
        <v>53</v>
      </c>
      <c r="O788" s="2954"/>
      <c r="P788" s="2948">
        <f>'Part VI-Revenues &amp; Expenses'!P168</f>
        <v>0</v>
      </c>
      <c r="T788" s="2908"/>
      <c r="U788" s="2908"/>
      <c r="V788" s="1247"/>
      <c r="W788" s="1247"/>
      <c r="X788" s="1247"/>
      <c r="GS788" s="2883"/>
      <c r="GX788" s="2883"/>
      <c r="GY788" s="2883"/>
      <c r="GZ788" s="2883"/>
      <c r="HA788" s="2883"/>
      <c r="HB788" s="2883"/>
      <c r="HC788" s="2883"/>
      <c r="HD788" s="2883"/>
      <c r="HE788" s="2883"/>
      <c r="HF788" s="2883"/>
      <c r="HG788" s="2883"/>
      <c r="HH788" s="2883"/>
      <c r="HI788" s="2883"/>
      <c r="HJ788" s="2883"/>
      <c r="HK788" s="2883"/>
      <c r="HL788" s="2883"/>
      <c r="HM788" s="2883"/>
      <c r="HN788" s="2883"/>
      <c r="HO788" s="2883"/>
      <c r="HP788" s="2883"/>
      <c r="HQ788" s="2883"/>
      <c r="HR788" s="2883"/>
      <c r="HS788" s="2883"/>
      <c r="HT788" s="2883"/>
      <c r="HU788" s="2883"/>
      <c r="HV788" s="2883"/>
      <c r="HW788" s="2883"/>
      <c r="HX788" s="2883"/>
      <c r="HY788" s="2883"/>
      <c r="HZ788" s="2883"/>
      <c r="IA788" s="2883"/>
      <c r="IB788" s="2883"/>
      <c r="IC788" s="2883"/>
      <c r="IJ788" s="526"/>
      <c r="IZ788" s="526"/>
      <c r="JA788" s="526"/>
    </row>
    <row r="789" spans="2:261" s="523" customFormat="1" ht="15.6" customHeight="1">
      <c r="B789" s="2949" t="s">
        <v>53</v>
      </c>
      <c r="C789" s="2949"/>
      <c r="D789" s="2949"/>
      <c r="E789" s="2949"/>
      <c r="F789" s="2952">
        <f>'Part VI-Revenues &amp; Expenses'!F169</f>
        <v>7200</v>
      </c>
      <c r="G789" s="2952"/>
      <c r="N789" s="2953" t="s">
        <v>197</v>
      </c>
      <c r="P789" s="2948">
        <f>SUM(P786:P788)</f>
        <v>145667</v>
      </c>
      <c r="T789" s="2908"/>
      <c r="U789" s="2908"/>
      <c r="V789" s="1247"/>
      <c r="W789" s="1247"/>
      <c r="X789" s="1247"/>
      <c r="GS789" s="2883"/>
      <c r="GX789" s="2883"/>
      <c r="GY789" s="2883"/>
      <c r="GZ789" s="2883"/>
      <c r="HA789" s="2883"/>
      <c r="HB789" s="2883"/>
      <c r="HC789" s="2883"/>
      <c r="HD789" s="2883"/>
      <c r="HE789" s="2883"/>
      <c r="HF789" s="2883"/>
      <c r="HG789" s="2883"/>
      <c r="HH789" s="2883"/>
      <c r="HI789" s="2883"/>
      <c r="HJ789" s="2883"/>
      <c r="HK789" s="2883"/>
      <c r="HL789" s="2883"/>
      <c r="HM789" s="2883"/>
      <c r="HN789" s="2883"/>
      <c r="HO789" s="2883"/>
      <c r="HP789" s="2883"/>
      <c r="HQ789" s="2883"/>
      <c r="HR789" s="2883"/>
      <c r="HS789" s="2883"/>
      <c r="HT789" s="2883"/>
      <c r="HU789" s="2883"/>
      <c r="HV789" s="2883"/>
      <c r="HW789" s="2883"/>
      <c r="HX789" s="2883"/>
      <c r="HY789" s="2883"/>
      <c r="HZ789" s="2883"/>
      <c r="IA789" s="2883"/>
      <c r="IB789" s="2883"/>
      <c r="IC789" s="2883"/>
      <c r="IJ789" s="526"/>
      <c r="IZ789" s="526"/>
      <c r="JA789" s="526"/>
    </row>
    <row r="790" spans="2:261" s="523" customFormat="1" ht="15.6" customHeight="1">
      <c r="C790" s="2953" t="s">
        <v>197</v>
      </c>
      <c r="F790" s="2952">
        <f>SUM(F786:G789)</f>
        <v>74400</v>
      </c>
      <c r="G790" s="2952"/>
      <c r="J790" s="2920"/>
      <c r="T790" s="2908"/>
      <c r="U790" s="2908"/>
      <c r="V790" s="1247"/>
      <c r="W790" s="1247"/>
      <c r="X790" s="1247"/>
      <c r="GS790" s="2883"/>
      <c r="GX790" s="2883"/>
      <c r="GY790" s="2883"/>
      <c r="GZ790" s="2883"/>
      <c r="HA790" s="2883"/>
      <c r="HB790" s="2883"/>
      <c r="HC790" s="2883"/>
      <c r="HD790" s="2883"/>
      <c r="HE790" s="2883"/>
      <c r="HF790" s="2883"/>
      <c r="HG790" s="2883"/>
      <c r="HH790" s="2883"/>
      <c r="HI790" s="2883"/>
      <c r="HJ790" s="2883"/>
      <c r="HK790" s="2883"/>
      <c r="HL790" s="2883"/>
      <c r="HM790" s="2883"/>
      <c r="HN790" s="2883"/>
      <c r="HO790" s="2883"/>
      <c r="HP790" s="2883"/>
      <c r="HQ790" s="2883"/>
      <c r="HR790" s="2883"/>
      <c r="HS790" s="2883"/>
      <c r="HT790" s="2883"/>
      <c r="HU790" s="2883"/>
      <c r="HV790" s="2883"/>
      <c r="HW790" s="2883"/>
      <c r="HX790" s="2883"/>
      <c r="HY790" s="2883"/>
      <c r="HZ790" s="2883"/>
      <c r="IA790" s="2883"/>
      <c r="IB790" s="2883"/>
      <c r="IC790" s="2883"/>
      <c r="IJ790" s="526"/>
      <c r="IZ790" s="526"/>
      <c r="JA790" s="526"/>
    </row>
    <row r="791" spans="2:261" s="523" customFormat="1" ht="6" customHeight="1">
      <c r="C791" s="526"/>
      <c r="D791" s="2953"/>
      <c r="F791" s="2920"/>
      <c r="G791" s="2920"/>
      <c r="J791" s="2920"/>
      <c r="M791" s="526"/>
      <c r="O791" s="2953"/>
      <c r="T791" s="2908"/>
      <c r="U791" s="2908"/>
      <c r="GS791" s="2883"/>
      <c r="GX791" s="2883"/>
      <c r="GY791" s="2883"/>
      <c r="GZ791" s="2883"/>
      <c r="HA791" s="2883"/>
      <c r="HB791" s="2883"/>
      <c r="HC791" s="2883"/>
      <c r="HD791" s="2883"/>
      <c r="HE791" s="2883"/>
      <c r="HF791" s="2883"/>
      <c r="HG791" s="2883"/>
      <c r="HH791" s="2883"/>
      <c r="HI791" s="2883"/>
      <c r="HJ791" s="2883"/>
      <c r="HK791" s="2883"/>
      <c r="HL791" s="2883"/>
      <c r="HM791" s="2883"/>
      <c r="HN791" s="2883"/>
      <c r="HO791" s="2883"/>
      <c r="HP791" s="2883"/>
      <c r="HQ791" s="2883"/>
      <c r="HR791" s="2883"/>
      <c r="HS791" s="2883"/>
      <c r="HT791" s="2883"/>
      <c r="HU791" s="2883"/>
      <c r="HV791" s="2883"/>
      <c r="HW791" s="2883"/>
      <c r="HX791" s="2883"/>
      <c r="HY791" s="2883"/>
      <c r="HZ791" s="2883"/>
      <c r="IA791" s="2883"/>
      <c r="IB791" s="2883"/>
      <c r="IC791" s="2883"/>
      <c r="IJ791" s="526"/>
      <c r="IZ791" s="526"/>
      <c r="JA791" s="526"/>
    </row>
    <row r="792" spans="2:261" s="523" customFormat="1" ht="13.15" customHeight="1">
      <c r="B792" s="526" t="s">
        <v>1356</v>
      </c>
      <c r="D792" s="2955"/>
      <c r="I792" s="526" t="s">
        <v>1357</v>
      </c>
      <c r="N792" s="526" t="s">
        <v>1446</v>
      </c>
      <c r="P792" s="2956">
        <f>IF(OR('Part VII-Pro Forma'!$B$20 = "Choose Mgt Fee",'Part VII-Pro Forma'!$B$20 = "Choose One!"), 0,- 'Part VII-Pro Forma'!$B$20)</f>
        <v>53560</v>
      </c>
      <c r="T792" s="2908"/>
      <c r="U792" s="2908"/>
      <c r="V792" s="1247"/>
      <c r="W792" s="1247"/>
      <c r="X792" s="1247"/>
      <c r="GS792" s="2883"/>
      <c r="GX792" s="2883"/>
      <c r="GY792" s="2883"/>
      <c r="GZ792" s="2883"/>
      <c r="HA792" s="2883"/>
      <c r="HB792" s="2883"/>
      <c r="HC792" s="2883"/>
      <c r="HD792" s="2883"/>
      <c r="HE792" s="2883"/>
      <c r="HF792" s="2883"/>
      <c r="HG792" s="2883"/>
      <c r="HH792" s="2883"/>
      <c r="HI792" s="2883"/>
      <c r="HJ792" s="2883"/>
      <c r="HK792" s="2883"/>
      <c r="HL792" s="2883"/>
      <c r="HM792" s="2883"/>
      <c r="HN792" s="2883"/>
      <c r="HO792" s="2883"/>
      <c r="HP792" s="2883"/>
      <c r="HQ792" s="2883"/>
      <c r="HR792" s="2883"/>
      <c r="HS792" s="2883"/>
      <c r="HT792" s="2883"/>
      <c r="HU792" s="2883"/>
      <c r="HV792" s="2883"/>
      <c r="HW792" s="2883"/>
      <c r="HX792" s="2883"/>
      <c r="HY792" s="2883"/>
      <c r="HZ792" s="2883"/>
      <c r="IA792" s="2883"/>
      <c r="IB792" s="2883"/>
      <c r="IC792" s="2883"/>
      <c r="IJ792" s="526"/>
      <c r="IZ792" s="526"/>
      <c r="JA792" s="526"/>
    </row>
    <row r="793" spans="2:261" s="523" customFormat="1" ht="15.6" customHeight="1">
      <c r="B793" s="523" t="s">
        <v>1438</v>
      </c>
      <c r="D793" s="2955"/>
      <c r="F793" s="2952">
        <f>'Part VI-Revenues &amp; Expenses'!F173</f>
        <v>5288</v>
      </c>
      <c r="G793" s="2952"/>
      <c r="I793" s="523" t="s">
        <v>1680</v>
      </c>
      <c r="K793" s="2952">
        <f>'Part VI-Revenues &amp; Expenses'!K173</f>
        <v>7200</v>
      </c>
      <c r="L793" s="2952"/>
      <c r="N793" s="2957">
        <f>+P792/(M682*0.93)</f>
        <v>599.91039426523298</v>
      </c>
      <c r="O793" s="2958" t="s">
        <v>3022</v>
      </c>
      <c r="T793" s="2908"/>
      <c r="U793" s="2908"/>
      <c r="V793" s="1247"/>
      <c r="W793" s="1247"/>
      <c r="X793" s="1247"/>
      <c r="GS793" s="2883"/>
      <c r="GX793" s="2883"/>
      <c r="GY793" s="2883"/>
      <c r="GZ793" s="2883"/>
      <c r="HA793" s="2883"/>
      <c r="HB793" s="2883"/>
      <c r="HC793" s="2883"/>
      <c r="HD793" s="2883"/>
      <c r="HE793" s="2883"/>
      <c r="HF793" s="2883"/>
      <c r="HG793" s="2883"/>
      <c r="HH793" s="2883"/>
      <c r="HI793" s="2883"/>
      <c r="HJ793" s="2883"/>
      <c r="HK793" s="2883"/>
      <c r="HL793" s="2883"/>
      <c r="HM793" s="2883"/>
      <c r="HN793" s="2883"/>
      <c r="HO793" s="2883"/>
      <c r="HP793" s="2883"/>
      <c r="HQ793" s="2883"/>
      <c r="HR793" s="2883"/>
      <c r="HS793" s="2883"/>
      <c r="HT793" s="2883"/>
      <c r="HU793" s="2883"/>
      <c r="HV793" s="2883"/>
      <c r="HW793" s="2883"/>
      <c r="HX793" s="2883"/>
      <c r="HY793" s="2883"/>
      <c r="HZ793" s="2883"/>
      <c r="IA793" s="2883"/>
      <c r="IB793" s="2883"/>
      <c r="IC793" s="2883"/>
      <c r="IJ793" s="526"/>
      <c r="IZ793" s="526"/>
      <c r="JA793" s="526"/>
    </row>
    <row r="794" spans="2:261" s="523" customFormat="1" ht="15.6" customHeight="1">
      <c r="B794" s="523" t="s">
        <v>1439</v>
      </c>
      <c r="D794" s="2955"/>
      <c r="F794" s="2952">
        <f>'Part VI-Revenues &amp; Expenses'!F174</f>
        <v>5000</v>
      </c>
      <c r="G794" s="2952"/>
      <c r="I794" s="523" t="s">
        <v>2150</v>
      </c>
      <c r="K794" s="2952">
        <f>'Part VI-Revenues &amp; Expenses'!K174</f>
        <v>5088</v>
      </c>
      <c r="L794" s="2952"/>
      <c r="N794" s="2957">
        <f>+P792/(M682*0.93)/12</f>
        <v>49.992532855436082</v>
      </c>
      <c r="O794" s="2958" t="s">
        <v>3023</v>
      </c>
      <c r="T794" s="2908"/>
      <c r="U794" s="2908"/>
      <c r="V794" s="1247"/>
      <c r="W794" s="1247"/>
      <c r="X794" s="1247"/>
      <c r="GS794" s="2883"/>
      <c r="GX794" s="2883"/>
      <c r="GY794" s="2883"/>
      <c r="GZ794" s="2883"/>
      <c r="HA794" s="2883"/>
      <c r="HB794" s="2883"/>
      <c r="HC794" s="2883"/>
      <c r="HD794" s="2883"/>
      <c r="HE794" s="2883"/>
      <c r="HF794" s="2883"/>
      <c r="HG794" s="2883"/>
      <c r="HH794" s="2883"/>
      <c r="HI794" s="2883"/>
      <c r="HJ794" s="2883"/>
      <c r="HK794" s="2883"/>
      <c r="HL794" s="2883"/>
      <c r="HM794" s="2883"/>
      <c r="HN794" s="2883"/>
      <c r="HO794" s="2883"/>
      <c r="HP794" s="2883"/>
      <c r="HQ794" s="2883"/>
      <c r="HR794" s="2883"/>
      <c r="HS794" s="2883"/>
      <c r="HT794" s="2883"/>
      <c r="HU794" s="2883"/>
      <c r="HV794" s="2883"/>
      <c r="HW794" s="2883"/>
      <c r="HX794" s="2883"/>
      <c r="HY794" s="2883"/>
      <c r="HZ794" s="2883"/>
      <c r="IA794" s="2883"/>
      <c r="IB794" s="2883"/>
      <c r="IC794" s="2883"/>
      <c r="IJ794" s="526"/>
      <c r="IZ794" s="526"/>
      <c r="JA794" s="526"/>
    </row>
    <row r="795" spans="2:261" s="523" customFormat="1" ht="15.6" customHeight="1">
      <c r="B795" s="523" t="s">
        <v>1440</v>
      </c>
      <c r="D795" s="2955"/>
      <c r="F795" s="2952">
        <f>'Part VI-Revenues &amp; Expenses'!F175</f>
        <v>2596</v>
      </c>
      <c r="G795" s="2952"/>
      <c r="I795" s="523" t="s">
        <v>1681</v>
      </c>
      <c r="K795" s="2952">
        <f>'Part VI-Revenues &amp; Expenses'!K175</f>
        <v>2400</v>
      </c>
      <c r="L795" s="2952"/>
      <c r="N795" s="2921" t="s">
        <v>2583</v>
      </c>
      <c r="O795" s="2921"/>
      <c r="P795" s="2921"/>
      <c r="T795" s="2908"/>
      <c r="U795" s="2908"/>
      <c r="V795" s="1247"/>
      <c r="W795" s="1247"/>
      <c r="X795" s="1247"/>
      <c r="GS795" s="2883"/>
      <c r="GX795" s="2883"/>
      <c r="GY795" s="2883"/>
      <c r="GZ795" s="2883"/>
      <c r="HA795" s="2883"/>
      <c r="HB795" s="2883"/>
      <c r="HC795" s="2883"/>
      <c r="HD795" s="2883"/>
      <c r="HE795" s="2883"/>
      <c r="HF795" s="2883"/>
      <c r="HG795" s="2883"/>
      <c r="HH795" s="2883"/>
      <c r="HI795" s="2883"/>
      <c r="HJ795" s="2883"/>
      <c r="HK795" s="2883"/>
      <c r="HL795" s="2883"/>
      <c r="HM795" s="2883"/>
      <c r="HN795" s="2883"/>
      <c r="HO795" s="2883"/>
      <c r="HP795" s="2883"/>
      <c r="HQ795" s="2883"/>
      <c r="HR795" s="2883"/>
      <c r="HS795" s="2883"/>
      <c r="HT795" s="2883"/>
      <c r="HU795" s="2883"/>
      <c r="HV795" s="2883"/>
      <c r="HW795" s="2883"/>
      <c r="HX795" s="2883"/>
      <c r="HY795" s="2883"/>
      <c r="HZ795" s="2883"/>
      <c r="IA795" s="2883"/>
      <c r="IB795" s="2883"/>
      <c r="IC795" s="2883"/>
      <c r="IJ795" s="526"/>
      <c r="IZ795" s="526"/>
      <c r="JA795" s="526"/>
    </row>
    <row r="796" spans="2:261" s="523" customFormat="1" ht="15.6" customHeight="1">
      <c r="B796" s="523" t="s">
        <v>2451</v>
      </c>
      <c r="D796" s="2955"/>
      <c r="F796" s="2952">
        <f>'Part VI-Revenues &amp; Expenses'!F176</f>
        <v>0</v>
      </c>
      <c r="G796" s="2952"/>
      <c r="I796" s="2954" t="s">
        <v>53</v>
      </c>
      <c r="J796" s="2954"/>
      <c r="K796" s="2952">
        <f>'Part VI-Revenues &amp; Expenses'!K176</f>
        <v>0</v>
      </c>
      <c r="L796" s="2952"/>
      <c r="N796" s="2921"/>
      <c r="O796" s="2921"/>
      <c r="P796" s="2921"/>
      <c r="T796" s="2908"/>
      <c r="U796" s="2908"/>
      <c r="V796" s="1247"/>
      <c r="W796" s="1247"/>
      <c r="X796" s="1247"/>
      <c r="GS796" s="2883"/>
      <c r="GX796" s="2883"/>
      <c r="GY796" s="2883"/>
      <c r="GZ796" s="2883"/>
      <c r="HA796" s="2883"/>
      <c r="HB796" s="2883"/>
      <c r="HC796" s="2883"/>
      <c r="HD796" s="2883"/>
      <c r="HE796" s="2883"/>
      <c r="HF796" s="2883"/>
      <c r="HG796" s="2883"/>
      <c r="HH796" s="2883"/>
      <c r="HI796" s="2883"/>
      <c r="HJ796" s="2883"/>
      <c r="HK796" s="2883"/>
      <c r="HL796" s="2883"/>
      <c r="HM796" s="2883"/>
      <c r="HN796" s="2883"/>
      <c r="HO796" s="2883"/>
      <c r="HP796" s="2883"/>
      <c r="HQ796" s="2883"/>
      <c r="HR796" s="2883"/>
      <c r="HS796" s="2883"/>
      <c r="HT796" s="2883"/>
      <c r="HU796" s="2883"/>
      <c r="HV796" s="2883"/>
      <c r="HW796" s="2883"/>
      <c r="HX796" s="2883"/>
      <c r="HY796" s="2883"/>
      <c r="HZ796" s="2883"/>
      <c r="IA796" s="2883"/>
      <c r="IB796" s="2883"/>
      <c r="IC796" s="2883"/>
      <c r="IJ796" s="526"/>
      <c r="IZ796" s="526"/>
      <c r="JA796" s="526"/>
    </row>
    <row r="797" spans="2:261" s="523" customFormat="1" ht="15.6" customHeight="1">
      <c r="B797" s="523" t="s">
        <v>1678</v>
      </c>
      <c r="D797" s="2955"/>
      <c r="F797" s="2952">
        <f>'Part VI-Revenues &amp; Expenses'!F177</f>
        <v>1248</v>
      </c>
      <c r="G797" s="2952"/>
      <c r="I797" s="526"/>
      <c r="J797" s="2953" t="s">
        <v>197</v>
      </c>
      <c r="K797" s="2959">
        <f>SUM(K793:K796)</f>
        <v>14688</v>
      </c>
      <c r="L797" s="2959"/>
      <c r="T797" s="2908"/>
      <c r="U797" s="2908"/>
      <c r="V797" s="1247"/>
      <c r="W797" s="1247"/>
      <c r="X797" s="1247"/>
      <c r="GS797" s="2883"/>
      <c r="GX797" s="2883"/>
      <c r="GY797" s="2883"/>
      <c r="GZ797" s="2883"/>
      <c r="HA797" s="2883"/>
      <c r="HB797" s="2883"/>
      <c r="HC797" s="2883"/>
      <c r="HD797" s="2883"/>
      <c r="HE797" s="2883"/>
      <c r="HF797" s="2883"/>
      <c r="HG797" s="2883"/>
      <c r="HH797" s="2883"/>
      <c r="HI797" s="2883"/>
      <c r="HJ797" s="2883"/>
      <c r="HK797" s="2883"/>
      <c r="HL797" s="2883"/>
      <c r="HM797" s="2883"/>
      <c r="HN797" s="2883"/>
      <c r="HO797" s="2883"/>
      <c r="HP797" s="2883"/>
      <c r="HQ797" s="2883"/>
      <c r="HR797" s="2883"/>
      <c r="HS797" s="2883"/>
      <c r="HT797" s="2883"/>
      <c r="HU797" s="2883"/>
      <c r="HV797" s="2883"/>
      <c r="HW797" s="2883"/>
      <c r="HX797" s="2883"/>
      <c r="HY797" s="2883"/>
      <c r="HZ797" s="2883"/>
      <c r="IA797" s="2883"/>
      <c r="IB797" s="2883"/>
      <c r="IC797" s="2883"/>
      <c r="IJ797" s="526"/>
      <c r="IZ797" s="526"/>
      <c r="JA797" s="526"/>
    </row>
    <row r="798" spans="2:261" s="523" customFormat="1" ht="15.6" customHeight="1">
      <c r="B798" s="2949" t="s">
        <v>53</v>
      </c>
      <c r="C798" s="2949"/>
      <c r="D798" s="2949"/>
      <c r="E798" s="2949"/>
      <c r="F798" s="2952">
        <f>'Part VI-Revenues &amp; Expenses'!F178</f>
        <v>1248</v>
      </c>
      <c r="G798" s="2952"/>
      <c r="J798" s="2920"/>
      <c r="N798" s="526" t="s">
        <v>2289</v>
      </c>
      <c r="P798" s="2948">
        <f>F790+F799+F810+K788+K797+K807+P789+P792</f>
        <v>424323</v>
      </c>
      <c r="T798" s="2837">
        <f>'Part VI-Revenues &amp; Expenses'!T178</f>
        <v>0</v>
      </c>
      <c r="U798" s="2908"/>
      <c r="V798" s="1247"/>
      <c r="W798" s="1247"/>
      <c r="X798" s="1247"/>
      <c r="GS798" s="2883"/>
      <c r="GX798" s="2883"/>
      <c r="GY798" s="2883"/>
      <c r="GZ798" s="2883"/>
      <c r="HA798" s="2883"/>
      <c r="HB798" s="2883"/>
      <c r="HC798" s="2883"/>
      <c r="HD798" s="2883"/>
      <c r="HE798" s="2883"/>
      <c r="HF798" s="2883"/>
      <c r="HG798" s="2883"/>
      <c r="HH798" s="2883"/>
      <c r="HI798" s="2883"/>
      <c r="HJ798" s="2883"/>
      <c r="HK798" s="2883"/>
      <c r="HL798" s="2883"/>
      <c r="HM798" s="2883"/>
      <c r="HN798" s="2883"/>
      <c r="HO798" s="2883"/>
      <c r="HP798" s="2883"/>
      <c r="HQ798" s="2883"/>
      <c r="HR798" s="2883"/>
      <c r="HS798" s="2883"/>
      <c r="HT798" s="2883"/>
      <c r="HU798" s="2883"/>
      <c r="HV798" s="2883"/>
      <c r="HW798" s="2883"/>
      <c r="HX798" s="2883"/>
      <c r="HY798" s="2883"/>
      <c r="HZ798" s="2883"/>
      <c r="IA798" s="2883"/>
      <c r="IB798" s="2883"/>
      <c r="IC798" s="2883"/>
      <c r="IJ798" s="526"/>
      <c r="IZ798" s="526"/>
      <c r="JA798" s="526"/>
    </row>
    <row r="799" spans="2:261" s="523" customFormat="1" ht="15.6" customHeight="1">
      <c r="C799" s="2953" t="s">
        <v>197</v>
      </c>
      <c r="F799" s="2952">
        <f>SUM(F793:G798)</f>
        <v>15380</v>
      </c>
      <c r="G799" s="2952"/>
      <c r="J799" s="2920"/>
      <c r="N799" s="2957">
        <f>+P798/M682</f>
        <v>4420.03125</v>
      </c>
      <c r="O799" s="2958" t="s">
        <v>3024</v>
      </c>
      <c r="T799" s="2908"/>
      <c r="U799" s="2908"/>
      <c r="V799" s="1247"/>
      <c r="W799" s="1247"/>
      <c r="X799" s="1247"/>
      <c r="GS799" s="2883"/>
      <c r="GX799" s="2883"/>
      <c r="GY799" s="2883"/>
      <c r="GZ799" s="2883"/>
      <c r="HA799" s="2883"/>
      <c r="HB799" s="2883"/>
      <c r="HC799" s="2883"/>
      <c r="HD799" s="2883"/>
      <c r="HE799" s="2883"/>
      <c r="HF799" s="2883"/>
      <c r="HG799" s="2883"/>
      <c r="HH799" s="2883"/>
      <c r="HI799" s="2883"/>
      <c r="HJ799" s="2883"/>
      <c r="HK799" s="2883"/>
      <c r="HL799" s="2883"/>
      <c r="HM799" s="2883"/>
      <c r="HN799" s="2883"/>
      <c r="HO799" s="2883"/>
      <c r="HP799" s="2883"/>
      <c r="HQ799" s="2883"/>
      <c r="HR799" s="2883"/>
      <c r="HS799" s="2883"/>
      <c r="HT799" s="2883"/>
      <c r="HU799" s="2883"/>
      <c r="HV799" s="2883"/>
      <c r="HW799" s="2883"/>
      <c r="HX799" s="2883"/>
      <c r="HY799" s="2883"/>
      <c r="HZ799" s="2883"/>
      <c r="IA799" s="2883"/>
      <c r="IB799" s="2883"/>
      <c r="IC799" s="2883"/>
      <c r="IJ799" s="526"/>
      <c r="IZ799" s="526"/>
      <c r="JA799" s="526"/>
    </row>
    <row r="800" spans="2:261" s="523" customFormat="1" ht="6" customHeight="1">
      <c r="D800" s="2953"/>
      <c r="F800" s="2920"/>
      <c r="G800" s="2920"/>
      <c r="J800" s="2920"/>
      <c r="T800" s="2908"/>
      <c r="U800" s="2908"/>
      <c r="GS800" s="2883"/>
      <c r="GX800" s="2883"/>
      <c r="GY800" s="2883"/>
      <c r="GZ800" s="2883"/>
      <c r="HA800" s="2883"/>
      <c r="HB800" s="2883"/>
      <c r="HC800" s="2883"/>
      <c r="HD800" s="2883"/>
      <c r="HE800" s="2883"/>
      <c r="HF800" s="2883"/>
      <c r="HG800" s="2883"/>
      <c r="HH800" s="2883"/>
      <c r="HI800" s="2883"/>
      <c r="HJ800" s="2883"/>
      <c r="HK800" s="2883"/>
      <c r="HL800" s="2883"/>
      <c r="HM800" s="2883"/>
      <c r="HN800" s="2883"/>
      <c r="HO800" s="2883"/>
      <c r="HP800" s="2883"/>
      <c r="HQ800" s="2883"/>
      <c r="HR800" s="2883"/>
      <c r="HS800" s="2883"/>
      <c r="HT800" s="2883"/>
      <c r="HU800" s="2883"/>
      <c r="HV800" s="2883"/>
      <c r="HW800" s="2883"/>
      <c r="HX800" s="2883"/>
      <c r="HY800" s="2883"/>
      <c r="HZ800" s="2883"/>
      <c r="IA800" s="2883"/>
      <c r="IB800" s="2883"/>
      <c r="IC800" s="2883"/>
      <c r="IJ800" s="526"/>
      <c r="IZ800" s="526"/>
      <c r="JA800" s="526"/>
    </row>
    <row r="801" spans="1:261" s="523" customFormat="1" ht="15.75" customHeight="1">
      <c r="B801" s="526" t="s">
        <v>1358</v>
      </c>
      <c r="D801" s="2955"/>
      <c r="I801" s="526" t="s">
        <v>1441</v>
      </c>
      <c r="J801" s="2685" t="s">
        <v>3021</v>
      </c>
      <c r="N801" s="526" t="s">
        <v>4225</v>
      </c>
      <c r="O801" s="526"/>
      <c r="P801" s="2956">
        <f>P802*M682</f>
        <v>24000</v>
      </c>
      <c r="T801" s="2908"/>
      <c r="U801" s="2908"/>
      <c r="V801" s="1247"/>
      <c r="W801" s="1247"/>
      <c r="X801" s="1247"/>
      <c r="GS801" s="2883"/>
      <c r="GX801" s="2883"/>
      <c r="GY801" s="2883"/>
      <c r="GZ801" s="2883"/>
      <c r="HA801" s="2883"/>
      <c r="HB801" s="2883"/>
      <c r="HC801" s="2883"/>
      <c r="HD801" s="2883"/>
      <c r="HE801" s="2883"/>
      <c r="HF801" s="2883"/>
      <c r="HG801" s="2883"/>
      <c r="HH801" s="2883"/>
      <c r="HI801" s="2883"/>
      <c r="HJ801" s="2883"/>
      <c r="HK801" s="2883"/>
      <c r="HL801" s="2883"/>
      <c r="HM801" s="2883"/>
      <c r="HN801" s="2883"/>
      <c r="HO801" s="2883"/>
      <c r="HP801" s="2883"/>
      <c r="HQ801" s="2883"/>
      <c r="HR801" s="2883"/>
      <c r="HS801" s="2883"/>
      <c r="HT801" s="2883"/>
      <c r="HU801" s="2883"/>
      <c r="HV801" s="2883"/>
      <c r="HW801" s="2883"/>
      <c r="HX801" s="2883"/>
      <c r="HY801" s="2883"/>
      <c r="HZ801" s="2883"/>
      <c r="IA801" s="2883"/>
      <c r="IB801" s="2883"/>
      <c r="IC801" s="2883"/>
      <c r="IJ801" s="526"/>
      <c r="IZ801" s="526"/>
      <c r="JA801" s="526"/>
    </row>
    <row r="802" spans="1:261" s="523" customFormat="1" ht="15.6" customHeight="1">
      <c r="B802" s="523" t="s">
        <v>1682</v>
      </c>
      <c r="D802" s="2955"/>
      <c r="F802" s="2952">
        <f>'Part VI-Revenues &amp; Expenses'!F182</f>
        <v>14900</v>
      </c>
      <c r="G802" s="2952"/>
      <c r="I802" s="523" t="s">
        <v>1434</v>
      </c>
      <c r="J802" s="2845">
        <f>K802/12/M682</f>
        <v>13.25</v>
      </c>
      <c r="K802" s="2952">
        <f>'Part VI-Revenues &amp; Expenses'!K182</f>
        <v>15264</v>
      </c>
      <c r="L802" s="2952"/>
      <c r="N802" s="527" t="s">
        <v>4226</v>
      </c>
      <c r="P802" s="2960">
        <f>'Part VI-Revenues &amp; Expenses'!P182</f>
        <v>250</v>
      </c>
      <c r="T802" s="2908"/>
      <c r="U802" s="2908"/>
      <c r="V802" s="1247"/>
      <c r="W802" s="1247"/>
      <c r="X802" s="1247"/>
      <c r="GS802" s="2883"/>
      <c r="GX802" s="2883"/>
      <c r="GY802" s="2883"/>
      <c r="GZ802" s="2883"/>
      <c r="HA802" s="2883"/>
      <c r="HB802" s="2883"/>
      <c r="HC802" s="2883"/>
      <c r="HD802" s="2883"/>
      <c r="HE802" s="2883"/>
      <c r="HF802" s="2883"/>
      <c r="HG802" s="2883"/>
      <c r="HH802" s="2883"/>
      <c r="HI802" s="2883"/>
      <c r="HJ802" s="2883"/>
      <c r="HK802" s="2883"/>
      <c r="HL802" s="2883"/>
      <c r="HM802" s="2883"/>
      <c r="HN802" s="2883"/>
      <c r="HO802" s="2883"/>
      <c r="HP802" s="2883"/>
      <c r="HQ802" s="2883"/>
      <c r="HR802" s="2883"/>
      <c r="HS802" s="2883"/>
      <c r="HT802" s="2883"/>
      <c r="HU802" s="2883"/>
      <c r="HV802" s="2883"/>
      <c r="HW802" s="2883"/>
      <c r="HX802" s="2883"/>
      <c r="HY802" s="2883"/>
      <c r="HZ802" s="2883"/>
      <c r="IA802" s="2883"/>
      <c r="IB802" s="2883"/>
      <c r="IC802" s="2883"/>
      <c r="IJ802" s="526"/>
      <c r="IZ802" s="526"/>
      <c r="JA802" s="526"/>
    </row>
    <row r="803" spans="1:261" s="523" customFormat="1" ht="15.6" customHeight="1">
      <c r="B803" s="523" t="s">
        <v>1683</v>
      </c>
      <c r="D803" s="2955"/>
      <c r="F803" s="2952">
        <f>'Part VI-Revenues &amp; Expenses'!F183</f>
        <v>14900</v>
      </c>
      <c r="G803" s="2952"/>
      <c r="I803" s="523" t="s">
        <v>1435</v>
      </c>
      <c r="J803" s="2845">
        <f>K803/12/M682</f>
        <v>0</v>
      </c>
      <c r="K803" s="2952">
        <f>'Part VI-Revenues &amp; Expenses'!K183</f>
        <v>0</v>
      </c>
      <c r="L803" s="2952"/>
      <c r="N803" s="2961">
        <f>ROUND(P810/M682,0)</f>
        <v>250</v>
      </c>
      <c r="O803" s="2958" t="s">
        <v>3024</v>
      </c>
      <c r="Q803" s="2962"/>
      <c r="T803" s="2908"/>
      <c r="U803" s="2908"/>
      <c r="V803" s="1247"/>
      <c r="W803" s="1247"/>
      <c r="X803" s="1247"/>
      <c r="GS803" s="2883"/>
      <c r="GX803" s="2883"/>
      <c r="GY803" s="2883"/>
      <c r="GZ803" s="2883"/>
      <c r="HA803" s="2883"/>
      <c r="HB803" s="2883"/>
      <c r="HC803" s="2883"/>
      <c r="HD803" s="2883"/>
      <c r="HE803" s="2883"/>
      <c r="HF803" s="2883"/>
      <c r="HG803" s="2883"/>
      <c r="HH803" s="2883"/>
      <c r="HI803" s="2883"/>
      <c r="HJ803" s="2883"/>
      <c r="HK803" s="2883"/>
      <c r="HL803" s="2883"/>
      <c r="HM803" s="2883"/>
      <c r="HN803" s="2883"/>
      <c r="HO803" s="2883"/>
      <c r="HP803" s="2883"/>
      <c r="HQ803" s="2883"/>
      <c r="HR803" s="2883"/>
      <c r="HS803" s="2883"/>
      <c r="HT803" s="2883"/>
      <c r="HU803" s="2883"/>
      <c r="HV803" s="2883"/>
      <c r="HW803" s="2883"/>
      <c r="HX803" s="2883"/>
      <c r="HY803" s="2883"/>
      <c r="HZ803" s="2883"/>
      <c r="IA803" s="2883"/>
      <c r="IB803" s="2883"/>
      <c r="IC803" s="2883"/>
      <c r="IJ803" s="526"/>
      <c r="IZ803" s="526"/>
      <c r="JA803" s="526"/>
    </row>
    <row r="804" spans="1:261" s="523" customFormat="1" ht="15.6" customHeight="1">
      <c r="B804" s="523" t="s">
        <v>1684</v>
      </c>
      <c r="D804" s="2955"/>
      <c r="F804" s="2952">
        <f>'Part VI-Revenues &amp; Expenses'!F184</f>
        <v>16800</v>
      </c>
      <c r="G804" s="2952"/>
      <c r="I804" s="523" t="s">
        <v>2463</v>
      </c>
      <c r="J804" s="2845">
        <f>K804/12/M682</f>
        <v>5.25</v>
      </c>
      <c r="K804" s="2952">
        <f>'Part VI-Revenues &amp; Expenses'!K184</f>
        <v>6048</v>
      </c>
      <c r="L804" s="2952"/>
      <c r="N804" s="2962" t="s">
        <v>2887</v>
      </c>
      <c r="O804" s="2963" t="s">
        <v>4015</v>
      </c>
      <c r="P804" s="2963" t="s">
        <v>4016</v>
      </c>
      <c r="T804" s="2908"/>
      <c r="U804" s="2908"/>
      <c r="V804" s="1247"/>
      <c r="W804" s="1247"/>
      <c r="X804" s="1247"/>
      <c r="GS804" s="2883"/>
      <c r="GX804" s="2883"/>
      <c r="GY804" s="2883"/>
      <c r="GZ804" s="2883"/>
      <c r="HA804" s="2883"/>
      <c r="HB804" s="2883"/>
      <c r="HC804" s="2883"/>
      <c r="HD804" s="2883"/>
      <c r="HE804" s="2883"/>
      <c r="HF804" s="2883"/>
      <c r="HG804" s="2883"/>
      <c r="HH804" s="2883"/>
      <c r="HI804" s="2883"/>
      <c r="HJ804" s="2883"/>
      <c r="HK804" s="2883"/>
      <c r="HL804" s="2883"/>
      <c r="HM804" s="2883"/>
      <c r="HN804" s="2883"/>
      <c r="HO804" s="2883"/>
      <c r="HP804" s="2883"/>
      <c r="HQ804" s="2883"/>
      <c r="HR804" s="2883"/>
      <c r="HS804" s="2883"/>
      <c r="HT804" s="2883"/>
      <c r="HU804" s="2883"/>
      <c r="HV804" s="2883"/>
      <c r="HW804" s="2883"/>
      <c r="HX804" s="2883"/>
      <c r="HY804" s="2883"/>
      <c r="HZ804" s="2883"/>
      <c r="IA804" s="2883"/>
      <c r="IB804" s="2883"/>
      <c r="IC804" s="2883"/>
      <c r="IJ804" s="526"/>
      <c r="IZ804" s="526"/>
      <c r="JA804" s="526"/>
    </row>
    <row r="805" spans="1:261" s="523" customFormat="1" ht="15.6" customHeight="1">
      <c r="B805" s="523" t="s">
        <v>1051</v>
      </c>
      <c r="D805" s="2955"/>
      <c r="F805" s="2952">
        <f>'Part VI-Revenues &amp; Expenses'!F185</f>
        <v>9600</v>
      </c>
      <c r="G805" s="2952"/>
      <c r="I805" s="523" t="s">
        <v>1437</v>
      </c>
      <c r="K805" s="2952">
        <f>'Part VI-Revenues &amp; Expenses'!K185</f>
        <v>8160</v>
      </c>
      <c r="L805" s="2952"/>
      <c r="N805" s="2964" t="s">
        <v>41</v>
      </c>
      <c r="T805" s="2908"/>
      <c r="U805" s="2908"/>
      <c r="V805" s="1247"/>
      <c r="W805" s="1247"/>
      <c r="X805" s="1247"/>
      <c r="GS805" s="2883"/>
      <c r="GX805" s="2883"/>
      <c r="GY805" s="2883"/>
      <c r="GZ805" s="2883"/>
      <c r="HA805" s="2883"/>
      <c r="HB805" s="2883"/>
      <c r="HC805" s="2883"/>
      <c r="HD805" s="2883"/>
      <c r="HE805" s="2883"/>
      <c r="HF805" s="2883"/>
      <c r="HG805" s="2883"/>
      <c r="HH805" s="2883"/>
      <c r="HI805" s="2883"/>
      <c r="HJ805" s="2883"/>
      <c r="HK805" s="2883"/>
      <c r="HL805" s="2883"/>
      <c r="HM805" s="2883"/>
      <c r="HN805" s="2883"/>
      <c r="HO805" s="2883"/>
      <c r="HP805" s="2883"/>
      <c r="HQ805" s="2883"/>
      <c r="HR805" s="2883"/>
      <c r="HS805" s="2883"/>
      <c r="HT805" s="2883"/>
      <c r="HU805" s="2883"/>
      <c r="HV805" s="2883"/>
      <c r="HW805" s="2883"/>
      <c r="HX805" s="2883"/>
      <c r="HY805" s="2883"/>
      <c r="HZ805" s="2883"/>
      <c r="IA805" s="2883"/>
      <c r="IB805" s="2883"/>
      <c r="IC805" s="2883"/>
      <c r="IJ805" s="526"/>
      <c r="IZ805" s="526"/>
      <c r="JA805" s="526"/>
    </row>
    <row r="806" spans="1:261" s="523" customFormat="1" ht="15.6" customHeight="1">
      <c r="B806" s="523" t="s">
        <v>1052</v>
      </c>
      <c r="D806" s="2955"/>
      <c r="F806" s="2952">
        <f>'Part VI-Revenues &amp; Expenses'!F186</f>
        <v>19500</v>
      </c>
      <c r="G806" s="2952"/>
      <c r="I806" s="2954" t="s">
        <v>53</v>
      </c>
      <c r="J806" s="2954"/>
      <c r="K806" s="2952">
        <f>'Part VI-Revenues &amp; Expenses'!K186</f>
        <v>0</v>
      </c>
      <c r="L806" s="2952"/>
      <c r="N806" s="2686" t="s">
        <v>4007</v>
      </c>
      <c r="O806" s="2965" t="str">
        <f>CONCATENATE(SUM(JB668:JF668)," units x $",'DCA Underwriting Assumptions'!$Q$53," =")</f>
        <v>0 units x $350 =</v>
      </c>
      <c r="P806" s="2965">
        <f>SUM(JB668:JF668)*'DCA Underwriting Assumptions'!$Q$53</f>
        <v>0</v>
      </c>
      <c r="T806" s="2908"/>
      <c r="U806" s="2908"/>
      <c r="V806" s="1247"/>
      <c r="W806" s="1247"/>
      <c r="X806" s="1247"/>
      <c r="GS806" s="2883"/>
      <c r="GX806" s="2883"/>
      <c r="GY806" s="2883"/>
      <c r="GZ806" s="2883"/>
      <c r="HA806" s="2883"/>
      <c r="HB806" s="2883"/>
      <c r="HC806" s="2883"/>
      <c r="HD806" s="2883"/>
      <c r="HE806" s="2883"/>
      <c r="HF806" s="2883"/>
      <c r="HG806" s="2883"/>
      <c r="HH806" s="2883"/>
      <c r="HI806" s="2883"/>
      <c r="HJ806" s="2883"/>
      <c r="HK806" s="2883"/>
      <c r="HL806" s="2883"/>
      <c r="HM806" s="2883"/>
      <c r="HN806" s="2883"/>
      <c r="HO806" s="2883"/>
      <c r="HP806" s="2883"/>
      <c r="HQ806" s="2883"/>
      <c r="HR806" s="2883"/>
      <c r="HS806" s="2883"/>
      <c r="HT806" s="2883"/>
      <c r="HU806" s="2883"/>
      <c r="HV806" s="2883"/>
      <c r="HW806" s="2883"/>
      <c r="HX806" s="2883"/>
      <c r="HY806" s="2883"/>
      <c r="HZ806" s="2883"/>
      <c r="IA806" s="2883"/>
      <c r="IB806" s="2883"/>
      <c r="IC806" s="2883"/>
      <c r="IJ806" s="526"/>
      <c r="IZ806" s="526"/>
      <c r="JA806" s="526"/>
    </row>
    <row r="807" spans="1:261" s="523" customFormat="1" ht="15.6" customHeight="1">
      <c r="B807" s="523" t="s">
        <v>1053</v>
      </c>
      <c r="D807" s="2955"/>
      <c r="F807" s="2952">
        <f>'Part VI-Revenues &amp; Expenses'!F187</f>
        <v>0</v>
      </c>
      <c r="G807" s="2952"/>
      <c r="J807" s="2953" t="s">
        <v>197</v>
      </c>
      <c r="K807" s="2959">
        <f>SUM(K802:K806)</f>
        <v>29472</v>
      </c>
      <c r="L807" s="2959"/>
      <c r="N807" s="2686" t="s">
        <v>4006</v>
      </c>
      <c r="O807" s="2965" t="str">
        <f>CONCATENATE(SUM(JG668:JK668)," units x $",'DCA Underwriting Assumptions'!$Q$54," =")</f>
        <v>96 units x $250 =</v>
      </c>
      <c r="P807" s="2965">
        <f>SUM(JG668:JK668)*'DCA Underwriting Assumptions'!$Q$54</f>
        <v>24000</v>
      </c>
      <c r="T807" s="2908"/>
      <c r="U807" s="2908"/>
      <c r="V807" s="1247"/>
      <c r="W807" s="1247"/>
      <c r="X807" s="1247"/>
      <c r="GS807" s="2883"/>
      <c r="GX807" s="2883"/>
      <c r="GY807" s="2883"/>
      <c r="GZ807" s="2883"/>
      <c r="HA807" s="2883"/>
      <c r="HB807" s="2883"/>
      <c r="HC807" s="2883"/>
      <c r="HD807" s="2883"/>
      <c r="HE807" s="2883"/>
      <c r="HF807" s="2883"/>
      <c r="HG807" s="2883"/>
      <c r="HH807" s="2883"/>
      <c r="HI807" s="2883"/>
      <c r="HJ807" s="2883"/>
      <c r="HK807" s="2883"/>
      <c r="HL807" s="2883"/>
      <c r="HM807" s="2883"/>
      <c r="HN807" s="2883"/>
      <c r="HO807" s="2883"/>
      <c r="HP807" s="2883"/>
      <c r="HQ807" s="2883"/>
      <c r="HR807" s="2883"/>
      <c r="HS807" s="2883"/>
      <c r="HT807" s="2883"/>
      <c r="HU807" s="2883"/>
      <c r="HV807" s="2883"/>
      <c r="HW807" s="2883"/>
      <c r="HX807" s="2883"/>
      <c r="HY807" s="2883"/>
      <c r="HZ807" s="2883"/>
      <c r="IA807" s="2883"/>
      <c r="IB807" s="2883"/>
      <c r="IC807" s="2883"/>
      <c r="IJ807" s="526"/>
      <c r="IZ807" s="526"/>
      <c r="JA807" s="526"/>
    </row>
    <row r="808" spans="1:261" s="523" customFormat="1" ht="15.6" customHeight="1">
      <c r="B808" s="523" t="s">
        <v>910</v>
      </c>
      <c r="D808" s="2955"/>
      <c r="F808" s="2952">
        <f>'Part VI-Revenues &amp; Expenses'!F188</f>
        <v>9684</v>
      </c>
      <c r="G808" s="2952"/>
      <c r="J808" s="2920"/>
      <c r="N808" s="2966" t="s">
        <v>4010</v>
      </c>
      <c r="O808" s="2965" t="str">
        <f>CONCATENATE(SUM(JL668:JP668)," units x $",'DCA Underwriting Assumptions'!$Q$55," =")</f>
        <v>0 units x $420 =</v>
      </c>
      <c r="P808" s="2965">
        <f>SUM(JL668:JP668)*'DCA Underwriting Assumptions'!$Q$55</f>
        <v>0</v>
      </c>
      <c r="T808" s="2908"/>
      <c r="U808" s="2908"/>
      <c r="V808" s="1247"/>
      <c r="W808" s="1247"/>
      <c r="X808" s="1247"/>
      <c r="GS808" s="2883"/>
      <c r="GX808" s="2883"/>
      <c r="GY808" s="2883"/>
      <c r="GZ808" s="2883"/>
      <c r="HA808" s="2883"/>
      <c r="HB808" s="2883"/>
      <c r="HC808" s="2883"/>
      <c r="HD808" s="2883"/>
      <c r="HE808" s="2883"/>
      <c r="HF808" s="2883"/>
      <c r="HG808" s="2883"/>
      <c r="HH808" s="2883"/>
      <c r="HI808" s="2883"/>
      <c r="HJ808" s="2883"/>
      <c r="HK808" s="2883"/>
      <c r="HL808" s="2883"/>
      <c r="HM808" s="2883"/>
      <c r="HN808" s="2883"/>
      <c r="HO808" s="2883"/>
      <c r="HP808" s="2883"/>
      <c r="HQ808" s="2883"/>
      <c r="HR808" s="2883"/>
      <c r="HS808" s="2883"/>
      <c r="HT808" s="2883"/>
      <c r="HU808" s="2883"/>
      <c r="HV808" s="2883"/>
      <c r="HW808" s="2883"/>
      <c r="HX808" s="2883"/>
      <c r="HY808" s="2883"/>
      <c r="HZ808" s="2883"/>
      <c r="IA808" s="2883"/>
      <c r="IB808" s="2883"/>
      <c r="IC808" s="2883"/>
      <c r="IJ808" s="526"/>
      <c r="IZ808" s="526"/>
      <c r="JA808" s="526"/>
    </row>
    <row r="809" spans="1:261" s="523" customFormat="1" ht="15.6" customHeight="1">
      <c r="B809" s="2949" t="s">
        <v>53</v>
      </c>
      <c r="C809" s="2949"/>
      <c r="D809" s="2949"/>
      <c r="E809" s="2949"/>
      <c r="F809" s="2952">
        <f>'Part VI-Revenues &amp; Expenses'!F189</f>
        <v>4812</v>
      </c>
      <c r="G809" s="2952"/>
      <c r="J809" s="2920"/>
      <c r="N809" s="2966" t="s">
        <v>4005</v>
      </c>
      <c r="O809" s="2965" t="str">
        <f>CONCATENATE(M704," units x $",'DCA Underwriting Assumptions'!$Q$55," =")</f>
        <v>0 units x $420 =</v>
      </c>
      <c r="P809" s="2965">
        <f>M704*'DCA Underwriting Assumptions'!$Q$55</f>
        <v>0</v>
      </c>
      <c r="T809" s="2908"/>
      <c r="U809" s="2908"/>
      <c r="V809" s="1247"/>
      <c r="W809" s="1247"/>
      <c r="X809" s="1247"/>
      <c r="GS809" s="2883"/>
      <c r="GX809" s="2883"/>
      <c r="GY809" s="2883"/>
      <c r="GZ809" s="2883"/>
      <c r="HA809" s="2883"/>
      <c r="HB809" s="2883"/>
      <c r="HC809" s="2883"/>
      <c r="HD809" s="2883"/>
      <c r="HE809" s="2883"/>
      <c r="HF809" s="2883"/>
      <c r="HG809" s="2883"/>
      <c r="HH809" s="2883"/>
      <c r="HI809" s="2883"/>
      <c r="HJ809" s="2883"/>
      <c r="HK809" s="2883"/>
      <c r="HL809" s="2883"/>
      <c r="HM809" s="2883"/>
      <c r="HN809" s="2883"/>
      <c r="HO809" s="2883"/>
      <c r="HP809" s="2883"/>
      <c r="HQ809" s="2883"/>
      <c r="HR809" s="2883"/>
      <c r="HS809" s="2883"/>
      <c r="HT809" s="2883"/>
      <c r="HU809" s="2883"/>
      <c r="HV809" s="2883"/>
      <c r="HW809" s="2883"/>
      <c r="HX809" s="2883"/>
      <c r="HY809" s="2883"/>
      <c r="HZ809" s="2883"/>
      <c r="IA809" s="2883"/>
      <c r="IB809" s="2883"/>
      <c r="IC809" s="2883"/>
      <c r="IJ809" s="526"/>
      <c r="IZ809" s="526"/>
      <c r="JA809" s="526"/>
    </row>
    <row r="810" spans="1:261" s="523" customFormat="1" ht="15.6" customHeight="1">
      <c r="B810" s="526"/>
      <c r="C810" s="2953" t="s">
        <v>197</v>
      </c>
      <c r="F810" s="2952">
        <f>SUM(F802:G809)</f>
        <v>90196</v>
      </c>
      <c r="G810" s="2952"/>
      <c r="J810" s="2920"/>
      <c r="N810" s="2967" t="s">
        <v>2890</v>
      </c>
      <c r="O810" s="2965">
        <f>SUM(JB668:JF668)+SUM(JG668:JK668)+SUM(JL668:JP668)+M704</f>
        <v>96</v>
      </c>
      <c r="P810" s="2965">
        <f>SUM(P806:P809)</f>
        <v>24000</v>
      </c>
      <c r="T810" s="2908"/>
      <c r="U810" s="2908"/>
      <c r="V810" s="1247"/>
      <c r="W810" s="1247"/>
      <c r="X810" s="1247"/>
      <c r="GS810" s="2883"/>
      <c r="GX810" s="2883"/>
      <c r="GY810" s="2883"/>
      <c r="GZ810" s="2883"/>
      <c r="HA810" s="2883"/>
      <c r="HB810" s="2883"/>
      <c r="HC810" s="2883"/>
      <c r="HD810" s="2883"/>
      <c r="HE810" s="2883"/>
      <c r="HF810" s="2883"/>
      <c r="HG810" s="2883"/>
      <c r="HH810" s="2883"/>
      <c r="HI810" s="2883"/>
      <c r="HJ810" s="2883"/>
      <c r="HK810" s="2883"/>
      <c r="HL810" s="2883"/>
      <c r="HM810" s="2883"/>
      <c r="HN810" s="2883"/>
      <c r="HO810" s="2883"/>
      <c r="HP810" s="2883"/>
      <c r="HQ810" s="2883"/>
      <c r="HR810" s="2883"/>
      <c r="HS810" s="2883"/>
      <c r="HT810" s="2883"/>
      <c r="HU810" s="2883"/>
      <c r="HV810" s="2883"/>
      <c r="HW810" s="2883"/>
      <c r="HX810" s="2883"/>
      <c r="HY810" s="2883"/>
      <c r="HZ810" s="2883"/>
      <c r="IA810" s="2883"/>
      <c r="IB810" s="2883"/>
      <c r="IC810" s="2883"/>
      <c r="IJ810" s="526"/>
      <c r="IZ810" s="526"/>
      <c r="JA810" s="526"/>
    </row>
    <row r="811" spans="1:261" s="523" customFormat="1" ht="6" customHeight="1">
      <c r="B811" s="526"/>
      <c r="C811" s="2953"/>
      <c r="F811" s="2920"/>
      <c r="G811" s="2920"/>
      <c r="J811" s="2920"/>
      <c r="V811" s="1247"/>
      <c r="W811" s="1247"/>
      <c r="X811" s="1247"/>
      <c r="GS811" s="2883"/>
      <c r="GX811" s="2883"/>
      <c r="GY811" s="2883"/>
      <c r="GZ811" s="2883"/>
      <c r="HA811" s="2883"/>
      <c r="HB811" s="2883"/>
      <c r="HC811" s="2883"/>
      <c r="HD811" s="2883"/>
      <c r="HE811" s="2883"/>
      <c r="HF811" s="2883"/>
      <c r="HG811" s="2883"/>
      <c r="HH811" s="2883"/>
      <c r="HI811" s="2883"/>
      <c r="HJ811" s="2883"/>
      <c r="HK811" s="2883"/>
      <c r="HL811" s="2883"/>
      <c r="HM811" s="2883"/>
      <c r="HN811" s="2883"/>
      <c r="HO811" s="2883"/>
      <c r="HP811" s="2883"/>
      <c r="HQ811" s="2883"/>
      <c r="HR811" s="2883"/>
      <c r="HS811" s="2883"/>
      <c r="HT811" s="2883"/>
      <c r="HU811" s="2883"/>
      <c r="HV811" s="2883"/>
      <c r="HW811" s="2883"/>
      <c r="HX811" s="2883"/>
      <c r="HY811" s="2883"/>
      <c r="HZ811" s="2883"/>
      <c r="IA811" s="2883"/>
      <c r="IB811" s="2883"/>
      <c r="IC811" s="2883"/>
      <c r="IJ811" s="526"/>
      <c r="IZ811" s="526"/>
      <c r="JA811" s="526"/>
    </row>
    <row r="812" spans="1:261" s="523" customFormat="1" ht="15.6" customHeight="1">
      <c r="B812" s="526"/>
      <c r="C812" s="2953"/>
      <c r="F812" s="2920"/>
      <c r="G812" s="2920"/>
      <c r="J812" s="2920"/>
      <c r="N812" s="526" t="s">
        <v>2290</v>
      </c>
      <c r="P812" s="2948">
        <f>P798+P801</f>
        <v>448323</v>
      </c>
      <c r="V812" s="1247"/>
      <c r="W812" s="1247"/>
      <c r="X812" s="1247"/>
      <c r="GS812" s="2883"/>
      <c r="GX812" s="2883"/>
      <c r="GY812" s="2883"/>
      <c r="GZ812" s="2883"/>
      <c r="HA812" s="2883"/>
      <c r="HB812" s="2883"/>
      <c r="HC812" s="2883"/>
      <c r="HD812" s="2883"/>
      <c r="HE812" s="2883"/>
      <c r="HF812" s="2883"/>
      <c r="HG812" s="2883"/>
      <c r="HH812" s="2883"/>
      <c r="HI812" s="2883"/>
      <c r="HJ812" s="2883"/>
      <c r="HK812" s="2883"/>
      <c r="HL812" s="2883"/>
      <c r="HM812" s="2883"/>
      <c r="HN812" s="2883"/>
      <c r="HO812" s="2883"/>
      <c r="HP812" s="2883"/>
      <c r="HQ812" s="2883"/>
      <c r="HR812" s="2883"/>
      <c r="HS812" s="2883"/>
      <c r="HT812" s="2883"/>
      <c r="HU812" s="2883"/>
      <c r="HV812" s="2883"/>
      <c r="HW812" s="2883"/>
      <c r="HX812" s="2883"/>
      <c r="HY812" s="2883"/>
      <c r="HZ812" s="2883"/>
      <c r="IA812" s="2883"/>
      <c r="IB812" s="2883"/>
      <c r="IC812" s="2883"/>
      <c r="IJ812" s="526"/>
      <c r="IZ812" s="526"/>
      <c r="JA812" s="526"/>
    </row>
    <row r="813" spans="1:261" s="523" customFormat="1" ht="10.9" customHeight="1">
      <c r="B813" s="526"/>
      <c r="D813" s="2953"/>
      <c r="F813" s="2920"/>
      <c r="G813" s="2920"/>
      <c r="GS813" s="2883"/>
      <c r="GX813" s="2883"/>
      <c r="GY813" s="2883"/>
      <c r="GZ813" s="2883"/>
      <c r="HA813" s="2883"/>
      <c r="HB813" s="2883"/>
      <c r="HC813" s="2883"/>
      <c r="HD813" s="2883"/>
      <c r="HE813" s="2883"/>
      <c r="HF813" s="2883"/>
      <c r="HG813" s="2883"/>
      <c r="HH813" s="2883"/>
      <c r="HI813" s="2883"/>
      <c r="HJ813" s="2883"/>
      <c r="HK813" s="2883"/>
      <c r="HL813" s="2883"/>
      <c r="HM813" s="2883"/>
      <c r="HN813" s="2883"/>
      <c r="HO813" s="2883"/>
      <c r="HP813" s="2883"/>
      <c r="HQ813" s="2883"/>
      <c r="HR813" s="2883"/>
      <c r="HS813" s="2883"/>
      <c r="HT813" s="2883"/>
      <c r="HU813" s="2883"/>
      <c r="HV813" s="2883"/>
      <c r="HW813" s="2883"/>
      <c r="HX813" s="2883"/>
      <c r="HY813" s="2883"/>
      <c r="HZ813" s="2883"/>
      <c r="IA813" s="2883"/>
      <c r="IB813" s="2883"/>
      <c r="IC813" s="2883"/>
      <c r="IJ813" s="526"/>
      <c r="IZ813" s="526"/>
      <c r="JA813" s="526"/>
    </row>
    <row r="814" spans="1:261" ht="12" customHeight="1">
      <c r="A814" s="2875" t="s">
        <v>1882</v>
      </c>
      <c r="B814" s="2875" t="s">
        <v>599</v>
      </c>
      <c r="K814" s="2875" t="s">
        <v>554</v>
      </c>
      <c r="L814" s="2875" t="s">
        <v>1938</v>
      </c>
      <c r="GS814" s="2877"/>
      <c r="GX814" s="2877"/>
      <c r="GY814" s="2877"/>
      <c r="GZ814" s="2877"/>
      <c r="HA814" s="2877"/>
      <c r="HB814" s="2877"/>
      <c r="HC814" s="2877"/>
      <c r="HD814" s="2877"/>
      <c r="HE814" s="2877"/>
      <c r="HF814" s="2877"/>
      <c r="HG814" s="2877"/>
      <c r="HH814" s="2877"/>
      <c r="HI814" s="2877"/>
      <c r="HJ814" s="2877"/>
      <c r="HK814" s="2877"/>
      <c r="HL814" s="2877"/>
      <c r="HM814" s="2877"/>
      <c r="HN814" s="2877"/>
      <c r="HO814" s="2877"/>
      <c r="HP814" s="2877"/>
      <c r="HQ814" s="2877"/>
      <c r="HR814" s="2877"/>
      <c r="HS814" s="2877"/>
      <c r="HT814" s="2877"/>
      <c r="HU814" s="2877"/>
      <c r="HV814" s="2877"/>
      <c r="HW814" s="2877"/>
      <c r="HX814" s="2877"/>
      <c r="HY814" s="2877"/>
      <c r="HZ814" s="2877"/>
      <c r="IA814" s="2877"/>
      <c r="IB814" s="2877"/>
      <c r="IC814" s="2877"/>
      <c r="IJ814" s="2875"/>
      <c r="IZ814" s="2875"/>
      <c r="JA814" s="2875"/>
    </row>
    <row r="815" spans="1:261" ht="145.5" customHeight="1">
      <c r="A815" s="2754" t="str">
        <f>'Part VI-Revenues &amp; Expenses'!A195</f>
        <v>*To all Applicants: Real estate taxes shown in Operating Budget should be prior to any tax abatement.  Please provide methodology for real estate tax calculation. 
**To all Applicants: Please provide methodology for insurance calculation.
Backup documentation for property tax and insurance are inlcuded in the application, Tab 1, Feasibility.  Please note these are 3-story walk-up buildings.</v>
      </c>
      <c r="B815" s="2754"/>
      <c r="C815" s="2754"/>
      <c r="D815" s="2754"/>
      <c r="E815" s="2754"/>
      <c r="F815" s="2754"/>
      <c r="G815" s="2754"/>
      <c r="H815" s="2754"/>
      <c r="I815" s="2754"/>
      <c r="J815" s="2754"/>
      <c r="K815" s="2754">
        <f>'Part VI-Revenues &amp; Expenses'!K195</f>
        <v>0</v>
      </c>
      <c r="L815" s="2754"/>
      <c r="M815" s="2754"/>
      <c r="N815" s="2754"/>
      <c r="O815" s="2754"/>
      <c r="P815" s="2754"/>
      <c r="T815" s="2872" t="s">
        <v>2854</v>
      </c>
      <c r="U815" s="2872"/>
      <c r="GS815" s="2877"/>
      <c r="GX815" s="2877"/>
      <c r="GY815" s="2877"/>
      <c r="GZ815" s="2877"/>
      <c r="HA815" s="2877"/>
      <c r="HB815" s="2877"/>
      <c r="HC815" s="2877"/>
      <c r="HD815" s="2877"/>
      <c r="HE815" s="2877"/>
      <c r="HF815" s="2877"/>
      <c r="HG815" s="2877"/>
      <c r="HH815" s="2877"/>
      <c r="HI815" s="2877"/>
      <c r="HJ815" s="2877"/>
      <c r="HK815" s="2877"/>
      <c r="HL815" s="2877"/>
      <c r="HM815" s="2877"/>
      <c r="HN815" s="2877"/>
      <c r="HO815" s="2877"/>
      <c r="HP815" s="2877"/>
      <c r="HQ815" s="2877"/>
      <c r="HR815" s="2877"/>
      <c r="HS815" s="2877"/>
      <c r="HT815" s="2877"/>
      <c r="HU815" s="2877"/>
      <c r="HV815" s="2877"/>
      <c r="HW815" s="2877"/>
      <c r="HX815" s="2877"/>
      <c r="HY815" s="2877"/>
      <c r="HZ815" s="2877"/>
      <c r="IA815" s="2877"/>
      <c r="IB815" s="2877"/>
      <c r="IC815" s="2877"/>
      <c r="IJ815" s="2875"/>
      <c r="IZ815" s="2875"/>
      <c r="JA815" s="2875"/>
    </row>
    <row r="816" spans="1:261" ht="11.25" customHeight="1">
      <c r="GS816" s="2877"/>
      <c r="GX816" s="2877"/>
      <c r="GY816" s="2877"/>
      <c r="GZ816" s="2877"/>
      <c r="HA816" s="2877"/>
      <c r="HB816" s="2877"/>
      <c r="HC816" s="2877"/>
      <c r="HD816" s="2877"/>
      <c r="HE816" s="2877"/>
      <c r="HF816" s="2877"/>
      <c r="HG816" s="2877"/>
      <c r="HH816" s="2877"/>
      <c r="HI816" s="2877"/>
      <c r="HJ816" s="2877"/>
      <c r="HK816" s="2877"/>
      <c r="HL816" s="2877"/>
      <c r="HM816" s="2877"/>
      <c r="HN816" s="2877"/>
      <c r="HO816" s="2877"/>
      <c r="HP816" s="2877"/>
      <c r="HQ816" s="2877"/>
      <c r="HR816" s="2877"/>
      <c r="HS816" s="2877"/>
      <c r="HT816" s="2877"/>
      <c r="HU816" s="2877"/>
      <c r="HV816" s="2877"/>
      <c r="HW816" s="2877"/>
      <c r="HX816" s="2877"/>
      <c r="HY816" s="2877"/>
      <c r="HZ816" s="2877"/>
      <c r="IA816" s="2877"/>
      <c r="IB816" s="2877"/>
      <c r="IC816" s="2877"/>
      <c r="IJ816" s="2875"/>
      <c r="IZ816" s="2875"/>
      <c r="JA816" s="2875"/>
    </row>
    <row r="818" spans="1:14">
      <c r="A818" s="2873" t="str">
        <f>CONCATENATE("PART SEVEN - OPERATING PRO FORMA","  -  ",'Part I-Project Information'!$O$4," ",'Part I-Project Information'!$F$24,", ",'Part I-Project Information'!F845,", ",'Part I-Project Information'!J846," County")</f>
        <v>PART SEVEN - OPERATING PRO FORMA  -  2015-009 The Cove at York, ,  County</v>
      </c>
      <c r="B818" s="2713"/>
      <c r="C818" s="2713"/>
      <c r="D818" s="2713"/>
      <c r="E818" s="2713"/>
      <c r="F818" s="2713"/>
      <c r="G818" s="2713"/>
      <c r="H818" s="2713"/>
      <c r="I818" s="2713"/>
      <c r="J818" s="2713"/>
      <c r="K818" s="2713"/>
      <c r="L818" s="526"/>
      <c r="M818" s="2873" t="str">
        <f>A818</f>
        <v>PART SEVEN - OPERATING PRO FORMA  -  2015-009 The Cove at York, ,  County</v>
      </c>
      <c r="N818" s="2873"/>
    </row>
    <row r="819" spans="1:14">
      <c r="A819" s="2968"/>
      <c r="B819" s="2968"/>
      <c r="C819" s="2968"/>
      <c r="D819" s="2968"/>
      <c r="E819" s="2968"/>
      <c r="F819" s="2968"/>
      <c r="G819" s="2968"/>
      <c r="H819" s="2968"/>
      <c r="I819" s="2968"/>
      <c r="J819" s="2968"/>
      <c r="K819" s="2968"/>
      <c r="M819" s="2878" t="s">
        <v>1938</v>
      </c>
      <c r="N819" s="2878"/>
    </row>
    <row r="820" spans="1:14" ht="13.5">
      <c r="A820" s="2875" t="s">
        <v>92</v>
      </c>
      <c r="D820" s="2875" t="s">
        <v>82</v>
      </c>
      <c r="E820" s="2891"/>
      <c r="F820" s="2683" t="s">
        <v>4587</v>
      </c>
      <c r="M820" s="2875" t="str">
        <f>A820</f>
        <v>I.  OPERATING ASSUMPTIONS</v>
      </c>
      <c r="N820" s="2968"/>
    </row>
    <row r="822" spans="1:14">
      <c r="A822" s="1247" t="s">
        <v>2291</v>
      </c>
      <c r="B822" s="2969">
        <v>0.02</v>
      </c>
      <c r="D822" s="2810" t="s">
        <v>4588</v>
      </c>
      <c r="E822" s="2810"/>
      <c r="F822" s="2810"/>
      <c r="G822" s="2970">
        <f>'Part VII-Pro Forma'!G5</f>
        <v>4500</v>
      </c>
      <c r="H822" s="2971" t="s">
        <v>2004</v>
      </c>
      <c r="K822" s="2972" t="e">
        <f>IF(($B$14+$B$15+$B$16+$B$17)=0,"",B845/($B$14+$B$15+$B$16+$B$17))</f>
        <v>#VALUE!</v>
      </c>
      <c r="M822" s="2837">
        <f>'Part VII-Pro Forma'!M5</f>
        <v>0</v>
      </c>
      <c r="N822" s="2908"/>
    </row>
    <row r="823" spans="1:14">
      <c r="A823" s="1247" t="s">
        <v>2292</v>
      </c>
      <c r="B823" s="2969">
        <v>0.03</v>
      </c>
      <c r="D823" s="2810"/>
      <c r="E823" s="2810"/>
      <c r="F823" s="2810"/>
      <c r="M823" s="2908"/>
      <c r="N823" s="2908"/>
    </row>
    <row r="824" spans="1:14">
      <c r="A824" s="1247" t="s">
        <v>2294</v>
      </c>
      <c r="B824" s="2969">
        <v>0.03</v>
      </c>
      <c r="D824" s="523" t="s">
        <v>282</v>
      </c>
      <c r="G824" s="2973"/>
      <c r="H824" s="2971" t="s">
        <v>2488</v>
      </c>
      <c r="K824" s="2972" t="e">
        <f>IF(($B$14+$B$15+$B$16+$B$17)=0,"",-B837/($B$14+$B$15+$B$16+$B$17))</f>
        <v>#VALUE!</v>
      </c>
      <c r="M824" s="2908"/>
      <c r="N824" s="2908"/>
    </row>
    <row r="825" spans="1:14">
      <c r="A825" s="1247" t="s">
        <v>2293</v>
      </c>
      <c r="B825" s="2969">
        <f>'Part VII-Pro Forma'!B8</f>
        <v>7.0000000000000007E-2</v>
      </c>
      <c r="D825" s="523" t="s">
        <v>2632</v>
      </c>
      <c r="G825" s="2974">
        <f>'Part VII-Pro Forma'!G8</f>
        <v>0</v>
      </c>
      <c r="H825" s="2975" t="s">
        <v>1518</v>
      </c>
      <c r="K825" s="2976">
        <f>'Part VII-Pro Forma'!K8</f>
        <v>0</v>
      </c>
      <c r="M825" s="2908"/>
      <c r="N825" s="2908"/>
    </row>
    <row r="826" spans="1:14">
      <c r="A826" s="1247" t="s">
        <v>1489</v>
      </c>
      <c r="B826" s="2969">
        <v>0.02</v>
      </c>
      <c r="D826" s="523" t="s">
        <v>1805</v>
      </c>
      <c r="G826" s="2974" t="str">
        <f>'Part VII-Pro Forma'!G9</f>
        <v>Yes</v>
      </c>
      <c r="H826" s="2975" t="s">
        <v>2468</v>
      </c>
      <c r="K826" s="2977">
        <f>'Part VII-Pro Forma'!K9</f>
        <v>0.09</v>
      </c>
      <c r="M826" s="2908"/>
      <c r="N826" s="2908"/>
    </row>
    <row r="828" spans="1:14">
      <c r="A828" s="2875" t="s">
        <v>93</v>
      </c>
      <c r="M828" s="2875" t="str">
        <f>A828</f>
        <v>II.  OPERATING PRO FORMA</v>
      </c>
    </row>
    <row r="830" spans="1:14">
      <c r="A830" s="2875" t="s">
        <v>2603</v>
      </c>
      <c r="B830" s="2875">
        <v>1</v>
      </c>
      <c r="C830" s="2875">
        <f t="shared" ref="C830:K830" si="281">B830+1</f>
        <v>2</v>
      </c>
      <c r="D830" s="2875">
        <f t="shared" si="281"/>
        <v>3</v>
      </c>
      <c r="E830" s="2875">
        <f t="shared" si="281"/>
        <v>4</v>
      </c>
      <c r="F830" s="2875">
        <f t="shared" si="281"/>
        <v>5</v>
      </c>
      <c r="G830" s="2875">
        <f t="shared" si="281"/>
        <v>6</v>
      </c>
      <c r="H830" s="2875">
        <f t="shared" si="281"/>
        <v>7</v>
      </c>
      <c r="I830" s="2875">
        <f t="shared" si="281"/>
        <v>8</v>
      </c>
      <c r="J830" s="2875">
        <f t="shared" si="281"/>
        <v>9</v>
      </c>
      <c r="K830" s="2875">
        <f t="shared" si="281"/>
        <v>10</v>
      </c>
      <c r="M830" s="2968" t="s">
        <v>2752</v>
      </c>
      <c r="N830" s="2968"/>
    </row>
    <row r="831" spans="1:14">
      <c r="A831" s="1247" t="s">
        <v>2522</v>
      </c>
      <c r="B831" s="2978">
        <f>'Part VII-Pro Forma'!B14</f>
        <v>627360</v>
      </c>
      <c r="C831" s="2978">
        <f>'Part VII-Pro Forma'!C14</f>
        <v>639907.19999999995</v>
      </c>
      <c r="D831" s="2978">
        <f>'Part VII-Pro Forma'!D14</f>
        <v>652705.34400000004</v>
      </c>
      <c r="E831" s="2978">
        <f>'Part VII-Pro Forma'!E14</f>
        <v>665759.4508799999</v>
      </c>
      <c r="F831" s="2978">
        <f>'Part VII-Pro Forma'!F14</f>
        <v>679074.63989759993</v>
      </c>
      <c r="G831" s="2978">
        <f>'Part VII-Pro Forma'!G14</f>
        <v>692656.13269555196</v>
      </c>
      <c r="H831" s="2978">
        <f>'Part VII-Pro Forma'!H14</f>
        <v>706509.25534946308</v>
      </c>
      <c r="I831" s="2978">
        <f>'Part VII-Pro Forma'!I14</f>
        <v>720639.4404564522</v>
      </c>
      <c r="J831" s="2978">
        <f>'Part VII-Pro Forma'!J14</f>
        <v>735052.22926558135</v>
      </c>
      <c r="K831" s="2978">
        <f>'Part VII-Pro Forma'!K14</f>
        <v>749753.2738508929</v>
      </c>
      <c r="M831" s="2837">
        <f>'Part VII-Pro Forma'!M14</f>
        <v>0</v>
      </c>
      <c r="N831" s="2908"/>
    </row>
    <row r="832" spans="1:14">
      <c r="A832" s="1247" t="s">
        <v>1066</v>
      </c>
      <c r="B832" s="2978">
        <f>'Part VII-Pro Forma'!B15</f>
        <v>12547.2</v>
      </c>
      <c r="C832" s="2978">
        <f>'Part VII-Pro Forma'!C15</f>
        <v>12798.144</v>
      </c>
      <c r="D832" s="2978">
        <f>'Part VII-Pro Forma'!D15</f>
        <v>13054.106880000001</v>
      </c>
      <c r="E832" s="2978">
        <f>'Part VII-Pro Forma'!E15</f>
        <v>13315.1890176</v>
      </c>
      <c r="F832" s="2978">
        <f>'Part VII-Pro Forma'!F15</f>
        <v>13581.492797952</v>
      </c>
      <c r="G832" s="2978">
        <f>'Part VII-Pro Forma'!G15</f>
        <v>13853.122653911041</v>
      </c>
      <c r="H832" s="2978">
        <f>'Part VII-Pro Forma'!H15</f>
        <v>14130.185106989262</v>
      </c>
      <c r="I832" s="2978">
        <f>'Part VII-Pro Forma'!I15</f>
        <v>14412.788809129044</v>
      </c>
      <c r="J832" s="2978">
        <f>'Part VII-Pro Forma'!J15</f>
        <v>14701.044585311627</v>
      </c>
      <c r="K832" s="2978">
        <f>'Part VII-Pro Forma'!K15</f>
        <v>14995.065477017859</v>
      </c>
      <c r="M832" s="2908"/>
      <c r="N832" s="2908"/>
    </row>
    <row r="833" spans="1:14">
      <c r="A833" s="1247" t="s">
        <v>2523</v>
      </c>
      <c r="B833" s="2978">
        <f>'Part VII-Pro Forma'!B16</f>
        <v>-44793.504000000001</v>
      </c>
      <c r="C833" s="2978">
        <f>'Part VII-Pro Forma'!C16</f>
        <v>-45689.374080000001</v>
      </c>
      <c r="D833" s="2978">
        <f>'Part VII-Pro Forma'!D16</f>
        <v>-46603.161561600005</v>
      </c>
      <c r="E833" s="2978">
        <f>'Part VII-Pro Forma'!E16</f>
        <v>-47535.224792831999</v>
      </c>
      <c r="F833" s="2978">
        <f>'Part VII-Pro Forma'!F16</f>
        <v>-48485.92928868864</v>
      </c>
      <c r="G833" s="2978">
        <f>'Part VII-Pro Forma'!G16</f>
        <v>-49455.647874462411</v>
      </c>
      <c r="H833" s="2978">
        <f>'Part VII-Pro Forma'!H16</f>
        <v>-50444.760831951666</v>
      </c>
      <c r="I833" s="2978">
        <f>'Part VII-Pro Forma'!I16</f>
        <v>-51453.656048590688</v>
      </c>
      <c r="J833" s="2978">
        <f>'Part VII-Pro Forma'!J16</f>
        <v>-52482.729169562517</v>
      </c>
      <c r="K833" s="2978">
        <f>'Part VII-Pro Forma'!K16</f>
        <v>-53532.383752953763</v>
      </c>
      <c r="M833" s="2908"/>
      <c r="N833" s="2908"/>
    </row>
    <row r="834" spans="1:14">
      <c r="A834" s="1247" t="s">
        <v>54</v>
      </c>
      <c r="B834" s="2978">
        <f>'Part VII-Pro Forma'!B17</f>
        <v>0</v>
      </c>
      <c r="C834" s="2978">
        <f>'Part VII-Pro Forma'!C17</f>
        <v>0</v>
      </c>
      <c r="D834" s="2978">
        <f>'Part VII-Pro Forma'!D17</f>
        <v>0</v>
      </c>
      <c r="E834" s="2978">
        <f>'Part VII-Pro Forma'!E17</f>
        <v>0</v>
      </c>
      <c r="F834" s="2978">
        <f>'Part VII-Pro Forma'!F17</f>
        <v>0</v>
      </c>
      <c r="G834" s="2978">
        <f>'Part VII-Pro Forma'!G17</f>
        <v>0</v>
      </c>
      <c r="H834" s="2978">
        <f>'Part VII-Pro Forma'!H17</f>
        <v>0</v>
      </c>
      <c r="I834" s="2978">
        <f>'Part VII-Pro Forma'!I17</f>
        <v>0</v>
      </c>
      <c r="J834" s="2978">
        <f>'Part VII-Pro Forma'!J17</f>
        <v>0</v>
      </c>
      <c r="K834" s="2978">
        <f>'Part VII-Pro Forma'!K17</f>
        <v>0</v>
      </c>
      <c r="M834" s="2908"/>
      <c r="N834" s="2908"/>
    </row>
    <row r="835" spans="1:14">
      <c r="A835" s="1247" t="s">
        <v>55</v>
      </c>
      <c r="B835" s="2978">
        <f>'Part VII-Pro Forma'!B18</f>
        <v>0</v>
      </c>
      <c r="C835" s="2978">
        <f>'Part VII-Pro Forma'!C18</f>
        <v>0</v>
      </c>
      <c r="D835" s="2978">
        <f>'Part VII-Pro Forma'!D18</f>
        <v>0</v>
      </c>
      <c r="E835" s="2978">
        <f>'Part VII-Pro Forma'!E18</f>
        <v>0</v>
      </c>
      <c r="F835" s="2978">
        <f>'Part VII-Pro Forma'!F18</f>
        <v>0</v>
      </c>
      <c r="G835" s="2978">
        <f>'Part VII-Pro Forma'!G18</f>
        <v>0</v>
      </c>
      <c r="H835" s="2978">
        <f>'Part VII-Pro Forma'!H18</f>
        <v>0</v>
      </c>
      <c r="I835" s="2978">
        <f>'Part VII-Pro Forma'!I18</f>
        <v>0</v>
      </c>
      <c r="J835" s="2978">
        <f>'Part VII-Pro Forma'!J18</f>
        <v>0</v>
      </c>
      <c r="K835" s="2978">
        <f>'Part VII-Pro Forma'!K18</f>
        <v>0</v>
      </c>
      <c r="M835" s="2908"/>
      <c r="N835" s="2908"/>
    </row>
    <row r="836" spans="1:14">
      <c r="A836" s="1247" t="s">
        <v>645</v>
      </c>
      <c r="B836" s="2978">
        <f>'Part VII-Pro Forma'!B19</f>
        <v>-370763</v>
      </c>
      <c r="C836" s="2978">
        <f>'Part VII-Pro Forma'!C19</f>
        <v>-381885.89</v>
      </c>
      <c r="D836" s="2978">
        <f>'Part VII-Pro Forma'!D19</f>
        <v>-393342.46669999999</v>
      </c>
      <c r="E836" s="2978">
        <f>'Part VII-Pro Forma'!E19</f>
        <v>-405142.74070099997</v>
      </c>
      <c r="F836" s="2978">
        <f>'Part VII-Pro Forma'!F19</f>
        <v>-417297.02292202995</v>
      </c>
      <c r="G836" s="2978">
        <f>'Part VII-Pro Forma'!G19</f>
        <v>-429815.93360969087</v>
      </c>
      <c r="H836" s="2978">
        <f>'Part VII-Pro Forma'!H19</f>
        <v>-442710.41161798162</v>
      </c>
      <c r="I836" s="2978">
        <f>'Part VII-Pro Forma'!I19</f>
        <v>-455991.72396652109</v>
      </c>
      <c r="J836" s="2978">
        <f>'Part VII-Pro Forma'!J19</f>
        <v>-469671.47568551666</v>
      </c>
      <c r="K836" s="2978">
        <f>'Part VII-Pro Forma'!K19</f>
        <v>-483761.61995608214</v>
      </c>
      <c r="M836" s="2908"/>
      <c r="N836" s="2908"/>
    </row>
    <row r="837" spans="1:14">
      <c r="A837" s="1247" t="s">
        <v>1166</v>
      </c>
      <c r="B837" s="2978">
        <f>'Part VII-Pro Forma'!B20</f>
        <v>-53560</v>
      </c>
      <c r="C837" s="2978">
        <f>'Part VII-Pro Forma'!C20</f>
        <v>-54631</v>
      </c>
      <c r="D837" s="2978">
        <f>'Part VII-Pro Forma'!D20</f>
        <v>-55724</v>
      </c>
      <c r="E837" s="2978">
        <f>'Part VII-Pro Forma'!E20</f>
        <v>-56839</v>
      </c>
      <c r="F837" s="2978">
        <f>'Part VII-Pro Forma'!F20</f>
        <v>-57975</v>
      </c>
      <c r="G837" s="2978">
        <f>'Part VII-Pro Forma'!G20</f>
        <v>-59135</v>
      </c>
      <c r="H837" s="2978">
        <f>'Part VII-Pro Forma'!H20</f>
        <v>-60318</v>
      </c>
      <c r="I837" s="2978">
        <f>'Part VII-Pro Forma'!I20</f>
        <v>-61524</v>
      </c>
      <c r="J837" s="2978">
        <f>'Part VII-Pro Forma'!J20</f>
        <v>-62754</v>
      </c>
      <c r="K837" s="2978">
        <f>'Part VII-Pro Forma'!K20</f>
        <v>-64009</v>
      </c>
      <c r="M837" s="2908"/>
      <c r="N837" s="2908"/>
    </row>
    <row r="838" spans="1:14">
      <c r="A838" s="1247" t="s">
        <v>1260</v>
      </c>
      <c r="B838" s="2978">
        <f>'Part VII-Pro Forma'!B21</f>
        <v>-24000</v>
      </c>
      <c r="C838" s="2978">
        <f>'Part VII-Pro Forma'!C21</f>
        <v>-24720</v>
      </c>
      <c r="D838" s="2978">
        <f>'Part VII-Pro Forma'!D21</f>
        <v>-25461.599999999999</v>
      </c>
      <c r="E838" s="2978">
        <f>'Part VII-Pro Forma'!E21</f>
        <v>-26225.448</v>
      </c>
      <c r="F838" s="2978">
        <f>'Part VII-Pro Forma'!F21</f>
        <v>-27012.211439999999</v>
      </c>
      <c r="G838" s="2978">
        <f>'Part VII-Pro Forma'!G21</f>
        <v>-27822.577783199995</v>
      </c>
      <c r="H838" s="2978">
        <f>'Part VII-Pro Forma'!H21</f>
        <v>-28657.255116695997</v>
      </c>
      <c r="I838" s="2978">
        <f>'Part VII-Pro Forma'!I21</f>
        <v>-29516.97277019688</v>
      </c>
      <c r="J838" s="2978">
        <f>'Part VII-Pro Forma'!J21</f>
        <v>-30402.481953302784</v>
      </c>
      <c r="K838" s="2978">
        <f>'Part VII-Pro Forma'!K21</f>
        <v>-31314.556411901867</v>
      </c>
      <c r="M838" s="2908"/>
      <c r="N838" s="2908"/>
    </row>
    <row r="839" spans="1:14">
      <c r="A839" s="1247" t="s">
        <v>1261</v>
      </c>
      <c r="B839" s="2978">
        <f>'Part VII-Pro Forma'!B22</f>
        <v>146790.696</v>
      </c>
      <c r="C839" s="2978">
        <f>'Part VII-Pro Forma'!C22</f>
        <v>145779.07991999993</v>
      </c>
      <c r="D839" s="2978">
        <f>'Part VII-Pro Forma'!D22</f>
        <v>144628.22261839997</v>
      </c>
      <c r="E839" s="2978">
        <f>'Part VII-Pro Forma'!E22</f>
        <v>143332.22640376791</v>
      </c>
      <c r="F839" s="2978">
        <f>'Part VII-Pro Forma'!F22</f>
        <v>141885.96904483344</v>
      </c>
      <c r="G839" s="2978">
        <f>'Part VII-Pro Forma'!G22</f>
        <v>140280.0960821097</v>
      </c>
      <c r="H839" s="2978">
        <f>'Part VII-Pro Forma'!H22</f>
        <v>138509.01288982306</v>
      </c>
      <c r="I839" s="2978">
        <f>'Part VII-Pro Forma'!I22</f>
        <v>136565.87648027259</v>
      </c>
      <c r="J839" s="2978">
        <f>'Part VII-Pro Forma'!J22</f>
        <v>134442.587042511</v>
      </c>
      <c r="K839" s="2978">
        <f>'Part VII-Pro Forma'!K22</f>
        <v>132130.77920697306</v>
      </c>
      <c r="M839" s="2908"/>
      <c r="N839" s="2908"/>
    </row>
    <row r="840" spans="1:14">
      <c r="A840" s="1247" t="s">
        <v>1668</v>
      </c>
      <c r="B840" s="2978">
        <f>'Part VII-Pro Forma'!B23</f>
        <v>-104913.30853804009</v>
      </c>
      <c r="C840" s="2978">
        <f>'Part VII-Pro Forma'!C23</f>
        <v>-104913.30853804009</v>
      </c>
      <c r="D840" s="2978">
        <f>'Part VII-Pro Forma'!D23</f>
        <v>-104913.30853804009</v>
      </c>
      <c r="E840" s="2978">
        <f>'Part VII-Pro Forma'!E23</f>
        <v>-104913.30853804009</v>
      </c>
      <c r="F840" s="2978">
        <f>'Part VII-Pro Forma'!F23</f>
        <v>-104913.30853804009</v>
      </c>
      <c r="G840" s="2978">
        <f>'Part VII-Pro Forma'!G23</f>
        <v>-104913.30853804009</v>
      </c>
      <c r="H840" s="2978">
        <f>'Part VII-Pro Forma'!H23</f>
        <v>-104913.30853804009</v>
      </c>
      <c r="I840" s="2978">
        <f>'Part VII-Pro Forma'!I23</f>
        <v>-104913.30853804009</v>
      </c>
      <c r="J840" s="2978">
        <f>'Part VII-Pro Forma'!J23</f>
        <v>-104913.30853804009</v>
      </c>
      <c r="K840" s="2978">
        <f>'Part VII-Pro Forma'!K23</f>
        <v>-104913.30853804009</v>
      </c>
      <c r="M840" s="2908"/>
      <c r="N840" s="2908"/>
    </row>
    <row r="841" spans="1:14">
      <c r="A841" s="1247" t="s">
        <v>1669</v>
      </c>
      <c r="B841" s="2978">
        <f>'Part VII-Pro Forma'!B24</f>
        <v>0</v>
      </c>
      <c r="C841" s="2978">
        <f>'Part VII-Pro Forma'!C24</f>
        <v>0</v>
      </c>
      <c r="D841" s="2978">
        <f>'Part VII-Pro Forma'!D24</f>
        <v>0</v>
      </c>
      <c r="E841" s="2978">
        <f>'Part VII-Pro Forma'!E24</f>
        <v>0</v>
      </c>
      <c r="F841" s="2978">
        <f>'Part VII-Pro Forma'!F24</f>
        <v>0</v>
      </c>
      <c r="G841" s="2978">
        <f>'Part VII-Pro Forma'!G24</f>
        <v>0</v>
      </c>
      <c r="H841" s="2978">
        <f>'Part VII-Pro Forma'!H24</f>
        <v>0</v>
      </c>
      <c r="I841" s="2978">
        <f>'Part VII-Pro Forma'!I24</f>
        <v>0</v>
      </c>
      <c r="J841" s="2978">
        <f>'Part VII-Pro Forma'!J24</f>
        <v>0</v>
      </c>
      <c r="K841" s="2978">
        <f>'Part VII-Pro Forma'!K24</f>
        <v>0</v>
      </c>
      <c r="M841" s="2908"/>
      <c r="N841" s="2908"/>
    </row>
    <row r="842" spans="1:14">
      <c r="A842" s="1247" t="s">
        <v>1670</v>
      </c>
      <c r="B842" s="2978">
        <f>'Part VII-Pro Forma'!B25</f>
        <v>0</v>
      </c>
      <c r="C842" s="2978">
        <f>'Part VII-Pro Forma'!C25</f>
        <v>0</v>
      </c>
      <c r="D842" s="2978">
        <f>'Part VII-Pro Forma'!D25</f>
        <v>0</v>
      </c>
      <c r="E842" s="2978">
        <f>'Part VII-Pro Forma'!E25</f>
        <v>0</v>
      </c>
      <c r="F842" s="2978">
        <f>'Part VII-Pro Forma'!F25</f>
        <v>0</v>
      </c>
      <c r="G842" s="2978">
        <f>'Part VII-Pro Forma'!G25</f>
        <v>0</v>
      </c>
      <c r="H842" s="2978">
        <f>'Part VII-Pro Forma'!H25</f>
        <v>0</v>
      </c>
      <c r="I842" s="2978">
        <f>'Part VII-Pro Forma'!I25</f>
        <v>0</v>
      </c>
      <c r="J842" s="2978">
        <f>'Part VII-Pro Forma'!J25</f>
        <v>0</v>
      </c>
      <c r="K842" s="2978">
        <f>'Part VII-Pro Forma'!K25</f>
        <v>0</v>
      </c>
      <c r="M842" s="2908"/>
      <c r="N842" s="2908"/>
    </row>
    <row r="843" spans="1:14">
      <c r="A843" s="1247" t="s">
        <v>824</v>
      </c>
      <c r="B843" s="2978">
        <f>'Part VII-Pro Forma'!B26</f>
        <v>0</v>
      </c>
      <c r="C843" s="2978">
        <f>'Part VII-Pro Forma'!C26</f>
        <v>0</v>
      </c>
      <c r="D843" s="2978">
        <f>'Part VII-Pro Forma'!D26</f>
        <v>0</v>
      </c>
      <c r="E843" s="2978">
        <f>'Part VII-Pro Forma'!E26</f>
        <v>0</v>
      </c>
      <c r="F843" s="2978">
        <f>'Part VII-Pro Forma'!F26</f>
        <v>0</v>
      </c>
      <c r="G843" s="2978">
        <f>'Part VII-Pro Forma'!G26</f>
        <v>0</v>
      </c>
      <c r="H843" s="2978">
        <f>'Part VII-Pro Forma'!H26</f>
        <v>0</v>
      </c>
      <c r="I843" s="2978">
        <f>'Part VII-Pro Forma'!I26</f>
        <v>0</v>
      </c>
      <c r="J843" s="2978">
        <f>'Part VII-Pro Forma'!J26</f>
        <v>0</v>
      </c>
      <c r="K843" s="2978">
        <f>'Part VII-Pro Forma'!K26</f>
        <v>0</v>
      </c>
      <c r="M843" s="2908"/>
      <c r="N843" s="2908"/>
    </row>
    <row r="844" spans="1:14">
      <c r="A844" s="1247" t="s">
        <v>804</v>
      </c>
      <c r="B844" s="2978">
        <f>'Part VII-Pro Forma'!B27</f>
        <v>0</v>
      </c>
      <c r="C844" s="2978">
        <f>'Part VII-Pro Forma'!C27</f>
        <v>0</v>
      </c>
      <c r="D844" s="2978">
        <f>'Part VII-Pro Forma'!D27</f>
        <v>0</v>
      </c>
      <c r="E844" s="2978">
        <f>'Part VII-Pro Forma'!E27</f>
        <v>0</v>
      </c>
      <c r="F844" s="2978">
        <f>'Part VII-Pro Forma'!F27</f>
        <v>0</v>
      </c>
      <c r="G844" s="2978">
        <f>'Part VII-Pro Forma'!G27</f>
        <v>0</v>
      </c>
      <c r="H844" s="2978">
        <f>'Part VII-Pro Forma'!H27</f>
        <v>0</v>
      </c>
      <c r="I844" s="2978">
        <f>'Part VII-Pro Forma'!I27</f>
        <v>0</v>
      </c>
      <c r="J844" s="2978">
        <f>'Part VII-Pro Forma'!J27</f>
        <v>0</v>
      </c>
      <c r="K844" s="2978">
        <f>'Part VII-Pro Forma'!K27</f>
        <v>0</v>
      </c>
      <c r="M844" s="2908"/>
      <c r="N844" s="2908"/>
    </row>
    <row r="845" spans="1:14">
      <c r="A845" s="1247" t="s">
        <v>1219</v>
      </c>
      <c r="B845" s="2978">
        <f>'Part VII-Pro Forma'!B28</f>
        <v>-4500</v>
      </c>
      <c r="C845" s="2978">
        <f>'Part VII-Pro Forma'!C28</f>
        <v>-4500</v>
      </c>
      <c r="D845" s="2978">
        <f>'Part VII-Pro Forma'!D28</f>
        <v>-4500</v>
      </c>
      <c r="E845" s="2978">
        <f>'Part VII-Pro Forma'!E28</f>
        <v>-4500</v>
      </c>
      <c r="F845" s="2978">
        <f>'Part VII-Pro Forma'!F28</f>
        <v>-4500</v>
      </c>
      <c r="G845" s="2978">
        <f>'Part VII-Pro Forma'!G28</f>
        <v>-4500</v>
      </c>
      <c r="H845" s="2978">
        <f>'Part VII-Pro Forma'!H28</f>
        <v>-4500</v>
      </c>
      <c r="I845" s="2978">
        <f>'Part VII-Pro Forma'!I28</f>
        <v>-4500</v>
      </c>
      <c r="J845" s="2978">
        <f>'Part VII-Pro Forma'!J28</f>
        <v>-4500</v>
      </c>
      <c r="K845" s="2978">
        <f>'Part VII-Pro Forma'!K28</f>
        <v>-4500</v>
      </c>
      <c r="M845" s="2908"/>
      <c r="N845" s="2908"/>
    </row>
    <row r="846" spans="1:14">
      <c r="A846" s="1247" t="s">
        <v>1262</v>
      </c>
      <c r="B846" s="2978">
        <f>'Part VII-Pro Forma'!B29</f>
        <v>0</v>
      </c>
      <c r="C846" s="2978">
        <f>'Part VII-Pro Forma'!C29</f>
        <v>0</v>
      </c>
      <c r="D846" s="2978">
        <f>'Part VII-Pro Forma'!D29</f>
        <v>0</v>
      </c>
      <c r="E846" s="2978">
        <f>'Part VII-Pro Forma'!E29</f>
        <v>0</v>
      </c>
      <c r="F846" s="2978">
        <f>'Part VII-Pro Forma'!F29</f>
        <v>0</v>
      </c>
      <c r="G846" s="2978">
        <f>'Part VII-Pro Forma'!G29</f>
        <v>0</v>
      </c>
      <c r="H846" s="2978">
        <f>'Part VII-Pro Forma'!H29</f>
        <v>0</v>
      </c>
      <c r="I846" s="2978">
        <f>'Part VII-Pro Forma'!I29</f>
        <v>0</v>
      </c>
      <c r="J846" s="2978">
        <f>'Part VII-Pro Forma'!J29</f>
        <v>0</v>
      </c>
      <c r="K846" s="2978">
        <f>'Part VII-Pro Forma'!K29</f>
        <v>0</v>
      </c>
      <c r="M846" s="2908"/>
      <c r="N846" s="2908"/>
    </row>
    <row r="847" spans="1:14">
      <c r="A847" s="1247" t="s">
        <v>1220</v>
      </c>
      <c r="B847" s="2978">
        <f>'Part VII-Pro Forma'!B30</f>
        <v>37377.387461959908</v>
      </c>
      <c r="C847" s="2978">
        <f>'Part VII-Pro Forma'!C30</f>
        <v>36365.771381959843</v>
      </c>
      <c r="D847" s="2978">
        <f>'Part VII-Pro Forma'!D30</f>
        <v>35214.914080359886</v>
      </c>
      <c r="E847" s="2978">
        <f>'Part VII-Pro Forma'!E30</f>
        <v>33918.917865727824</v>
      </c>
      <c r="F847" s="2978">
        <f>'Part VII-Pro Forma'!F30</f>
        <v>32472.660506793356</v>
      </c>
      <c r="G847" s="2978">
        <f>'Part VII-Pro Forma'!G30</f>
        <v>30866.787544069608</v>
      </c>
      <c r="H847" s="2978">
        <f>'Part VII-Pro Forma'!H30</f>
        <v>29095.704351782973</v>
      </c>
      <c r="I847" s="2978">
        <f>'Part VII-Pro Forma'!I30</f>
        <v>27152.567942232505</v>
      </c>
      <c r="J847" s="2978">
        <f>'Part VII-Pro Forma'!J30</f>
        <v>25029.278504470916</v>
      </c>
      <c r="K847" s="2978">
        <f>'Part VII-Pro Forma'!K30</f>
        <v>22717.470668932976</v>
      </c>
      <c r="M847" s="2908"/>
      <c r="N847" s="2908"/>
    </row>
    <row r="848" spans="1:14">
      <c r="A848" s="1247" t="str">
        <f>IF('Part III-Sources of Funds'!$E$36 = "Neither", "", "DCR Mortgage A")</f>
        <v>DCR Mortgage A</v>
      </c>
      <c r="B848" s="2979">
        <f>'Part VII-Pro Forma'!B31</f>
        <v>1.399161822704083</v>
      </c>
      <c r="C848" s="2979">
        <f>'Part VII-Pro Forma'!C31</f>
        <v>1.3895194227636285</v>
      </c>
      <c r="D848" s="2979">
        <f>'Part VII-Pro Forma'!D31</f>
        <v>1.3785498201685233</v>
      </c>
      <c r="E848" s="2979">
        <f>'Part VII-Pro Forma'!E31</f>
        <v>1.3661968000160596</v>
      </c>
      <c r="F848" s="2979">
        <f>'Part VII-Pro Forma'!F31</f>
        <v>1.3524115388410194</v>
      </c>
      <c r="G848" s="2979">
        <f>'Part VII-Pro Forma'!G31</f>
        <v>1.3371048729365551</v>
      </c>
      <c r="H848" s="2979">
        <f>'Part VII-Pro Forma'!H31</f>
        <v>1.3202234761245915</v>
      </c>
      <c r="I848" s="2979">
        <f>'Part VII-Pro Forma'!I31</f>
        <v>1.301702123241645</v>
      </c>
      <c r="J848" s="2979">
        <f>'Part VII-Pro Forma'!J31</f>
        <v>1.2814636094882472</v>
      </c>
      <c r="K848" s="2979">
        <f>'Part VII-Pro Forma'!K31</f>
        <v>1.2594281988453764</v>
      </c>
      <c r="M848" s="2908"/>
      <c r="N848" s="2908"/>
    </row>
    <row r="849" spans="1:14">
      <c r="A849" s="1247" t="str">
        <f>IF('Part III-Sources of Funds'!$E$36 = "Neither", "", "DCR Mortgage B")</f>
        <v>DCR Mortgage B</v>
      </c>
      <c r="B849" s="2979" t="str">
        <f>'Part VII-Pro Forma'!B32</f>
        <v/>
      </c>
      <c r="C849" s="2979" t="str">
        <f>'Part VII-Pro Forma'!C32</f>
        <v/>
      </c>
      <c r="D849" s="2979" t="str">
        <f>'Part VII-Pro Forma'!D32</f>
        <v/>
      </c>
      <c r="E849" s="2979" t="str">
        <f>'Part VII-Pro Forma'!E32</f>
        <v/>
      </c>
      <c r="F849" s="2979" t="str">
        <f>'Part VII-Pro Forma'!F32</f>
        <v/>
      </c>
      <c r="G849" s="2979" t="str">
        <f>'Part VII-Pro Forma'!G32</f>
        <v/>
      </c>
      <c r="H849" s="2979" t="str">
        <f>'Part VII-Pro Forma'!H32</f>
        <v/>
      </c>
      <c r="I849" s="2979" t="str">
        <f>'Part VII-Pro Forma'!I32</f>
        <v/>
      </c>
      <c r="J849" s="2979" t="str">
        <f>'Part VII-Pro Forma'!J32</f>
        <v/>
      </c>
      <c r="K849" s="2979" t="str">
        <f>'Part VII-Pro Forma'!K32</f>
        <v/>
      </c>
      <c r="M849" s="2908"/>
      <c r="N849" s="2908"/>
    </row>
    <row r="850" spans="1:14">
      <c r="A850" s="1247" t="str">
        <f>IF('Part III-Sources of Funds'!$E$36 = "Neither", "DCR First Mortgage", "DCR Mortgage C")</f>
        <v>DCR Mortgage C</v>
      </c>
      <c r="B850" s="2979" t="str">
        <f>'Part VII-Pro Forma'!B33</f>
        <v/>
      </c>
      <c r="C850" s="2979" t="str">
        <f>'Part VII-Pro Forma'!C33</f>
        <v/>
      </c>
      <c r="D850" s="2979" t="str">
        <f>'Part VII-Pro Forma'!D33</f>
        <v/>
      </c>
      <c r="E850" s="2979" t="str">
        <f>'Part VII-Pro Forma'!E33</f>
        <v/>
      </c>
      <c r="F850" s="2979" t="str">
        <f>'Part VII-Pro Forma'!F33</f>
        <v/>
      </c>
      <c r="G850" s="2979" t="str">
        <f>'Part VII-Pro Forma'!G33</f>
        <v/>
      </c>
      <c r="H850" s="2979" t="str">
        <f>'Part VII-Pro Forma'!H33</f>
        <v/>
      </c>
      <c r="I850" s="2979" t="str">
        <f>'Part VII-Pro Forma'!I33</f>
        <v/>
      </c>
      <c r="J850" s="2979" t="str">
        <f>'Part VII-Pro Forma'!J33</f>
        <v/>
      </c>
      <c r="K850" s="2979" t="str">
        <f>'Part VII-Pro Forma'!K33</f>
        <v/>
      </c>
      <c r="M850" s="2908"/>
      <c r="N850" s="2908"/>
    </row>
    <row r="851" spans="1:14">
      <c r="A851" s="1247" t="s">
        <v>825</v>
      </c>
      <c r="B851" s="2979" t="str">
        <f>'Part VII-Pro Forma'!B34</f>
        <v/>
      </c>
      <c r="C851" s="2979" t="str">
        <f>'Part VII-Pro Forma'!C34</f>
        <v/>
      </c>
      <c r="D851" s="2979" t="str">
        <f>'Part VII-Pro Forma'!D34</f>
        <v/>
      </c>
      <c r="E851" s="2979" t="str">
        <f>'Part VII-Pro Forma'!E34</f>
        <v/>
      </c>
      <c r="F851" s="2979" t="str">
        <f>'Part VII-Pro Forma'!F34</f>
        <v/>
      </c>
      <c r="G851" s="2979" t="str">
        <f>'Part VII-Pro Forma'!G34</f>
        <v/>
      </c>
      <c r="H851" s="2979" t="str">
        <f>'Part VII-Pro Forma'!H34</f>
        <v/>
      </c>
      <c r="I851" s="2979" t="str">
        <f>'Part VII-Pro Forma'!I34</f>
        <v/>
      </c>
      <c r="J851" s="2979" t="str">
        <f>'Part VII-Pro Forma'!J34</f>
        <v/>
      </c>
      <c r="K851" s="2979" t="str">
        <f>'Part VII-Pro Forma'!K34</f>
        <v/>
      </c>
      <c r="M851" s="2908"/>
      <c r="N851" s="2908"/>
    </row>
    <row r="852" spans="1:14">
      <c r="A852" s="1247" t="s">
        <v>811</v>
      </c>
      <c r="B852" s="2980">
        <f>'Part VII-Pro Forma'!B35</f>
        <v>1.3274217383448987</v>
      </c>
      <c r="C852" s="2980">
        <f>'Part VII-Pro Forma'!C35</f>
        <v>1.3160611891212777</v>
      </c>
      <c r="D852" s="2980">
        <f>'Part VII-Pro Forma'!D35</f>
        <v>1.3047832842094775</v>
      </c>
      <c r="E852" s="2980">
        <f>'Part VII-Pro Forma'!E35</f>
        <v>1.2935889305217729</v>
      </c>
      <c r="F852" s="2980">
        <f>'Part VII-Pro Forma'!F35</f>
        <v>1.2824814305092576</v>
      </c>
      <c r="G852" s="2980">
        <f>'Part VII-Pro Forma'!G35</f>
        <v>1.2714537277733222</v>
      </c>
      <c r="H852" s="2980">
        <f>'Part VII-Pro Forma'!H35</f>
        <v>1.2605092097751471</v>
      </c>
      <c r="I852" s="2980">
        <f>'Part VII-Pro Forma'!I35</f>
        <v>1.249648471279589</v>
      </c>
      <c r="J852" s="2980">
        <f>'Part VII-Pro Forma'!J35</f>
        <v>1.2388697740007901</v>
      </c>
      <c r="K852" s="2980">
        <f>'Part VII-Pro Forma'!K35</f>
        <v>1.2281715792410641</v>
      </c>
      <c r="M852" s="2908"/>
      <c r="N852" s="2908"/>
    </row>
    <row r="853" spans="1:14">
      <c r="A853" s="1247" t="s">
        <v>2745</v>
      </c>
      <c r="B853" s="2978">
        <f>'Part VII-Pro Forma'!B36</f>
        <v>728215.72831927647</v>
      </c>
      <c r="C853" s="2978">
        <f>'Part VII-Pro Forma'!C36</f>
        <v>665283.42590580042</v>
      </c>
      <c r="D853" s="2978">
        <f>'Part VII-Pro Forma'!D36</f>
        <v>598469.59678386629</v>
      </c>
      <c r="E853" s="2978">
        <f>'Part VII-Pro Forma'!E36</f>
        <v>527534.83687940286</v>
      </c>
      <c r="F853" s="2978">
        <f>'Part VII-Pro Forma'!F36</f>
        <v>452224.97619889869</v>
      </c>
      <c r="G853" s="2978">
        <f>'Part VII-Pro Forma'!G36</f>
        <v>372270.16809980082</v>
      </c>
      <c r="H853" s="2978">
        <f>'Part VII-Pro Forma'!H36</f>
        <v>287383.92238910479</v>
      </c>
      <c r="I853" s="2978">
        <f>'Part VII-Pro Forma'!I36</f>
        <v>197262.07878558093</v>
      </c>
      <c r="J853" s="2978">
        <f>'Part VII-Pro Forma'!J36</f>
        <v>101581.71706739724</v>
      </c>
      <c r="K853" s="2978">
        <f>'Part VII-Pro Forma'!K36</f>
        <v>3.2348907552659512E-8</v>
      </c>
      <c r="M853" s="2908"/>
      <c r="N853" s="2908"/>
    </row>
    <row r="854" spans="1:14">
      <c r="A854" s="1247" t="s">
        <v>2746</v>
      </c>
      <c r="B854" s="2978" t="str">
        <f>'Part VII-Pro Forma'!B37</f>
        <v/>
      </c>
      <c r="C854" s="2978" t="str">
        <f>'Part VII-Pro Forma'!C37</f>
        <v/>
      </c>
      <c r="D854" s="2978" t="str">
        <f>'Part VII-Pro Forma'!D37</f>
        <v/>
      </c>
      <c r="E854" s="2978" t="str">
        <f>'Part VII-Pro Forma'!E37</f>
        <v/>
      </c>
      <c r="F854" s="2978" t="str">
        <f>'Part VII-Pro Forma'!F37</f>
        <v/>
      </c>
      <c r="G854" s="2978" t="str">
        <f>'Part VII-Pro Forma'!G37</f>
        <v/>
      </c>
      <c r="H854" s="2978" t="str">
        <f>'Part VII-Pro Forma'!H37</f>
        <v/>
      </c>
      <c r="I854" s="2978" t="str">
        <f>'Part VII-Pro Forma'!I37</f>
        <v/>
      </c>
      <c r="J854" s="2978" t="str">
        <f>'Part VII-Pro Forma'!J37</f>
        <v/>
      </c>
      <c r="K854" s="2978" t="str">
        <f>'Part VII-Pro Forma'!K37</f>
        <v/>
      </c>
      <c r="M854" s="2908"/>
      <c r="N854" s="2908"/>
    </row>
    <row r="855" spans="1:14">
      <c r="A855" s="1247" t="s">
        <v>2747</v>
      </c>
      <c r="B855" s="2978" t="str">
        <f>'Part VII-Pro Forma'!B38</f>
        <v/>
      </c>
      <c r="C855" s="2978" t="str">
        <f>'Part VII-Pro Forma'!C38</f>
        <v/>
      </c>
      <c r="D855" s="2978" t="str">
        <f>'Part VII-Pro Forma'!D38</f>
        <v/>
      </c>
      <c r="E855" s="2978" t="str">
        <f>'Part VII-Pro Forma'!E38</f>
        <v/>
      </c>
      <c r="F855" s="2978" t="str">
        <f>'Part VII-Pro Forma'!F38</f>
        <v/>
      </c>
      <c r="G855" s="2978" t="str">
        <f>'Part VII-Pro Forma'!G38</f>
        <v/>
      </c>
      <c r="H855" s="2978" t="str">
        <f>'Part VII-Pro Forma'!H38</f>
        <v/>
      </c>
      <c r="I855" s="2978" t="str">
        <f>'Part VII-Pro Forma'!I38</f>
        <v/>
      </c>
      <c r="J855" s="2978" t="str">
        <f>'Part VII-Pro Forma'!J38</f>
        <v/>
      </c>
      <c r="K855" s="2978" t="str">
        <f>'Part VII-Pro Forma'!K38</f>
        <v/>
      </c>
      <c r="M855" s="2908"/>
      <c r="N855" s="2908"/>
    </row>
    <row r="856" spans="1:14">
      <c r="A856" s="1247" t="s">
        <v>826</v>
      </c>
      <c r="B856" s="2978" t="str">
        <f>'Part VII-Pro Forma'!B39</f>
        <v/>
      </c>
      <c r="C856" s="2978" t="str">
        <f>'Part VII-Pro Forma'!C39</f>
        <v/>
      </c>
      <c r="D856" s="2978" t="str">
        <f>'Part VII-Pro Forma'!D39</f>
        <v/>
      </c>
      <c r="E856" s="2978" t="str">
        <f>'Part VII-Pro Forma'!E39</f>
        <v/>
      </c>
      <c r="F856" s="2978" t="str">
        <f>'Part VII-Pro Forma'!F39</f>
        <v/>
      </c>
      <c r="G856" s="2978" t="str">
        <f>'Part VII-Pro Forma'!G39</f>
        <v/>
      </c>
      <c r="H856" s="2978" t="str">
        <f>'Part VII-Pro Forma'!H39</f>
        <v/>
      </c>
      <c r="I856" s="2978" t="str">
        <f>'Part VII-Pro Forma'!I39</f>
        <v/>
      </c>
      <c r="J856" s="2978" t="str">
        <f>'Part VII-Pro Forma'!J39</f>
        <v/>
      </c>
      <c r="K856" s="2978" t="str">
        <f>'Part VII-Pro Forma'!K39</f>
        <v/>
      </c>
      <c r="M856" s="2908"/>
      <c r="N856" s="2908"/>
    </row>
    <row r="857" spans="1:14">
      <c r="A857" s="1247" t="s">
        <v>1297</v>
      </c>
      <c r="B857" s="2978" t="str">
        <f>'Part VII-Pro Forma'!B40</f>
        <v/>
      </c>
      <c r="C857" s="2978" t="str">
        <f>'Part VII-Pro Forma'!C40</f>
        <v/>
      </c>
      <c r="D857" s="2978" t="str">
        <f>'Part VII-Pro Forma'!D40</f>
        <v/>
      </c>
      <c r="E857" s="2978" t="str">
        <f>'Part VII-Pro Forma'!E40</f>
        <v/>
      </c>
      <c r="F857" s="2978" t="str">
        <f>'Part VII-Pro Forma'!F40</f>
        <v/>
      </c>
      <c r="G857" s="2978" t="str">
        <f>'Part VII-Pro Forma'!G40</f>
        <v/>
      </c>
      <c r="H857" s="2978" t="str">
        <f>'Part VII-Pro Forma'!H40</f>
        <v/>
      </c>
      <c r="I857" s="2978" t="str">
        <f>'Part VII-Pro Forma'!I40</f>
        <v/>
      </c>
      <c r="J857" s="2978" t="str">
        <f>'Part VII-Pro Forma'!J40</f>
        <v/>
      </c>
      <c r="K857" s="2978" t="str">
        <f>'Part VII-Pro Forma'!K40</f>
        <v/>
      </c>
      <c r="M857" s="2908"/>
      <c r="N857" s="2908"/>
    </row>
    <row r="858" spans="1:14">
      <c r="B858" s="2978"/>
      <c r="C858" s="2978"/>
      <c r="D858" s="2978"/>
      <c r="E858" s="2978"/>
      <c r="F858" s="2978"/>
      <c r="G858" s="2978"/>
      <c r="H858" s="2978"/>
      <c r="I858" s="2978"/>
      <c r="J858" s="2978"/>
      <c r="K858" s="2978"/>
    </row>
    <row r="859" spans="1:14">
      <c r="A859" s="2875" t="s">
        <v>2603</v>
      </c>
      <c r="B859" s="2981">
        <f>K830+1</f>
        <v>11</v>
      </c>
      <c r="C859" s="2981">
        <f t="shared" ref="C859:K859" si="282">B859+1</f>
        <v>12</v>
      </c>
      <c r="D859" s="2981">
        <f t="shared" si="282"/>
        <v>13</v>
      </c>
      <c r="E859" s="2981">
        <f t="shared" si="282"/>
        <v>14</v>
      </c>
      <c r="F859" s="2981">
        <f t="shared" si="282"/>
        <v>15</v>
      </c>
      <c r="G859" s="2981">
        <f t="shared" si="282"/>
        <v>16</v>
      </c>
      <c r="H859" s="2981">
        <f t="shared" si="282"/>
        <v>17</v>
      </c>
      <c r="I859" s="2981">
        <f t="shared" si="282"/>
        <v>18</v>
      </c>
      <c r="J859" s="2981">
        <f t="shared" si="282"/>
        <v>19</v>
      </c>
      <c r="K859" s="2981">
        <f t="shared" si="282"/>
        <v>20</v>
      </c>
      <c r="M859" s="2968" t="s">
        <v>2750</v>
      </c>
      <c r="N859" s="2968"/>
    </row>
    <row r="860" spans="1:14">
      <c r="A860" s="1247" t="s">
        <v>2522</v>
      </c>
      <c r="B860" s="2978">
        <f>'Part VII-Pro Forma'!B43</f>
        <v>764748.3393279108</v>
      </c>
      <c r="C860" s="2978">
        <f>'Part VII-Pro Forma'!C43</f>
        <v>780043.30611446884</v>
      </c>
      <c r="D860" s="2978">
        <f>'Part VII-Pro Forma'!D43</f>
        <v>795644.1722367584</v>
      </c>
      <c r="E860" s="2978">
        <f>'Part VII-Pro Forma'!E43</f>
        <v>811557.05568149348</v>
      </c>
      <c r="F860" s="2978">
        <f>'Part VII-Pro Forma'!F43</f>
        <v>827788.19679512351</v>
      </c>
      <c r="G860" s="2978">
        <f>'Part VII-Pro Forma'!G43</f>
        <v>844343.96073102567</v>
      </c>
      <c r="H860" s="2978">
        <f>'Part VII-Pro Forma'!H43</f>
        <v>861230.83994564635</v>
      </c>
      <c r="I860" s="2978">
        <f>'Part VII-Pro Forma'!I43</f>
        <v>878455.45674455934</v>
      </c>
      <c r="J860" s="2978">
        <f>'Part VII-Pro Forma'!J43</f>
        <v>896024.56587945041</v>
      </c>
      <c r="K860" s="2978">
        <f>'Part VII-Pro Forma'!K43</f>
        <v>913945.05719703948</v>
      </c>
      <c r="M860" s="2837">
        <f>'Part VII-Pro Forma'!M43</f>
        <v>0</v>
      </c>
      <c r="N860" s="2908"/>
    </row>
    <row r="861" spans="1:14">
      <c r="A861" s="1247" t="s">
        <v>1066</v>
      </c>
      <c r="B861" s="2978">
        <f>'Part VII-Pro Forma'!B44</f>
        <v>15294.966786558218</v>
      </c>
      <c r="C861" s="2978">
        <f>'Part VII-Pro Forma'!C44</f>
        <v>15600.866122289379</v>
      </c>
      <c r="D861" s="2978">
        <f>'Part VII-Pro Forma'!D44</f>
        <v>15912.883444735169</v>
      </c>
      <c r="E861" s="2978">
        <f>'Part VII-Pro Forma'!E44</f>
        <v>16231.141113629872</v>
      </c>
      <c r="F861" s="2978">
        <f>'Part VII-Pro Forma'!F44</f>
        <v>16555.763935902469</v>
      </c>
      <c r="G861" s="2978">
        <f>'Part VII-Pro Forma'!G44</f>
        <v>16886.879214620516</v>
      </c>
      <c r="H861" s="2978">
        <f>'Part VII-Pro Forma'!H44</f>
        <v>17224.616798912928</v>
      </c>
      <c r="I861" s="2978">
        <f>'Part VII-Pro Forma'!I44</f>
        <v>17569.109134891187</v>
      </c>
      <c r="J861" s="2978">
        <f>'Part VII-Pro Forma'!J44</f>
        <v>17920.491317589011</v>
      </c>
      <c r="K861" s="2978">
        <f>'Part VII-Pro Forma'!K44</f>
        <v>18278.901143940791</v>
      </c>
      <c r="M861" s="2908"/>
      <c r="N861" s="2908"/>
    </row>
    <row r="862" spans="1:14">
      <c r="A862" s="1247" t="s">
        <v>2523</v>
      </c>
      <c r="B862" s="2978">
        <f>'Part VII-Pro Forma'!B45</f>
        <v>-54603.031428012837</v>
      </c>
      <c r="C862" s="2978">
        <f>'Part VII-Pro Forma'!C45</f>
        <v>-55695.092056573078</v>
      </c>
      <c r="D862" s="2978">
        <f>'Part VII-Pro Forma'!D45</f>
        <v>-56808.99389770456</v>
      </c>
      <c r="E862" s="2978">
        <f>'Part VII-Pro Forma'!E45</f>
        <v>-57945.173775658644</v>
      </c>
      <c r="F862" s="2978">
        <f>'Part VII-Pro Forma'!F45</f>
        <v>-59104.077251171824</v>
      </c>
      <c r="G862" s="2978">
        <f>'Part VII-Pro Forma'!G45</f>
        <v>-60286.158796195239</v>
      </c>
      <c r="H862" s="2978">
        <f>'Part VII-Pro Forma'!H45</f>
        <v>-61491.881972119154</v>
      </c>
      <c r="I862" s="2978">
        <f>'Part VII-Pro Forma'!I45</f>
        <v>-62721.719611561544</v>
      </c>
      <c r="J862" s="2978">
        <f>'Part VII-Pro Forma'!J45</f>
        <v>-63976.15400379277</v>
      </c>
      <c r="K862" s="2978">
        <f>'Part VII-Pro Forma'!K45</f>
        <v>-65255.677083868621</v>
      </c>
      <c r="M862" s="2908"/>
      <c r="N862" s="2908"/>
    </row>
    <row r="863" spans="1:14">
      <c r="A863" s="1247" t="s">
        <v>54</v>
      </c>
      <c r="B863" s="2978">
        <f>'Part VII-Pro Forma'!B46</f>
        <v>0</v>
      </c>
      <c r="C863" s="2978">
        <f>'Part VII-Pro Forma'!C46</f>
        <v>0</v>
      </c>
      <c r="D863" s="2978">
        <f>'Part VII-Pro Forma'!D46</f>
        <v>0</v>
      </c>
      <c r="E863" s="2978">
        <f>'Part VII-Pro Forma'!E46</f>
        <v>0</v>
      </c>
      <c r="F863" s="2978">
        <f>'Part VII-Pro Forma'!F46</f>
        <v>0</v>
      </c>
      <c r="G863" s="2978">
        <f>'Part VII-Pro Forma'!G46</f>
        <v>0</v>
      </c>
      <c r="H863" s="2978">
        <f>'Part VII-Pro Forma'!H46</f>
        <v>0</v>
      </c>
      <c r="I863" s="2978">
        <f>'Part VII-Pro Forma'!I46</f>
        <v>0</v>
      </c>
      <c r="J863" s="2978">
        <f>'Part VII-Pro Forma'!J46</f>
        <v>0</v>
      </c>
      <c r="K863" s="2978">
        <f>'Part VII-Pro Forma'!K46</f>
        <v>0</v>
      </c>
      <c r="M863" s="2908"/>
      <c r="N863" s="2908"/>
    </row>
    <row r="864" spans="1:14">
      <c r="A864" s="1247" t="s">
        <v>55</v>
      </c>
      <c r="B864" s="2978">
        <f>'Part VII-Pro Forma'!B47</f>
        <v>0</v>
      </c>
      <c r="C864" s="2978">
        <f>'Part VII-Pro Forma'!C47</f>
        <v>0</v>
      </c>
      <c r="D864" s="2978">
        <f>'Part VII-Pro Forma'!D47</f>
        <v>0</v>
      </c>
      <c r="E864" s="2978">
        <f>'Part VII-Pro Forma'!E47</f>
        <v>0</v>
      </c>
      <c r="F864" s="2978">
        <f>'Part VII-Pro Forma'!F47</f>
        <v>0</v>
      </c>
      <c r="G864" s="2978">
        <f>'Part VII-Pro Forma'!G47</f>
        <v>0</v>
      </c>
      <c r="H864" s="2978">
        <f>'Part VII-Pro Forma'!H47</f>
        <v>0</v>
      </c>
      <c r="I864" s="2978">
        <f>'Part VII-Pro Forma'!I47</f>
        <v>0</v>
      </c>
      <c r="J864" s="2978">
        <f>'Part VII-Pro Forma'!J47</f>
        <v>0</v>
      </c>
      <c r="K864" s="2978">
        <f>'Part VII-Pro Forma'!K47</f>
        <v>0</v>
      </c>
      <c r="M864" s="2908"/>
      <c r="N864" s="2908"/>
    </row>
    <row r="865" spans="1:14">
      <c r="A865" s="1247" t="s">
        <v>645</v>
      </c>
      <c r="B865" s="2978">
        <f>'Part VII-Pro Forma'!B48</f>
        <v>-498274.46855476464</v>
      </c>
      <c r="C865" s="2978">
        <f>'Part VII-Pro Forma'!C48</f>
        <v>-513222.70261140756</v>
      </c>
      <c r="D865" s="2978">
        <f>'Part VII-Pro Forma'!D48</f>
        <v>-528619.38368974975</v>
      </c>
      <c r="E865" s="2978">
        <f>'Part VII-Pro Forma'!E48</f>
        <v>-544477.96520044224</v>
      </c>
      <c r="F865" s="2978">
        <f>'Part VII-Pro Forma'!F48</f>
        <v>-560812.30415645556</v>
      </c>
      <c r="G865" s="2978">
        <f>'Part VII-Pro Forma'!G48</f>
        <v>-577636.67328114924</v>
      </c>
      <c r="H865" s="2978">
        <f>'Part VII-Pro Forma'!H48</f>
        <v>-594965.77347958356</v>
      </c>
      <c r="I865" s="2978">
        <f>'Part VII-Pro Forma'!I48</f>
        <v>-612814.74668397114</v>
      </c>
      <c r="J865" s="2978">
        <f>'Part VII-Pro Forma'!J48</f>
        <v>-631199.1890844903</v>
      </c>
      <c r="K865" s="2978">
        <f>'Part VII-Pro Forma'!K48</f>
        <v>-650135.16475702496</v>
      </c>
      <c r="M865" s="2908"/>
      <c r="N865" s="2908"/>
    </row>
    <row r="866" spans="1:14">
      <c r="A866" s="1247" t="s">
        <v>1166</v>
      </c>
      <c r="B866" s="2978">
        <f>'Part VII-Pro Forma'!B49</f>
        <v>-65290</v>
      </c>
      <c r="C866" s="2978">
        <f>'Part VII-Pro Forma'!C49</f>
        <v>-66595</v>
      </c>
      <c r="D866" s="2978">
        <f>'Part VII-Pro Forma'!D49</f>
        <v>-67927</v>
      </c>
      <c r="E866" s="2978">
        <f>'Part VII-Pro Forma'!E49</f>
        <v>-69286</v>
      </c>
      <c r="F866" s="2978">
        <f>'Part VII-Pro Forma'!F49</f>
        <v>-70672</v>
      </c>
      <c r="G866" s="2978">
        <f>'Part VII-Pro Forma'!G49</f>
        <v>-72085</v>
      </c>
      <c r="H866" s="2978">
        <f>'Part VII-Pro Forma'!H49</f>
        <v>-73527</v>
      </c>
      <c r="I866" s="2978">
        <f>'Part VII-Pro Forma'!I49</f>
        <v>-74997</v>
      </c>
      <c r="J866" s="2978">
        <f>'Part VII-Pro Forma'!J49</f>
        <v>-76497</v>
      </c>
      <c r="K866" s="2978">
        <f>'Part VII-Pro Forma'!K49</f>
        <v>-78027</v>
      </c>
      <c r="M866" s="2908"/>
      <c r="N866" s="2908"/>
    </row>
    <row r="867" spans="1:14">
      <c r="A867" s="1247" t="s">
        <v>1260</v>
      </c>
      <c r="B867" s="2978">
        <f>'Part VII-Pro Forma'!B50</f>
        <v>-32253.993104258923</v>
      </c>
      <c r="C867" s="2978">
        <f>'Part VII-Pro Forma'!C50</f>
        <v>-33221.612897386694</v>
      </c>
      <c r="D867" s="2978">
        <f>'Part VII-Pro Forma'!D50</f>
        <v>-34218.26128430829</v>
      </c>
      <c r="E867" s="2978">
        <f>'Part VII-Pro Forma'!E50</f>
        <v>-35244.809122837534</v>
      </c>
      <c r="F867" s="2978">
        <f>'Part VII-Pro Forma'!F50</f>
        <v>-36302.153396522663</v>
      </c>
      <c r="G867" s="2978">
        <f>'Part VII-Pro Forma'!G50</f>
        <v>-37391.217998418346</v>
      </c>
      <c r="H867" s="2978">
        <f>'Part VII-Pro Forma'!H50</f>
        <v>-38512.95453837089</v>
      </c>
      <c r="I867" s="2978">
        <f>'Part VII-Pro Forma'!I50</f>
        <v>-39668.343174522015</v>
      </c>
      <c r="J867" s="2978">
        <f>'Part VII-Pro Forma'!J50</f>
        <v>-40858.393469757677</v>
      </c>
      <c r="K867" s="2978">
        <f>'Part VII-Pro Forma'!K50</f>
        <v>-42084.145273850409</v>
      </c>
      <c r="M867" s="2908"/>
      <c r="N867" s="2908"/>
    </row>
    <row r="868" spans="1:14">
      <c r="A868" s="1247" t="s">
        <v>1261</v>
      </c>
      <c r="B868" s="2978">
        <f>'Part VII-Pro Forma'!B51</f>
        <v>129621.81302743262</v>
      </c>
      <c r="C868" s="2978">
        <f>'Part VII-Pro Forma'!C51</f>
        <v>126909.76467139091</v>
      </c>
      <c r="D868" s="2978">
        <f>'Part VII-Pro Forma'!D51</f>
        <v>123983.41680973103</v>
      </c>
      <c r="E868" s="2978">
        <f>'Part VII-Pro Forma'!E51</f>
        <v>120834.24869618504</v>
      </c>
      <c r="F868" s="2978">
        <f>'Part VII-Pro Forma'!F51</f>
        <v>117453.42592687599</v>
      </c>
      <c r="G868" s="2978">
        <f>'Part VII-Pro Forma'!G51</f>
        <v>113831.78986988336</v>
      </c>
      <c r="H868" s="2978">
        <f>'Part VII-Pro Forma'!H51</f>
        <v>109957.84675448568</v>
      </c>
      <c r="I868" s="2978">
        <f>'Part VII-Pro Forma'!I51</f>
        <v>105822.75640939586</v>
      </c>
      <c r="J868" s="2978">
        <f>'Part VII-Pro Forma'!J51</f>
        <v>101414.32063899872</v>
      </c>
      <c r="K868" s="2978">
        <f>'Part VII-Pro Forma'!K51</f>
        <v>96721.971226236201</v>
      </c>
      <c r="M868" s="2908"/>
      <c r="N868" s="2908"/>
    </row>
    <row r="869" spans="1:14">
      <c r="A869" s="1247" t="str">
        <f>$A840</f>
        <v>Mortgage A</v>
      </c>
      <c r="B869" s="2978">
        <f>'Part VII-Pro Forma'!B52</f>
        <v>0</v>
      </c>
      <c r="C869" s="2978">
        <f>'Part VII-Pro Forma'!C52</f>
        <v>0</v>
      </c>
      <c r="D869" s="2978">
        <f>'Part VII-Pro Forma'!D52</f>
        <v>0</v>
      </c>
      <c r="E869" s="2978">
        <f>'Part VII-Pro Forma'!E52</f>
        <v>0</v>
      </c>
      <c r="F869" s="2978">
        <f>'Part VII-Pro Forma'!F52</f>
        <v>0</v>
      </c>
      <c r="G869" s="2978">
        <f>'Part VII-Pro Forma'!G52</f>
        <v>0</v>
      </c>
      <c r="H869" s="2978">
        <f>'Part VII-Pro Forma'!H52</f>
        <v>0</v>
      </c>
      <c r="I869" s="2978">
        <f>'Part VII-Pro Forma'!I52</f>
        <v>0</v>
      </c>
      <c r="J869" s="2978">
        <f>'Part VII-Pro Forma'!J52</f>
        <v>0</v>
      </c>
      <c r="K869" s="2978">
        <f>'Part VII-Pro Forma'!K52</f>
        <v>0</v>
      </c>
      <c r="M869" s="2908"/>
      <c r="N869" s="2908"/>
    </row>
    <row r="870" spans="1:14">
      <c r="A870" s="1247" t="str">
        <f>$A841</f>
        <v>Mortgage B</v>
      </c>
      <c r="B870" s="2978">
        <f>'Part VII-Pro Forma'!B53</f>
        <v>0</v>
      </c>
      <c r="C870" s="2978">
        <f>'Part VII-Pro Forma'!C53</f>
        <v>0</v>
      </c>
      <c r="D870" s="2978">
        <f>'Part VII-Pro Forma'!D53</f>
        <v>0</v>
      </c>
      <c r="E870" s="2978">
        <f>'Part VII-Pro Forma'!E53</f>
        <v>0</v>
      </c>
      <c r="F870" s="2978">
        <f>'Part VII-Pro Forma'!F53</f>
        <v>0</v>
      </c>
      <c r="G870" s="2978">
        <f>'Part VII-Pro Forma'!G53</f>
        <v>0</v>
      </c>
      <c r="H870" s="2978">
        <f>'Part VII-Pro Forma'!H53</f>
        <v>0</v>
      </c>
      <c r="I870" s="2978">
        <f>'Part VII-Pro Forma'!I53</f>
        <v>0</v>
      </c>
      <c r="J870" s="2978">
        <f>'Part VII-Pro Forma'!J53</f>
        <v>0</v>
      </c>
      <c r="K870" s="2978">
        <f>'Part VII-Pro Forma'!K53</f>
        <v>0</v>
      </c>
      <c r="M870" s="2908"/>
      <c r="N870" s="2908"/>
    </row>
    <row r="871" spans="1:14">
      <c r="A871" s="1247" t="str">
        <f>$A842</f>
        <v>Mortgage C</v>
      </c>
      <c r="B871" s="2978">
        <f>'Part VII-Pro Forma'!B54</f>
        <v>0</v>
      </c>
      <c r="C871" s="2978">
        <f>'Part VII-Pro Forma'!C54</f>
        <v>0</v>
      </c>
      <c r="D871" s="2978">
        <f>'Part VII-Pro Forma'!D54</f>
        <v>0</v>
      </c>
      <c r="E871" s="2978">
        <f>'Part VII-Pro Forma'!E54</f>
        <v>0</v>
      </c>
      <c r="F871" s="2978">
        <f>'Part VII-Pro Forma'!F54</f>
        <v>0</v>
      </c>
      <c r="G871" s="2978">
        <f>'Part VII-Pro Forma'!G54</f>
        <v>0</v>
      </c>
      <c r="H871" s="2978">
        <f>'Part VII-Pro Forma'!H54</f>
        <v>0</v>
      </c>
      <c r="I871" s="2978">
        <f>'Part VII-Pro Forma'!I54</f>
        <v>0</v>
      </c>
      <c r="J871" s="2978">
        <f>'Part VII-Pro Forma'!J54</f>
        <v>0</v>
      </c>
      <c r="K871" s="2978">
        <f>'Part VII-Pro Forma'!K54</f>
        <v>0</v>
      </c>
      <c r="M871" s="2908"/>
      <c r="N871" s="2908"/>
    </row>
    <row r="872" spans="1:14">
      <c r="A872" s="1247" t="str">
        <f>$A843</f>
        <v>D/S Other Source</v>
      </c>
      <c r="B872" s="2978">
        <f>'Part VII-Pro Forma'!B55</f>
        <v>0</v>
      </c>
      <c r="C872" s="2978">
        <f>'Part VII-Pro Forma'!C55</f>
        <v>0</v>
      </c>
      <c r="D872" s="2978">
        <f>'Part VII-Pro Forma'!D55</f>
        <v>0</v>
      </c>
      <c r="E872" s="2978">
        <f>'Part VII-Pro Forma'!E55</f>
        <v>0</v>
      </c>
      <c r="F872" s="2978">
        <f>'Part VII-Pro Forma'!F55</f>
        <v>0</v>
      </c>
      <c r="G872" s="2978">
        <f>'Part VII-Pro Forma'!G55</f>
        <v>0</v>
      </c>
      <c r="H872" s="2978">
        <f>'Part VII-Pro Forma'!H55</f>
        <v>0</v>
      </c>
      <c r="I872" s="2978">
        <f>'Part VII-Pro Forma'!I55</f>
        <v>0</v>
      </c>
      <c r="J872" s="2978">
        <f>'Part VII-Pro Forma'!J55</f>
        <v>0</v>
      </c>
      <c r="K872" s="2978">
        <f>'Part VII-Pro Forma'!K55</f>
        <v>0</v>
      </c>
      <c r="M872" s="2908"/>
      <c r="N872" s="2908"/>
    </row>
    <row r="873" spans="1:14">
      <c r="A873" s="1247" t="s">
        <v>804</v>
      </c>
      <c r="B873" s="2978">
        <f>'Part VII-Pro Forma'!B56</f>
        <v>0</v>
      </c>
      <c r="C873" s="2978">
        <f>'Part VII-Pro Forma'!C56</f>
        <v>0</v>
      </c>
      <c r="D873" s="2978">
        <f>'Part VII-Pro Forma'!D56</f>
        <v>0</v>
      </c>
      <c r="E873" s="2978">
        <f>'Part VII-Pro Forma'!E56</f>
        <v>0</v>
      </c>
      <c r="F873" s="2978">
        <f>'Part VII-Pro Forma'!F56</f>
        <v>0</v>
      </c>
      <c r="G873" s="2978">
        <f>'Part VII-Pro Forma'!G56</f>
        <v>0</v>
      </c>
      <c r="H873" s="2978">
        <f>'Part VII-Pro Forma'!H56</f>
        <v>0</v>
      </c>
      <c r="I873" s="2978">
        <f>'Part VII-Pro Forma'!I56</f>
        <v>0</v>
      </c>
      <c r="J873" s="2978">
        <f>'Part VII-Pro Forma'!J56</f>
        <v>0</v>
      </c>
      <c r="K873" s="2978">
        <f>'Part VII-Pro Forma'!K56</f>
        <v>0</v>
      </c>
      <c r="M873" s="2908"/>
      <c r="N873" s="2908"/>
    </row>
    <row r="874" spans="1:14">
      <c r="A874" s="1247" t="s">
        <v>1219</v>
      </c>
      <c r="B874" s="2978">
        <f>'Part VII-Pro Forma'!B57</f>
        <v>-4500</v>
      </c>
      <c r="C874" s="2978">
        <f>'Part VII-Pro Forma'!C57</f>
        <v>-4500</v>
      </c>
      <c r="D874" s="2978">
        <f>'Part VII-Pro Forma'!D57</f>
        <v>-4500</v>
      </c>
      <c r="E874" s="2978">
        <f>'Part VII-Pro Forma'!E57</f>
        <v>-4500</v>
      </c>
      <c r="F874" s="2978">
        <f>'Part VII-Pro Forma'!F57</f>
        <v>-4500</v>
      </c>
      <c r="G874" s="2978">
        <f>'Part VII-Pro Forma'!G57</f>
        <v>-4500</v>
      </c>
      <c r="H874" s="2978">
        <f>'Part VII-Pro Forma'!H57</f>
        <v>-4500</v>
      </c>
      <c r="I874" s="2978">
        <f>'Part VII-Pro Forma'!I57</f>
        <v>-4500</v>
      </c>
      <c r="J874" s="2978">
        <f>'Part VII-Pro Forma'!J57</f>
        <v>-4500</v>
      </c>
      <c r="K874" s="2978">
        <f>'Part VII-Pro Forma'!K57</f>
        <v>-4500</v>
      </c>
      <c r="M874" s="2908"/>
      <c r="N874" s="2908"/>
    </row>
    <row r="875" spans="1:14">
      <c r="A875" s="1247" t="s">
        <v>1262</v>
      </c>
      <c r="B875" s="2978">
        <f>'Part VII-Pro Forma'!B58</f>
        <v>0</v>
      </c>
      <c r="C875" s="2978">
        <f>'Part VII-Pro Forma'!C58</f>
        <v>0</v>
      </c>
      <c r="D875" s="2978">
        <f>'Part VII-Pro Forma'!D58</f>
        <v>0</v>
      </c>
      <c r="E875" s="2978">
        <f>'Part VII-Pro Forma'!E58</f>
        <v>0</v>
      </c>
      <c r="F875" s="2978">
        <f>'Part VII-Pro Forma'!F58</f>
        <v>0</v>
      </c>
      <c r="G875" s="2978">
        <f>'Part VII-Pro Forma'!G58</f>
        <v>0</v>
      </c>
      <c r="H875" s="2978">
        <f>'Part VII-Pro Forma'!H58</f>
        <v>0</v>
      </c>
      <c r="I875" s="2978">
        <f>'Part VII-Pro Forma'!I58</f>
        <v>0</v>
      </c>
      <c r="J875" s="2978">
        <f>'Part VII-Pro Forma'!J58</f>
        <v>0</v>
      </c>
      <c r="K875" s="2978">
        <f>'Part VII-Pro Forma'!K58</f>
        <v>0</v>
      </c>
      <c r="M875" s="2908"/>
      <c r="N875" s="2908"/>
    </row>
    <row r="876" spans="1:14">
      <c r="A876" s="1247" t="s">
        <v>1220</v>
      </c>
      <c r="B876" s="2978">
        <f>'Part VII-Pro Forma'!B59</f>
        <v>125121.81302743262</v>
      </c>
      <c r="C876" s="2978">
        <f>'Part VII-Pro Forma'!C59</f>
        <v>122409.76467139091</v>
      </c>
      <c r="D876" s="2978">
        <f>'Part VII-Pro Forma'!D59</f>
        <v>119483.41680973103</v>
      </c>
      <c r="E876" s="2978">
        <f>'Part VII-Pro Forma'!E59</f>
        <v>116334.24869618504</v>
      </c>
      <c r="F876" s="2978">
        <f>'Part VII-Pro Forma'!F59</f>
        <v>112953.42592687599</v>
      </c>
      <c r="G876" s="2978">
        <f>'Part VII-Pro Forma'!G59</f>
        <v>109331.78986988336</v>
      </c>
      <c r="H876" s="2978">
        <f>'Part VII-Pro Forma'!H59</f>
        <v>105457.84675448568</v>
      </c>
      <c r="I876" s="2978">
        <f>'Part VII-Pro Forma'!I59</f>
        <v>101322.75640939586</v>
      </c>
      <c r="J876" s="2978">
        <f>'Part VII-Pro Forma'!J59</f>
        <v>96914.320638998717</v>
      </c>
      <c r="K876" s="2978">
        <f>'Part VII-Pro Forma'!K59</f>
        <v>92221.971226236201</v>
      </c>
      <c r="M876" s="2908"/>
      <c r="N876" s="2908"/>
    </row>
    <row r="877" spans="1:14">
      <c r="A877" s="1247" t="str">
        <f>$A848</f>
        <v>DCR Mortgage A</v>
      </c>
      <c r="B877" s="2979" t="str">
        <f>'Part VII-Pro Forma'!B60</f>
        <v/>
      </c>
      <c r="C877" s="2979" t="str">
        <f>'Part VII-Pro Forma'!C60</f>
        <v/>
      </c>
      <c r="D877" s="2979" t="str">
        <f>'Part VII-Pro Forma'!D60</f>
        <v/>
      </c>
      <c r="E877" s="2979" t="str">
        <f>'Part VII-Pro Forma'!E60</f>
        <v/>
      </c>
      <c r="F877" s="2979" t="str">
        <f>'Part VII-Pro Forma'!F60</f>
        <v/>
      </c>
      <c r="G877" s="2979" t="str">
        <f>'Part VII-Pro Forma'!G60</f>
        <v/>
      </c>
      <c r="H877" s="2979" t="str">
        <f>'Part VII-Pro Forma'!H60</f>
        <v/>
      </c>
      <c r="I877" s="2979" t="str">
        <f>'Part VII-Pro Forma'!I60</f>
        <v/>
      </c>
      <c r="J877" s="2979" t="str">
        <f>'Part VII-Pro Forma'!J60</f>
        <v/>
      </c>
      <c r="K877" s="2979" t="str">
        <f>'Part VII-Pro Forma'!K60</f>
        <v/>
      </c>
      <c r="M877" s="2908"/>
      <c r="N877" s="2908"/>
    </row>
    <row r="878" spans="1:14">
      <c r="A878" s="1247" t="str">
        <f>$A849</f>
        <v>DCR Mortgage B</v>
      </c>
      <c r="B878" s="2979" t="str">
        <f>'Part VII-Pro Forma'!B61</f>
        <v/>
      </c>
      <c r="C878" s="2979" t="str">
        <f>'Part VII-Pro Forma'!C61</f>
        <v/>
      </c>
      <c r="D878" s="2979" t="str">
        <f>'Part VII-Pro Forma'!D61</f>
        <v/>
      </c>
      <c r="E878" s="2979" t="str">
        <f>'Part VII-Pro Forma'!E61</f>
        <v/>
      </c>
      <c r="F878" s="2979" t="str">
        <f>'Part VII-Pro Forma'!F61</f>
        <v/>
      </c>
      <c r="G878" s="2979" t="str">
        <f>'Part VII-Pro Forma'!G61</f>
        <v/>
      </c>
      <c r="H878" s="2979" t="str">
        <f>'Part VII-Pro Forma'!H61</f>
        <v/>
      </c>
      <c r="I878" s="2979" t="str">
        <f>'Part VII-Pro Forma'!I61</f>
        <v/>
      </c>
      <c r="J878" s="2979" t="str">
        <f>'Part VII-Pro Forma'!J61</f>
        <v/>
      </c>
      <c r="K878" s="2979" t="str">
        <f>'Part VII-Pro Forma'!K61</f>
        <v/>
      </c>
      <c r="M878" s="2908"/>
      <c r="N878" s="2908"/>
    </row>
    <row r="879" spans="1:14">
      <c r="A879" s="1247" t="str">
        <f>$A850</f>
        <v>DCR Mortgage C</v>
      </c>
      <c r="B879" s="2979" t="str">
        <f>'Part VII-Pro Forma'!B62</f>
        <v/>
      </c>
      <c r="C879" s="2979" t="str">
        <f>'Part VII-Pro Forma'!C62</f>
        <v/>
      </c>
      <c r="D879" s="2979" t="str">
        <f>'Part VII-Pro Forma'!D62</f>
        <v/>
      </c>
      <c r="E879" s="2979" t="str">
        <f>'Part VII-Pro Forma'!E62</f>
        <v/>
      </c>
      <c r="F879" s="2979" t="str">
        <f>'Part VII-Pro Forma'!F62</f>
        <v/>
      </c>
      <c r="G879" s="2979" t="str">
        <f>'Part VII-Pro Forma'!G62</f>
        <v/>
      </c>
      <c r="H879" s="2979" t="str">
        <f>'Part VII-Pro Forma'!H62</f>
        <v/>
      </c>
      <c r="I879" s="2979" t="str">
        <f>'Part VII-Pro Forma'!I62</f>
        <v/>
      </c>
      <c r="J879" s="2979" t="str">
        <f>'Part VII-Pro Forma'!J62</f>
        <v/>
      </c>
      <c r="K879" s="2979" t="str">
        <f>'Part VII-Pro Forma'!K62</f>
        <v/>
      </c>
      <c r="M879" s="2908"/>
      <c r="N879" s="2908"/>
    </row>
    <row r="880" spans="1:14">
      <c r="A880" s="1247" t="str">
        <f>$A851</f>
        <v>DCR Other Source</v>
      </c>
      <c r="B880" s="2979" t="str">
        <f>'Part VII-Pro Forma'!B63</f>
        <v/>
      </c>
      <c r="C880" s="2979" t="str">
        <f>'Part VII-Pro Forma'!C63</f>
        <v/>
      </c>
      <c r="D880" s="2979" t="str">
        <f>'Part VII-Pro Forma'!D63</f>
        <v/>
      </c>
      <c r="E880" s="2979" t="str">
        <f>'Part VII-Pro Forma'!E63</f>
        <v/>
      </c>
      <c r="F880" s="2979" t="str">
        <f>'Part VII-Pro Forma'!F63</f>
        <v/>
      </c>
      <c r="G880" s="2979" t="str">
        <f>'Part VII-Pro Forma'!G63</f>
        <v/>
      </c>
      <c r="H880" s="2979" t="str">
        <f>'Part VII-Pro Forma'!H63</f>
        <v/>
      </c>
      <c r="I880" s="2979" t="str">
        <f>'Part VII-Pro Forma'!I63</f>
        <v/>
      </c>
      <c r="J880" s="2979" t="str">
        <f>'Part VII-Pro Forma'!J63</f>
        <v/>
      </c>
      <c r="K880" s="2979" t="str">
        <f>'Part VII-Pro Forma'!K63</f>
        <v/>
      </c>
      <c r="M880" s="2908"/>
      <c r="N880" s="2908"/>
    </row>
    <row r="881" spans="1:14">
      <c r="A881" s="1247" t="s">
        <v>811</v>
      </c>
      <c r="B881" s="2980">
        <f>'Part VII-Pro Forma'!B64</f>
        <v>1.2175525287795008</v>
      </c>
      <c r="C881" s="2980">
        <f>'Part VII-Pro Forma'!C64</f>
        <v>1.2070173338981722</v>
      </c>
      <c r="D881" s="2980">
        <f>'Part VII-Pro Forma'!D64</f>
        <v>1.1965605044569836</v>
      </c>
      <c r="E881" s="2980">
        <f>'Part VII-Pro Forma'!E64</f>
        <v>1.1861827658989337</v>
      </c>
      <c r="F881" s="2980">
        <f>'Part VII-Pro Forma'!F64</f>
        <v>1.1758847077511421</v>
      </c>
      <c r="G881" s="2980">
        <f>'Part VII-Pro Forma'!G64</f>
        <v>1.1656667940808119</v>
      </c>
      <c r="H881" s="2980">
        <f>'Part VII-Pro Forma'!H64</f>
        <v>1.1555261045235738</v>
      </c>
      <c r="I881" s="2980">
        <f>'Part VII-Pro Forma'!I64</f>
        <v>1.1454648146177857</v>
      </c>
      <c r="J881" s="2980">
        <f>'Part VII-Pro Forma'!J64</f>
        <v>1.1354801947680939</v>
      </c>
      <c r="K881" s="2980">
        <f>'Part VII-Pro Forma'!K64</f>
        <v>1.1255727810268368</v>
      </c>
      <c r="M881" s="2908"/>
      <c r="N881" s="2908"/>
    </row>
    <row r="882" spans="1:14">
      <c r="A882" s="1247" t="s">
        <v>2745</v>
      </c>
      <c r="B882" s="2978">
        <f>'Part VII-Pro Forma'!B65</f>
        <v>3.4344117386714468E-8</v>
      </c>
      <c r="C882" s="2978">
        <f>'Part VII-Pro Forma'!C65</f>
        <v>3.6462387397544465E-8</v>
      </c>
      <c r="D882" s="2978">
        <f>'Part VII-Pro Forma'!D65</f>
        <v>3.8711307667580643E-8</v>
      </c>
      <c r="E882" s="2978">
        <f>'Part VII-Pro Forma'!E65</f>
        <v>4.1098936418930368E-8</v>
      </c>
      <c r="F882" s="2978">
        <f>'Part VII-Pro Forma'!F65</f>
        <v>4.3633828887208107E-8</v>
      </c>
      <c r="G882" s="2978">
        <f>'Part VII-Pro Forma'!G65</f>
        <v>4.6325067976241012E-8</v>
      </c>
      <c r="H882" s="2978">
        <f>'Part VII-Pro Forma'!H65</f>
        <v>4.9182296803489668E-8</v>
      </c>
      <c r="I882" s="2978">
        <f>'Part VII-Pro Forma'!I65</f>
        <v>5.2215753252799187E-8</v>
      </c>
      <c r="J882" s="2978">
        <f>'Part VII-Pro Forma'!J65</f>
        <v>5.5436306658288363E-8</v>
      </c>
      <c r="K882" s="2978">
        <f>'Part VII-Pro Forma'!K65</f>
        <v>5.885549675082087E-8</v>
      </c>
      <c r="M882" s="2908"/>
      <c r="N882" s="2908"/>
    </row>
    <row r="883" spans="1:14">
      <c r="A883" s="1247" t="s">
        <v>2746</v>
      </c>
      <c r="B883" s="2978" t="str">
        <f>'Part VII-Pro Forma'!B66</f>
        <v/>
      </c>
      <c r="C883" s="2978" t="str">
        <f>'Part VII-Pro Forma'!C66</f>
        <v/>
      </c>
      <c r="D883" s="2978" t="str">
        <f>'Part VII-Pro Forma'!D66</f>
        <v/>
      </c>
      <c r="E883" s="2978" t="str">
        <f>'Part VII-Pro Forma'!E66</f>
        <v/>
      </c>
      <c r="F883" s="2978" t="str">
        <f>'Part VII-Pro Forma'!F66</f>
        <v/>
      </c>
      <c r="G883" s="2978" t="str">
        <f>'Part VII-Pro Forma'!G66</f>
        <v/>
      </c>
      <c r="H883" s="2978" t="str">
        <f>'Part VII-Pro Forma'!H66</f>
        <v/>
      </c>
      <c r="I883" s="2978" t="str">
        <f>'Part VII-Pro Forma'!I66</f>
        <v/>
      </c>
      <c r="J883" s="2978" t="str">
        <f>'Part VII-Pro Forma'!J66</f>
        <v/>
      </c>
      <c r="K883" s="2978" t="str">
        <f>'Part VII-Pro Forma'!K66</f>
        <v/>
      </c>
      <c r="M883" s="2908"/>
      <c r="N883" s="2908"/>
    </row>
    <row r="884" spans="1:14">
      <c r="A884" s="1247" t="s">
        <v>2747</v>
      </c>
      <c r="B884" s="2978" t="str">
        <f>'Part VII-Pro Forma'!B67</f>
        <v/>
      </c>
      <c r="C884" s="2978" t="str">
        <f>'Part VII-Pro Forma'!C67</f>
        <v/>
      </c>
      <c r="D884" s="2978" t="str">
        <f>'Part VII-Pro Forma'!D67</f>
        <v/>
      </c>
      <c r="E884" s="2978" t="str">
        <f>'Part VII-Pro Forma'!E67</f>
        <v/>
      </c>
      <c r="F884" s="2978" t="str">
        <f>'Part VII-Pro Forma'!F67</f>
        <v/>
      </c>
      <c r="G884" s="2978" t="str">
        <f>'Part VII-Pro Forma'!G67</f>
        <v/>
      </c>
      <c r="H884" s="2978" t="str">
        <f>'Part VII-Pro Forma'!H67</f>
        <v/>
      </c>
      <c r="I884" s="2978" t="str">
        <f>'Part VII-Pro Forma'!I67</f>
        <v/>
      </c>
      <c r="J884" s="2978" t="str">
        <f>'Part VII-Pro Forma'!J67</f>
        <v/>
      </c>
      <c r="K884" s="2978" t="str">
        <f>'Part VII-Pro Forma'!K67</f>
        <v/>
      </c>
      <c r="M884" s="2908"/>
      <c r="N884" s="2908"/>
    </row>
    <row r="885" spans="1:14">
      <c r="A885" s="1247" t="s">
        <v>826</v>
      </c>
      <c r="B885" s="2978" t="str">
        <f>'Part VII-Pro Forma'!B68</f>
        <v/>
      </c>
      <c r="C885" s="2978" t="str">
        <f>'Part VII-Pro Forma'!C68</f>
        <v/>
      </c>
      <c r="D885" s="2978" t="str">
        <f>'Part VII-Pro Forma'!D68</f>
        <v/>
      </c>
      <c r="E885" s="2978" t="str">
        <f>'Part VII-Pro Forma'!E68</f>
        <v/>
      </c>
      <c r="F885" s="2978" t="str">
        <f>'Part VII-Pro Forma'!F68</f>
        <v/>
      </c>
      <c r="G885" s="2978" t="str">
        <f>'Part VII-Pro Forma'!G68</f>
        <v/>
      </c>
      <c r="H885" s="2978" t="str">
        <f>'Part VII-Pro Forma'!H68</f>
        <v/>
      </c>
      <c r="I885" s="2978" t="str">
        <f>'Part VII-Pro Forma'!I68</f>
        <v/>
      </c>
      <c r="J885" s="2978" t="str">
        <f>'Part VII-Pro Forma'!J68</f>
        <v/>
      </c>
      <c r="K885" s="2978" t="str">
        <f>'Part VII-Pro Forma'!K68</f>
        <v/>
      </c>
      <c r="M885" s="2908"/>
      <c r="N885" s="2908"/>
    </row>
    <row r="886" spans="1:14">
      <c r="A886" s="1247" t="s">
        <v>1297</v>
      </c>
      <c r="B886" s="2978" t="str">
        <f>'Part VII-Pro Forma'!B69</f>
        <v/>
      </c>
      <c r="C886" s="2978" t="str">
        <f>'Part VII-Pro Forma'!C69</f>
        <v/>
      </c>
      <c r="D886" s="2978" t="str">
        <f>'Part VII-Pro Forma'!D69</f>
        <v/>
      </c>
      <c r="E886" s="2978" t="str">
        <f>'Part VII-Pro Forma'!E69</f>
        <v/>
      </c>
      <c r="F886" s="2978" t="str">
        <f>'Part VII-Pro Forma'!F69</f>
        <v/>
      </c>
      <c r="G886" s="2978" t="str">
        <f>'Part VII-Pro Forma'!G69</f>
        <v/>
      </c>
      <c r="H886" s="2978" t="str">
        <f>'Part VII-Pro Forma'!H69</f>
        <v/>
      </c>
      <c r="I886" s="2978" t="str">
        <f>'Part VII-Pro Forma'!I69</f>
        <v/>
      </c>
      <c r="J886" s="2978" t="str">
        <f>'Part VII-Pro Forma'!J69</f>
        <v/>
      </c>
      <c r="K886" s="2978" t="str">
        <f>'Part VII-Pro Forma'!K69</f>
        <v/>
      </c>
      <c r="M886" s="2908"/>
      <c r="N886" s="2908"/>
    </row>
    <row r="887" spans="1:14">
      <c r="B887" s="2978"/>
      <c r="C887" s="2978"/>
      <c r="D887" s="2978"/>
      <c r="E887" s="2978"/>
      <c r="F887" s="2978"/>
      <c r="G887" s="2978"/>
      <c r="H887" s="2978"/>
      <c r="I887" s="2978"/>
      <c r="J887" s="2978"/>
      <c r="K887" s="2978"/>
    </row>
    <row r="888" spans="1:14">
      <c r="A888" s="2875" t="s">
        <v>2603</v>
      </c>
      <c r="B888" s="2981">
        <f>K859+1</f>
        <v>21</v>
      </c>
      <c r="C888" s="2981">
        <f t="shared" ref="C888:K888" si="283">B888+1</f>
        <v>22</v>
      </c>
      <c r="D888" s="2981">
        <f t="shared" si="283"/>
        <v>23</v>
      </c>
      <c r="E888" s="2981">
        <f t="shared" si="283"/>
        <v>24</v>
      </c>
      <c r="F888" s="2981">
        <f t="shared" si="283"/>
        <v>25</v>
      </c>
      <c r="G888" s="2981">
        <f t="shared" si="283"/>
        <v>26</v>
      </c>
      <c r="H888" s="2981">
        <f t="shared" si="283"/>
        <v>27</v>
      </c>
      <c r="I888" s="2981">
        <f t="shared" si="283"/>
        <v>28</v>
      </c>
      <c r="J888" s="2981">
        <f t="shared" si="283"/>
        <v>29</v>
      </c>
      <c r="K888" s="2981">
        <f t="shared" si="283"/>
        <v>30</v>
      </c>
      <c r="M888" s="2968" t="s">
        <v>2751</v>
      </c>
      <c r="N888" s="2968"/>
    </row>
    <row r="889" spans="1:14">
      <c r="A889" s="1247" t="s">
        <v>2522</v>
      </c>
      <c r="B889" s="2978">
        <f>'Part VII-Pro Forma'!B72</f>
        <v>932223.95834098035</v>
      </c>
      <c r="C889" s="2978">
        <f>'Part VII-Pro Forma'!C72</f>
        <v>950868.43750779983</v>
      </c>
      <c r="D889" s="2978">
        <f>'Part VII-Pro Forma'!D72</f>
        <v>969885.80625795585</v>
      </c>
      <c r="E889" s="2978">
        <f>'Part VII-Pro Forma'!E72</f>
        <v>989283.52238311479</v>
      </c>
      <c r="F889" s="2978">
        <f>'Part VII-Pro Forma'!F72</f>
        <v>1009069.1928307771</v>
      </c>
      <c r="G889" s="2978">
        <f>'Part VII-Pro Forma'!G72</f>
        <v>1029250.5766873928</v>
      </c>
      <c r="H889" s="2978">
        <f>'Part VII-Pro Forma'!H72</f>
        <v>1049835.5882211407</v>
      </c>
      <c r="I889" s="2978">
        <f>'Part VII-Pro Forma'!I72</f>
        <v>1070832.2999855634</v>
      </c>
      <c r="J889" s="2978">
        <f>'Part VII-Pro Forma'!J72</f>
        <v>1092248.9459852749</v>
      </c>
      <c r="K889" s="2978">
        <f>'Part VII-Pro Forma'!K72</f>
        <v>1114093.9249049802</v>
      </c>
      <c r="M889" s="2837">
        <f>'Part VII-Pro Forma'!M72</f>
        <v>0</v>
      </c>
      <c r="N889" s="2908"/>
    </row>
    <row r="890" spans="1:14">
      <c r="A890" s="1247" t="s">
        <v>1066</v>
      </c>
      <c r="B890" s="2978">
        <f>'Part VII-Pro Forma'!B73</f>
        <v>18644.479166819609</v>
      </c>
      <c r="C890" s="2978">
        <f>'Part VII-Pro Forma'!C73</f>
        <v>19017.368750155998</v>
      </c>
      <c r="D890" s="2978">
        <f>'Part VII-Pro Forma'!D73</f>
        <v>19397.716125159121</v>
      </c>
      <c r="E890" s="2978">
        <f>'Part VII-Pro Forma'!E73</f>
        <v>19785.670447662298</v>
      </c>
      <c r="F890" s="2978">
        <f>'Part VII-Pro Forma'!F73</f>
        <v>20181.383856615546</v>
      </c>
      <c r="G890" s="2978">
        <f>'Part VII-Pro Forma'!G73</f>
        <v>20585.011533747856</v>
      </c>
      <c r="H890" s="2978">
        <f>'Part VII-Pro Forma'!H73</f>
        <v>20996.711764422816</v>
      </c>
      <c r="I890" s="2978">
        <f>'Part VII-Pro Forma'!I73</f>
        <v>21416.645999711269</v>
      </c>
      <c r="J890" s="2978">
        <f>'Part VII-Pro Forma'!J73</f>
        <v>21844.978919705496</v>
      </c>
      <c r="K890" s="2978">
        <f>'Part VII-Pro Forma'!K73</f>
        <v>22281.878498099602</v>
      </c>
      <c r="M890" s="2908"/>
      <c r="N890" s="2908"/>
    </row>
    <row r="891" spans="1:14">
      <c r="A891" s="1247" t="s">
        <v>2523</v>
      </c>
      <c r="B891" s="2978">
        <f>'Part VII-Pro Forma'!B74</f>
        <v>-66560.790625545997</v>
      </c>
      <c r="C891" s="2978">
        <f>'Part VII-Pro Forma'!C74</f>
        <v>-67892.006438056909</v>
      </c>
      <c r="D891" s="2978">
        <f>'Part VII-Pro Forma'!D74</f>
        <v>-69249.846566818058</v>
      </c>
      <c r="E891" s="2978">
        <f>'Part VII-Pro Forma'!E74</f>
        <v>-70634.843498154398</v>
      </c>
      <c r="F891" s="2978">
        <f>'Part VII-Pro Forma'!F74</f>
        <v>-72047.540368117494</v>
      </c>
      <c r="G891" s="2978">
        <f>'Part VII-Pro Forma'!G74</f>
        <v>-73488.491175479852</v>
      </c>
      <c r="H891" s="2978">
        <f>'Part VII-Pro Forma'!H74</f>
        <v>-74958.260998989441</v>
      </c>
      <c r="I891" s="2978">
        <f>'Part VII-Pro Forma'!I74</f>
        <v>-76457.426218969224</v>
      </c>
      <c r="J891" s="2978">
        <f>'Part VII-Pro Forma'!J74</f>
        <v>-77986.574743348639</v>
      </c>
      <c r="K891" s="2978">
        <f>'Part VII-Pro Forma'!K74</f>
        <v>-79546.306238215591</v>
      </c>
      <c r="M891" s="2908"/>
      <c r="N891" s="2908"/>
    </row>
    <row r="892" spans="1:14">
      <c r="A892" s="1247" t="s">
        <v>54</v>
      </c>
      <c r="B892" s="2978">
        <f>'Part VII-Pro Forma'!B75</f>
        <v>0</v>
      </c>
      <c r="C892" s="2978">
        <f>'Part VII-Pro Forma'!C75</f>
        <v>0</v>
      </c>
      <c r="D892" s="2978">
        <f>'Part VII-Pro Forma'!D75</f>
        <v>0</v>
      </c>
      <c r="E892" s="2978">
        <f>'Part VII-Pro Forma'!E75</f>
        <v>0</v>
      </c>
      <c r="F892" s="2978">
        <f>'Part VII-Pro Forma'!F75</f>
        <v>0</v>
      </c>
      <c r="G892" s="2978">
        <f>'Part VII-Pro Forma'!G75</f>
        <v>0</v>
      </c>
      <c r="H892" s="2978">
        <f>'Part VII-Pro Forma'!H75</f>
        <v>0</v>
      </c>
      <c r="I892" s="2978">
        <f>'Part VII-Pro Forma'!I75</f>
        <v>0</v>
      </c>
      <c r="J892" s="2978">
        <f>'Part VII-Pro Forma'!J75</f>
        <v>0</v>
      </c>
      <c r="K892" s="2978">
        <f>'Part VII-Pro Forma'!K75</f>
        <v>0</v>
      </c>
      <c r="M892" s="2908"/>
      <c r="N892" s="2908"/>
    </row>
    <row r="893" spans="1:14">
      <c r="A893" s="1247" t="s">
        <v>55</v>
      </c>
      <c r="B893" s="2978">
        <f>'Part VII-Pro Forma'!B76</f>
        <v>0</v>
      </c>
      <c r="C893" s="2978">
        <f>'Part VII-Pro Forma'!C76</f>
        <v>0</v>
      </c>
      <c r="D893" s="2978">
        <f>'Part VII-Pro Forma'!D76</f>
        <v>0</v>
      </c>
      <c r="E893" s="2978">
        <f>'Part VII-Pro Forma'!E76</f>
        <v>0</v>
      </c>
      <c r="F893" s="2978">
        <f>'Part VII-Pro Forma'!F76</f>
        <v>0</v>
      </c>
      <c r="G893" s="2978">
        <f>'Part VII-Pro Forma'!G76</f>
        <v>0</v>
      </c>
      <c r="H893" s="2978">
        <f>'Part VII-Pro Forma'!H76</f>
        <v>0</v>
      </c>
      <c r="I893" s="2978">
        <f>'Part VII-Pro Forma'!I76</f>
        <v>0</v>
      </c>
      <c r="J893" s="2978">
        <f>'Part VII-Pro Forma'!J76</f>
        <v>0</v>
      </c>
      <c r="K893" s="2978">
        <f>'Part VII-Pro Forma'!K76</f>
        <v>0</v>
      </c>
      <c r="M893" s="2908"/>
      <c r="N893" s="2908"/>
    </row>
    <row r="894" spans="1:14">
      <c r="A894" s="1247" t="s">
        <v>645</v>
      </c>
      <c r="B894" s="2978">
        <f>'Part VII-Pro Forma'!B77</f>
        <v>-669639.21969973564</v>
      </c>
      <c r="C894" s="2978">
        <f>'Part VII-Pro Forma'!C77</f>
        <v>-689728.39629072766</v>
      </c>
      <c r="D894" s="2978">
        <f>'Part VII-Pro Forma'!D77</f>
        <v>-710420.24817944958</v>
      </c>
      <c r="E894" s="2978">
        <f>'Part VII-Pro Forma'!E77</f>
        <v>-731732.85562483303</v>
      </c>
      <c r="F894" s="2978">
        <f>'Part VII-Pro Forma'!F77</f>
        <v>-753684.84129357792</v>
      </c>
      <c r="G894" s="2978">
        <f>'Part VII-Pro Forma'!G77</f>
        <v>-776295.38653238525</v>
      </c>
      <c r="H894" s="2978">
        <f>'Part VII-Pro Forma'!H77</f>
        <v>-799584.24812835699</v>
      </c>
      <c r="I894" s="2978">
        <f>'Part VII-Pro Forma'!I77</f>
        <v>-823571.77557220752</v>
      </c>
      <c r="J894" s="2978">
        <f>'Part VII-Pro Forma'!J77</f>
        <v>-848278.92883937375</v>
      </c>
      <c r="K894" s="2978">
        <f>'Part VII-Pro Forma'!K77</f>
        <v>-873727.29670455493</v>
      </c>
      <c r="M894" s="2908"/>
      <c r="N894" s="2908"/>
    </row>
    <row r="895" spans="1:14">
      <c r="A895" s="1247" t="s">
        <v>1166</v>
      </c>
      <c r="B895" s="2978">
        <f>'Part VII-Pro Forma'!B78</f>
        <v>-79588</v>
      </c>
      <c r="C895" s="2978">
        <f>'Part VII-Pro Forma'!C78</f>
        <v>-81179</v>
      </c>
      <c r="D895" s="2978">
        <f>'Part VII-Pro Forma'!D78</f>
        <v>-82803</v>
      </c>
      <c r="E895" s="2978">
        <f>'Part VII-Pro Forma'!E78</f>
        <v>-84459</v>
      </c>
      <c r="F895" s="2978">
        <f>'Part VII-Pro Forma'!F78</f>
        <v>-86148</v>
      </c>
      <c r="G895" s="2978">
        <f>'Part VII-Pro Forma'!G78</f>
        <v>-87871</v>
      </c>
      <c r="H895" s="2978">
        <f>'Part VII-Pro Forma'!H78</f>
        <v>-89629</v>
      </c>
      <c r="I895" s="2978">
        <f>'Part VII-Pro Forma'!I78</f>
        <v>-91421</v>
      </c>
      <c r="J895" s="2978">
        <f>'Part VII-Pro Forma'!J78</f>
        <v>-93250</v>
      </c>
      <c r="K895" s="2978">
        <f>'Part VII-Pro Forma'!K78</f>
        <v>-95115</v>
      </c>
      <c r="M895" s="2908"/>
      <c r="N895" s="2908"/>
    </row>
    <row r="896" spans="1:14">
      <c r="A896" s="1247" t="s">
        <v>1260</v>
      </c>
      <c r="B896" s="2978">
        <f>'Part VII-Pro Forma'!B79</f>
        <v>-43346.669632065918</v>
      </c>
      <c r="C896" s="2978">
        <f>'Part VII-Pro Forma'!C79</f>
        <v>-44647.069721027889</v>
      </c>
      <c r="D896" s="2978">
        <f>'Part VII-Pro Forma'!D79</f>
        <v>-45986.481812658734</v>
      </c>
      <c r="E896" s="2978">
        <f>'Part VII-Pro Forma'!E79</f>
        <v>-47366.076267038494</v>
      </c>
      <c r="F896" s="2978">
        <f>'Part VII-Pro Forma'!F79</f>
        <v>-48787.058555049647</v>
      </c>
      <c r="G896" s="2978">
        <f>'Part VII-Pro Forma'!G79</f>
        <v>-50250.670311701135</v>
      </c>
      <c r="H896" s="2978">
        <f>'Part VII-Pro Forma'!H79</f>
        <v>-51758.190421052175</v>
      </c>
      <c r="I896" s="2978">
        <f>'Part VII-Pro Forma'!I79</f>
        <v>-53310.936133683732</v>
      </c>
      <c r="J896" s="2978">
        <f>'Part VII-Pro Forma'!J79</f>
        <v>-54910.264217694246</v>
      </c>
      <c r="K896" s="2978">
        <f>'Part VII-Pro Forma'!K79</f>
        <v>-56557.572144225065</v>
      </c>
      <c r="M896" s="2908"/>
      <c r="N896" s="2908"/>
    </row>
    <row r="897" spans="1:14">
      <c r="A897" s="1247" t="s">
        <v>1261</v>
      </c>
      <c r="B897" s="2978">
        <f>'Part VII-Pro Forma'!B80</f>
        <v>91733.75755045237</v>
      </c>
      <c r="C897" s="2978">
        <f>'Part VII-Pro Forma'!C80</f>
        <v>86439.333808143361</v>
      </c>
      <c r="D897" s="2978">
        <f>'Part VII-Pro Forma'!D80</f>
        <v>80823.945824188631</v>
      </c>
      <c r="E897" s="2978">
        <f>'Part VII-Pro Forma'!E80</f>
        <v>74876.417440751073</v>
      </c>
      <c r="F897" s="2978">
        <f>'Part VII-Pro Forma'!F80</f>
        <v>68583.136470647587</v>
      </c>
      <c r="G897" s="2978">
        <f>'Part VII-Pro Forma'!G80</f>
        <v>61930.040201574448</v>
      </c>
      <c r="H897" s="2978">
        <f>'Part VII-Pro Forma'!H80</f>
        <v>54902.600437164758</v>
      </c>
      <c r="I897" s="2978">
        <f>'Part VII-Pro Forma'!I80</f>
        <v>47487.808060414085</v>
      </c>
      <c r="J897" s="2978">
        <f>'Part VII-Pro Forma'!J80</f>
        <v>39668.157104563827</v>
      </c>
      <c r="K897" s="2978">
        <f>'Part VII-Pro Forma'!K80</f>
        <v>31429.628316084098</v>
      </c>
      <c r="M897" s="2908"/>
      <c r="N897" s="2908"/>
    </row>
    <row r="898" spans="1:14">
      <c r="A898" s="1247" t="str">
        <f>$A869</f>
        <v>Mortgage A</v>
      </c>
      <c r="B898" s="2978">
        <f>'Part VII-Pro Forma'!B81</f>
        <v>0</v>
      </c>
      <c r="C898" s="2978">
        <f>'Part VII-Pro Forma'!C81</f>
        <v>0</v>
      </c>
      <c r="D898" s="2978">
        <f>'Part VII-Pro Forma'!D81</f>
        <v>0</v>
      </c>
      <c r="E898" s="2978">
        <f>'Part VII-Pro Forma'!E81</f>
        <v>0</v>
      </c>
      <c r="F898" s="2978">
        <f>'Part VII-Pro Forma'!F81</f>
        <v>0</v>
      </c>
      <c r="G898" s="2978">
        <f>'Part VII-Pro Forma'!G81</f>
        <v>0</v>
      </c>
      <c r="H898" s="2978">
        <f>'Part VII-Pro Forma'!H81</f>
        <v>0</v>
      </c>
      <c r="I898" s="2978">
        <f>'Part VII-Pro Forma'!I81</f>
        <v>0</v>
      </c>
      <c r="J898" s="2978">
        <f>'Part VII-Pro Forma'!J81</f>
        <v>0</v>
      </c>
      <c r="K898" s="2978">
        <f>'Part VII-Pro Forma'!K81</f>
        <v>0</v>
      </c>
      <c r="M898" s="2908"/>
      <c r="N898" s="2908"/>
    </row>
    <row r="899" spans="1:14">
      <c r="A899" s="1247" t="str">
        <f>$A870</f>
        <v>Mortgage B</v>
      </c>
      <c r="B899" s="2978">
        <f>'Part VII-Pro Forma'!B82</f>
        <v>0</v>
      </c>
      <c r="C899" s="2978">
        <f>'Part VII-Pro Forma'!C82</f>
        <v>0</v>
      </c>
      <c r="D899" s="2978">
        <f>'Part VII-Pro Forma'!D82</f>
        <v>0</v>
      </c>
      <c r="E899" s="2978">
        <f>'Part VII-Pro Forma'!E82</f>
        <v>0</v>
      </c>
      <c r="F899" s="2978">
        <f>'Part VII-Pro Forma'!F82</f>
        <v>0</v>
      </c>
      <c r="G899" s="2978">
        <f>'Part VII-Pro Forma'!G82</f>
        <v>0</v>
      </c>
      <c r="H899" s="2978">
        <f>'Part VII-Pro Forma'!H82</f>
        <v>0</v>
      </c>
      <c r="I899" s="2978">
        <f>'Part VII-Pro Forma'!I82</f>
        <v>0</v>
      </c>
      <c r="J899" s="2978">
        <f>'Part VII-Pro Forma'!J82</f>
        <v>0</v>
      </c>
      <c r="K899" s="2978">
        <f>'Part VII-Pro Forma'!K82</f>
        <v>0</v>
      </c>
      <c r="M899" s="2908"/>
      <c r="N899" s="2908"/>
    </row>
    <row r="900" spans="1:14">
      <c r="A900" s="1247" t="str">
        <f>$A871</f>
        <v>Mortgage C</v>
      </c>
      <c r="B900" s="2978">
        <f>'Part VII-Pro Forma'!B83</f>
        <v>0</v>
      </c>
      <c r="C900" s="2978">
        <f>'Part VII-Pro Forma'!C83</f>
        <v>0</v>
      </c>
      <c r="D900" s="2978">
        <f>'Part VII-Pro Forma'!D83</f>
        <v>0</v>
      </c>
      <c r="E900" s="2978">
        <f>'Part VII-Pro Forma'!E83</f>
        <v>0</v>
      </c>
      <c r="F900" s="2978">
        <f>'Part VII-Pro Forma'!F83</f>
        <v>0</v>
      </c>
      <c r="G900" s="2978">
        <f>'Part VII-Pro Forma'!G83</f>
        <v>0</v>
      </c>
      <c r="H900" s="2978">
        <f>'Part VII-Pro Forma'!H83</f>
        <v>0</v>
      </c>
      <c r="I900" s="2978">
        <f>'Part VII-Pro Forma'!I83</f>
        <v>0</v>
      </c>
      <c r="J900" s="2978">
        <f>'Part VII-Pro Forma'!J83</f>
        <v>0</v>
      </c>
      <c r="K900" s="2978">
        <f>'Part VII-Pro Forma'!K83</f>
        <v>0</v>
      </c>
      <c r="M900" s="2908"/>
      <c r="N900" s="2908"/>
    </row>
    <row r="901" spans="1:14">
      <c r="A901" s="1247" t="str">
        <f>$A872</f>
        <v>D/S Other Source</v>
      </c>
      <c r="B901" s="2978">
        <f>'Part VII-Pro Forma'!B84</f>
        <v>0</v>
      </c>
      <c r="C901" s="2978">
        <f>'Part VII-Pro Forma'!C84</f>
        <v>0</v>
      </c>
      <c r="D901" s="2978">
        <f>'Part VII-Pro Forma'!D84</f>
        <v>0</v>
      </c>
      <c r="E901" s="2978">
        <f>'Part VII-Pro Forma'!E84</f>
        <v>0</v>
      </c>
      <c r="F901" s="2978">
        <f>'Part VII-Pro Forma'!F84</f>
        <v>0</v>
      </c>
      <c r="G901" s="2978">
        <f>'Part VII-Pro Forma'!G84</f>
        <v>0</v>
      </c>
      <c r="H901" s="2978">
        <f>'Part VII-Pro Forma'!H84</f>
        <v>0</v>
      </c>
      <c r="I901" s="2978">
        <f>'Part VII-Pro Forma'!I84</f>
        <v>0</v>
      </c>
      <c r="J901" s="2978">
        <f>'Part VII-Pro Forma'!J84</f>
        <v>0</v>
      </c>
      <c r="K901" s="2978">
        <f>'Part VII-Pro Forma'!K84</f>
        <v>0</v>
      </c>
      <c r="M901" s="2908"/>
      <c r="N901" s="2908"/>
    </row>
    <row r="902" spans="1:14">
      <c r="A902" s="1247" t="s">
        <v>804</v>
      </c>
      <c r="B902" s="2978">
        <f>'Part VII-Pro Forma'!B85</f>
        <v>0</v>
      </c>
      <c r="C902" s="2978">
        <f>'Part VII-Pro Forma'!C85</f>
        <v>0</v>
      </c>
      <c r="D902" s="2978">
        <f>'Part VII-Pro Forma'!D85</f>
        <v>0</v>
      </c>
      <c r="E902" s="2978">
        <f>'Part VII-Pro Forma'!E85</f>
        <v>0</v>
      </c>
      <c r="F902" s="2978">
        <f>'Part VII-Pro Forma'!F85</f>
        <v>0</v>
      </c>
      <c r="G902" s="2978">
        <f>'Part VII-Pro Forma'!G85</f>
        <v>0</v>
      </c>
      <c r="H902" s="2978">
        <f>'Part VII-Pro Forma'!H85</f>
        <v>0</v>
      </c>
      <c r="I902" s="2978">
        <f>'Part VII-Pro Forma'!I85</f>
        <v>0</v>
      </c>
      <c r="J902" s="2978">
        <f>'Part VII-Pro Forma'!J85</f>
        <v>0</v>
      </c>
      <c r="K902" s="2978">
        <f>'Part VII-Pro Forma'!K85</f>
        <v>0</v>
      </c>
      <c r="M902" s="2908"/>
      <c r="N902" s="2908"/>
    </row>
    <row r="903" spans="1:14">
      <c r="A903" s="1247" t="s">
        <v>1219</v>
      </c>
      <c r="B903" s="2978">
        <f>'Part VII-Pro Forma'!B86</f>
        <v>-4500</v>
      </c>
      <c r="C903" s="2978">
        <f>'Part VII-Pro Forma'!C86</f>
        <v>-4500</v>
      </c>
      <c r="D903" s="2978">
        <f>'Part VII-Pro Forma'!D86</f>
        <v>-4500</v>
      </c>
      <c r="E903" s="2978">
        <f>'Part VII-Pro Forma'!E86</f>
        <v>-4500</v>
      </c>
      <c r="F903" s="2978">
        <f>'Part VII-Pro Forma'!F86</f>
        <v>-4500</v>
      </c>
      <c r="G903" s="2978">
        <f>'Part VII-Pro Forma'!G86</f>
        <v>-4500</v>
      </c>
      <c r="H903" s="2978">
        <f>'Part VII-Pro Forma'!H86</f>
        <v>-4500</v>
      </c>
      <c r="I903" s="2978">
        <f>'Part VII-Pro Forma'!I86</f>
        <v>-4500</v>
      </c>
      <c r="J903" s="2978">
        <f>'Part VII-Pro Forma'!J86</f>
        <v>-4500</v>
      </c>
      <c r="K903" s="2978">
        <f>'Part VII-Pro Forma'!K86</f>
        <v>-4500</v>
      </c>
      <c r="M903" s="2908"/>
      <c r="N903" s="2908"/>
    </row>
    <row r="904" spans="1:14">
      <c r="A904" s="1247" t="s">
        <v>1262</v>
      </c>
      <c r="B904" s="2978">
        <f>'Part VII-Pro Forma'!B87</f>
        <v>0</v>
      </c>
      <c r="C904" s="2978">
        <f>'Part VII-Pro Forma'!C87</f>
        <v>0</v>
      </c>
      <c r="D904" s="2978">
        <f>'Part VII-Pro Forma'!D87</f>
        <v>0</v>
      </c>
      <c r="E904" s="2978">
        <f>'Part VII-Pro Forma'!E87</f>
        <v>0</v>
      </c>
      <c r="F904" s="2978">
        <f>'Part VII-Pro Forma'!F87</f>
        <v>0</v>
      </c>
      <c r="G904" s="2978">
        <f>'Part VII-Pro Forma'!G87</f>
        <v>0</v>
      </c>
      <c r="H904" s="2978">
        <f>'Part VII-Pro Forma'!H87</f>
        <v>0</v>
      </c>
      <c r="I904" s="2978">
        <f>'Part VII-Pro Forma'!I87</f>
        <v>0</v>
      </c>
      <c r="J904" s="2978">
        <f>'Part VII-Pro Forma'!J87</f>
        <v>0</v>
      </c>
      <c r="K904" s="2978">
        <f>'Part VII-Pro Forma'!K87</f>
        <v>0</v>
      </c>
      <c r="M904" s="2908"/>
      <c r="N904" s="2908"/>
    </row>
    <row r="905" spans="1:14">
      <c r="A905" s="1247" t="s">
        <v>1220</v>
      </c>
      <c r="B905" s="2978">
        <f>'Part VII-Pro Forma'!B88</f>
        <v>87233.75755045237</v>
      </c>
      <c r="C905" s="2978">
        <f>'Part VII-Pro Forma'!C88</f>
        <v>81939.333808143361</v>
      </c>
      <c r="D905" s="2978">
        <f>'Part VII-Pro Forma'!D88</f>
        <v>76323.945824188631</v>
      </c>
      <c r="E905" s="2978">
        <f>'Part VII-Pro Forma'!E88</f>
        <v>70376.417440751073</v>
      </c>
      <c r="F905" s="2978">
        <f>'Part VII-Pro Forma'!F88</f>
        <v>64083.136470647587</v>
      </c>
      <c r="G905" s="2978">
        <f>'Part VII-Pro Forma'!G88</f>
        <v>57430.040201574448</v>
      </c>
      <c r="H905" s="2978">
        <f>'Part VII-Pro Forma'!H88</f>
        <v>50402.600437164758</v>
      </c>
      <c r="I905" s="2978">
        <f>'Part VII-Pro Forma'!I88</f>
        <v>42987.808060414085</v>
      </c>
      <c r="J905" s="2978">
        <f>'Part VII-Pro Forma'!J88</f>
        <v>35168.157104563827</v>
      </c>
      <c r="K905" s="2978">
        <f>'Part VII-Pro Forma'!K88</f>
        <v>26929.628316084098</v>
      </c>
      <c r="M905" s="2908"/>
      <c r="N905" s="2908"/>
    </row>
    <row r="906" spans="1:14">
      <c r="A906" s="1247" t="str">
        <f>$A877</f>
        <v>DCR Mortgage A</v>
      </c>
      <c r="B906" s="2979" t="str">
        <f>'Part VII-Pro Forma'!B89</f>
        <v/>
      </c>
      <c r="C906" s="2979" t="str">
        <f>'Part VII-Pro Forma'!C89</f>
        <v/>
      </c>
      <c r="D906" s="2979" t="str">
        <f>'Part VII-Pro Forma'!D89</f>
        <v/>
      </c>
      <c r="E906" s="2979" t="str">
        <f>'Part VII-Pro Forma'!E89</f>
        <v/>
      </c>
      <c r="F906" s="2979" t="str">
        <f>'Part VII-Pro Forma'!F89</f>
        <v/>
      </c>
      <c r="G906" s="2979" t="str">
        <f>'Part VII-Pro Forma'!G89</f>
        <v/>
      </c>
      <c r="H906" s="2979" t="str">
        <f>'Part VII-Pro Forma'!H89</f>
        <v/>
      </c>
      <c r="I906" s="2979" t="str">
        <f>'Part VII-Pro Forma'!I89</f>
        <v/>
      </c>
      <c r="J906" s="2979" t="str">
        <f>'Part VII-Pro Forma'!J89</f>
        <v/>
      </c>
      <c r="K906" s="2979" t="str">
        <f>'Part VII-Pro Forma'!K89</f>
        <v/>
      </c>
      <c r="M906" s="2908"/>
      <c r="N906" s="2908"/>
    </row>
    <row r="907" spans="1:14">
      <c r="A907" s="1247" t="str">
        <f>$A878</f>
        <v>DCR Mortgage B</v>
      </c>
      <c r="B907" s="2979" t="str">
        <f>'Part VII-Pro Forma'!B90</f>
        <v/>
      </c>
      <c r="C907" s="2979" t="str">
        <f>'Part VII-Pro Forma'!C90</f>
        <v/>
      </c>
      <c r="D907" s="2979" t="str">
        <f>'Part VII-Pro Forma'!D90</f>
        <v/>
      </c>
      <c r="E907" s="2979" t="str">
        <f>'Part VII-Pro Forma'!E90</f>
        <v/>
      </c>
      <c r="F907" s="2979" t="str">
        <f>'Part VII-Pro Forma'!F90</f>
        <v/>
      </c>
      <c r="G907" s="2979" t="str">
        <f>'Part VII-Pro Forma'!G90</f>
        <v/>
      </c>
      <c r="H907" s="2979" t="str">
        <f>'Part VII-Pro Forma'!H90</f>
        <v/>
      </c>
      <c r="I907" s="2979" t="str">
        <f>'Part VII-Pro Forma'!I90</f>
        <v/>
      </c>
      <c r="J907" s="2979" t="str">
        <f>'Part VII-Pro Forma'!J90</f>
        <v/>
      </c>
      <c r="K907" s="2979" t="str">
        <f>'Part VII-Pro Forma'!K90</f>
        <v/>
      </c>
      <c r="M907" s="2908"/>
      <c r="N907" s="2908"/>
    </row>
    <row r="908" spans="1:14">
      <c r="A908" s="1247" t="str">
        <f>$A879</f>
        <v>DCR Mortgage C</v>
      </c>
      <c r="B908" s="2979" t="str">
        <f>'Part VII-Pro Forma'!B91</f>
        <v/>
      </c>
      <c r="C908" s="2979" t="str">
        <f>'Part VII-Pro Forma'!C91</f>
        <v/>
      </c>
      <c r="D908" s="2979" t="str">
        <f>'Part VII-Pro Forma'!D91</f>
        <v/>
      </c>
      <c r="E908" s="2979" t="str">
        <f>'Part VII-Pro Forma'!E91</f>
        <v/>
      </c>
      <c r="F908" s="2979" t="str">
        <f>'Part VII-Pro Forma'!F91</f>
        <v/>
      </c>
      <c r="G908" s="2979" t="str">
        <f>'Part VII-Pro Forma'!G91</f>
        <v/>
      </c>
      <c r="H908" s="2979" t="str">
        <f>'Part VII-Pro Forma'!H91</f>
        <v/>
      </c>
      <c r="I908" s="2979" t="str">
        <f>'Part VII-Pro Forma'!I91</f>
        <v/>
      </c>
      <c r="J908" s="2979" t="str">
        <f>'Part VII-Pro Forma'!J91</f>
        <v/>
      </c>
      <c r="K908" s="2979" t="str">
        <f>'Part VII-Pro Forma'!K91</f>
        <v/>
      </c>
      <c r="M908" s="2908"/>
      <c r="N908" s="2908"/>
    </row>
    <row r="909" spans="1:14">
      <c r="A909" s="1247" t="str">
        <f>$A880</f>
        <v>DCR Other Source</v>
      </c>
      <c r="B909" s="2979" t="str">
        <f>'Part VII-Pro Forma'!B92</f>
        <v/>
      </c>
      <c r="C909" s="2979" t="str">
        <f>'Part VII-Pro Forma'!C92</f>
        <v/>
      </c>
      <c r="D909" s="2979" t="str">
        <f>'Part VII-Pro Forma'!D92</f>
        <v/>
      </c>
      <c r="E909" s="2979" t="str">
        <f>'Part VII-Pro Forma'!E92</f>
        <v/>
      </c>
      <c r="F909" s="2979" t="str">
        <f>'Part VII-Pro Forma'!F92</f>
        <v/>
      </c>
      <c r="G909" s="2979" t="str">
        <f>'Part VII-Pro Forma'!G92</f>
        <v/>
      </c>
      <c r="H909" s="2979" t="str">
        <f>'Part VII-Pro Forma'!H92</f>
        <v/>
      </c>
      <c r="I909" s="2979" t="str">
        <f>'Part VII-Pro Forma'!I92</f>
        <v/>
      </c>
      <c r="J909" s="2979" t="str">
        <f>'Part VII-Pro Forma'!J92</f>
        <v/>
      </c>
      <c r="K909" s="2979" t="str">
        <f>'Part VII-Pro Forma'!K92</f>
        <v/>
      </c>
      <c r="M909" s="2908"/>
      <c r="N909" s="2908"/>
    </row>
    <row r="910" spans="1:14">
      <c r="A910" s="1247" t="s">
        <v>811</v>
      </c>
      <c r="B910" s="2980">
        <f>'Part VII-Pro Forma'!B93</f>
        <v>1.1157415842045852</v>
      </c>
      <c r="C910" s="2980">
        <f>'Part VII-Pro Forma'!C93</f>
        <v>1.105988425556482</v>
      </c>
      <c r="D910" s="2980">
        <f>'Part VII-Pro Forma'!D93</f>
        <v>1.0963095909588043</v>
      </c>
      <c r="E910" s="2980">
        <f>'Part VII-Pro Forma'!E93</f>
        <v>1.0867068840149645</v>
      </c>
      <c r="F910" s="2980">
        <f>'Part VII-Pro Forma'!F93</f>
        <v>1.077179383988959</v>
      </c>
      <c r="G910" s="2980">
        <f>'Part VII-Pro Forma'!G93</f>
        <v>1.067726252193187</v>
      </c>
      <c r="H910" s="2980">
        <f>'Part VII-Pro Forma'!H93</f>
        <v>1.0583467235964166</v>
      </c>
      <c r="I910" s="2980">
        <f>'Part VII-Pro Forma'!I93</f>
        <v>1.0490422658576339</v>
      </c>
      <c r="J910" s="2980">
        <f>'Part VII-Pro Forma'!J93</f>
        <v>1.0398099125174534</v>
      </c>
      <c r="K910" s="2980">
        <f>'Part VII-Pro Forma'!K93</f>
        <v>1.0306510945348279</v>
      </c>
      <c r="M910" s="2908"/>
      <c r="N910" s="2908"/>
    </row>
    <row r="911" spans="1:14">
      <c r="A911" s="1247" t="s">
        <v>2745</v>
      </c>
      <c r="B911" s="2978">
        <f>'Part VII-Pro Forma'!B94</f>
        <v>6.2485575006609545E-8</v>
      </c>
      <c r="C911" s="2978">
        <f>'Part VII-Pro Forma'!C94</f>
        <v>6.6339548546112156E-8</v>
      </c>
      <c r="D911" s="2978">
        <f>'Part VII-Pro Forma'!D94</f>
        <v>7.0431226740514971E-8</v>
      </c>
      <c r="E911" s="2978">
        <f>'Part VII-Pro Forma'!E94</f>
        <v>7.477527069280223E-8</v>
      </c>
      <c r="F911" s="2978">
        <f>'Part VII-Pro Forma'!F94</f>
        <v>7.938724577070977E-8</v>
      </c>
      <c r="G911" s="2978">
        <f>'Part VII-Pro Forma'!G94</f>
        <v>8.4283677379796241E-8</v>
      </c>
      <c r="H911" s="2978">
        <f>'Part VII-Pro Forma'!H94</f>
        <v>8.9482110176475326E-8</v>
      </c>
      <c r="I911" s="2978">
        <f>'Part VII-Pro Forma'!I94</f>
        <v>9.5001170933178222E-8</v>
      </c>
      <c r="J911" s="2978">
        <f>'Part VII-Pro Forma'!J94</f>
        <v>1.0086063528090177E-7</v>
      </c>
      <c r="K911" s="2978">
        <f>'Part VII-Pro Forma'!K94</f>
        <v>1.0708149856829093E-7</v>
      </c>
      <c r="M911" s="2908"/>
      <c r="N911" s="2908"/>
    </row>
    <row r="912" spans="1:14">
      <c r="A912" s="1247" t="s">
        <v>2746</v>
      </c>
      <c r="B912" s="2978" t="str">
        <f>'Part VII-Pro Forma'!B95</f>
        <v/>
      </c>
      <c r="C912" s="2978" t="str">
        <f>'Part VII-Pro Forma'!C95</f>
        <v/>
      </c>
      <c r="D912" s="2978" t="str">
        <f>'Part VII-Pro Forma'!D95</f>
        <v/>
      </c>
      <c r="E912" s="2978" t="str">
        <f>'Part VII-Pro Forma'!E95</f>
        <v/>
      </c>
      <c r="F912" s="2978" t="str">
        <f>'Part VII-Pro Forma'!F95</f>
        <v/>
      </c>
      <c r="G912" s="2978" t="str">
        <f>'Part VII-Pro Forma'!G95</f>
        <v/>
      </c>
      <c r="H912" s="2978" t="str">
        <f>'Part VII-Pro Forma'!H95</f>
        <v/>
      </c>
      <c r="I912" s="2978" t="str">
        <f>'Part VII-Pro Forma'!I95</f>
        <v/>
      </c>
      <c r="J912" s="2978" t="str">
        <f>'Part VII-Pro Forma'!J95</f>
        <v/>
      </c>
      <c r="K912" s="2978" t="str">
        <f>'Part VII-Pro Forma'!K95</f>
        <v/>
      </c>
      <c r="M912" s="2908"/>
      <c r="N912" s="2908"/>
    </row>
    <row r="913" spans="1:14">
      <c r="A913" s="1247" t="s">
        <v>2747</v>
      </c>
      <c r="B913" s="2978" t="str">
        <f>'Part VII-Pro Forma'!B96</f>
        <v/>
      </c>
      <c r="C913" s="2978" t="str">
        <f>'Part VII-Pro Forma'!C96</f>
        <v/>
      </c>
      <c r="D913" s="2978" t="str">
        <f>'Part VII-Pro Forma'!D96</f>
        <v/>
      </c>
      <c r="E913" s="2978" t="str">
        <f>'Part VII-Pro Forma'!E96</f>
        <v/>
      </c>
      <c r="F913" s="2978" t="str">
        <f>'Part VII-Pro Forma'!F96</f>
        <v/>
      </c>
      <c r="G913" s="2978" t="str">
        <f>'Part VII-Pro Forma'!G96</f>
        <v/>
      </c>
      <c r="H913" s="2978" t="str">
        <f>'Part VII-Pro Forma'!H96</f>
        <v/>
      </c>
      <c r="I913" s="2978" t="str">
        <f>'Part VII-Pro Forma'!I96</f>
        <v/>
      </c>
      <c r="J913" s="2978" t="str">
        <f>'Part VII-Pro Forma'!J96</f>
        <v/>
      </c>
      <c r="K913" s="2978" t="str">
        <f>'Part VII-Pro Forma'!K96</f>
        <v/>
      </c>
      <c r="M913" s="2908"/>
      <c r="N913" s="2908"/>
    </row>
    <row r="914" spans="1:14">
      <c r="A914" s="1247" t="s">
        <v>826</v>
      </c>
      <c r="B914" s="2978" t="str">
        <f>'Part VII-Pro Forma'!B97</f>
        <v/>
      </c>
      <c r="C914" s="2978" t="str">
        <f>'Part VII-Pro Forma'!C97</f>
        <v/>
      </c>
      <c r="D914" s="2978" t="str">
        <f>'Part VII-Pro Forma'!D97</f>
        <v/>
      </c>
      <c r="E914" s="2978" t="str">
        <f>'Part VII-Pro Forma'!E97</f>
        <v/>
      </c>
      <c r="F914" s="2978" t="str">
        <f>'Part VII-Pro Forma'!F97</f>
        <v/>
      </c>
      <c r="G914" s="2978" t="str">
        <f>'Part VII-Pro Forma'!G97</f>
        <v/>
      </c>
      <c r="H914" s="2978" t="str">
        <f>'Part VII-Pro Forma'!H97</f>
        <v/>
      </c>
      <c r="I914" s="2978" t="str">
        <f>'Part VII-Pro Forma'!I97</f>
        <v/>
      </c>
      <c r="J914" s="2978" t="str">
        <f>'Part VII-Pro Forma'!J97</f>
        <v/>
      </c>
      <c r="K914" s="2978" t="str">
        <f>'Part VII-Pro Forma'!K97</f>
        <v/>
      </c>
      <c r="M914" s="2908"/>
      <c r="N914" s="2908"/>
    </row>
    <row r="915" spans="1:14">
      <c r="A915" s="1247" t="s">
        <v>1297</v>
      </c>
      <c r="B915" s="2978" t="str">
        <f>'Part VII-Pro Forma'!B98</f>
        <v/>
      </c>
      <c r="C915" s="2978" t="str">
        <f>'Part VII-Pro Forma'!C98</f>
        <v/>
      </c>
      <c r="D915" s="2978" t="str">
        <f>'Part VII-Pro Forma'!D98</f>
        <v/>
      </c>
      <c r="E915" s="2978" t="str">
        <f>'Part VII-Pro Forma'!E98</f>
        <v/>
      </c>
      <c r="F915" s="2978" t="str">
        <f>'Part VII-Pro Forma'!F98</f>
        <v/>
      </c>
      <c r="G915" s="2978" t="str">
        <f>'Part VII-Pro Forma'!G98</f>
        <v/>
      </c>
      <c r="H915" s="2978" t="str">
        <f>'Part VII-Pro Forma'!H98</f>
        <v/>
      </c>
      <c r="I915" s="2978" t="str">
        <f>'Part VII-Pro Forma'!I98</f>
        <v/>
      </c>
      <c r="J915" s="2978" t="str">
        <f>'Part VII-Pro Forma'!J98</f>
        <v/>
      </c>
      <c r="K915" s="2978" t="str">
        <f>'Part VII-Pro Forma'!K98</f>
        <v/>
      </c>
      <c r="M915" s="2908"/>
      <c r="N915" s="2908"/>
    </row>
    <row r="916" spans="1:14">
      <c r="B916" s="2978"/>
      <c r="C916" s="2978"/>
      <c r="D916" s="2978"/>
      <c r="E916" s="2978"/>
      <c r="F916" s="2978"/>
      <c r="G916" s="2978"/>
      <c r="H916" s="2978"/>
      <c r="I916" s="2978"/>
      <c r="J916" s="2978"/>
      <c r="K916" s="2978"/>
    </row>
    <row r="917" spans="1:14">
      <c r="A917" s="2875" t="s">
        <v>2603</v>
      </c>
      <c r="B917" s="2981">
        <f>K888+1</f>
        <v>31</v>
      </c>
      <c r="C917" s="2981">
        <f>B917+1</f>
        <v>32</v>
      </c>
      <c r="D917" s="2981">
        <f>C917+1</f>
        <v>33</v>
      </c>
      <c r="E917" s="2981">
        <f>D917+1</f>
        <v>34</v>
      </c>
      <c r="F917" s="2981">
        <f>E917+1</f>
        <v>35</v>
      </c>
      <c r="G917" s="2978"/>
      <c r="H917" s="2978"/>
      <c r="I917" s="2978"/>
      <c r="J917" s="2978"/>
      <c r="K917" s="2978"/>
      <c r="M917" s="2968" t="s">
        <v>2751</v>
      </c>
      <c r="N917" s="2968"/>
    </row>
    <row r="918" spans="1:14">
      <c r="A918" s="1247" t="s">
        <v>2522</v>
      </c>
      <c r="B918" s="2978">
        <f>'Part VII-Pro Forma'!B101</f>
        <v>1136375.8034030797</v>
      </c>
      <c r="C918" s="2978">
        <f>'Part VII-Pro Forma'!C101</f>
        <v>1159103.3194711411</v>
      </c>
      <c r="D918" s="2978">
        <f>'Part VII-Pro Forma'!D101</f>
        <v>1182285.3858605642</v>
      </c>
      <c r="E918" s="2978">
        <f>'Part VII-Pro Forma'!E101</f>
        <v>1205931.0935777756</v>
      </c>
      <c r="F918" s="2978">
        <f>'Part VII-Pro Forma'!F101</f>
        <v>1230049.7154493311</v>
      </c>
      <c r="G918" s="2978"/>
      <c r="H918" s="2978"/>
      <c r="I918" s="2978"/>
      <c r="J918" s="2978"/>
      <c r="K918" s="2978"/>
      <c r="M918" s="2837">
        <f>'Part VII-Pro Forma'!M101</f>
        <v>0</v>
      </c>
      <c r="N918" s="2908"/>
    </row>
    <row r="919" spans="1:14">
      <c r="A919" s="1247" t="s">
        <v>1066</v>
      </c>
      <c r="B919" s="2978">
        <f>'Part VII-Pro Forma'!B102</f>
        <v>22727.516068061599</v>
      </c>
      <c r="C919" s="2978">
        <f>'Part VII-Pro Forma'!C102</f>
        <v>23182.066389422824</v>
      </c>
      <c r="D919" s="2978">
        <f>'Part VII-Pro Forma'!D102</f>
        <v>23645.707717211288</v>
      </c>
      <c r="E919" s="2978">
        <f>'Part VII-Pro Forma'!E102</f>
        <v>24118.621871555515</v>
      </c>
      <c r="F919" s="2978">
        <f>'Part VII-Pro Forma'!F102</f>
        <v>24600.994308986621</v>
      </c>
      <c r="G919" s="2978"/>
      <c r="H919" s="2978"/>
      <c r="I919" s="2978"/>
      <c r="J919" s="2978"/>
      <c r="K919" s="2978"/>
      <c r="M919" s="2908"/>
      <c r="N919" s="2908"/>
    </row>
    <row r="920" spans="1:14">
      <c r="A920" s="1247" t="s">
        <v>2523</v>
      </c>
      <c r="B920" s="2978">
        <f>'Part VII-Pro Forma'!B103</f>
        <v>-81137.232362979907</v>
      </c>
      <c r="C920" s="2978">
        <f>'Part VII-Pro Forma'!C103</f>
        <v>-82759.977010239483</v>
      </c>
      <c r="D920" s="2978">
        <f>'Part VII-Pro Forma'!D103</f>
        <v>-84415.176550444288</v>
      </c>
      <c r="E920" s="2978">
        <f>'Part VII-Pro Forma'!E103</f>
        <v>-86103.480081453192</v>
      </c>
      <c r="F920" s="2978">
        <f>'Part VII-Pro Forma'!F103</f>
        <v>-87825.549683082252</v>
      </c>
      <c r="G920" s="2978"/>
      <c r="H920" s="2978"/>
      <c r="I920" s="2978"/>
      <c r="J920" s="2978"/>
      <c r="K920" s="2978"/>
      <c r="M920" s="2908"/>
      <c r="N920" s="2908"/>
    </row>
    <row r="921" spans="1:14">
      <c r="A921" s="1247" t="s">
        <v>54</v>
      </c>
      <c r="B921" s="2978">
        <f>'Part VII-Pro Forma'!B104</f>
        <v>0</v>
      </c>
      <c r="C921" s="2978">
        <f>'Part VII-Pro Forma'!C104</f>
        <v>0</v>
      </c>
      <c r="D921" s="2978">
        <f>'Part VII-Pro Forma'!D104</f>
        <v>0</v>
      </c>
      <c r="E921" s="2978">
        <f>'Part VII-Pro Forma'!E104</f>
        <v>0</v>
      </c>
      <c r="F921" s="2978">
        <f>'Part VII-Pro Forma'!F104</f>
        <v>0</v>
      </c>
      <c r="G921" s="2978"/>
      <c r="H921" s="2978"/>
      <c r="I921" s="2978"/>
      <c r="J921" s="2978"/>
      <c r="K921" s="2978"/>
      <c r="M921" s="2908"/>
      <c r="N921" s="2908"/>
    </row>
    <row r="922" spans="1:14">
      <c r="A922" s="1247" t="s">
        <v>55</v>
      </c>
      <c r="B922" s="2978">
        <f>'Part VII-Pro Forma'!B105</f>
        <v>0</v>
      </c>
      <c r="C922" s="2978">
        <f>'Part VII-Pro Forma'!C105</f>
        <v>0</v>
      </c>
      <c r="D922" s="2978">
        <f>'Part VII-Pro Forma'!D105</f>
        <v>0</v>
      </c>
      <c r="E922" s="2978">
        <f>'Part VII-Pro Forma'!E105</f>
        <v>0</v>
      </c>
      <c r="F922" s="2978">
        <f>'Part VII-Pro Forma'!F105</f>
        <v>0</v>
      </c>
      <c r="G922" s="2978"/>
      <c r="H922" s="2978"/>
      <c r="I922" s="2978"/>
      <c r="J922" s="2978"/>
      <c r="K922" s="2978"/>
      <c r="M922" s="2908"/>
      <c r="N922" s="2908"/>
    </row>
    <row r="923" spans="1:14">
      <c r="A923" s="1247" t="s">
        <v>645</v>
      </c>
      <c r="B923" s="2978">
        <f>'Part VII-Pro Forma'!B106</f>
        <v>-899939.11560569156</v>
      </c>
      <c r="C923" s="2978">
        <f>'Part VII-Pro Forma'!C106</f>
        <v>-926937.28907386248</v>
      </c>
      <c r="D923" s="2978">
        <f>'Part VII-Pro Forma'!D106</f>
        <v>-954745.40774607821</v>
      </c>
      <c r="E923" s="2978">
        <f>'Part VII-Pro Forma'!E106</f>
        <v>-983387.76997846051</v>
      </c>
      <c r="F923" s="2978">
        <f>'Part VII-Pro Forma'!F106</f>
        <v>-1012889.4030778143</v>
      </c>
      <c r="G923" s="2978"/>
      <c r="H923" s="2978"/>
      <c r="I923" s="2978"/>
      <c r="J923" s="2978"/>
      <c r="K923" s="2978"/>
      <c r="M923" s="2908"/>
      <c r="N923" s="2908"/>
    </row>
    <row r="924" spans="1:14">
      <c r="A924" s="1247" t="s">
        <v>1166</v>
      </c>
      <c r="B924" s="2978">
        <f>'Part VII-Pro Forma'!B107</f>
        <v>-97017</v>
      </c>
      <c r="C924" s="2978">
        <f>'Part VII-Pro Forma'!C107</f>
        <v>-98957</v>
      </c>
      <c r="D924" s="2978">
        <f>'Part VII-Pro Forma'!D107</f>
        <v>-100936</v>
      </c>
      <c r="E924" s="2978">
        <f>'Part VII-Pro Forma'!E107</f>
        <v>-102955</v>
      </c>
      <c r="F924" s="2978">
        <f>'Part VII-Pro Forma'!F107</f>
        <v>-105014</v>
      </c>
      <c r="G924" s="2978"/>
      <c r="H924" s="2978"/>
      <c r="I924" s="2978"/>
      <c r="J924" s="2978"/>
      <c r="K924" s="2978"/>
      <c r="M924" s="2908"/>
      <c r="N924" s="2908"/>
    </row>
    <row r="925" spans="1:14">
      <c r="A925" s="1247" t="s">
        <v>1260</v>
      </c>
      <c r="B925" s="2978">
        <f>'Part VII-Pro Forma'!B108</f>
        <v>-58254.299308551817</v>
      </c>
      <c r="C925" s="2978">
        <f>'Part VII-Pro Forma'!C108</f>
        <v>-60001.928287808383</v>
      </c>
      <c r="D925" s="2978">
        <f>'Part VII-Pro Forma'!D108</f>
        <v>-61801.986136442625</v>
      </c>
      <c r="E925" s="2978">
        <f>'Part VII-Pro Forma'!E108</f>
        <v>-63656.045720535905</v>
      </c>
      <c r="F925" s="2978">
        <f>'Part VII-Pro Forma'!F108</f>
        <v>-65565.727092151967</v>
      </c>
      <c r="G925" s="2978"/>
      <c r="H925" s="2978"/>
      <c r="I925" s="2978"/>
      <c r="J925" s="2978"/>
      <c r="K925" s="2978"/>
      <c r="M925" s="2908"/>
      <c r="N925" s="2908"/>
    </row>
    <row r="926" spans="1:14">
      <c r="A926" s="1247" t="s">
        <v>1261</v>
      </c>
      <c r="B926" s="2978">
        <f>'Part VII-Pro Forma'!B109</f>
        <v>22755.672193917919</v>
      </c>
      <c r="C926" s="2978">
        <f>'Part VII-Pro Forma'!C109</f>
        <v>13629.191488653705</v>
      </c>
      <c r="D926" s="2978">
        <f>'Part VII-Pro Forma'!D109</f>
        <v>4032.5231448103514</v>
      </c>
      <c r="E926" s="2978">
        <f>'Part VII-Pro Forma'!E109</f>
        <v>-6052.5803311185373</v>
      </c>
      <c r="F926" s="2978">
        <f>'Part VII-Pro Forma'!F109</f>
        <v>-16643.970094730583</v>
      </c>
      <c r="G926" s="2978"/>
      <c r="H926" s="2978"/>
      <c r="I926" s="2978"/>
      <c r="J926" s="2978"/>
      <c r="K926" s="2978"/>
      <c r="M926" s="2908"/>
      <c r="N926" s="2908"/>
    </row>
    <row r="927" spans="1:14">
      <c r="A927" s="1247" t="str">
        <f>$A898</f>
        <v>Mortgage A</v>
      </c>
      <c r="B927" s="2978">
        <f>'Part VII-Pro Forma'!B110</f>
        <v>0</v>
      </c>
      <c r="C927" s="2978">
        <f>'Part VII-Pro Forma'!C110</f>
        <v>0</v>
      </c>
      <c r="D927" s="2978">
        <f>'Part VII-Pro Forma'!D110</f>
        <v>0</v>
      </c>
      <c r="E927" s="2978">
        <f>'Part VII-Pro Forma'!E110</f>
        <v>0</v>
      </c>
      <c r="F927" s="2978">
        <f>'Part VII-Pro Forma'!F110</f>
        <v>0</v>
      </c>
      <c r="G927" s="2978"/>
      <c r="H927" s="2978"/>
      <c r="I927" s="2978"/>
      <c r="J927" s="2978"/>
      <c r="K927" s="2978"/>
      <c r="M927" s="2908"/>
      <c r="N927" s="2908"/>
    </row>
    <row r="928" spans="1:14">
      <c r="A928" s="1247" t="str">
        <f>$A899</f>
        <v>Mortgage B</v>
      </c>
      <c r="B928" s="2978">
        <f>'Part VII-Pro Forma'!B111</f>
        <v>0</v>
      </c>
      <c r="C928" s="2978">
        <f>'Part VII-Pro Forma'!C111</f>
        <v>0</v>
      </c>
      <c r="D928" s="2978">
        <f>'Part VII-Pro Forma'!D111</f>
        <v>0</v>
      </c>
      <c r="E928" s="2978">
        <f>'Part VII-Pro Forma'!E111</f>
        <v>0</v>
      </c>
      <c r="F928" s="2978">
        <f>'Part VII-Pro Forma'!F111</f>
        <v>0</v>
      </c>
      <c r="G928" s="2978"/>
      <c r="H928" s="2978"/>
      <c r="I928" s="2978"/>
      <c r="J928" s="2978"/>
      <c r="K928" s="2978"/>
      <c r="M928" s="2908"/>
      <c r="N928" s="2908"/>
    </row>
    <row r="929" spans="1:14">
      <c r="A929" s="1247" t="str">
        <f>$A900</f>
        <v>Mortgage C</v>
      </c>
      <c r="B929" s="2978">
        <f>'Part VII-Pro Forma'!B112</f>
        <v>0</v>
      </c>
      <c r="C929" s="2978">
        <f>'Part VII-Pro Forma'!C112</f>
        <v>0</v>
      </c>
      <c r="D929" s="2978">
        <f>'Part VII-Pro Forma'!D112</f>
        <v>0</v>
      </c>
      <c r="E929" s="2978">
        <f>'Part VII-Pro Forma'!E112</f>
        <v>0</v>
      </c>
      <c r="F929" s="2978">
        <f>'Part VII-Pro Forma'!F112</f>
        <v>0</v>
      </c>
      <c r="G929" s="2978"/>
      <c r="H929" s="2978"/>
      <c r="I929" s="2978"/>
      <c r="J929" s="2978"/>
      <c r="K929" s="2978"/>
      <c r="M929" s="2908"/>
      <c r="N929" s="2908"/>
    </row>
    <row r="930" spans="1:14">
      <c r="A930" s="1247" t="str">
        <f>$A901</f>
        <v>D/S Other Source</v>
      </c>
      <c r="B930" s="2978">
        <f>'Part VII-Pro Forma'!B113</f>
        <v>0</v>
      </c>
      <c r="C930" s="2978">
        <f>'Part VII-Pro Forma'!C113</f>
        <v>0</v>
      </c>
      <c r="D930" s="2978">
        <f>'Part VII-Pro Forma'!D113</f>
        <v>0</v>
      </c>
      <c r="E930" s="2978">
        <f>'Part VII-Pro Forma'!E113</f>
        <v>0</v>
      </c>
      <c r="F930" s="2978">
        <f>'Part VII-Pro Forma'!F113</f>
        <v>0</v>
      </c>
      <c r="G930" s="2978"/>
      <c r="H930" s="2978"/>
      <c r="I930" s="2978"/>
      <c r="J930" s="2978"/>
      <c r="K930" s="2978"/>
      <c r="M930" s="2908"/>
      <c r="N930" s="2908"/>
    </row>
    <row r="931" spans="1:14">
      <c r="A931" s="1247" t="s">
        <v>804</v>
      </c>
      <c r="B931" s="2978">
        <f>'Part VII-Pro Forma'!B114</f>
        <v>0</v>
      </c>
      <c r="C931" s="2978">
        <f>'Part VII-Pro Forma'!C114</f>
        <v>0</v>
      </c>
      <c r="D931" s="2978">
        <f>'Part VII-Pro Forma'!D114</f>
        <v>0</v>
      </c>
      <c r="E931" s="2978">
        <f>'Part VII-Pro Forma'!E114</f>
        <v>0</v>
      </c>
      <c r="F931" s="2978">
        <f>'Part VII-Pro Forma'!F114</f>
        <v>0</v>
      </c>
      <c r="G931" s="2978"/>
      <c r="H931" s="2978"/>
      <c r="I931" s="2978"/>
      <c r="J931" s="2978"/>
      <c r="K931" s="2978"/>
      <c r="M931" s="2908"/>
      <c r="N931" s="2908"/>
    </row>
    <row r="932" spans="1:14">
      <c r="A932" s="1247" t="s">
        <v>1219</v>
      </c>
      <c r="B932" s="2978">
        <f>'Part VII-Pro Forma'!B115</f>
        <v>-4500</v>
      </c>
      <c r="C932" s="2978">
        <f>'Part VII-Pro Forma'!C115</f>
        <v>-4500</v>
      </c>
      <c r="D932" s="2978">
        <f>'Part VII-Pro Forma'!D115</f>
        <v>-4500</v>
      </c>
      <c r="E932" s="2978">
        <f>'Part VII-Pro Forma'!E115</f>
        <v>-4500</v>
      </c>
      <c r="F932" s="2978">
        <f>'Part VII-Pro Forma'!F115</f>
        <v>-4500</v>
      </c>
      <c r="G932" s="2978"/>
      <c r="H932" s="2978"/>
      <c r="I932" s="2978"/>
      <c r="J932" s="2978"/>
      <c r="K932" s="2978"/>
      <c r="M932" s="2908"/>
      <c r="N932" s="2908"/>
    </row>
    <row r="933" spans="1:14">
      <c r="A933" s="1247" t="s">
        <v>1262</v>
      </c>
      <c r="B933" s="2978">
        <f>'Part VII-Pro Forma'!B116</f>
        <v>0</v>
      </c>
      <c r="C933" s="2978">
        <f>'Part VII-Pro Forma'!C116</f>
        <v>0</v>
      </c>
      <c r="D933" s="2978">
        <f>'Part VII-Pro Forma'!D116</f>
        <v>0</v>
      </c>
      <c r="E933" s="2978">
        <f>'Part VII-Pro Forma'!E116</f>
        <v>0</v>
      </c>
      <c r="F933" s="2978">
        <f>'Part VII-Pro Forma'!F116</f>
        <v>0</v>
      </c>
      <c r="G933" s="2978"/>
      <c r="H933" s="2978"/>
      <c r="I933" s="2978"/>
      <c r="J933" s="2978"/>
      <c r="K933" s="2978"/>
      <c r="M933" s="2908"/>
      <c r="N933" s="2908"/>
    </row>
    <row r="934" spans="1:14">
      <c r="A934" s="1247" t="s">
        <v>1220</v>
      </c>
      <c r="B934" s="2978">
        <f>'Part VII-Pro Forma'!B117</f>
        <v>18255.672193917919</v>
      </c>
      <c r="C934" s="2978">
        <f>'Part VII-Pro Forma'!C117</f>
        <v>9129.1914886537052</v>
      </c>
      <c r="D934" s="2978">
        <f>'Part VII-Pro Forma'!D117</f>
        <v>-467.47685518964863</v>
      </c>
      <c r="E934" s="2978">
        <f>'Part VII-Pro Forma'!E117</f>
        <v>-10552.580331118537</v>
      </c>
      <c r="F934" s="2978">
        <f>'Part VII-Pro Forma'!F117</f>
        <v>-21143.970094730583</v>
      </c>
      <c r="G934" s="2978"/>
      <c r="H934" s="2978"/>
      <c r="I934" s="2978"/>
      <c r="J934" s="2978"/>
      <c r="K934" s="2978"/>
      <c r="M934" s="2908"/>
      <c r="N934" s="2908"/>
    </row>
    <row r="935" spans="1:14">
      <c r="A935" s="1247" t="str">
        <f>$A906</f>
        <v>DCR Mortgage A</v>
      </c>
      <c r="B935" s="2979" t="str">
        <f>'Part VII-Pro Forma'!B118</f>
        <v/>
      </c>
      <c r="C935" s="2979" t="str">
        <f>'Part VII-Pro Forma'!C118</f>
        <v/>
      </c>
      <c r="D935" s="2979" t="str">
        <f>'Part VII-Pro Forma'!D118</f>
        <v/>
      </c>
      <c r="E935" s="2979" t="str">
        <f>'Part VII-Pro Forma'!E118</f>
        <v/>
      </c>
      <c r="F935" s="2979" t="str">
        <f>'Part VII-Pro Forma'!F118</f>
        <v/>
      </c>
      <c r="G935" s="2978"/>
      <c r="H935" s="2978"/>
      <c r="I935" s="2978"/>
      <c r="J935" s="2978"/>
      <c r="K935" s="2978"/>
      <c r="M935" s="2908"/>
      <c r="N935" s="2908"/>
    </row>
    <row r="936" spans="1:14">
      <c r="A936" s="1247" t="str">
        <f>$A907</f>
        <v>DCR Mortgage B</v>
      </c>
      <c r="B936" s="2979" t="str">
        <f>'Part VII-Pro Forma'!B119</f>
        <v/>
      </c>
      <c r="C936" s="2979" t="str">
        <f>'Part VII-Pro Forma'!C119</f>
        <v/>
      </c>
      <c r="D936" s="2979" t="str">
        <f>'Part VII-Pro Forma'!D119</f>
        <v/>
      </c>
      <c r="E936" s="2979" t="str">
        <f>'Part VII-Pro Forma'!E119</f>
        <v/>
      </c>
      <c r="F936" s="2979" t="str">
        <f>'Part VII-Pro Forma'!F119</f>
        <v/>
      </c>
      <c r="G936" s="2978"/>
      <c r="H936" s="2978"/>
      <c r="I936" s="2978"/>
      <c r="J936" s="2978"/>
      <c r="K936" s="2978"/>
      <c r="M936" s="2908"/>
      <c r="N936" s="2908"/>
    </row>
    <row r="937" spans="1:14">
      <c r="A937" s="1247" t="str">
        <f>$A908</f>
        <v>DCR Mortgage C</v>
      </c>
      <c r="B937" s="2979" t="str">
        <f>'Part VII-Pro Forma'!B120</f>
        <v/>
      </c>
      <c r="C937" s="2979" t="str">
        <f>'Part VII-Pro Forma'!C120</f>
        <v/>
      </c>
      <c r="D937" s="2979" t="str">
        <f>'Part VII-Pro Forma'!D120</f>
        <v/>
      </c>
      <c r="E937" s="2979" t="str">
        <f>'Part VII-Pro Forma'!E120</f>
        <v/>
      </c>
      <c r="F937" s="2979" t="str">
        <f>'Part VII-Pro Forma'!F120</f>
        <v/>
      </c>
      <c r="G937" s="2978"/>
      <c r="H937" s="2978"/>
      <c r="I937" s="2978"/>
      <c r="J937" s="2978"/>
      <c r="K937" s="2978"/>
      <c r="M937" s="2908"/>
      <c r="N937" s="2908"/>
    </row>
    <row r="938" spans="1:14">
      <c r="A938" s="1247" t="str">
        <f>$A909</f>
        <v>DCR Other Source</v>
      </c>
      <c r="B938" s="2979" t="str">
        <f>'Part VII-Pro Forma'!B121</f>
        <v/>
      </c>
      <c r="C938" s="2979" t="str">
        <f>'Part VII-Pro Forma'!C121</f>
        <v/>
      </c>
      <c r="D938" s="2979" t="str">
        <f>'Part VII-Pro Forma'!D121</f>
        <v/>
      </c>
      <c r="E938" s="2979" t="str">
        <f>'Part VII-Pro Forma'!E121</f>
        <v/>
      </c>
      <c r="F938" s="2979" t="str">
        <f>'Part VII-Pro Forma'!F121</f>
        <v/>
      </c>
      <c r="G938" s="2978"/>
      <c r="H938" s="2978"/>
      <c r="I938" s="2978"/>
      <c r="J938" s="2978"/>
      <c r="K938" s="2978"/>
      <c r="M938" s="2908"/>
      <c r="N938" s="2908"/>
    </row>
    <row r="939" spans="1:14">
      <c r="A939" s="1247" t="s">
        <v>811</v>
      </c>
      <c r="B939" s="2980">
        <f>'Part VII-Pro Forma'!B122</f>
        <v>1.0215650564781122</v>
      </c>
      <c r="C939" s="2980">
        <f>'Part VII-Pro Forma'!C122</f>
        <v>1.0125510995164599</v>
      </c>
      <c r="D939" s="2980">
        <f>'Part VII-Pro Forma'!D122</f>
        <v>1.0036085754534572</v>
      </c>
      <c r="E939" s="2980">
        <f>'Part VII-Pro Forma'!E122</f>
        <v>0.99473688124849113</v>
      </c>
      <c r="F939" s="2980">
        <f>'Part VII-Pro Forma'!F122</f>
        <v>0.98593628708140424</v>
      </c>
      <c r="G939" s="2978"/>
      <c r="H939" s="2978"/>
      <c r="I939" s="2978"/>
      <c r="J939" s="2978"/>
      <c r="K939" s="2978"/>
      <c r="M939" s="2908"/>
      <c r="N939" s="2908"/>
    </row>
    <row r="940" spans="1:14">
      <c r="A940" s="1247" t="s">
        <v>2745</v>
      </c>
      <c r="B940" s="2978">
        <f>'Part VII-Pro Forma'!B123</f>
        <v>1.1368605109115445E-7</v>
      </c>
      <c r="C940" s="2978">
        <f>'Part VII-Pro Forma'!C123</f>
        <v>1.2069795796197234E-7</v>
      </c>
      <c r="D940" s="2978">
        <f>'Part VII-Pro Forma'!D123</f>
        <v>1.2814234390557993E-7</v>
      </c>
      <c r="E940" s="2978">
        <f>'Part VII-Pro Forma'!E123</f>
        <v>1.3604588328486403E-7</v>
      </c>
      <c r="F940" s="2978">
        <f>'Part VII-Pro Forma'!F123</f>
        <v>1.4443689567904728E-7</v>
      </c>
      <c r="G940" s="2978"/>
      <c r="H940" s="2978"/>
      <c r="I940" s="2978"/>
      <c r="J940" s="2978"/>
      <c r="K940" s="2978"/>
      <c r="M940" s="2908"/>
      <c r="N940" s="2908"/>
    </row>
    <row r="941" spans="1:14">
      <c r="A941" s="1247" t="s">
        <v>2746</v>
      </c>
      <c r="B941" s="2978" t="str">
        <f>'Part VII-Pro Forma'!B124</f>
        <v/>
      </c>
      <c r="C941" s="2978" t="str">
        <f>'Part VII-Pro Forma'!C124</f>
        <v/>
      </c>
      <c r="D941" s="2978" t="str">
        <f>'Part VII-Pro Forma'!D124</f>
        <v/>
      </c>
      <c r="E941" s="2978" t="str">
        <f>'Part VII-Pro Forma'!E124</f>
        <v/>
      </c>
      <c r="F941" s="2978" t="str">
        <f>'Part VII-Pro Forma'!F124</f>
        <v/>
      </c>
      <c r="G941" s="2978"/>
      <c r="H941" s="2978"/>
      <c r="I941" s="2978"/>
      <c r="J941" s="2978"/>
      <c r="K941" s="2978"/>
      <c r="M941" s="2908"/>
      <c r="N941" s="2908"/>
    </row>
    <row r="942" spans="1:14">
      <c r="A942" s="1247" t="s">
        <v>2747</v>
      </c>
      <c r="B942" s="2978" t="str">
        <f>'Part VII-Pro Forma'!B125</f>
        <v/>
      </c>
      <c r="C942" s="2978" t="str">
        <f>'Part VII-Pro Forma'!C125</f>
        <v/>
      </c>
      <c r="D942" s="2978" t="str">
        <f>'Part VII-Pro Forma'!D125</f>
        <v/>
      </c>
      <c r="E942" s="2978" t="str">
        <f>'Part VII-Pro Forma'!E125</f>
        <v/>
      </c>
      <c r="F942" s="2978" t="str">
        <f>'Part VII-Pro Forma'!F125</f>
        <v/>
      </c>
      <c r="G942" s="2978"/>
      <c r="H942" s="2978"/>
      <c r="I942" s="2978"/>
      <c r="J942" s="2978"/>
      <c r="K942" s="2978"/>
      <c r="M942" s="2908"/>
      <c r="N942" s="2908"/>
    </row>
    <row r="943" spans="1:14">
      <c r="A943" s="1247" t="s">
        <v>826</v>
      </c>
      <c r="B943" s="2978" t="str">
        <f>'Part VII-Pro Forma'!B126</f>
        <v/>
      </c>
      <c r="C943" s="2978" t="str">
        <f>'Part VII-Pro Forma'!C126</f>
        <v/>
      </c>
      <c r="D943" s="2978" t="str">
        <f>'Part VII-Pro Forma'!D126</f>
        <v/>
      </c>
      <c r="E943" s="2978" t="str">
        <f>'Part VII-Pro Forma'!E126</f>
        <v/>
      </c>
      <c r="F943" s="2978" t="str">
        <f>'Part VII-Pro Forma'!F126</f>
        <v/>
      </c>
      <c r="G943" s="2978"/>
      <c r="H943" s="2978"/>
      <c r="I943" s="2978"/>
      <c r="J943" s="2978"/>
      <c r="K943" s="2978"/>
      <c r="M943" s="2908"/>
      <c r="N943" s="2908"/>
    </row>
    <row r="944" spans="1:14">
      <c r="A944" s="1247" t="s">
        <v>1297</v>
      </c>
      <c r="B944" s="2978" t="str">
        <f>'Part VII-Pro Forma'!B127</f>
        <v/>
      </c>
      <c r="C944" s="2978" t="str">
        <f>'Part VII-Pro Forma'!C127</f>
        <v/>
      </c>
      <c r="D944" s="2978" t="str">
        <f>'Part VII-Pro Forma'!D127</f>
        <v/>
      </c>
      <c r="E944" s="2978" t="str">
        <f>'Part VII-Pro Forma'!E127</f>
        <v/>
      </c>
      <c r="F944" s="2978" t="str">
        <f>'Part VII-Pro Forma'!F127</f>
        <v/>
      </c>
      <c r="G944" s="2978"/>
      <c r="H944" s="2978"/>
      <c r="I944" s="2978"/>
      <c r="J944" s="2978"/>
      <c r="K944" s="2978"/>
      <c r="M944" s="2908"/>
      <c r="N944" s="2908"/>
    </row>
    <row r="946" spans="1:17">
      <c r="A946" s="2875" t="s">
        <v>598</v>
      </c>
      <c r="B946" s="2875"/>
      <c r="G946" s="2875" t="s">
        <v>1081</v>
      </c>
    </row>
    <row r="947" spans="1:17">
      <c r="B947" s="2968"/>
    </row>
    <row r="948" spans="1:17" ht="15.75">
      <c r="A948" s="2754" t="str">
        <f>'Part VII-Pro Forma'!A131</f>
        <v>APPLICANTS: Explain any any debt service payment amounts that deviate from the amount shown in Permanent Sources (Part III)</v>
      </c>
      <c r="B948" s="2754"/>
      <c r="C948" s="2754"/>
      <c r="D948" s="2754"/>
      <c r="E948" s="2754"/>
      <c r="F948" s="2754"/>
      <c r="G948" s="2754">
        <f>'Part VII-Pro Forma'!G131</f>
        <v>0</v>
      </c>
      <c r="H948" s="2754"/>
      <c r="I948" s="2754"/>
      <c r="J948" s="2754"/>
      <c r="K948" s="2754"/>
      <c r="M948" s="2872" t="s">
        <v>2854</v>
      </c>
      <c r="N948" s="2872"/>
    </row>
    <row r="951" spans="1:17">
      <c r="A951" s="2873" t="str">
        <f>CONCATENATE("PART EIGHT - THRESHOLD CRITERIA","  -  ",'Part I-Project Information'!$O$4," ",'Part I-Project Information'!$F$24,", ",'Part I-Project Information'!F978,", ",'Part I-Project Information'!J979," County")</f>
        <v>PART EIGHT - THRESHOLD CRITERIA  -  2015-009 The Cove at York, ,  County</v>
      </c>
      <c r="B951" s="2873"/>
      <c r="C951" s="2873"/>
      <c r="D951" s="2873"/>
      <c r="E951" s="2873"/>
      <c r="F951" s="2873"/>
      <c r="G951" s="2873"/>
      <c r="H951" s="2873"/>
      <c r="I951" s="2873"/>
      <c r="J951" s="2873"/>
      <c r="K951" s="2873"/>
      <c r="L951" s="2873"/>
      <c r="M951" s="2873"/>
      <c r="N951" s="2873"/>
      <c r="O951" s="2873"/>
      <c r="P951" s="2873"/>
      <c r="Q951" s="2873"/>
    </row>
    <row r="953" spans="1:17" ht="30" customHeight="1">
      <c r="A953" s="2982"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82"/>
      <c r="C953" s="2982"/>
      <c r="D953" s="2982"/>
      <c r="E953" s="2982"/>
      <c r="F953" s="2982"/>
      <c r="G953" s="2982"/>
      <c r="H953" s="2982"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82"/>
      <c r="J953" s="2982"/>
      <c r="K953" s="2982"/>
      <c r="L953" s="2982"/>
      <c r="M953" s="2982"/>
      <c r="N953" s="2982"/>
      <c r="O953" s="2983" t="s">
        <v>979</v>
      </c>
      <c r="P953" s="2983"/>
      <c r="Q953" s="543" t="s">
        <v>1935</v>
      </c>
    </row>
    <row r="954" spans="1:17">
      <c r="A954" s="2894"/>
      <c r="B954" s="2984"/>
      <c r="C954" s="2984"/>
      <c r="D954" s="2984"/>
      <c r="E954" s="2894"/>
      <c r="F954" s="2894"/>
      <c r="G954" s="2894"/>
      <c r="H954" s="2894"/>
      <c r="I954" s="2894"/>
      <c r="J954" s="2894"/>
      <c r="K954" s="2894"/>
      <c r="L954" s="2894"/>
      <c r="M954" s="2894"/>
      <c r="N954" s="2894"/>
      <c r="P954" s="2894"/>
      <c r="Q954" s="2894"/>
    </row>
    <row r="955" spans="1:17">
      <c r="A955" s="2894"/>
      <c r="B955" s="2894"/>
      <c r="C955" s="2894"/>
      <c r="D955" s="2894"/>
      <c r="E955" s="2894"/>
      <c r="F955" s="2894"/>
      <c r="G955" s="2894"/>
      <c r="H955" s="2894"/>
      <c r="I955" s="2894"/>
      <c r="J955" s="2894"/>
      <c r="K955" s="2894"/>
      <c r="L955" s="2894"/>
      <c r="M955" s="2894"/>
      <c r="N955" s="2894"/>
      <c r="P955" s="2894"/>
      <c r="Q955" s="2894"/>
    </row>
    <row r="956" spans="1:17" ht="18">
      <c r="A956" s="2985" t="s">
        <v>591</v>
      </c>
      <c r="J956" s="2894"/>
      <c r="K956" s="2894"/>
      <c r="L956" s="2894"/>
      <c r="M956" s="2894"/>
      <c r="N956" s="2894"/>
      <c r="P956" s="2986">
        <f>'Part VIII-Threshold Criteria'!P6</f>
        <v>0</v>
      </c>
      <c r="Q956" s="2986"/>
    </row>
    <row r="957" spans="1:17">
      <c r="A957" s="2987" t="s">
        <v>4036</v>
      </c>
      <c r="J957" s="2894"/>
      <c r="K957" s="2894"/>
      <c r="L957" s="2894"/>
      <c r="M957" s="2894"/>
      <c r="N957" s="2894"/>
    </row>
    <row r="958" spans="1:17">
      <c r="A958" s="2861" t="str">
        <f>'Part VIII-Threshold Criteria'!A8</f>
        <v xml:space="preserve">1.) </v>
      </c>
      <c r="B958" s="2861"/>
      <c r="C958" s="2861"/>
      <c r="D958" s="2861"/>
      <c r="E958" s="2861"/>
      <c r="F958" s="2861"/>
      <c r="G958" s="2861"/>
      <c r="H958" s="2861"/>
      <c r="I958" s="2861"/>
      <c r="J958" s="2861"/>
      <c r="K958" s="2861"/>
      <c r="L958" s="2861"/>
      <c r="M958" s="2861"/>
      <c r="N958" s="2861"/>
      <c r="O958" s="2861"/>
      <c r="P958" s="2861"/>
      <c r="Q958" s="2861"/>
    </row>
    <row r="959" spans="1:17">
      <c r="A959" s="2861" t="str">
        <f>'Part VIII-Threshold Criteria'!A9</f>
        <v>2.)</v>
      </c>
      <c r="B959" s="2861"/>
      <c r="C959" s="2861"/>
      <c r="D959" s="2861"/>
      <c r="E959" s="2861"/>
      <c r="F959" s="2861"/>
      <c r="G959" s="2861"/>
      <c r="H959" s="2861"/>
      <c r="I959" s="2861"/>
      <c r="J959" s="2861"/>
      <c r="K959" s="2861"/>
      <c r="L959" s="2861"/>
      <c r="M959" s="2861"/>
      <c r="N959" s="2861"/>
      <c r="O959" s="2861"/>
      <c r="P959" s="2861"/>
      <c r="Q959" s="2861"/>
    </row>
    <row r="960" spans="1:17">
      <c r="A960" s="2861" t="str">
        <f>'Part VIII-Threshold Criteria'!A10</f>
        <v>3.)</v>
      </c>
      <c r="B960" s="2861"/>
      <c r="C960" s="2861"/>
      <c r="D960" s="2861"/>
      <c r="E960" s="2861"/>
      <c r="F960" s="2861"/>
      <c r="G960" s="2861"/>
      <c r="H960" s="2861"/>
      <c r="I960" s="2861"/>
      <c r="J960" s="2861"/>
      <c r="K960" s="2861"/>
      <c r="L960" s="2861"/>
      <c r="M960" s="2861"/>
      <c r="N960" s="2861"/>
      <c r="O960" s="2861"/>
      <c r="P960" s="2861"/>
      <c r="Q960" s="2861"/>
    </row>
    <row r="961" spans="1:17">
      <c r="A961" s="2861" t="str">
        <f>'Part VIII-Threshold Criteria'!A11</f>
        <v>4.)</v>
      </c>
      <c r="B961" s="2861"/>
      <c r="C961" s="2861"/>
      <c r="D961" s="2861"/>
      <c r="E961" s="2861"/>
      <c r="F961" s="2861"/>
      <c r="G961" s="2861"/>
      <c r="H961" s="2861"/>
      <c r="I961" s="2861"/>
      <c r="J961" s="2861"/>
      <c r="K961" s="2861"/>
      <c r="L961" s="2861"/>
      <c r="M961" s="2861"/>
      <c r="N961" s="2861"/>
      <c r="O961" s="2861"/>
      <c r="P961" s="2861"/>
      <c r="Q961" s="2861"/>
    </row>
    <row r="962" spans="1:17">
      <c r="A962" s="2861" t="str">
        <f>'Part VIII-Threshold Criteria'!A12</f>
        <v>5.)</v>
      </c>
      <c r="B962" s="2861"/>
      <c r="C962" s="2861"/>
      <c r="D962" s="2861"/>
      <c r="E962" s="2861"/>
      <c r="F962" s="2861"/>
      <c r="G962" s="2861"/>
      <c r="H962" s="2861"/>
      <c r="I962" s="2861"/>
      <c r="J962" s="2861"/>
      <c r="K962" s="2861"/>
      <c r="L962" s="2861"/>
      <c r="M962" s="2861"/>
      <c r="N962" s="2861"/>
      <c r="O962" s="2861"/>
      <c r="P962" s="2861"/>
      <c r="Q962" s="2861"/>
    </row>
    <row r="963" spans="1:17">
      <c r="A963" s="2861" t="str">
        <f>'Part VIII-Threshold Criteria'!A13</f>
        <v>6.)</v>
      </c>
      <c r="B963" s="2861"/>
      <c r="C963" s="2861"/>
      <c r="D963" s="2861"/>
      <c r="E963" s="2861"/>
      <c r="F963" s="2861"/>
      <c r="G963" s="2861"/>
      <c r="H963" s="2861"/>
      <c r="I963" s="2861"/>
      <c r="J963" s="2861"/>
      <c r="K963" s="2861"/>
      <c r="L963" s="2861"/>
      <c r="M963" s="2861"/>
      <c r="N963" s="2861"/>
      <c r="O963" s="2861"/>
      <c r="P963" s="2861"/>
      <c r="Q963" s="2861"/>
    </row>
    <row r="964" spans="1:17">
      <c r="A964" s="2861" t="str">
        <f>'Part VIII-Threshold Criteria'!A14</f>
        <v>7.)</v>
      </c>
      <c r="B964" s="2861"/>
      <c r="C964" s="2861"/>
      <c r="D964" s="2861"/>
      <c r="E964" s="2861"/>
      <c r="F964" s="2861"/>
      <c r="G964" s="2861"/>
      <c r="H964" s="2861"/>
      <c r="I964" s="2861"/>
      <c r="J964" s="2861"/>
      <c r="K964" s="2861"/>
      <c r="L964" s="2861"/>
      <c r="M964" s="2861"/>
      <c r="N964" s="2861"/>
      <c r="O964" s="2861"/>
      <c r="P964" s="2861"/>
      <c r="Q964" s="2861"/>
    </row>
    <row r="965" spans="1:17">
      <c r="A965" s="2861" t="str">
        <f>'Part VIII-Threshold Criteria'!A15</f>
        <v xml:space="preserve">8.) </v>
      </c>
      <c r="B965" s="2861"/>
      <c r="C965" s="2861"/>
      <c r="D965" s="2861"/>
      <c r="E965" s="2861"/>
      <c r="F965" s="2861"/>
      <c r="G965" s="2861"/>
      <c r="H965" s="2861"/>
      <c r="I965" s="2861"/>
      <c r="J965" s="2861"/>
      <c r="K965" s="2861"/>
      <c r="L965" s="2861"/>
      <c r="M965" s="2861"/>
      <c r="N965" s="2861"/>
      <c r="O965" s="2861"/>
      <c r="P965" s="2861"/>
      <c r="Q965" s="2861"/>
    </row>
    <row r="966" spans="1:17">
      <c r="A966" s="2861" t="str">
        <f>'Part VIII-Threshold Criteria'!A16</f>
        <v>9.)</v>
      </c>
      <c r="B966" s="2861"/>
      <c r="C966" s="2861"/>
      <c r="D966" s="2861"/>
      <c r="E966" s="2861"/>
      <c r="F966" s="2861"/>
      <c r="G966" s="2861"/>
      <c r="H966" s="2861"/>
      <c r="I966" s="2861"/>
      <c r="J966" s="2861"/>
      <c r="K966" s="2861"/>
      <c r="L966" s="2861"/>
      <c r="M966" s="2861"/>
      <c r="N966" s="2861"/>
      <c r="O966" s="2861"/>
      <c r="P966" s="2861"/>
      <c r="Q966" s="2861"/>
    </row>
    <row r="967" spans="1:17">
      <c r="A967" s="2861" t="str">
        <f>'Part VIII-Threshold Criteria'!A17</f>
        <v>10.)</v>
      </c>
      <c r="B967" s="2861"/>
      <c r="C967" s="2861"/>
      <c r="D967" s="2861"/>
      <c r="E967" s="2861"/>
      <c r="F967" s="2861"/>
      <c r="G967" s="2861"/>
      <c r="H967" s="2861"/>
      <c r="I967" s="2861"/>
      <c r="J967" s="2861"/>
      <c r="K967" s="2861"/>
      <c r="L967" s="2861"/>
      <c r="M967" s="2861"/>
      <c r="N967" s="2861"/>
      <c r="O967" s="2861"/>
      <c r="P967" s="2861"/>
      <c r="Q967" s="2861"/>
    </row>
    <row r="968" spans="1:17">
      <c r="A968" s="2861" t="str">
        <f>'Part VIII-Threshold Criteria'!A18</f>
        <v>11.)</v>
      </c>
      <c r="B968" s="2861"/>
      <c r="C968" s="2861"/>
      <c r="D968" s="2861"/>
      <c r="E968" s="2861"/>
      <c r="F968" s="2861"/>
      <c r="G968" s="2861"/>
      <c r="H968" s="2861"/>
      <c r="I968" s="2861"/>
      <c r="J968" s="2861"/>
      <c r="K968" s="2861"/>
      <c r="L968" s="2861"/>
      <c r="M968" s="2861"/>
      <c r="N968" s="2861"/>
      <c r="O968" s="2861"/>
      <c r="P968" s="2861"/>
      <c r="Q968" s="2861"/>
    </row>
    <row r="969" spans="1:17">
      <c r="A969" s="2861" t="str">
        <f>'Part VIII-Threshold Criteria'!A19</f>
        <v>12.)</v>
      </c>
      <c r="B969" s="2861"/>
      <c r="C969" s="2861"/>
      <c r="D969" s="2861"/>
      <c r="E969" s="2861"/>
      <c r="F969" s="2861"/>
      <c r="G969" s="2861"/>
      <c r="H969" s="2861"/>
      <c r="I969" s="2861"/>
      <c r="J969" s="2861"/>
      <c r="K969" s="2861"/>
      <c r="L969" s="2861"/>
      <c r="M969" s="2861"/>
      <c r="N969" s="2861"/>
      <c r="O969" s="2861"/>
      <c r="P969" s="2861"/>
      <c r="Q969" s="2861"/>
    </row>
    <row r="970" spans="1:17">
      <c r="A970" s="2861" t="str">
        <f>'Part VIII-Threshold Criteria'!A20</f>
        <v>13.)</v>
      </c>
      <c r="B970" s="2861"/>
      <c r="C970" s="2861"/>
      <c r="D970" s="2861"/>
      <c r="E970" s="2861"/>
      <c r="F970" s="2861"/>
      <c r="G970" s="2861"/>
      <c r="H970" s="2861"/>
      <c r="I970" s="2861"/>
      <c r="J970" s="2861"/>
      <c r="K970" s="2861"/>
      <c r="L970" s="2861"/>
      <c r="M970" s="2861"/>
      <c r="N970" s="2861"/>
      <c r="O970" s="2861"/>
      <c r="P970" s="2861"/>
      <c r="Q970" s="2861"/>
    </row>
    <row r="971" spans="1:17">
      <c r="A971" s="2861" t="str">
        <f>'Part VIII-Threshold Criteria'!A21</f>
        <v>14.)</v>
      </c>
      <c r="B971" s="2861"/>
      <c r="C971" s="2861"/>
      <c r="D971" s="2861"/>
      <c r="E971" s="2861"/>
      <c r="F971" s="2861"/>
      <c r="G971" s="2861"/>
      <c r="H971" s="2861"/>
      <c r="I971" s="2861"/>
      <c r="J971" s="2861"/>
      <c r="K971" s="2861"/>
      <c r="L971" s="2861"/>
      <c r="M971" s="2861"/>
      <c r="N971" s="2861"/>
      <c r="O971" s="2861"/>
      <c r="P971" s="2861"/>
      <c r="Q971" s="2861"/>
    </row>
    <row r="972" spans="1:17">
      <c r="A972" s="2861" t="str">
        <f>'Part VIII-Threshold Criteria'!A22</f>
        <v xml:space="preserve">15.) </v>
      </c>
      <c r="B972" s="2861"/>
      <c r="C972" s="2861"/>
      <c r="D972" s="2861"/>
      <c r="E972" s="2861"/>
      <c r="F972" s="2861"/>
      <c r="G972" s="2861"/>
      <c r="H972" s="2861"/>
      <c r="I972" s="2861"/>
      <c r="J972" s="2861"/>
      <c r="K972" s="2861"/>
      <c r="L972" s="2861"/>
      <c r="M972" s="2861"/>
      <c r="N972" s="2861"/>
      <c r="O972" s="2861"/>
      <c r="P972" s="2861"/>
      <c r="Q972" s="2861"/>
    </row>
    <row r="973" spans="1:17">
      <c r="A973" s="2861" t="str">
        <f>'Part VIII-Threshold Criteria'!A23</f>
        <v>16.)</v>
      </c>
      <c r="B973" s="2861"/>
      <c r="C973" s="2861"/>
      <c r="D973" s="2861"/>
      <c r="E973" s="2861"/>
      <c r="F973" s="2861"/>
      <c r="G973" s="2861"/>
      <c r="H973" s="2861"/>
      <c r="I973" s="2861"/>
      <c r="J973" s="2861"/>
      <c r="K973" s="2861"/>
      <c r="L973" s="2861"/>
      <c r="M973" s="2861"/>
      <c r="N973" s="2861"/>
      <c r="O973" s="2861"/>
      <c r="P973" s="2861"/>
      <c r="Q973" s="2861"/>
    </row>
    <row r="974" spans="1:17">
      <c r="A974" s="2861" t="str">
        <f>'Part VIII-Threshold Criteria'!A24</f>
        <v>17.)</v>
      </c>
      <c r="B974" s="2861"/>
      <c r="C974" s="2861"/>
      <c r="D974" s="2861"/>
      <c r="E974" s="2861"/>
      <c r="F974" s="2861"/>
      <c r="G974" s="2861"/>
      <c r="H974" s="2861"/>
      <c r="I974" s="2861"/>
      <c r="J974" s="2861"/>
      <c r="K974" s="2861"/>
      <c r="L974" s="2861"/>
      <c r="M974" s="2861"/>
      <c r="N974" s="2861"/>
      <c r="O974" s="2861"/>
      <c r="P974" s="2861"/>
      <c r="Q974" s="2861"/>
    </row>
    <row r="975" spans="1:17">
      <c r="A975" s="2861" t="str">
        <f>'Part VIII-Threshold Criteria'!A25</f>
        <v>18.)</v>
      </c>
      <c r="B975" s="2861"/>
      <c r="C975" s="2861"/>
      <c r="D975" s="2861"/>
      <c r="E975" s="2861"/>
      <c r="F975" s="2861"/>
      <c r="G975" s="2861"/>
      <c r="H975" s="2861"/>
      <c r="I975" s="2861"/>
      <c r="J975" s="2861"/>
      <c r="K975" s="2861"/>
      <c r="L975" s="2861"/>
      <c r="M975" s="2861"/>
      <c r="N975" s="2861"/>
      <c r="O975" s="2861"/>
      <c r="P975" s="2861"/>
      <c r="Q975" s="2861"/>
    </row>
    <row r="976" spans="1:17">
      <c r="A976" s="2861" t="str">
        <f>'Part VIII-Threshold Criteria'!A26</f>
        <v>19.)</v>
      </c>
      <c r="B976" s="2861"/>
      <c r="C976" s="2861"/>
      <c r="D976" s="2861"/>
      <c r="E976" s="2861"/>
      <c r="F976" s="2861"/>
      <c r="G976" s="2861"/>
      <c r="H976" s="2861"/>
      <c r="I976" s="2861"/>
      <c r="J976" s="2861"/>
      <c r="K976" s="2861"/>
      <c r="L976" s="2861"/>
      <c r="M976" s="2861"/>
      <c r="N976" s="2861"/>
      <c r="O976" s="2861"/>
      <c r="P976" s="2861"/>
      <c r="Q976" s="2861"/>
    </row>
    <row r="977" spans="1:17">
      <c r="A977" s="2861" t="str">
        <f>'Part VIII-Threshold Criteria'!A27</f>
        <v>20.)</v>
      </c>
      <c r="B977" s="2861"/>
      <c r="C977" s="2861"/>
      <c r="D977" s="2861"/>
      <c r="E977" s="2861"/>
      <c r="F977" s="2861"/>
      <c r="G977" s="2861"/>
      <c r="H977" s="2861"/>
      <c r="I977" s="2861"/>
      <c r="J977" s="2861"/>
      <c r="K977" s="2861"/>
      <c r="L977" s="2861"/>
      <c r="M977" s="2861"/>
      <c r="N977" s="2861"/>
      <c r="O977" s="2861"/>
      <c r="P977" s="2861"/>
      <c r="Q977" s="2861"/>
    </row>
    <row r="979" spans="1:17">
      <c r="A979" s="2988">
        <v>1</v>
      </c>
      <c r="B979" s="2989" t="s">
        <v>2789</v>
      </c>
      <c r="C979" s="2990"/>
      <c r="D979" s="2991"/>
      <c r="E979" s="2991"/>
      <c r="F979" s="2991"/>
      <c r="G979" s="2991"/>
      <c r="I979" s="2992"/>
      <c r="J979" s="2992"/>
      <c r="K979" s="2992"/>
      <c r="L979" s="2894"/>
      <c r="M979" s="2894"/>
      <c r="O979" s="2993" t="s">
        <v>1961</v>
      </c>
      <c r="P979" s="2897">
        <f>'Part VIII-Threshold Criteria'!P29</f>
        <v>0</v>
      </c>
      <c r="Q979" s="2897"/>
    </row>
    <row r="981" spans="1:17">
      <c r="B981" s="2994" t="s">
        <v>2081</v>
      </c>
      <c r="C981" s="524" t="s">
        <v>3808</v>
      </c>
      <c r="E981" s="2995"/>
      <c r="F981" s="2995"/>
      <c r="G981" s="2995"/>
      <c r="H981" s="2995"/>
      <c r="I981" s="523"/>
      <c r="J981" s="523"/>
      <c r="K981" s="523"/>
      <c r="L981" s="523"/>
      <c r="M981" s="523"/>
      <c r="O981" s="2967" t="s">
        <v>625</v>
      </c>
      <c r="P981" s="2996" t="str">
        <f>'Part VIII-Threshold Criteria'!P31</f>
        <v>No</v>
      </c>
      <c r="Q981" s="2996">
        <f>'Part VIII-Threshold Criteria'!Q31</f>
        <v>0</v>
      </c>
    </row>
    <row r="982" spans="1:17">
      <c r="B982" s="2997" t="s">
        <v>2084</v>
      </c>
      <c r="C982" s="524" t="s">
        <v>756</v>
      </c>
      <c r="E982" s="2995"/>
      <c r="F982" s="2995"/>
      <c r="G982" s="2995"/>
      <c r="H982" s="2995"/>
      <c r="J982" s="2897" t="str">
        <f>'Part VIII-Threshold Criteria'!J32</f>
        <v>&lt;&lt; Select &gt;&gt;</v>
      </c>
      <c r="K982" s="2897"/>
      <c r="L982" s="2897"/>
      <c r="M982" s="2897"/>
      <c r="N982" s="2897"/>
      <c r="O982" s="2967"/>
      <c r="P982" s="2967"/>
      <c r="Q982" s="2967"/>
    </row>
    <row r="983" spans="1:17">
      <c r="B983" s="2958" t="s">
        <v>1959</v>
      </c>
      <c r="C983" s="2958"/>
      <c r="D983" s="2958"/>
      <c r="E983" s="2958"/>
      <c r="F983" s="2958"/>
      <c r="G983" s="2992"/>
      <c r="H983" s="2992"/>
      <c r="I983" s="2992"/>
      <c r="J983" s="2992"/>
      <c r="K983" s="2894"/>
      <c r="L983" s="2894"/>
      <c r="M983" s="2894"/>
      <c r="N983" s="2894"/>
      <c r="O983" s="2894"/>
      <c r="P983" s="2894"/>
    </row>
    <row r="984" spans="1:17">
      <c r="A984" s="2933">
        <f>'Part VIII-Threshold Criteria'!A34</f>
        <v>0</v>
      </c>
      <c r="B984" s="2933"/>
      <c r="C984" s="2933"/>
      <c r="D984" s="2933"/>
      <c r="E984" s="2933"/>
      <c r="F984" s="2933"/>
      <c r="G984" s="2933"/>
      <c r="H984" s="2933"/>
      <c r="I984" s="2933"/>
      <c r="J984" s="2933"/>
      <c r="K984" s="2933"/>
      <c r="L984" s="2933"/>
      <c r="M984" s="2933"/>
      <c r="N984" s="2933"/>
      <c r="O984" s="2933"/>
      <c r="P984" s="2933"/>
      <c r="Q984" s="2933"/>
    </row>
    <row r="985" spans="1:17">
      <c r="B985" s="2998" t="s">
        <v>1960</v>
      </c>
      <c r="C985" s="2999"/>
      <c r="D985" s="3000"/>
      <c r="E985" s="3000"/>
      <c r="F985" s="3000"/>
      <c r="G985" s="3000"/>
      <c r="H985" s="3000"/>
      <c r="I985" s="3000"/>
      <c r="J985" s="3000"/>
      <c r="K985" s="3000"/>
      <c r="L985" s="3000"/>
      <c r="M985" s="3000"/>
      <c r="N985" s="3000"/>
      <c r="O985" s="3000"/>
      <c r="P985" s="3000"/>
    </row>
    <row r="986" spans="1:17">
      <c r="A986" s="2933">
        <f>'Part VIII-Threshold Criteria'!A36</f>
        <v>0</v>
      </c>
      <c r="B986" s="2933"/>
      <c r="C986" s="2933"/>
      <c r="D986" s="2933"/>
      <c r="E986" s="2933"/>
      <c r="F986" s="2933"/>
      <c r="G986" s="2933"/>
      <c r="H986" s="2933"/>
      <c r="I986" s="2933"/>
      <c r="J986" s="2933"/>
      <c r="K986" s="2933"/>
      <c r="L986" s="2933"/>
      <c r="M986" s="2933"/>
      <c r="N986" s="2933"/>
      <c r="O986" s="2933"/>
      <c r="P986" s="2933"/>
      <c r="Q986" s="2933"/>
    </row>
    <row r="987" spans="1:17">
      <c r="B987" s="2992"/>
      <c r="C987" s="3000"/>
      <c r="D987" s="3000"/>
      <c r="E987" s="3000"/>
      <c r="F987" s="3000"/>
      <c r="G987" s="3000"/>
      <c r="H987" s="3000"/>
      <c r="I987" s="3000"/>
      <c r="J987" s="3000"/>
      <c r="K987" s="3000"/>
      <c r="L987" s="3000"/>
      <c r="M987" s="3000"/>
      <c r="N987" s="3000"/>
      <c r="O987" s="3000"/>
      <c r="P987" s="3000"/>
      <c r="Q987" s="2894"/>
    </row>
    <row r="988" spans="1:17">
      <c r="A988" s="2874">
        <v>2</v>
      </c>
      <c r="B988" s="526" t="s">
        <v>2884</v>
      </c>
      <c r="C988" s="526"/>
      <c r="D988" s="526"/>
      <c r="E988" s="3000"/>
      <c r="G988" s="2898"/>
      <c r="H988" s="2898"/>
      <c r="I988" s="2898"/>
      <c r="J988" s="523"/>
      <c r="L988" s="3001"/>
      <c r="M988" s="3001"/>
      <c r="N988" s="3001"/>
      <c r="O988" s="2993" t="s">
        <v>1961</v>
      </c>
      <c r="P988" s="2897">
        <f>'Part VIII-Threshold Criteria'!P38</f>
        <v>0</v>
      </c>
      <c r="Q988" s="2897"/>
    </row>
    <row r="989" spans="1:17">
      <c r="A989" s="3002" t="s">
        <v>4589</v>
      </c>
      <c r="B989" s="3002"/>
      <c r="C989" s="3002"/>
      <c r="D989" s="3002"/>
      <c r="E989" s="3002"/>
      <c r="F989" s="3002"/>
      <c r="G989" s="2860" t="s">
        <v>2888</v>
      </c>
      <c r="H989" s="2860"/>
      <c r="I989" s="2991"/>
      <c r="J989" s="523"/>
      <c r="K989" s="3003" t="s">
        <v>4038</v>
      </c>
      <c r="L989" s="3003"/>
      <c r="M989" s="3003"/>
      <c r="N989" s="3003"/>
    </row>
    <row r="990" spans="1:17" ht="13.5">
      <c r="A990" s="3002"/>
      <c r="B990" s="3002"/>
      <c r="C990" s="3002"/>
      <c r="D990" s="3002"/>
      <c r="E990" s="3002"/>
      <c r="F990" s="3002"/>
      <c r="G990" s="2860" t="s">
        <v>359</v>
      </c>
      <c r="H990" s="2860"/>
      <c r="I990" s="2991"/>
      <c r="J990" s="523"/>
      <c r="K990" s="3004" t="s">
        <v>4039</v>
      </c>
      <c r="L990" s="3004"/>
      <c r="M990" s="3004"/>
      <c r="N990" s="3004"/>
      <c r="P990" s="3005" t="s">
        <v>2923</v>
      </c>
      <c r="Q990" s="2996" t="str">
        <f>'Part VIII-Threshold Criteria'!Q40</f>
        <v>Yes</v>
      </c>
    </row>
    <row r="991" spans="1:17">
      <c r="A991" s="3002"/>
      <c r="B991" s="3002"/>
      <c r="C991" s="3002"/>
      <c r="D991" s="3002"/>
      <c r="E991" s="3002"/>
      <c r="F991" s="3002"/>
      <c r="G991" s="2991"/>
      <c r="H991" s="2991"/>
      <c r="I991" s="2991"/>
      <c r="J991" s="523"/>
      <c r="K991" s="3004"/>
      <c r="L991" s="3004"/>
      <c r="M991" s="3004"/>
      <c r="N991" s="3004"/>
    </row>
    <row r="992" spans="1:17" ht="13.5">
      <c r="D992" s="3006" t="s">
        <v>2887</v>
      </c>
      <c r="F992" s="3007" t="s">
        <v>4042</v>
      </c>
      <c r="G992" s="3008" t="s">
        <v>4041</v>
      </c>
      <c r="H992" s="3008"/>
      <c r="I992" s="3008"/>
      <c r="K992" s="3007" t="s">
        <v>4042</v>
      </c>
      <c r="L992" s="3008" t="s">
        <v>4041</v>
      </c>
      <c r="M992" s="3008"/>
      <c r="N992" s="3008"/>
    </row>
    <row r="993" spans="1:17">
      <c r="A993" s="3009" t="s">
        <v>3815</v>
      </c>
      <c r="B993" s="3009"/>
      <c r="C993" s="3009"/>
      <c r="D993" s="3010" t="s">
        <v>592</v>
      </c>
      <c r="E993" s="2992">
        <v>0</v>
      </c>
      <c r="F993" s="3011">
        <f>'Part VIII-Threshold Criteria'!F43</f>
        <v>0</v>
      </c>
      <c r="G993" s="3012">
        <f>'Part VIII-Threshold Criteria'!G43</f>
        <v>113481</v>
      </c>
      <c r="H993" s="2995" t="str">
        <f>'Part VIII-Threshold Criteria'!H43</f>
        <v xml:space="preserve">x 0 units = </v>
      </c>
      <c r="I993" s="3013">
        <f>'Part VIII-Threshold Criteria'!I43</f>
        <v>0</v>
      </c>
      <c r="J993" s="523"/>
      <c r="K993" s="3011">
        <f>'Part VIII-Threshold Criteria'!K43</f>
        <v>0</v>
      </c>
      <c r="L993" s="3012">
        <f>'Part VIII-Threshold Criteria'!L43</f>
        <v>124829</v>
      </c>
      <c r="M993" s="2995" t="str">
        <f>'Part VIII-Threshold Criteria'!M43</f>
        <v xml:space="preserve">x 0 units = </v>
      </c>
      <c r="N993" s="3013">
        <f>'Part VIII-Threshold Criteria'!N43</f>
        <v>0</v>
      </c>
      <c r="O993" s="3000"/>
      <c r="P993" s="3014" t="s">
        <v>3817</v>
      </c>
      <c r="Q993" s="3014"/>
    </row>
    <row r="994" spans="1:17">
      <c r="A994" s="3009"/>
      <c r="B994" s="3009"/>
      <c r="C994" s="3009"/>
      <c r="D994" s="3010" t="s">
        <v>2561</v>
      </c>
      <c r="E994" s="2992">
        <v>1</v>
      </c>
      <c r="F994" s="3011">
        <f>'Part VIII-Threshold Criteria'!F44</f>
        <v>0</v>
      </c>
      <c r="G994" s="3012">
        <f>'Part VIII-Threshold Criteria'!G44</f>
        <v>149453</v>
      </c>
      <c r="H994" s="2995" t="str">
        <f>'Part VIII-Threshold Criteria'!H44</f>
        <v xml:space="preserve">x 0 units = </v>
      </c>
      <c r="I994" s="3013">
        <f>'Part VIII-Threshold Criteria'!I44</f>
        <v>0</v>
      </c>
      <c r="J994" s="523"/>
      <c r="K994" s="3011">
        <f>'Part VIII-Threshold Criteria'!K44</f>
        <v>0</v>
      </c>
      <c r="L994" s="3012">
        <f>'Part VIII-Threshold Criteria'!L44</f>
        <v>164398</v>
      </c>
      <c r="M994" s="2995" t="str">
        <f>'Part VIII-Threshold Criteria'!M44</f>
        <v xml:space="preserve">x 0 units = </v>
      </c>
      <c r="N994" s="3013">
        <f>'Part VIII-Threshold Criteria'!N44</f>
        <v>0</v>
      </c>
      <c r="O994" s="3000"/>
      <c r="P994" s="3014"/>
      <c r="Q994" s="3014"/>
    </row>
    <row r="995" spans="1:17">
      <c r="A995" s="3009"/>
      <c r="B995" s="3009"/>
      <c r="C995" s="3009"/>
      <c r="D995" s="3010" t="s">
        <v>2562</v>
      </c>
      <c r="E995" s="2992">
        <v>2</v>
      </c>
      <c r="F995" s="3011">
        <f>'Part VIII-Threshold Criteria'!F45</f>
        <v>0</v>
      </c>
      <c r="G995" s="3012">
        <f>'Part VIII-Threshold Criteria'!G45</f>
        <v>179377</v>
      </c>
      <c r="H995" s="2995" t="str">
        <f>'Part VIII-Threshold Criteria'!H45</f>
        <v xml:space="preserve">x 0 units = </v>
      </c>
      <c r="I995" s="3013">
        <f>'Part VIII-Threshold Criteria'!I45</f>
        <v>0</v>
      </c>
      <c r="J995" s="523"/>
      <c r="K995" s="3011">
        <f>'Part VIII-Threshold Criteria'!K45</f>
        <v>0</v>
      </c>
      <c r="L995" s="3012">
        <f>'Part VIII-Threshold Criteria'!L45</f>
        <v>197314</v>
      </c>
      <c r="M995" s="2995" t="str">
        <f>'Part VIII-Threshold Criteria'!M45</f>
        <v xml:space="preserve">x 0 units = </v>
      </c>
      <c r="N995" s="3013">
        <f>'Part VIII-Threshold Criteria'!N45</f>
        <v>0</v>
      </c>
      <c r="O995" s="3000"/>
      <c r="P995" s="3014"/>
      <c r="Q995" s="3014"/>
    </row>
    <row r="996" spans="1:17">
      <c r="A996" s="3009"/>
      <c r="B996" s="3009"/>
      <c r="C996" s="3009"/>
      <c r="D996" s="3010" t="s">
        <v>2563</v>
      </c>
      <c r="E996" s="2992">
        <v>3</v>
      </c>
      <c r="F996" s="3011">
        <f>'Part VIII-Threshold Criteria'!F46</f>
        <v>0</v>
      </c>
      <c r="G996" s="3012">
        <f>'Part VIII-Threshold Criteria'!G46</f>
        <v>216472</v>
      </c>
      <c r="H996" s="2995" t="str">
        <f>'Part VIII-Threshold Criteria'!H46</f>
        <v xml:space="preserve">x 0 units = </v>
      </c>
      <c r="I996" s="3013">
        <f>'Part VIII-Threshold Criteria'!I46</f>
        <v>0</v>
      </c>
      <c r="J996" s="523"/>
      <c r="K996" s="3011">
        <f>'Part VIII-Threshold Criteria'!K46</f>
        <v>0</v>
      </c>
      <c r="L996" s="3012">
        <f>'Part VIII-Threshold Criteria'!L46</f>
        <v>238119</v>
      </c>
      <c r="M996" s="2995" t="str">
        <f>'Part VIII-Threshold Criteria'!M46</f>
        <v xml:space="preserve">x 0 units = </v>
      </c>
      <c r="N996" s="3013">
        <f>'Part VIII-Threshold Criteria'!N46</f>
        <v>0</v>
      </c>
      <c r="O996" s="3000"/>
      <c r="P996" s="3015" t="str">
        <f>'Part VIII-Threshold Criteria'!P46</f>
        <v>Valdosta</v>
      </c>
      <c r="Q996" s="3015"/>
    </row>
    <row r="997" spans="1:17">
      <c r="C997" s="523"/>
      <c r="D997" s="3010" t="s">
        <v>2564</v>
      </c>
      <c r="E997" s="2992">
        <v>4</v>
      </c>
      <c r="F997" s="3011">
        <f>'Part VIII-Threshold Criteria'!F47</f>
        <v>0</v>
      </c>
      <c r="G997" s="3012">
        <f>'Part VIII-Threshold Criteria'!G47</f>
        <v>255157</v>
      </c>
      <c r="H997" s="2995" t="str">
        <f>'Part VIII-Threshold Criteria'!H47</f>
        <v xml:space="preserve">x 0 units = </v>
      </c>
      <c r="I997" s="3013">
        <f>'Part VIII-Threshold Criteria'!I47</f>
        <v>0</v>
      </c>
      <c r="J997" s="523"/>
      <c r="K997" s="3011">
        <f>'Part VIII-Threshold Criteria'!K47</f>
        <v>0</v>
      </c>
      <c r="L997" s="3012">
        <f>'Part VIII-Threshold Criteria'!L47</f>
        <v>280672</v>
      </c>
      <c r="M997" s="2995" t="str">
        <f>'Part VIII-Threshold Criteria'!M47</f>
        <v xml:space="preserve">x 0 units = </v>
      </c>
      <c r="N997" s="3013">
        <f>'Part VIII-Threshold Criteria'!N47</f>
        <v>0</v>
      </c>
      <c r="O997" s="3000"/>
      <c r="P997" s="3015"/>
      <c r="Q997" s="3015"/>
    </row>
    <row r="998" spans="1:17">
      <c r="C998" s="523"/>
      <c r="D998" s="3016" t="s">
        <v>3826</v>
      </c>
      <c r="E998" s="523"/>
      <c r="F998" s="3017">
        <f>SUM(F993:F997)</f>
        <v>0</v>
      </c>
      <c r="G998" s="3018"/>
      <c r="H998" s="3019"/>
      <c r="I998" s="3020">
        <f>SUM(I993:I997)</f>
        <v>0</v>
      </c>
      <c r="J998" s="3021"/>
      <c r="K998" s="3017">
        <f>SUM(K993:K997)</f>
        <v>0</v>
      </c>
      <c r="L998" s="3021"/>
      <c r="M998" s="3019"/>
      <c r="N998" s="3020">
        <f>SUM(N993:N997)</f>
        <v>0</v>
      </c>
      <c r="O998" s="3000"/>
    </row>
    <row r="999" spans="1:17">
      <c r="C999" s="523"/>
      <c r="D999" s="3022"/>
      <c r="E999" s="3022"/>
      <c r="F999" s="2934"/>
      <c r="G999" s="524"/>
      <c r="H999" s="523"/>
      <c r="I999" s="2934"/>
      <c r="J999" s="523"/>
      <c r="K999" s="2934"/>
      <c r="L999" s="523"/>
      <c r="M999" s="2922"/>
      <c r="N999" s="2934"/>
      <c r="O999" s="3000"/>
      <c r="P999" s="2878" t="str">
        <f>IF('Part IV-Uses of Funds'!$G$130&gt;P1010,"CHECK TDC !!!","")</f>
        <v/>
      </c>
      <c r="Q999" s="2878"/>
    </row>
    <row r="1000" spans="1:17">
      <c r="A1000" s="3009" t="s">
        <v>3810</v>
      </c>
      <c r="B1000" s="3009"/>
      <c r="C1000" s="3009"/>
      <c r="D1000" s="3010" t="s">
        <v>592</v>
      </c>
      <c r="E1000" s="3011">
        <f>'Part VI-Revenues &amp; Expenses'!H1056</f>
        <v>0</v>
      </c>
      <c r="F1000" s="3011">
        <f>'Part VIII-Threshold Criteria'!F50</f>
        <v>0</v>
      </c>
      <c r="G1000" s="3012">
        <f>'Part VIII-Threshold Criteria'!G50</f>
        <v>107076</v>
      </c>
      <c r="H1000" s="2995" t="str">
        <f>'Part VIII-Threshold Criteria'!H50</f>
        <v xml:space="preserve">x 0 units = </v>
      </c>
      <c r="I1000" s="3013">
        <f>'Part VIII-Threshold Criteria'!I50</f>
        <v>0</v>
      </c>
      <c r="J1000" s="523"/>
      <c r="K1000" s="3011">
        <f>'Part VIII-Threshold Criteria'!K50</f>
        <v>0</v>
      </c>
      <c r="L1000" s="3012">
        <f>'Part VIII-Threshold Criteria'!L50</f>
        <v>117783</v>
      </c>
      <c r="M1000" s="2995" t="str">
        <f>'Part VIII-Threshold Criteria'!M50</f>
        <v xml:space="preserve">x 0 units = </v>
      </c>
      <c r="N1000" s="3013">
        <f>'Part VIII-Threshold Criteria'!N50</f>
        <v>0</v>
      </c>
      <c r="P1000" s="3023" t="s">
        <v>3828</v>
      </c>
      <c r="Q1000" s="3023"/>
    </row>
    <row r="1001" spans="1:17">
      <c r="A1001" s="3009"/>
      <c r="B1001" s="3009"/>
      <c r="C1001" s="3009"/>
      <c r="D1001" s="3010" t="s">
        <v>2561</v>
      </c>
      <c r="E1001" s="2992">
        <v>1</v>
      </c>
      <c r="F1001" s="3011">
        <f>'Part VIII-Threshold Criteria'!F51</f>
        <v>0</v>
      </c>
      <c r="G1001" s="3012">
        <f>'Part VIII-Threshold Criteria'!G51</f>
        <v>141347</v>
      </c>
      <c r="H1001" s="2995" t="str">
        <f>'Part VIII-Threshold Criteria'!H51</f>
        <v xml:space="preserve">x 0 units = </v>
      </c>
      <c r="I1001" s="3013">
        <f>'Part VIII-Threshold Criteria'!I51</f>
        <v>0</v>
      </c>
      <c r="J1001" s="523"/>
      <c r="K1001" s="3011">
        <f>'Part VIII-Threshold Criteria'!K51</f>
        <v>0</v>
      </c>
      <c r="L1001" s="3012">
        <f>'Part VIII-Threshold Criteria'!L51</f>
        <v>155481</v>
      </c>
      <c r="M1001" s="2995" t="str">
        <f>'Part VIII-Threshold Criteria'!M51</f>
        <v xml:space="preserve">x 0 units = </v>
      </c>
      <c r="N1001" s="3013">
        <f>'Part VIII-Threshold Criteria'!N51</f>
        <v>0</v>
      </c>
      <c r="P1001" s="3024">
        <f>'Part IV-Uses of Funds'!$G$130</f>
        <v>14368613</v>
      </c>
      <c r="Q1001" s="3024"/>
    </row>
    <row r="1002" spans="1:17">
      <c r="A1002" s="3009"/>
      <c r="B1002" s="3009"/>
      <c r="C1002" s="3009"/>
      <c r="D1002" s="3010" t="s">
        <v>2562</v>
      </c>
      <c r="E1002" s="2992">
        <v>2</v>
      </c>
      <c r="F1002" s="3011">
        <f>'Part VIII-Threshold Criteria'!F52</f>
        <v>0</v>
      </c>
      <c r="G1002" s="3012">
        <f>'Part VIII-Threshold Criteria'!G52</f>
        <v>170070</v>
      </c>
      <c r="H1002" s="2995" t="str">
        <f>'Part VIII-Threshold Criteria'!H52</f>
        <v xml:space="preserve">x 0 units = </v>
      </c>
      <c r="I1002" s="3013">
        <f>'Part VIII-Threshold Criteria'!I52</f>
        <v>0</v>
      </c>
      <c r="J1002" s="523"/>
      <c r="K1002" s="3011">
        <f>'Part VIII-Threshold Criteria'!K52</f>
        <v>0</v>
      </c>
      <c r="L1002" s="3012">
        <f>'Part VIII-Threshold Criteria'!L52</f>
        <v>187077</v>
      </c>
      <c r="M1002" s="2995" t="str">
        <f>'Part VIII-Threshold Criteria'!M52</f>
        <v xml:space="preserve">x 0 units = </v>
      </c>
      <c r="N1002" s="3013">
        <f>'Part VIII-Threshold Criteria'!N52</f>
        <v>0</v>
      </c>
      <c r="O1002" s="2931"/>
    </row>
    <row r="1003" spans="1:17">
      <c r="C1003" s="523"/>
      <c r="D1003" s="3010" t="s">
        <v>2563</v>
      </c>
      <c r="E1003" s="2992">
        <v>3</v>
      </c>
      <c r="F1003" s="3011">
        <f>'Part VIII-Threshold Criteria'!F53</f>
        <v>0</v>
      </c>
      <c r="G1003" s="3012">
        <f>'Part VIII-Threshold Criteria'!G53</f>
        <v>206279</v>
      </c>
      <c r="H1003" s="2995" t="str">
        <f>'Part VIII-Threshold Criteria'!H53</f>
        <v xml:space="preserve">x 0 units = </v>
      </c>
      <c r="I1003" s="3013">
        <f>'Part VIII-Threshold Criteria'!I53</f>
        <v>0</v>
      </c>
      <c r="J1003" s="523"/>
      <c r="K1003" s="3011">
        <f>'Part VIII-Threshold Criteria'!K53</f>
        <v>0</v>
      </c>
      <c r="L1003" s="3012">
        <f>'Part VIII-Threshold Criteria'!L53</f>
        <v>226906</v>
      </c>
      <c r="M1003" s="2995" t="str">
        <f>'Part VIII-Threshold Criteria'!M53</f>
        <v xml:space="preserve">x 0 units = </v>
      </c>
      <c r="N1003" s="3013">
        <f>'Part VIII-Threshold Criteria'!N53</f>
        <v>0</v>
      </c>
      <c r="O1003" s="2931"/>
      <c r="P1003" s="3023" t="s">
        <v>4043</v>
      </c>
      <c r="Q1003" s="3023"/>
    </row>
    <row r="1004" spans="1:17">
      <c r="C1004" s="523"/>
      <c r="D1004" s="3010" t="s">
        <v>2564</v>
      </c>
      <c r="E1004" s="2992">
        <v>4</v>
      </c>
      <c r="F1004" s="3011">
        <f>'Part VIII-Threshold Criteria'!F54</f>
        <v>0</v>
      </c>
      <c r="G1004" s="3012">
        <f>'Part VIII-Threshold Criteria'!G54</f>
        <v>245416</v>
      </c>
      <c r="H1004" s="2995" t="str">
        <f>'Part VIII-Threshold Criteria'!H54</f>
        <v xml:space="preserve">x 0 units = </v>
      </c>
      <c r="I1004" s="3013">
        <f>'Part VIII-Threshold Criteria'!I54</f>
        <v>0</v>
      </c>
      <c r="J1004" s="523"/>
      <c r="K1004" s="3011">
        <f>'Part VIII-Threshold Criteria'!K54</f>
        <v>0</v>
      </c>
      <c r="L1004" s="3012">
        <f>'Part VIII-Threshold Criteria'!L54</f>
        <v>269957</v>
      </c>
      <c r="M1004" s="2995" t="str">
        <f>'Part VIII-Threshold Criteria'!M54</f>
        <v xml:space="preserve">x 0 units = </v>
      </c>
      <c r="N1004" s="3013">
        <f>'Part VIII-Threshold Criteria'!N54</f>
        <v>0</v>
      </c>
      <c r="O1004" s="2931"/>
      <c r="P1004" s="3024">
        <f>'Part I-Project Information'!$O$165</f>
        <v>0</v>
      </c>
      <c r="Q1004" s="3024"/>
    </row>
    <row r="1005" spans="1:17">
      <c r="C1005" s="523"/>
      <c r="D1005" s="3016" t="s">
        <v>3826</v>
      </c>
      <c r="E1005" s="523"/>
      <c r="F1005" s="3017">
        <f>SUM(F1000:F1004)</f>
        <v>0</v>
      </c>
      <c r="G1005" s="3018"/>
      <c r="H1005" s="3019"/>
      <c r="I1005" s="3020">
        <f>SUM(I1000:I1004)</f>
        <v>0</v>
      </c>
      <c r="J1005" s="3021"/>
      <c r="K1005" s="3017">
        <f>SUM(K1000:K1004)</f>
        <v>0</v>
      </c>
      <c r="L1005" s="3021"/>
      <c r="M1005" s="3019"/>
      <c r="N1005" s="3020">
        <f>SUM(N1000:N1004)</f>
        <v>0</v>
      </c>
      <c r="O1005" s="2931"/>
    </row>
    <row r="1006" spans="1:17">
      <c r="C1006" s="523"/>
      <c r="D1006" s="3022"/>
      <c r="E1006" s="3022"/>
      <c r="F1006" s="2934"/>
      <c r="G1006" s="524"/>
      <c r="H1006" s="523"/>
      <c r="I1006" s="2934"/>
      <c r="J1006" s="523"/>
      <c r="K1006" s="2934"/>
      <c r="L1006" s="523"/>
      <c r="M1006" s="2922"/>
      <c r="N1006" s="2934"/>
      <c r="O1006" s="2931"/>
    </row>
    <row r="1007" spans="1:17">
      <c r="A1007" s="2966" t="s">
        <v>3811</v>
      </c>
      <c r="C1007" s="523"/>
      <c r="D1007" s="3010" t="s">
        <v>592</v>
      </c>
      <c r="E1007" s="2992">
        <v>0</v>
      </c>
      <c r="F1007" s="3011">
        <f>'Part VIII-Threshold Criteria'!F57</f>
        <v>0</v>
      </c>
      <c r="G1007" s="3012">
        <f>'Part VIII-Threshold Criteria'!G57</f>
        <v>88948</v>
      </c>
      <c r="H1007" s="2995" t="str">
        <f>'Part VIII-Threshold Criteria'!H57</f>
        <v xml:space="preserve">x 0 units = </v>
      </c>
      <c r="I1007" s="3013">
        <f>'Part VIII-Threshold Criteria'!I57</f>
        <v>0</v>
      </c>
      <c r="J1007" s="523"/>
      <c r="K1007" s="3011">
        <f>'Part VIII-Threshold Criteria'!K57</f>
        <v>0</v>
      </c>
      <c r="L1007" s="3012">
        <f>'Part VIII-Threshold Criteria'!L57</f>
        <v>97842</v>
      </c>
      <c r="M1007" s="2995" t="str">
        <f>'Part VIII-Threshold Criteria'!M57</f>
        <v xml:space="preserve">x 0 units = </v>
      </c>
      <c r="N1007" s="3013">
        <f>'Part VIII-Threshold Criteria'!N57</f>
        <v>0</v>
      </c>
      <c r="O1007" s="2931"/>
      <c r="P1007" s="3025" t="s">
        <v>3073</v>
      </c>
      <c r="Q1007" s="3025"/>
    </row>
    <row r="1008" spans="1:17">
      <c r="C1008" s="523"/>
      <c r="D1008" s="3010" t="s">
        <v>2561</v>
      </c>
      <c r="E1008" s="2992">
        <v>1</v>
      </c>
      <c r="F1008" s="3011">
        <f>'Part VIII-Threshold Criteria'!F58</f>
        <v>0</v>
      </c>
      <c r="G1008" s="3012">
        <f>'Part VIII-Threshold Criteria'!G58</f>
        <v>122823</v>
      </c>
      <c r="H1008" s="2995" t="str">
        <f>'Part VIII-Threshold Criteria'!H58</f>
        <v xml:space="preserve">x 0 units = </v>
      </c>
      <c r="I1008" s="3013">
        <f>'Part VIII-Threshold Criteria'!I58</f>
        <v>0</v>
      </c>
      <c r="J1008" s="523"/>
      <c r="K1008" s="3011">
        <f>'Part VIII-Threshold Criteria'!K58</f>
        <v>0</v>
      </c>
      <c r="L1008" s="3012">
        <f>'Part VIII-Threshold Criteria'!L58</f>
        <v>135105</v>
      </c>
      <c r="M1008" s="2995" t="str">
        <f>'Part VIII-Threshold Criteria'!M58</f>
        <v xml:space="preserve">x 0 units = </v>
      </c>
      <c r="N1008" s="3013">
        <f>'Part VIII-Threshold Criteria'!N58</f>
        <v>0</v>
      </c>
      <c r="P1008" s="3025"/>
      <c r="Q1008" s="3025"/>
    </row>
    <row r="1009" spans="1:17">
      <c r="C1009" s="523"/>
      <c r="D1009" s="3010" t="s">
        <v>2562</v>
      </c>
      <c r="E1009" s="2992">
        <v>2</v>
      </c>
      <c r="F1009" s="3011">
        <f>'Part VIII-Threshold Criteria'!F59</f>
        <v>0</v>
      </c>
      <c r="G1009" s="3012">
        <f>'Part VIII-Threshold Criteria'!G59</f>
        <v>155719</v>
      </c>
      <c r="H1009" s="2995" t="str">
        <f>'Part VIII-Threshold Criteria'!H59</f>
        <v xml:space="preserve">x 0 units = </v>
      </c>
      <c r="I1009" s="3013">
        <f>'Part VIII-Threshold Criteria'!I59</f>
        <v>0</v>
      </c>
      <c r="J1009" s="523"/>
      <c r="K1009" s="3011">
        <f>'Part VIII-Threshold Criteria'!K59</f>
        <v>0</v>
      </c>
      <c r="L1009" s="3012">
        <f>'Part VIII-Threshold Criteria'!L59</f>
        <v>171290</v>
      </c>
      <c r="M1009" s="2995" t="str">
        <f>'Part VIII-Threshold Criteria'!M59</f>
        <v xml:space="preserve">x 0 units = </v>
      </c>
      <c r="N1009" s="3013">
        <f>'Part VIII-Threshold Criteria'!N59</f>
        <v>0</v>
      </c>
      <c r="P1009" s="3025"/>
      <c r="Q1009" s="3025"/>
    </row>
    <row r="1010" spans="1:17">
      <c r="C1010" s="523"/>
      <c r="D1010" s="3010" t="s">
        <v>2563</v>
      </c>
      <c r="E1010" s="2992">
        <v>3</v>
      </c>
      <c r="F1010" s="3011">
        <f>'Part VIII-Threshold Criteria'!F60</f>
        <v>0</v>
      </c>
      <c r="G1010" s="3012">
        <f>'Part VIII-Threshold Criteria'!G60</f>
        <v>203244</v>
      </c>
      <c r="H1010" s="2995" t="str">
        <f>'Part VIII-Threshold Criteria'!H60</f>
        <v xml:space="preserve">x 0 units = </v>
      </c>
      <c r="I1010" s="3013">
        <f>'Part VIII-Threshold Criteria'!I60</f>
        <v>0</v>
      </c>
      <c r="J1010" s="523"/>
      <c r="K1010" s="3011">
        <f>'Part VIII-Threshold Criteria'!K60</f>
        <v>0</v>
      </c>
      <c r="L1010" s="3012">
        <f>'Part VIII-Threshold Criteria'!L60</f>
        <v>223568</v>
      </c>
      <c r="M1010" s="2995" t="str">
        <f>'Part VIII-Threshold Criteria'!M60</f>
        <v xml:space="preserve">x 0 units = </v>
      </c>
      <c r="N1010" s="3013">
        <f>'Part VIII-Threshold Criteria'!N60</f>
        <v>0</v>
      </c>
      <c r="O1010" s="2931"/>
      <c r="P1010" s="3026">
        <f>'Part VIII-Threshold Criteria'!P60</f>
        <v>17206590</v>
      </c>
      <c r="Q1010" s="3026"/>
    </row>
    <row r="1011" spans="1:17">
      <c r="C1011" s="523"/>
      <c r="D1011" s="3010" t="s">
        <v>2564</v>
      </c>
      <c r="E1011" s="2992">
        <v>4</v>
      </c>
      <c r="F1011" s="3011">
        <f>'Part VIII-Threshold Criteria'!F61</f>
        <v>0</v>
      </c>
      <c r="G1011" s="3012">
        <f>'Part VIII-Threshold Criteria'!G61</f>
        <v>253345</v>
      </c>
      <c r="H1011" s="2995" t="str">
        <f>'Part VIII-Threshold Criteria'!H61</f>
        <v xml:space="preserve">x 0 units = </v>
      </c>
      <c r="I1011" s="3013">
        <f>'Part VIII-Threshold Criteria'!I61</f>
        <v>0</v>
      </c>
      <c r="J1011" s="523"/>
      <c r="K1011" s="3011">
        <f>'Part VIII-Threshold Criteria'!K61</f>
        <v>0</v>
      </c>
      <c r="L1011" s="3012">
        <f>'Part VIII-Threshold Criteria'!L61</f>
        <v>278679</v>
      </c>
      <c r="M1011" s="2995" t="str">
        <f>'Part VIII-Threshold Criteria'!M61</f>
        <v xml:space="preserve">x 0 units = </v>
      </c>
      <c r="N1011" s="3013">
        <f>'Part VIII-Threshold Criteria'!N61</f>
        <v>0</v>
      </c>
      <c r="O1011" s="2931"/>
      <c r="P1011" s="3026"/>
      <c r="Q1011" s="3026"/>
    </row>
    <row r="1012" spans="1:17">
      <c r="C1012" s="523"/>
      <c r="D1012" s="3016" t="s">
        <v>3826</v>
      </c>
      <c r="E1012" s="523"/>
      <c r="F1012" s="3017">
        <f>SUM(F1007:F1011)</f>
        <v>0</v>
      </c>
      <c r="G1012" s="3018"/>
      <c r="H1012" s="3019"/>
      <c r="I1012" s="3020">
        <f>SUM(I1007:I1011)</f>
        <v>0</v>
      </c>
      <c r="J1012" s="3021"/>
      <c r="K1012" s="3017">
        <f>SUM(K1007:K1011)</f>
        <v>0</v>
      </c>
      <c r="L1012" s="3021"/>
      <c r="M1012" s="3019"/>
      <c r="N1012" s="3020">
        <f>SUM(N1007:N1011)</f>
        <v>0</v>
      </c>
      <c r="O1012" s="2931"/>
      <c r="P1012" s="2923"/>
    </row>
    <row r="1013" spans="1:17">
      <c r="C1013" s="523"/>
      <c r="D1013" s="3022"/>
      <c r="E1013" s="3022"/>
      <c r="F1013" s="2934"/>
      <c r="G1013" s="524"/>
      <c r="H1013" s="523"/>
      <c r="I1013" s="2934"/>
      <c r="J1013" s="523"/>
      <c r="K1013" s="2934"/>
      <c r="L1013" s="523"/>
      <c r="M1013" s="2922"/>
      <c r="N1013" s="2934"/>
      <c r="O1013" s="2931"/>
      <c r="Q1013" s="2923"/>
    </row>
    <row r="1014" spans="1:17">
      <c r="A1014" s="2966" t="s">
        <v>3812</v>
      </c>
      <c r="C1014" s="523"/>
      <c r="D1014" s="3010" t="s">
        <v>592</v>
      </c>
      <c r="E1014" s="2992">
        <v>0</v>
      </c>
      <c r="F1014" s="3011">
        <f>'Part VIII-Threshold Criteria'!F64</f>
        <v>0</v>
      </c>
      <c r="G1014" s="3012">
        <f>'Part VIII-Threshold Criteria'!G64</f>
        <v>95592</v>
      </c>
      <c r="H1014" s="2995" t="str">
        <f>'Part VIII-Threshold Criteria'!H64</f>
        <v xml:space="preserve">x 0 units = </v>
      </c>
      <c r="I1014" s="3013">
        <f>'Part VIII-Threshold Criteria'!I64</f>
        <v>0</v>
      </c>
      <c r="J1014" s="523"/>
      <c r="K1014" s="3011">
        <f>'Part VIII-Threshold Criteria'!K64</f>
        <v>0</v>
      </c>
      <c r="L1014" s="3012">
        <f>'Part VIII-Threshold Criteria'!L64</f>
        <v>105151</v>
      </c>
      <c r="M1014" s="2995" t="str">
        <f>'Part VIII-Threshold Criteria'!M64</f>
        <v xml:space="preserve">x 0 units = </v>
      </c>
      <c r="N1014" s="3013">
        <f>'Part VIII-Threshold Criteria'!N64</f>
        <v>0</v>
      </c>
      <c r="O1014" s="2931"/>
      <c r="P1014" s="2862" t="s">
        <v>2919</v>
      </c>
      <c r="Q1014" s="2862"/>
    </row>
    <row r="1015" spans="1:17">
      <c r="C1015" s="523"/>
      <c r="D1015" s="3010" t="s">
        <v>2561</v>
      </c>
      <c r="E1015" s="2992">
        <v>1</v>
      </c>
      <c r="F1015" s="3011">
        <f>'Part VIII-Threshold Criteria'!F65</f>
        <v>18</v>
      </c>
      <c r="G1015" s="3012">
        <f>'Part VIII-Threshold Criteria'!G65</f>
        <v>133829</v>
      </c>
      <c r="H1015" s="2995" t="str">
        <f>'Part VIII-Threshold Criteria'!H65</f>
        <v xml:space="preserve">x 18 units = </v>
      </c>
      <c r="I1015" s="3013">
        <f>'Part VIII-Threshold Criteria'!I65</f>
        <v>2408922</v>
      </c>
      <c r="J1015" s="523"/>
      <c r="K1015" s="3011">
        <f>'Part VIII-Threshold Criteria'!K65</f>
        <v>0</v>
      </c>
      <c r="L1015" s="3012">
        <f>'Part VIII-Threshold Criteria'!L65</f>
        <v>147211</v>
      </c>
      <c r="M1015" s="2995" t="str">
        <f>'Part VIII-Threshold Criteria'!M65</f>
        <v xml:space="preserve">x 0 units = </v>
      </c>
      <c r="N1015" s="3013">
        <f>'Part VIII-Threshold Criteria'!N65</f>
        <v>0</v>
      </c>
      <c r="O1015" s="2931"/>
      <c r="P1015" s="2862"/>
      <c r="Q1015" s="2862"/>
    </row>
    <row r="1016" spans="1:17">
      <c r="C1016" s="523"/>
      <c r="D1016" s="3010" t="s">
        <v>2562</v>
      </c>
      <c r="E1016" s="2992">
        <v>2</v>
      </c>
      <c r="F1016" s="3011">
        <f>'Part VIII-Threshold Criteria'!F66</f>
        <v>54</v>
      </c>
      <c r="G1016" s="3012">
        <f>'Part VIII-Threshold Criteria'!G66</f>
        <v>172066</v>
      </c>
      <c r="H1016" s="2995" t="str">
        <f>'Part VIII-Threshold Criteria'!H66</f>
        <v xml:space="preserve">x 54 units = </v>
      </c>
      <c r="I1016" s="3013">
        <f>'Part VIII-Threshold Criteria'!I66</f>
        <v>9291564</v>
      </c>
      <c r="J1016" s="523"/>
      <c r="K1016" s="3011">
        <f>'Part VIII-Threshold Criteria'!K66</f>
        <v>0</v>
      </c>
      <c r="L1016" s="3012">
        <f>'Part VIII-Threshold Criteria'!L66</f>
        <v>189272</v>
      </c>
      <c r="M1016" s="2995" t="str">
        <f>'Part VIII-Threshold Criteria'!M66</f>
        <v xml:space="preserve">x 0 units = </v>
      </c>
      <c r="N1016" s="3013">
        <f>'Part VIII-Threshold Criteria'!N66</f>
        <v>0</v>
      </c>
      <c r="P1016" s="2862"/>
      <c r="Q1016" s="2862"/>
    </row>
    <row r="1017" spans="1:17">
      <c r="C1017" s="523"/>
      <c r="D1017" s="3010" t="s">
        <v>2563</v>
      </c>
      <c r="E1017" s="2992">
        <v>3</v>
      </c>
      <c r="F1017" s="3011">
        <f>'Part VIII-Threshold Criteria'!F67</f>
        <v>24</v>
      </c>
      <c r="G1017" s="3012">
        <f>'Part VIII-Threshold Criteria'!G67</f>
        <v>229421</v>
      </c>
      <c r="H1017" s="2995" t="str">
        <f>'Part VIII-Threshold Criteria'!H67</f>
        <v xml:space="preserve">x 24 units = </v>
      </c>
      <c r="I1017" s="3013">
        <f>'Part VIII-Threshold Criteria'!I67</f>
        <v>5506104</v>
      </c>
      <c r="J1017" s="523"/>
      <c r="K1017" s="3011">
        <f>'Part VIII-Threshold Criteria'!K67</f>
        <v>0</v>
      </c>
      <c r="L1017" s="3012">
        <f>'Part VIII-Threshold Criteria'!L67</f>
        <v>252363</v>
      </c>
      <c r="M1017" s="2995" t="str">
        <f>'Part VIII-Threshold Criteria'!M67</f>
        <v xml:space="preserve">x 0 units = </v>
      </c>
      <c r="N1017" s="3013">
        <f>'Part VIII-Threshold Criteria'!N67</f>
        <v>0</v>
      </c>
      <c r="P1017" s="2862"/>
      <c r="Q1017" s="2862"/>
    </row>
    <row r="1018" spans="1:17">
      <c r="C1018" s="523"/>
      <c r="D1018" s="3010" t="s">
        <v>2564</v>
      </c>
      <c r="E1018" s="2992">
        <v>4</v>
      </c>
      <c r="F1018" s="3011">
        <f>'Part VIII-Threshold Criteria'!F68</f>
        <v>0</v>
      </c>
      <c r="G1018" s="3012">
        <f>'Part VIII-Threshold Criteria'!G68</f>
        <v>286776</v>
      </c>
      <c r="H1018" s="2995" t="str">
        <f>'Part VIII-Threshold Criteria'!H68</f>
        <v xml:space="preserve">x 0 units = </v>
      </c>
      <c r="I1018" s="3013">
        <f>'Part VIII-Threshold Criteria'!I68</f>
        <v>0</v>
      </c>
      <c r="J1018" s="523"/>
      <c r="K1018" s="3011">
        <f>'Part VIII-Threshold Criteria'!K68</f>
        <v>0</v>
      </c>
      <c r="L1018" s="3012">
        <f>'Part VIII-Threshold Criteria'!L68</f>
        <v>315453</v>
      </c>
      <c r="M1018" s="2995" t="str">
        <f>'Part VIII-Threshold Criteria'!M68</f>
        <v xml:space="preserve">x 0 units = </v>
      </c>
      <c r="N1018" s="3013">
        <f>'Part VIII-Threshold Criteria'!N68</f>
        <v>0</v>
      </c>
      <c r="O1018" s="2931"/>
      <c r="P1018" s="2862"/>
      <c r="Q1018" s="2862"/>
    </row>
    <row r="1019" spans="1:17">
      <c r="C1019" s="523"/>
      <c r="D1019" s="3016" t="s">
        <v>3826</v>
      </c>
      <c r="E1019" s="523"/>
      <c r="F1019" s="3017">
        <f>SUM(F1014:F1018)</f>
        <v>96</v>
      </c>
      <c r="G1019" s="3018"/>
      <c r="H1019" s="3019"/>
      <c r="I1019" s="3020">
        <f>SUM(I1014:I1018)</f>
        <v>17206590</v>
      </c>
      <c r="J1019" s="3021"/>
      <c r="K1019" s="3017">
        <f>SUM(K1014:K1018)</f>
        <v>0</v>
      </c>
      <c r="L1019" s="3021"/>
      <c r="M1019" s="3019"/>
      <c r="N1019" s="3020">
        <f>SUM(N1014:N1018)</f>
        <v>0</v>
      </c>
      <c r="O1019" s="2931"/>
    </row>
    <row r="1020" spans="1:17">
      <c r="C1020" s="523"/>
      <c r="D1020" s="523"/>
      <c r="E1020" s="2884"/>
      <c r="F1020" s="523"/>
      <c r="G1020" s="524"/>
      <c r="H1020" s="3027"/>
      <c r="I1020" s="3027"/>
      <c r="J1020" s="3027"/>
      <c r="K1020" s="3027"/>
      <c r="L1020" s="3027"/>
      <c r="M1020" s="3027"/>
      <c r="N1020" s="2934"/>
      <c r="O1020" s="2931"/>
    </row>
    <row r="1021" spans="1:17" ht="13.5">
      <c r="A1021" s="3028" t="s">
        <v>3827</v>
      </c>
      <c r="B1021" s="523"/>
      <c r="C1021" s="523"/>
      <c r="D1021" s="523"/>
      <c r="E1021" s="527"/>
      <c r="F1021" s="3029">
        <f>F998+F1005+F1012+F1019</f>
        <v>96</v>
      </c>
      <c r="G1021" s="2752"/>
      <c r="H1021" s="3030"/>
      <c r="I1021" s="3029">
        <f>I998+I1005+I1012+I1019</f>
        <v>17206590</v>
      </c>
      <c r="J1021" s="3030"/>
      <c r="K1021" s="3029">
        <f>K998+K1005+K1012+K1019</f>
        <v>0</v>
      </c>
      <c r="L1021" s="3030"/>
      <c r="M1021" s="3030"/>
      <c r="N1021" s="3029">
        <f>N998+N1005+N1012+N1019</f>
        <v>0</v>
      </c>
      <c r="O1021" s="2931"/>
    </row>
    <row r="1022" spans="1:17">
      <c r="B1022" s="3031" t="s">
        <v>1959</v>
      </c>
      <c r="D1022" s="3031"/>
      <c r="E1022" s="3031"/>
      <c r="F1022" s="3031"/>
      <c r="G1022" s="3031"/>
      <c r="H1022" s="2995"/>
      <c r="I1022" s="2992"/>
      <c r="J1022" s="2992"/>
      <c r="K1022" s="2998" t="s">
        <v>1960</v>
      </c>
      <c r="L1022" s="2894"/>
      <c r="M1022" s="2894"/>
      <c r="N1022" s="2894"/>
      <c r="O1022" s="2894"/>
      <c r="P1022" s="2894"/>
      <c r="Q1022" s="2894"/>
    </row>
    <row r="1023" spans="1:17">
      <c r="A1023" s="2933">
        <f>'Part VIII-Threshold Criteria'!A73</f>
        <v>0</v>
      </c>
      <c r="B1023" s="2933"/>
      <c r="C1023" s="2933"/>
      <c r="D1023" s="2933"/>
      <c r="E1023" s="2933"/>
      <c r="F1023" s="2933"/>
      <c r="G1023" s="2933"/>
      <c r="H1023" s="2933"/>
      <c r="I1023" s="2933"/>
      <c r="J1023" s="2933"/>
      <c r="K1023" s="2933">
        <f>'Part VIII-Threshold Criteria'!K73</f>
        <v>0</v>
      </c>
      <c r="L1023" s="2933"/>
      <c r="M1023" s="2933"/>
      <c r="N1023" s="2933"/>
      <c r="O1023" s="2933"/>
      <c r="P1023" s="2933"/>
      <c r="Q1023" s="2933"/>
    </row>
    <row r="1024" spans="1:17">
      <c r="B1024" s="2992"/>
      <c r="C1024" s="3000"/>
      <c r="D1024" s="3000"/>
      <c r="E1024" s="3000"/>
      <c r="F1024" s="3000"/>
      <c r="G1024" s="3000"/>
      <c r="H1024" s="3000"/>
      <c r="I1024" s="3000"/>
      <c r="J1024" s="3000"/>
      <c r="K1024" s="3000"/>
      <c r="L1024" s="3000"/>
      <c r="M1024" s="3000"/>
      <c r="N1024" s="3000"/>
      <c r="O1024" s="3000"/>
      <c r="P1024" s="3000"/>
      <c r="Q1024" s="2894"/>
    </row>
    <row r="1025" spans="1:17">
      <c r="A1025" s="2874">
        <v>3</v>
      </c>
      <c r="B1025" s="526" t="s">
        <v>1247</v>
      </c>
      <c r="C1025" s="526"/>
      <c r="D1025" s="526"/>
      <c r="E1025" s="3000"/>
      <c r="F1025" s="3000"/>
      <c r="G1025" s="3032" t="s">
        <v>101</v>
      </c>
      <c r="H1025" s="3000"/>
      <c r="K1025" s="3003" t="str">
        <f>'Part I-Project Information'!$H$67</f>
        <v>Family</v>
      </c>
      <c r="L1025" s="3003"/>
      <c r="M1025" s="3003"/>
      <c r="O1025" s="2993" t="s">
        <v>1961</v>
      </c>
      <c r="P1025" s="2897">
        <f>'Part VIII-Threshold Criteria'!P75</f>
        <v>0</v>
      </c>
      <c r="Q1025" s="2897"/>
    </row>
    <row r="1026" spans="1:17">
      <c r="B1026" s="3031" t="s">
        <v>1959</v>
      </c>
      <c r="D1026" s="3031"/>
      <c r="E1026" s="3031"/>
      <c r="F1026" s="3031"/>
      <c r="G1026" s="3031"/>
      <c r="H1026" s="2995"/>
      <c r="I1026" s="2992"/>
      <c r="J1026" s="2992"/>
      <c r="K1026" s="2998" t="s">
        <v>1960</v>
      </c>
      <c r="L1026" s="2894"/>
      <c r="M1026" s="2894"/>
      <c r="N1026" s="2894"/>
      <c r="O1026" s="2894"/>
      <c r="P1026" s="2894"/>
      <c r="Q1026" s="2894"/>
    </row>
    <row r="1027" spans="1:17">
      <c r="A1027" s="2933" t="str">
        <f>'Part VIII-Threshold Criteria'!A77</f>
        <v>The proposed development consits of 96 units targeting families.</v>
      </c>
      <c r="B1027" s="2933"/>
      <c r="C1027" s="2933"/>
      <c r="D1027" s="2933"/>
      <c r="E1027" s="2933"/>
      <c r="F1027" s="2933"/>
      <c r="G1027" s="2933"/>
      <c r="H1027" s="2933"/>
      <c r="I1027" s="2933"/>
      <c r="J1027" s="2933"/>
      <c r="K1027" s="2933">
        <f>'Part VIII-Threshold Criteria'!K77</f>
        <v>0</v>
      </c>
      <c r="L1027" s="2933"/>
      <c r="M1027" s="2933"/>
      <c r="N1027" s="2933"/>
      <c r="O1027" s="2933"/>
      <c r="P1027" s="2933"/>
      <c r="Q1027" s="2933"/>
    </row>
    <row r="1028" spans="1:17">
      <c r="A1028" s="2894"/>
      <c r="B1028" s="2992"/>
      <c r="C1028" s="3000"/>
      <c r="D1028" s="3000"/>
      <c r="E1028" s="3000"/>
      <c r="F1028" s="3000"/>
      <c r="G1028" s="3000"/>
      <c r="H1028" s="3000"/>
      <c r="I1028" s="3000"/>
      <c r="J1028" s="3000"/>
      <c r="K1028" s="3000"/>
      <c r="L1028" s="3000"/>
      <c r="M1028" s="3000"/>
      <c r="N1028" s="3000"/>
      <c r="O1028" s="3000"/>
      <c r="P1028" s="3000"/>
      <c r="Q1028" s="2894"/>
    </row>
    <row r="1029" spans="1:17">
      <c r="A1029" s="2874">
        <v>4</v>
      </c>
      <c r="B1029" s="2874" t="s">
        <v>2790</v>
      </c>
      <c r="C1029" s="3028"/>
      <c r="D1029" s="3000"/>
      <c r="E1029" s="3000"/>
      <c r="F1029" s="3000"/>
      <c r="G1029" s="3000"/>
      <c r="H1029" s="3000"/>
      <c r="I1029" s="3000"/>
      <c r="J1029" s="3000"/>
      <c r="K1029" s="3000"/>
      <c r="L1029" s="3000"/>
      <c r="M1029" s="3000"/>
      <c r="O1029" s="2993" t="s">
        <v>1961</v>
      </c>
      <c r="P1029" s="2897">
        <f>'Part VIII-Threshold Criteria'!P79</f>
        <v>0</v>
      </c>
      <c r="Q1029" s="2897"/>
    </row>
    <row r="1031" spans="1:17">
      <c r="B1031" s="3033" t="s">
        <v>2081</v>
      </c>
      <c r="C1031" s="2933" t="s">
        <v>4590</v>
      </c>
      <c r="D1031" s="2933"/>
      <c r="E1031" s="2933"/>
      <c r="F1031" s="2933"/>
      <c r="G1031" s="2933"/>
      <c r="H1031" s="2933"/>
      <c r="I1031" s="2933"/>
      <c r="J1031" s="2933"/>
      <c r="K1031" s="2933"/>
      <c r="L1031" s="2933"/>
      <c r="M1031" s="2933"/>
      <c r="O1031" s="3034"/>
      <c r="P1031" s="2996" t="str">
        <f>'Part VIII-Threshold Criteria'!P81</f>
        <v>Agree</v>
      </c>
    </row>
    <row r="1032" spans="1:17">
      <c r="B1032" s="3028" t="s">
        <v>2084</v>
      </c>
      <c r="C1032" s="2995" t="s">
        <v>2895</v>
      </c>
      <c r="D1032" s="2995"/>
      <c r="E1032" s="2995"/>
      <c r="F1032" s="2995"/>
      <c r="G1032" s="2995"/>
      <c r="H1032" s="2995"/>
      <c r="I1032" s="2995"/>
      <c r="J1032" s="2995"/>
      <c r="K1032" s="2995"/>
      <c r="L1032" s="2995"/>
      <c r="M1032" s="2995"/>
      <c r="O1032" s="2995"/>
      <c r="P1032" s="2995"/>
      <c r="Q1032" s="2995"/>
    </row>
    <row r="1033" spans="1:17">
      <c r="A1033" s="3035"/>
      <c r="B1033" s="2967" t="s">
        <v>1825</v>
      </c>
      <c r="C1033" s="2995" t="s">
        <v>4229</v>
      </c>
      <c r="E1033" s="2922"/>
      <c r="F1033" s="2922"/>
      <c r="G1033" s="2922"/>
      <c r="H1033" s="523"/>
      <c r="I1033" s="524" t="s">
        <v>2876</v>
      </c>
      <c r="J1033" s="3036" t="str">
        <f>'Part VIII-Threshold Criteria'!J83</f>
        <v>Ongoing game/movie night hosted by management staff</v>
      </c>
      <c r="K1033" s="3036"/>
      <c r="L1033" s="3036"/>
      <c r="M1033" s="3036"/>
      <c r="N1033" s="3036"/>
      <c r="O1033" s="3036"/>
      <c r="P1033" s="3036"/>
      <c r="Q1033" s="3036"/>
    </row>
    <row r="1034" spans="1:17">
      <c r="A1034" s="3035"/>
      <c r="B1034" s="2967" t="s">
        <v>1826</v>
      </c>
      <c r="C1034" s="2995" t="s">
        <v>1899</v>
      </c>
      <c r="E1034" s="2922"/>
      <c r="F1034" s="2922"/>
      <c r="G1034" s="2922"/>
      <c r="H1034" s="523"/>
      <c r="I1034" s="524" t="s">
        <v>2876</v>
      </c>
      <c r="J1034" s="3036" t="str">
        <f>'Part VIII-Threshold Criteria'!J84</f>
        <v>N/A</v>
      </c>
      <c r="K1034" s="3036"/>
      <c r="L1034" s="3036"/>
      <c r="M1034" s="3036"/>
      <c r="N1034" s="3036"/>
      <c r="O1034" s="3036"/>
      <c r="P1034" s="3036"/>
      <c r="Q1034" s="3036"/>
    </row>
    <row r="1035" spans="1:17">
      <c r="A1035" s="3035"/>
      <c r="B1035" s="2967" t="s">
        <v>1827</v>
      </c>
      <c r="C1035" s="2995" t="s">
        <v>3830</v>
      </c>
      <c r="E1035" s="2922"/>
      <c r="F1035" s="2922"/>
      <c r="G1035" s="2922"/>
      <c r="H1035" s="523"/>
      <c r="I1035" s="524" t="s">
        <v>2876</v>
      </c>
      <c r="J1035" s="3036" t="str">
        <f>'Part VIII-Threshold Criteria'!J85</f>
        <v>N/A</v>
      </c>
      <c r="K1035" s="3036"/>
      <c r="L1035" s="3036"/>
      <c r="M1035" s="3036"/>
      <c r="N1035" s="3036"/>
      <c r="O1035" s="3036"/>
      <c r="P1035" s="3036"/>
      <c r="Q1035" s="3036"/>
    </row>
    <row r="1036" spans="1:17">
      <c r="A1036" s="3035"/>
      <c r="B1036" s="2967" t="s">
        <v>2477</v>
      </c>
      <c r="C1036" s="2995" t="s">
        <v>3831</v>
      </c>
      <c r="E1036" s="2922"/>
      <c r="I1036" s="524" t="s">
        <v>2876</v>
      </c>
      <c r="J1036" s="3036" t="str">
        <f>'Part VIII-Threshold Criteria'!J86</f>
        <v>N/A</v>
      </c>
      <c r="K1036" s="3036"/>
      <c r="L1036" s="3036"/>
      <c r="M1036" s="3036"/>
      <c r="N1036" s="3036"/>
      <c r="O1036" s="3036"/>
      <c r="P1036" s="3036"/>
      <c r="Q1036" s="3036"/>
    </row>
    <row r="1037" spans="1:17">
      <c r="A1037" s="3035"/>
      <c r="B1037" s="3028" t="s">
        <v>789</v>
      </c>
      <c r="C1037" s="2995" t="s">
        <v>4173</v>
      </c>
      <c r="D1037" s="2995"/>
      <c r="E1037" s="2922"/>
      <c r="J1037" s="524"/>
      <c r="K1037" s="524"/>
      <c r="L1037" s="524"/>
      <c r="M1037" s="524"/>
      <c r="N1037" s="524"/>
      <c r="O1037" s="524"/>
      <c r="P1037" s="524"/>
      <c r="Q1037" s="524"/>
    </row>
    <row r="1038" spans="1:17">
      <c r="A1038" s="3035"/>
      <c r="B1038" s="2997"/>
      <c r="C1038" s="507" t="s">
        <v>4230</v>
      </c>
      <c r="D1038" s="2925"/>
      <c r="E1038" s="2925"/>
      <c r="F1038" s="2925"/>
      <c r="G1038" s="2925"/>
      <c r="H1038" s="2925"/>
      <c r="I1038" s="523"/>
      <c r="J1038" s="523"/>
      <c r="K1038" s="2967" t="s">
        <v>789</v>
      </c>
      <c r="L1038" s="3037">
        <f>'Part VIII-Threshold Criteria'!L88</f>
        <v>0</v>
      </c>
      <c r="M1038" s="3037"/>
      <c r="N1038" s="3037"/>
      <c r="O1038" s="3037"/>
      <c r="P1038" s="3037"/>
      <c r="Q1038" s="2996">
        <f>'Part VIII-Threshold Criteria'!Q88</f>
        <v>0</v>
      </c>
    </row>
    <row r="1039" spans="1:17">
      <c r="B1039" s="3031" t="s">
        <v>1959</v>
      </c>
      <c r="D1039" s="3031"/>
      <c r="E1039" s="3031"/>
      <c r="F1039" s="3031"/>
      <c r="G1039" s="3031"/>
      <c r="H1039" s="2995"/>
      <c r="I1039" s="2992"/>
      <c r="J1039" s="2992"/>
      <c r="K1039" s="2998" t="s">
        <v>1960</v>
      </c>
      <c r="L1039" s="2894"/>
      <c r="M1039" s="2894"/>
      <c r="N1039" s="2894"/>
      <c r="O1039" s="2894"/>
      <c r="P1039" s="2894"/>
      <c r="Q1039" s="2894"/>
    </row>
    <row r="1040" spans="1:17">
      <c r="A1040" s="2933" t="str">
        <f>'Part VIII-Threshold Criteria'!A90</f>
        <v>The managing agent will provide one onsite social and recreational program overseen by the project manager.</v>
      </c>
      <c r="B1040" s="2933"/>
      <c r="C1040" s="2933"/>
      <c r="D1040" s="2933"/>
      <c r="E1040" s="2933"/>
      <c r="F1040" s="2933"/>
      <c r="G1040" s="2933"/>
      <c r="H1040" s="2933"/>
      <c r="I1040" s="2933"/>
      <c r="J1040" s="2933"/>
      <c r="K1040" s="2933">
        <f>'Part VIII-Threshold Criteria'!K90</f>
        <v>0</v>
      </c>
      <c r="L1040" s="2933"/>
      <c r="M1040" s="2933"/>
      <c r="N1040" s="2933"/>
      <c r="O1040" s="2933"/>
      <c r="P1040" s="2933"/>
      <c r="Q1040" s="2933"/>
    </row>
    <row r="1041" spans="1:17">
      <c r="A1041" s="2894"/>
      <c r="B1041" s="2992"/>
      <c r="C1041" s="3000"/>
      <c r="D1041" s="3000"/>
      <c r="E1041" s="3000"/>
      <c r="F1041" s="3000"/>
      <c r="G1041" s="3000"/>
      <c r="H1041" s="3000"/>
      <c r="I1041" s="3000"/>
      <c r="J1041" s="3000"/>
      <c r="K1041" s="3000"/>
      <c r="L1041" s="3000"/>
      <c r="M1041" s="3000"/>
      <c r="N1041" s="3000"/>
      <c r="O1041" s="3000"/>
      <c r="P1041" s="3000"/>
      <c r="Q1041" s="2894"/>
    </row>
    <row r="1042" spans="1:17">
      <c r="A1042" s="2874">
        <v>5</v>
      </c>
      <c r="B1042" s="2874" t="s">
        <v>2791</v>
      </c>
      <c r="C1042" s="2874"/>
      <c r="D1042" s="3000"/>
      <c r="E1042" s="3000"/>
      <c r="F1042" s="3000"/>
      <c r="G1042" s="3000"/>
      <c r="H1042" s="3000"/>
      <c r="I1042" s="3000"/>
      <c r="J1042" s="3000"/>
      <c r="K1042" s="3000"/>
      <c r="O1042" s="2993" t="s">
        <v>1961</v>
      </c>
      <c r="P1042" s="2897">
        <f>'Part VIII-Threshold Criteria'!P92</f>
        <v>0</v>
      </c>
      <c r="Q1042" s="2897"/>
    </row>
    <row r="1044" spans="1:17">
      <c r="B1044" s="2997" t="s">
        <v>2081</v>
      </c>
      <c r="C1044" s="507" t="s">
        <v>2581</v>
      </c>
      <c r="D1044" s="2925"/>
      <c r="E1044" s="2925"/>
      <c r="F1044" s="2925"/>
      <c r="G1044" s="2925"/>
      <c r="H1044" s="2925"/>
      <c r="I1044" s="523"/>
      <c r="J1044" s="523"/>
      <c r="K1044" s="523"/>
      <c r="L1044" s="2967" t="s">
        <v>2081</v>
      </c>
      <c r="M1044" s="3037" t="str">
        <f>'Part VIII-Threshold Criteria'!M94</f>
        <v>John Wall and Associates</v>
      </c>
      <c r="N1044" s="3037"/>
      <c r="O1044" s="3037"/>
      <c r="P1044" s="3038"/>
      <c r="Q1044" s="2996">
        <f>'Part VIII-Threshold Criteria'!Q94</f>
        <v>0</v>
      </c>
    </row>
    <row r="1045" spans="1:17">
      <c r="B1045" s="2997" t="s">
        <v>2084</v>
      </c>
      <c r="C1045" s="524" t="s">
        <v>2136</v>
      </c>
      <c r="D1045" s="2925"/>
      <c r="E1045" s="2925"/>
      <c r="F1045" s="2925"/>
      <c r="L1045" s="2967" t="s">
        <v>2084</v>
      </c>
      <c r="M1045" s="3037" t="str">
        <f>'Part VIII-Threshold Criteria'!M95</f>
        <v>9 to 11 months</v>
      </c>
      <c r="N1045" s="3037"/>
      <c r="O1045" s="3037"/>
      <c r="P1045" s="3038"/>
      <c r="Q1045" s="2996">
        <f>'Part VIII-Threshold Criteria'!Q95</f>
        <v>0</v>
      </c>
    </row>
    <row r="1046" spans="1:17">
      <c r="B1046" s="2997" t="s">
        <v>789</v>
      </c>
      <c r="C1046" s="524" t="s">
        <v>3265</v>
      </c>
      <c r="D1046" s="2925"/>
      <c r="E1046" s="2925"/>
      <c r="F1046" s="2925"/>
      <c r="L1046" s="2967" t="s">
        <v>789</v>
      </c>
      <c r="M1046" s="3039">
        <f>'Part VIII-Threshold Criteria'!M96</f>
        <v>4.1000000000000002E-2</v>
      </c>
      <c r="N1046" s="3039"/>
      <c r="O1046" s="3039"/>
      <c r="P1046" s="3040"/>
      <c r="Q1046" s="2996">
        <f>'Part VIII-Threshold Criteria'!Q96</f>
        <v>0</v>
      </c>
    </row>
    <row r="1047" spans="1:17">
      <c r="B1047" s="2997" t="s">
        <v>2216</v>
      </c>
      <c r="C1047" s="524" t="s">
        <v>2582</v>
      </c>
      <c r="D1047" s="2925"/>
      <c r="E1047" s="2925"/>
      <c r="F1047" s="2925"/>
      <c r="L1047" s="2967" t="s">
        <v>2216</v>
      </c>
      <c r="M1047" s="3039">
        <f>'Part VIII-Threshold Criteria'!M97</f>
        <v>3.5000000000000003E-2</v>
      </c>
      <c r="N1047" s="3039"/>
      <c r="O1047" s="3039"/>
      <c r="P1047" s="3040"/>
      <c r="Q1047" s="2996">
        <f>'Part VIII-Threshold Criteria'!Q97</f>
        <v>0</v>
      </c>
    </row>
    <row r="1048" spans="1:17">
      <c r="B1048" s="2994" t="s">
        <v>1823</v>
      </c>
      <c r="C1048" s="2933" t="s">
        <v>4078</v>
      </c>
      <c r="D1048" s="2933"/>
      <c r="E1048" s="2933"/>
      <c r="F1048" s="2933"/>
      <c r="G1048" s="2933"/>
      <c r="H1048" s="2933"/>
      <c r="I1048" s="2933"/>
      <c r="J1048" s="2933"/>
      <c r="K1048" s="2933"/>
      <c r="L1048" s="2933"/>
      <c r="M1048" s="2933"/>
      <c r="N1048" s="2933"/>
      <c r="O1048" s="2933"/>
      <c r="P1048" s="2933"/>
      <c r="Q1048" s="2933"/>
    </row>
    <row r="1049" spans="1:17">
      <c r="B1049" s="2997"/>
      <c r="C1049" s="524"/>
      <c r="D1049" s="2992" t="s">
        <v>2492</v>
      </c>
      <c r="E1049" s="2995" t="s">
        <v>648</v>
      </c>
      <c r="F1049" s="2995"/>
      <c r="H1049" s="524"/>
      <c r="I1049" s="2992" t="s">
        <v>2492</v>
      </c>
      <c r="J1049" s="2995" t="s">
        <v>648</v>
      </c>
      <c r="K1049" s="2995"/>
      <c r="M1049" s="524"/>
      <c r="N1049" s="2992" t="s">
        <v>2492</v>
      </c>
      <c r="O1049" s="2995" t="s">
        <v>648</v>
      </c>
      <c r="P1049" s="2995"/>
      <c r="Q1049" s="2967"/>
    </row>
    <row r="1050" spans="1:17">
      <c r="B1050" s="2997"/>
      <c r="C1050" s="524">
        <v>1</v>
      </c>
      <c r="D1050" s="2996" t="str">
        <f>'Part VIII-Threshold Criteria'!D100</f>
        <v>N/A</v>
      </c>
      <c r="E1050" s="3037">
        <f>'Part VIII-Threshold Criteria'!E100</f>
        <v>0</v>
      </c>
      <c r="F1050" s="3037"/>
      <c r="G1050" s="3037"/>
      <c r="H1050" s="524">
        <v>3</v>
      </c>
      <c r="I1050" s="2996" t="str">
        <f>'Part VIII-Threshold Criteria'!I100</f>
        <v>N/A</v>
      </c>
      <c r="J1050" s="3037">
        <f>'Part VIII-Threshold Criteria'!J100</f>
        <v>0</v>
      </c>
      <c r="K1050" s="3037"/>
      <c r="L1050" s="3037"/>
      <c r="M1050" s="524">
        <v>5</v>
      </c>
      <c r="N1050" s="2996" t="str">
        <f>'Part VIII-Threshold Criteria'!N100</f>
        <v>N/A</v>
      </c>
      <c r="O1050" s="3037">
        <f>'Part VIII-Threshold Criteria'!O100</f>
        <v>0</v>
      </c>
      <c r="P1050" s="3037"/>
      <c r="Q1050" s="3037"/>
    </row>
    <row r="1051" spans="1:17">
      <c r="B1051" s="2997"/>
      <c r="C1051" s="524">
        <v>2</v>
      </c>
      <c r="D1051" s="2996" t="str">
        <f>'Part VIII-Threshold Criteria'!D101</f>
        <v>N/A</v>
      </c>
      <c r="E1051" s="3037">
        <f>'Part VIII-Threshold Criteria'!E101</f>
        <v>0</v>
      </c>
      <c r="F1051" s="3037"/>
      <c r="G1051" s="3037"/>
      <c r="H1051" s="524">
        <v>4</v>
      </c>
      <c r="I1051" s="2996" t="str">
        <f>'Part VIII-Threshold Criteria'!I101</f>
        <v>N/A</v>
      </c>
      <c r="J1051" s="3037">
        <f>'Part VIII-Threshold Criteria'!J101</f>
        <v>0</v>
      </c>
      <c r="K1051" s="3037"/>
      <c r="L1051" s="3037"/>
      <c r="M1051" s="524">
        <v>6</v>
      </c>
      <c r="N1051" s="2996" t="str">
        <f>'Part VIII-Threshold Criteria'!N101</f>
        <v>N/A</v>
      </c>
      <c r="O1051" s="3037">
        <f>'Part VIII-Threshold Criteria'!O101</f>
        <v>0</v>
      </c>
      <c r="P1051" s="3037"/>
      <c r="Q1051" s="3037"/>
    </row>
    <row r="1052" spans="1:17">
      <c r="B1052" s="2997" t="s">
        <v>1824</v>
      </c>
      <c r="C1052" s="524" t="s">
        <v>0</v>
      </c>
      <c r="D1052" s="2925"/>
      <c r="E1052" s="2925"/>
      <c r="F1052" s="2925"/>
      <c r="G1052" s="2925"/>
      <c r="H1052" s="2925"/>
      <c r="I1052" s="523"/>
      <c r="J1052" s="523"/>
      <c r="K1052" s="2925"/>
      <c r="L1052" s="2922"/>
      <c r="M1052" s="2922"/>
      <c r="O1052" s="2967" t="s">
        <v>1824</v>
      </c>
      <c r="P1052" s="2996">
        <f>'Part VIII-Threshold Criteria'!P102</f>
        <v>0</v>
      </c>
      <c r="Q1052" s="2996">
        <f>'Part VIII-Threshold Criteria'!Q102</f>
        <v>0</v>
      </c>
    </row>
    <row r="1053" spans="1:17">
      <c r="B1053" s="3031" t="s">
        <v>1959</v>
      </c>
      <c r="D1053" s="3031"/>
      <c r="E1053" s="3031"/>
      <c r="F1053" s="3031"/>
      <c r="G1053" s="3031"/>
      <c r="H1053" s="2995"/>
      <c r="I1053" s="2992"/>
      <c r="J1053" s="2992"/>
      <c r="K1053" s="2992"/>
      <c r="L1053" s="2894"/>
      <c r="M1053" s="2894"/>
      <c r="N1053" s="2894"/>
      <c r="O1053" s="2894"/>
      <c r="P1053" s="2894"/>
      <c r="Q1053" s="2894"/>
    </row>
    <row r="1054" spans="1:17">
      <c r="A1054" s="2933" t="str">
        <f>'Part VIII-Threshold Criteria'!A104</f>
        <v>There are no DCA tax credit projects inside a 2-mile radius of the proposed project for years 2013 or 2014.  The market analyst points out in the study (included in Tab 05) that the proposed site is  located in a suitable neighborhood with a strong demand for the proposed development.  It is also stated in the market study that the proposed bedroom mix is good for the market, the proposed development's value should be perceived as very good, and the affordability is good. Please also note that the City of Centerville has never received a LIHTC development.</v>
      </c>
      <c r="B1054" s="2933"/>
      <c r="C1054" s="2933"/>
      <c r="D1054" s="2933"/>
      <c r="E1054" s="2933"/>
      <c r="F1054" s="2933"/>
      <c r="G1054" s="2933"/>
      <c r="H1054" s="2933"/>
      <c r="I1054" s="2933"/>
      <c r="J1054" s="2933"/>
      <c r="K1054" s="2933"/>
      <c r="L1054" s="2933"/>
      <c r="M1054" s="2933"/>
      <c r="N1054" s="2933"/>
      <c r="O1054" s="2933"/>
      <c r="P1054" s="2933"/>
      <c r="Q1054" s="2933"/>
    </row>
    <row r="1055" spans="1:17">
      <c r="B1055" s="2998" t="s">
        <v>1960</v>
      </c>
      <c r="C1055" s="2999"/>
      <c r="D1055" s="3000"/>
      <c r="E1055" s="3000"/>
      <c r="F1055" s="3000"/>
      <c r="G1055" s="3000"/>
      <c r="H1055" s="3000"/>
      <c r="I1055" s="3000"/>
      <c r="J1055" s="3000"/>
      <c r="K1055" s="3000"/>
      <c r="L1055" s="3000"/>
      <c r="M1055" s="3000"/>
      <c r="N1055" s="3000"/>
      <c r="O1055" s="3000"/>
      <c r="P1055" s="3000"/>
    </row>
    <row r="1056" spans="1:17">
      <c r="A1056" s="2933">
        <f>'Part VIII-Threshold Criteria'!A106</f>
        <v>0</v>
      </c>
      <c r="B1056" s="2933"/>
      <c r="C1056" s="2933"/>
      <c r="D1056" s="2933"/>
      <c r="E1056" s="2933"/>
      <c r="F1056" s="2933"/>
      <c r="G1056" s="2933"/>
      <c r="H1056" s="2933"/>
      <c r="I1056" s="2933"/>
      <c r="J1056" s="2933"/>
      <c r="K1056" s="2933"/>
      <c r="L1056" s="2933"/>
      <c r="M1056" s="2933"/>
      <c r="N1056" s="2933"/>
      <c r="O1056" s="2933"/>
      <c r="P1056" s="2933"/>
      <c r="Q1056" s="2933"/>
    </row>
    <row r="1057" spans="1:17">
      <c r="A1057" s="2874">
        <v>6</v>
      </c>
      <c r="B1057" s="2874" t="s">
        <v>2792</v>
      </c>
      <c r="C1057" s="2874"/>
      <c r="D1057" s="3000"/>
      <c r="E1057" s="3000"/>
      <c r="F1057" s="3000"/>
      <c r="G1057" s="3000"/>
      <c r="H1057" s="3000"/>
      <c r="I1057" s="3000"/>
      <c r="J1057" s="3000"/>
      <c r="K1057" s="3000"/>
      <c r="L1057" s="3000"/>
      <c r="M1057" s="3000"/>
      <c r="O1057" s="2993" t="s">
        <v>1961</v>
      </c>
      <c r="P1057" s="2897">
        <f>'Part VIII-Threshold Criteria'!P107</f>
        <v>0</v>
      </c>
      <c r="Q1057" s="2897"/>
    </row>
    <row r="1059" spans="1:17">
      <c r="B1059" s="2997" t="s">
        <v>2081</v>
      </c>
      <c r="C1059" s="524" t="s">
        <v>516</v>
      </c>
      <c r="D1059" s="524"/>
      <c r="E1059" s="524"/>
      <c r="F1059" s="524"/>
      <c r="G1059" s="524"/>
      <c r="H1059" s="524"/>
      <c r="I1059" s="524"/>
      <c r="J1059" s="524"/>
      <c r="K1059" s="524"/>
      <c r="L1059" s="524"/>
      <c r="M1059" s="524"/>
      <c r="O1059" s="2967" t="s">
        <v>2081</v>
      </c>
      <c r="P1059" s="2996" t="str">
        <f>'Part VIII-Threshold Criteria'!P109</f>
        <v>No</v>
      </c>
      <c r="Q1059" s="2996">
        <f>'Part VIII-Threshold Criteria'!Q109</f>
        <v>0</v>
      </c>
    </row>
    <row r="1060" spans="1:17">
      <c r="B1060" s="2997" t="s">
        <v>2084</v>
      </c>
      <c r="C1060" s="524" t="s">
        <v>1369</v>
      </c>
      <c r="D1060" s="524"/>
      <c r="E1060" s="524"/>
      <c r="F1060" s="524"/>
      <c r="G1060" s="524"/>
      <c r="H1060" s="524"/>
      <c r="I1060" s="524"/>
      <c r="J1060" s="524"/>
      <c r="K1060" s="524"/>
      <c r="L1060" s="2995"/>
      <c r="M1060" s="2995"/>
      <c r="O1060" s="2967" t="s">
        <v>2084</v>
      </c>
      <c r="P1060" s="2996" t="str">
        <f>'Part VIII-Threshold Criteria'!P110</f>
        <v>No</v>
      </c>
      <c r="Q1060" s="2996">
        <f>'Part VIII-Threshold Criteria'!Q110</f>
        <v>0</v>
      </c>
    </row>
    <row r="1061" spans="1:17">
      <c r="A1061" s="3041"/>
      <c r="B1061" s="524"/>
      <c r="D1061" s="524" t="s">
        <v>578</v>
      </c>
      <c r="E1061" s="523"/>
      <c r="F1061" s="523"/>
      <c r="G1061" s="523"/>
      <c r="H1061" s="523"/>
      <c r="I1061" s="523"/>
      <c r="L1061" s="2967" t="s">
        <v>579</v>
      </c>
      <c r="M1061" s="3037" t="str">
        <f>'Part VIII-Threshold Criteria'!M111</f>
        <v>N/A</v>
      </c>
      <c r="N1061" s="3037"/>
      <c r="O1061" s="3037"/>
      <c r="P1061" s="3038"/>
      <c r="Q1061" s="2996">
        <f>'Part VIII-Threshold Criteria'!Q111</f>
        <v>0</v>
      </c>
    </row>
    <row r="1062" spans="1:17">
      <c r="A1062" s="3035"/>
      <c r="B1062" s="2992"/>
      <c r="C1062" s="3042" t="s">
        <v>1825</v>
      </c>
      <c r="D1062" s="2921" t="s">
        <v>4174</v>
      </c>
      <c r="E1062" s="3043"/>
      <c r="F1062" s="3043"/>
      <c r="G1062" s="3043"/>
      <c r="H1062" s="3043"/>
      <c r="I1062" s="3043"/>
      <c r="J1062" s="3043"/>
      <c r="K1062" s="3043"/>
      <c r="L1062" s="3043"/>
      <c r="M1062" s="3043"/>
      <c r="N1062" s="3043"/>
      <c r="O1062" s="3042" t="s">
        <v>1825</v>
      </c>
      <c r="P1062" s="2996">
        <f>'Part VIII-Threshold Criteria'!P112</f>
        <v>0</v>
      </c>
      <c r="Q1062" s="2996">
        <f>'Part VIII-Threshold Criteria'!Q112</f>
        <v>0</v>
      </c>
    </row>
    <row r="1063" spans="1:17">
      <c r="A1063" s="3035"/>
      <c r="B1063" s="2992"/>
      <c r="C1063" s="2967" t="s">
        <v>1826</v>
      </c>
      <c r="D1063" s="2921" t="s">
        <v>4175</v>
      </c>
      <c r="E1063" s="3043"/>
      <c r="F1063" s="3043"/>
      <c r="G1063" s="3043"/>
      <c r="H1063" s="3043"/>
      <c r="I1063" s="3043"/>
      <c r="J1063" s="3043"/>
      <c r="K1063" s="3043"/>
      <c r="L1063" s="3043"/>
      <c r="M1063" s="3043"/>
      <c r="N1063" s="3043"/>
      <c r="O1063" s="2967" t="s">
        <v>1826</v>
      </c>
      <c r="P1063" s="2996">
        <f>'Part VIII-Threshold Criteria'!P113</f>
        <v>0</v>
      </c>
      <c r="Q1063" s="2996">
        <f>'Part VIII-Threshold Criteria'!Q113</f>
        <v>0</v>
      </c>
    </row>
    <row r="1064" spans="1:17">
      <c r="A1064" s="3035"/>
      <c r="B1064" s="2992"/>
      <c r="C1064" s="3042" t="s">
        <v>1827</v>
      </c>
      <c r="D1064" s="524" t="s">
        <v>3266</v>
      </c>
      <c r="E1064" s="524"/>
      <c r="F1064" s="524"/>
      <c r="G1064" s="524"/>
      <c r="H1064" s="524"/>
      <c r="I1064" s="524"/>
      <c r="J1064" s="524"/>
      <c r="K1064" s="524"/>
      <c r="L1064" s="524"/>
      <c r="M1064" s="524"/>
      <c r="O1064" s="3042" t="s">
        <v>1827</v>
      </c>
      <c r="P1064" s="2996">
        <f>'Part VIII-Threshold Criteria'!P114</f>
        <v>0</v>
      </c>
      <c r="Q1064" s="2996">
        <f>'Part VIII-Threshold Criteria'!Q114</f>
        <v>0</v>
      </c>
    </row>
    <row r="1065" spans="1:17">
      <c r="A1065" s="3035"/>
      <c r="B1065" s="3044"/>
      <c r="C1065" s="3042" t="s">
        <v>2477</v>
      </c>
      <c r="D1065" s="2933" t="s">
        <v>2846</v>
      </c>
      <c r="E1065" s="2933"/>
      <c r="F1065" s="2933"/>
      <c r="G1065" s="2933"/>
      <c r="H1065" s="2933"/>
      <c r="I1065" s="2933"/>
      <c r="J1065" s="2933"/>
      <c r="K1065" s="2933"/>
      <c r="L1065" s="2933"/>
      <c r="M1065" s="2933"/>
      <c r="N1065" s="2933"/>
      <c r="O1065" s="3042" t="s">
        <v>2477</v>
      </c>
      <c r="P1065" s="2996">
        <f>'Part VIII-Threshold Criteria'!P115</f>
        <v>0</v>
      </c>
      <c r="Q1065" s="2996">
        <f>'Part VIII-Threshold Criteria'!Q115</f>
        <v>0</v>
      </c>
    </row>
    <row r="1066" spans="1:17">
      <c r="B1066" s="2997" t="s">
        <v>789</v>
      </c>
      <c r="C1066" s="524" t="s">
        <v>148</v>
      </c>
      <c r="D1066" s="524"/>
      <c r="E1066" s="524"/>
      <c r="F1066" s="524"/>
      <c r="G1066" s="524"/>
      <c r="H1066" s="524"/>
      <c r="I1066" s="524"/>
      <c r="J1066" s="524"/>
      <c r="K1066" s="524"/>
      <c r="L1066" s="524"/>
      <c r="M1066" s="524"/>
      <c r="O1066" s="2967" t="s">
        <v>789</v>
      </c>
      <c r="P1066" s="2996" t="str">
        <f>'Part VIII-Threshold Criteria'!P116</f>
        <v>No</v>
      </c>
      <c r="Q1066" s="2996">
        <f>'Part VIII-Threshold Criteria'!Q116</f>
        <v>0</v>
      </c>
    </row>
    <row r="1067" spans="1:17">
      <c r="B1067" s="2997" t="s">
        <v>2216</v>
      </c>
      <c r="C1067" s="524" t="s">
        <v>1500</v>
      </c>
      <c r="D1067" s="524"/>
      <c r="E1067" s="524"/>
      <c r="G1067" s="524"/>
      <c r="I1067" s="524"/>
      <c r="K1067" s="524"/>
      <c r="L1067" s="2995"/>
      <c r="M1067" s="2995"/>
      <c r="N1067" s="2995"/>
      <c r="O1067" s="2995"/>
      <c r="P1067" s="2995"/>
      <c r="Q1067" s="2995"/>
    </row>
    <row r="1068" spans="1:17">
      <c r="B1068" s="2997"/>
      <c r="C1068" s="2967" t="s">
        <v>1825</v>
      </c>
      <c r="D1068" s="524" t="s">
        <v>1501</v>
      </c>
      <c r="E1068" s="524"/>
      <c r="F1068" s="524"/>
      <c r="G1068" s="524"/>
      <c r="H1068" s="524"/>
      <c r="I1068" s="524"/>
      <c r="J1068" s="524"/>
      <c r="K1068" s="524"/>
      <c r="L1068" s="2995"/>
      <c r="M1068" s="2995"/>
      <c r="O1068" s="2967" t="s">
        <v>1825</v>
      </c>
      <c r="P1068" s="2996" t="str">
        <f>'Part VIII-Threshold Criteria'!P118</f>
        <v>No</v>
      </c>
      <c r="Q1068" s="2996">
        <f>'Part VIII-Threshold Criteria'!Q118</f>
        <v>0</v>
      </c>
    </row>
    <row r="1069" spans="1:17">
      <c r="B1069" s="2997"/>
      <c r="C1069" s="2967" t="s">
        <v>1826</v>
      </c>
      <c r="D1069" s="524" t="s">
        <v>1502</v>
      </c>
      <c r="E1069" s="524"/>
      <c r="F1069" s="524"/>
      <c r="G1069" s="524"/>
      <c r="H1069" s="524"/>
      <c r="I1069" s="524"/>
      <c r="J1069" s="524"/>
      <c r="K1069" s="524"/>
      <c r="L1069" s="2995"/>
      <c r="M1069" s="2995"/>
      <c r="O1069" s="2967" t="s">
        <v>1826</v>
      </c>
      <c r="P1069" s="2996" t="str">
        <f>'Part VIII-Threshold Criteria'!P119</f>
        <v>No</v>
      </c>
      <c r="Q1069" s="2996">
        <f>'Part VIII-Threshold Criteria'!Q119</f>
        <v>0</v>
      </c>
    </row>
    <row r="1070" spans="1:17">
      <c r="B1070" s="2997"/>
      <c r="C1070" s="2967" t="s">
        <v>1827</v>
      </c>
      <c r="D1070" s="524" t="s">
        <v>1503</v>
      </c>
      <c r="E1070" s="524"/>
      <c r="F1070" s="524"/>
      <c r="G1070" s="524"/>
      <c r="H1070" s="524"/>
      <c r="I1070" s="524"/>
      <c r="J1070" s="524"/>
      <c r="K1070" s="524"/>
      <c r="L1070" s="2995"/>
      <c r="M1070" s="2995"/>
      <c r="O1070" s="2967" t="s">
        <v>1827</v>
      </c>
      <c r="P1070" s="2996" t="str">
        <f>'Part VIII-Threshold Criteria'!P120</f>
        <v>No</v>
      </c>
      <c r="Q1070" s="2996">
        <f>'Part VIII-Threshold Criteria'!Q120</f>
        <v>0</v>
      </c>
    </row>
    <row r="1071" spans="1:17">
      <c r="B1071" s="3031" t="s">
        <v>1959</v>
      </c>
      <c r="D1071" s="3031"/>
      <c r="E1071" s="3031"/>
      <c r="F1071" s="3031"/>
      <c r="G1071" s="3031"/>
      <c r="H1071" s="2995"/>
      <c r="I1071" s="2992"/>
      <c r="J1071" s="2992"/>
      <c r="K1071" s="2992"/>
      <c r="L1071" s="2894"/>
      <c r="M1071" s="2894"/>
      <c r="N1071" s="2894"/>
      <c r="O1071" s="2894"/>
      <c r="P1071" s="2894"/>
      <c r="Q1071" s="2894"/>
    </row>
    <row r="1072" spans="1:17">
      <c r="A1072" s="2933">
        <f>'Part VIII-Threshold Criteria'!A122</f>
        <v>0</v>
      </c>
      <c r="B1072" s="2933"/>
      <c r="C1072" s="2933"/>
      <c r="D1072" s="2933"/>
      <c r="E1072" s="2933"/>
      <c r="F1072" s="2933"/>
      <c r="G1072" s="2933"/>
      <c r="H1072" s="2933"/>
      <c r="I1072" s="2933"/>
      <c r="J1072" s="2933"/>
      <c r="K1072" s="2933"/>
      <c r="L1072" s="2933"/>
      <c r="M1072" s="2933"/>
      <c r="N1072" s="2933"/>
      <c r="O1072" s="2933"/>
      <c r="P1072" s="2933"/>
      <c r="Q1072" s="2933"/>
    </row>
    <row r="1073" spans="1:17">
      <c r="B1073" s="2998" t="s">
        <v>1960</v>
      </c>
      <c r="C1073" s="2999"/>
      <c r="D1073" s="3000"/>
      <c r="E1073" s="3000"/>
      <c r="F1073" s="3000"/>
      <c r="G1073" s="3000"/>
      <c r="H1073" s="3000"/>
      <c r="I1073" s="3000"/>
      <c r="J1073" s="3000"/>
      <c r="K1073" s="3000"/>
      <c r="L1073" s="3000"/>
      <c r="M1073" s="3000"/>
      <c r="N1073" s="3000"/>
      <c r="O1073" s="3000"/>
      <c r="P1073" s="3000"/>
    </row>
    <row r="1074" spans="1:17">
      <c r="A1074" s="2933">
        <f>'Part VIII-Threshold Criteria'!A124</f>
        <v>0</v>
      </c>
      <c r="B1074" s="2933"/>
      <c r="C1074" s="2933"/>
      <c r="D1074" s="2933"/>
      <c r="E1074" s="2933"/>
      <c r="F1074" s="2933"/>
      <c r="G1074" s="2933"/>
      <c r="H1074" s="2933"/>
      <c r="I1074" s="2933"/>
      <c r="J1074" s="2933"/>
      <c r="K1074" s="2933"/>
      <c r="L1074" s="2933"/>
      <c r="M1074" s="2933"/>
      <c r="N1074" s="2933"/>
      <c r="O1074" s="2933"/>
      <c r="P1074" s="2933"/>
      <c r="Q1074" s="2933"/>
    </row>
    <row r="1075" spans="1:17">
      <c r="A1075" s="2894"/>
      <c r="B1075" s="2992"/>
      <c r="C1075" s="3000"/>
      <c r="D1075" s="3000"/>
      <c r="E1075" s="3000"/>
      <c r="F1075" s="3000"/>
      <c r="G1075" s="3000"/>
      <c r="H1075" s="3000"/>
      <c r="I1075" s="3000"/>
      <c r="J1075" s="3000"/>
      <c r="K1075" s="3000"/>
      <c r="L1075" s="3000"/>
      <c r="M1075" s="3000"/>
      <c r="N1075" s="3000"/>
      <c r="O1075" s="3000"/>
      <c r="P1075" s="3000"/>
      <c r="Q1075" s="2894"/>
    </row>
    <row r="1076" spans="1:17">
      <c r="A1076" s="2874">
        <v>7</v>
      </c>
      <c r="B1076" s="2874" t="s">
        <v>2793</v>
      </c>
      <c r="C1076" s="2995"/>
      <c r="D1076" s="3000"/>
      <c r="E1076" s="3000"/>
      <c r="F1076" s="3000"/>
      <c r="G1076" s="3000"/>
      <c r="H1076" s="3000"/>
      <c r="I1076" s="3000"/>
      <c r="J1076" s="3000"/>
      <c r="K1076" s="3000"/>
      <c r="L1076" s="3000"/>
      <c r="M1076" s="3000"/>
      <c r="O1076" s="2993" t="s">
        <v>1961</v>
      </c>
      <c r="P1076" s="2897">
        <f>'Part VIII-Threshold Criteria'!P126</f>
        <v>0</v>
      </c>
      <c r="Q1076" s="2897"/>
    </row>
    <row r="1078" spans="1:17">
      <c r="B1078" s="2997" t="s">
        <v>2081</v>
      </c>
      <c r="C1078" s="524" t="s">
        <v>4176</v>
      </c>
      <c r="D1078" s="2925"/>
      <c r="E1078" s="2925"/>
      <c r="F1078" s="2925"/>
      <c r="G1078" s="2925"/>
      <c r="H1078" s="2925"/>
      <c r="I1078" s="523"/>
      <c r="J1078" s="523"/>
      <c r="K1078" s="523"/>
      <c r="L1078" s="2967" t="s">
        <v>2081</v>
      </c>
      <c r="M1078" s="3037" t="str">
        <f>'Part VIII-Threshold Criteria'!M128</f>
        <v>United Consulting</v>
      </c>
      <c r="N1078" s="3037"/>
      <c r="O1078" s="3037"/>
      <c r="P1078" s="3038"/>
      <c r="Q1078" s="2996">
        <f>'Part VIII-Threshold Criteria'!Q128</f>
        <v>0</v>
      </c>
    </row>
    <row r="1079" spans="1:17">
      <c r="B1079" s="2997" t="s">
        <v>2084</v>
      </c>
      <c r="C1079" s="524" t="s">
        <v>1614</v>
      </c>
      <c r="D1079" s="2925"/>
      <c r="E1079" s="2925"/>
      <c r="F1079" s="2925"/>
      <c r="G1079" s="2925"/>
      <c r="H1079" s="2925"/>
      <c r="I1079" s="523"/>
      <c r="J1079" s="523"/>
      <c r="K1079" s="2925"/>
      <c r="L1079" s="2925"/>
      <c r="M1079" s="2922"/>
      <c r="O1079" s="2967" t="s">
        <v>2084</v>
      </c>
      <c r="P1079" s="2996" t="str">
        <f>'Part VIII-Threshold Criteria'!P129</f>
        <v>Yes</v>
      </c>
      <c r="Q1079" s="2996">
        <f>'Part VIII-Threshold Criteria'!Q129</f>
        <v>0</v>
      </c>
    </row>
    <row r="1080" spans="1:17">
      <c r="B1080" s="2997" t="s">
        <v>789</v>
      </c>
      <c r="C1080" s="524" t="s">
        <v>156</v>
      </c>
      <c r="D1080" s="2925"/>
      <c r="E1080" s="2925"/>
      <c r="F1080" s="2925"/>
      <c r="G1080" s="2925"/>
      <c r="H1080" s="2925"/>
      <c r="I1080" s="523"/>
      <c r="J1080" s="523"/>
      <c r="K1080" s="2925"/>
      <c r="L1080" s="2922"/>
      <c r="M1080" s="2922"/>
      <c r="O1080" s="2967" t="s">
        <v>789</v>
      </c>
      <c r="P1080" s="2996" t="str">
        <f>'Part VIII-Threshold Criteria'!P130</f>
        <v>Yes</v>
      </c>
      <c r="Q1080" s="2996">
        <f>'Part VIII-Threshold Criteria'!Q130</f>
        <v>0</v>
      </c>
    </row>
    <row r="1081" spans="1:17">
      <c r="B1081" s="2997"/>
      <c r="C1081" s="2967" t="s">
        <v>1825</v>
      </c>
      <c r="D1081" s="524" t="s">
        <v>2845</v>
      </c>
      <c r="E1081" s="2925"/>
      <c r="F1081" s="2925"/>
      <c r="G1081" s="2925"/>
      <c r="H1081" s="2925"/>
      <c r="I1081" s="523"/>
      <c r="J1081" s="523"/>
      <c r="K1081" s="2925"/>
      <c r="L1081" s="2967" t="s">
        <v>1825</v>
      </c>
      <c r="M1081" s="3037" t="str">
        <f>'Part VIII-Threshold Criteria'!M131</f>
        <v>Harry Walls Environmental Consulting</v>
      </c>
      <c r="N1081" s="3037"/>
      <c r="O1081" s="3037"/>
      <c r="P1081" s="3038"/>
      <c r="Q1081" s="2996">
        <f>'Part VIII-Threshold Criteria'!Q131</f>
        <v>0</v>
      </c>
    </row>
    <row r="1082" spans="1:17">
      <c r="B1082" s="3045"/>
      <c r="C1082" s="2967" t="s">
        <v>1826</v>
      </c>
      <c r="D1082" s="524" t="s">
        <v>4177</v>
      </c>
      <c r="E1082" s="523"/>
      <c r="F1082" s="523"/>
      <c r="G1082" s="523"/>
      <c r="H1082" s="524"/>
      <c r="I1082" s="523"/>
      <c r="J1082" s="523"/>
      <c r="K1082" s="2925"/>
      <c r="L1082" s="2922"/>
      <c r="M1082" s="2922"/>
      <c r="O1082" s="2967" t="s">
        <v>1826</v>
      </c>
      <c r="P1082" s="2996">
        <f>'Part VIII-Threshold Criteria'!P132</f>
        <v>68</v>
      </c>
      <c r="Q1082" s="2996">
        <f>'Part VIII-Threshold Criteria'!Q132</f>
        <v>0</v>
      </c>
    </row>
    <row r="1083" spans="1:17">
      <c r="B1083" s="3045"/>
      <c r="C1083" s="2967" t="s">
        <v>1827</v>
      </c>
      <c r="D1083" s="524" t="s">
        <v>1450</v>
      </c>
      <c r="E1083" s="523"/>
      <c r="F1083" s="523"/>
      <c r="G1083" s="523"/>
      <c r="H1083" s="524"/>
      <c r="I1083" s="523"/>
      <c r="J1083" s="523"/>
      <c r="K1083" s="2925"/>
      <c r="L1083" s="2922"/>
      <c r="M1083" s="2922"/>
      <c r="N1083" s="2922"/>
      <c r="O1083" s="2922"/>
    </row>
    <row r="1084" spans="1:17">
      <c r="B1084" s="2894"/>
      <c r="C1084" s="2967"/>
      <c r="D1084" s="2921" t="str">
        <f>'Part VIII-Threshold Criteria'!D134</f>
        <v xml:space="preserve">Houston Lake Road and Robins AFB are the two contributing noise factors for this site. </v>
      </c>
      <c r="E1084" s="2921"/>
      <c r="F1084" s="2921"/>
      <c r="G1084" s="2921"/>
      <c r="H1084" s="2921"/>
      <c r="I1084" s="2921"/>
      <c r="J1084" s="2921"/>
      <c r="K1084" s="2921"/>
      <c r="L1084" s="2921"/>
      <c r="M1084" s="2921"/>
      <c r="N1084" s="2921"/>
      <c r="O1084" s="2921"/>
      <c r="P1084" s="2921"/>
      <c r="Q1084" s="2921"/>
    </row>
    <row r="1085" spans="1:17">
      <c r="B1085" s="2997" t="s">
        <v>2216</v>
      </c>
      <c r="C1085" s="524" t="s">
        <v>1320</v>
      </c>
      <c r="D1085" s="2925"/>
      <c r="E1085" s="2925"/>
      <c r="F1085" s="2925"/>
      <c r="G1085" s="2925"/>
      <c r="H1085" s="2925"/>
      <c r="I1085" s="523"/>
      <c r="J1085" s="523"/>
      <c r="K1085" s="2925"/>
      <c r="L1085" s="2922"/>
      <c r="M1085" s="2922"/>
      <c r="N1085" s="2922"/>
      <c r="O1085" s="2967" t="s">
        <v>2216</v>
      </c>
    </row>
    <row r="1086" spans="1:17">
      <c r="B1086" s="2997"/>
      <c r="C1086" s="2967" t="s">
        <v>1825</v>
      </c>
      <c r="D1086" s="524" t="s">
        <v>154</v>
      </c>
      <c r="E1086" s="2925"/>
      <c r="F1086" s="2925"/>
      <c r="G1086" s="2925"/>
      <c r="H1086" s="2925"/>
      <c r="I1086" s="523"/>
      <c r="J1086" s="523"/>
      <c r="K1086" s="2925"/>
      <c r="L1086" s="2922"/>
      <c r="M1086" s="2922"/>
      <c r="O1086" s="2967" t="s">
        <v>1825</v>
      </c>
      <c r="P1086" s="2996" t="str">
        <f>'Part VIII-Threshold Criteria'!P136</f>
        <v>No</v>
      </c>
      <c r="Q1086" s="2996">
        <f>'Part VIII-Threshold Criteria'!Q136</f>
        <v>0</v>
      </c>
    </row>
    <row r="1087" spans="1:17">
      <c r="B1087" s="2997"/>
      <c r="C1087" s="2967" t="s">
        <v>1826</v>
      </c>
      <c r="D1087" s="524" t="s">
        <v>1321</v>
      </c>
      <c r="E1087" s="2925"/>
      <c r="F1087" s="2925"/>
      <c r="G1087" s="2925"/>
      <c r="H1087" s="523"/>
      <c r="I1087" s="523"/>
      <c r="J1087" s="523"/>
      <c r="K1087" s="2925"/>
      <c r="L1087" s="2922"/>
      <c r="M1087" s="2922"/>
      <c r="O1087" s="2967" t="s">
        <v>1826</v>
      </c>
      <c r="P1087" s="2996" t="str">
        <f>'Part VIII-Threshold Criteria'!P137</f>
        <v>No</v>
      </c>
      <c r="Q1087" s="2996">
        <f>'Part VIII-Threshold Criteria'!Q137</f>
        <v>0</v>
      </c>
    </row>
    <row r="1088" spans="1:17">
      <c r="B1088" s="2997"/>
      <c r="C1088" s="2967"/>
      <c r="D1088" s="524" t="s">
        <v>2769</v>
      </c>
      <c r="E1088" s="3046" t="s">
        <v>2556</v>
      </c>
      <c r="F1088" s="524" t="s">
        <v>2770</v>
      </c>
      <c r="G1088" s="523"/>
      <c r="H1088" s="524"/>
      <c r="I1088" s="523"/>
      <c r="J1088" s="523"/>
      <c r="K1088" s="2925"/>
      <c r="L1088" s="2922"/>
      <c r="M1088" s="2922"/>
      <c r="O1088" s="3046" t="s">
        <v>2556</v>
      </c>
      <c r="P1088" s="3047">
        <f>'Part VIII-Threshold Criteria'!P138</f>
        <v>0</v>
      </c>
      <c r="Q1088" s="3047">
        <f>'Part VIII-Threshold Criteria'!Q138</f>
        <v>0</v>
      </c>
    </row>
    <row r="1089" spans="1:17">
      <c r="B1089" s="2997"/>
      <c r="C1089" s="2967"/>
      <c r="E1089" s="3046" t="s">
        <v>2557</v>
      </c>
      <c r="F1089" s="524" t="s">
        <v>2771</v>
      </c>
      <c r="G1089" s="523"/>
      <c r="H1089" s="524"/>
      <c r="I1089" s="523"/>
      <c r="J1089" s="523"/>
      <c r="K1089" s="2925"/>
      <c r="L1089" s="2922"/>
      <c r="M1089" s="2922"/>
      <c r="O1089" s="3046" t="s">
        <v>2557</v>
      </c>
      <c r="P1089" s="2996">
        <f>'Part VIII-Threshold Criteria'!P139</f>
        <v>0</v>
      </c>
      <c r="Q1089" s="2996">
        <f>'Part VIII-Threshold Criteria'!Q139</f>
        <v>0</v>
      </c>
    </row>
    <row r="1090" spans="1:17">
      <c r="B1090" s="2997"/>
      <c r="C1090" s="2967"/>
      <c r="E1090" s="3046" t="s">
        <v>2558</v>
      </c>
      <c r="F1090" s="524" t="s">
        <v>2772</v>
      </c>
      <c r="G1090" s="523"/>
      <c r="H1090" s="524"/>
      <c r="I1090" s="523"/>
      <c r="J1090" s="523"/>
      <c r="K1090" s="2925"/>
      <c r="L1090" s="2922"/>
      <c r="M1090" s="2922"/>
      <c r="O1090" s="3046" t="s">
        <v>2558</v>
      </c>
      <c r="P1090" s="2996">
        <f>'Part VIII-Threshold Criteria'!P140</f>
        <v>0</v>
      </c>
      <c r="Q1090" s="2996">
        <f>'Part VIII-Threshold Criteria'!Q140</f>
        <v>0</v>
      </c>
    </row>
    <row r="1091" spans="1:17">
      <c r="B1091" s="2997"/>
      <c r="C1091" s="2967" t="s">
        <v>1827</v>
      </c>
      <c r="D1091" s="524" t="s">
        <v>1322</v>
      </c>
      <c r="E1091" s="2925"/>
      <c r="F1091" s="2925"/>
      <c r="G1091" s="2925"/>
      <c r="H1091" s="524"/>
      <c r="I1091" s="523"/>
      <c r="J1091" s="523"/>
      <c r="K1091" s="2925"/>
      <c r="L1091" s="2922"/>
      <c r="M1091" s="2922"/>
      <c r="O1091" s="2967" t="s">
        <v>1827</v>
      </c>
      <c r="P1091" s="2996" t="str">
        <f>'Part VIII-Threshold Criteria'!P141</f>
        <v>Yes</v>
      </c>
      <c r="Q1091" s="2996">
        <f>'Part VIII-Threshold Criteria'!Q141</f>
        <v>0</v>
      </c>
    </row>
    <row r="1092" spans="1:17">
      <c r="B1092" s="2997"/>
      <c r="C1092" s="2967"/>
      <c r="D1092" s="524" t="s">
        <v>2769</v>
      </c>
      <c r="E1092" s="3046" t="s">
        <v>2556</v>
      </c>
      <c r="F1092" s="524" t="s">
        <v>2773</v>
      </c>
      <c r="G1092" s="523"/>
      <c r="H1092" s="524"/>
      <c r="I1092" s="523"/>
      <c r="J1092" s="523"/>
      <c r="K1092" s="2925"/>
      <c r="L1092" s="2922"/>
      <c r="O1092" s="3046" t="s">
        <v>2556</v>
      </c>
      <c r="P1092" s="3047" t="str">
        <f>'Part VIII-Threshold Criteria'!P142</f>
        <v>&lt;5%</v>
      </c>
      <c r="Q1092" s="3047">
        <f>'Part VIII-Threshold Criteria'!Q142</f>
        <v>0</v>
      </c>
    </row>
    <row r="1093" spans="1:17">
      <c r="B1093" s="2997"/>
      <c r="C1093" s="2967"/>
      <c r="E1093" s="3046" t="s">
        <v>2557</v>
      </c>
      <c r="F1093" s="524" t="s">
        <v>2774</v>
      </c>
      <c r="G1093" s="523"/>
      <c r="H1093" s="524"/>
      <c r="I1093" s="523"/>
      <c r="J1093" s="523"/>
      <c r="O1093" s="3046" t="s">
        <v>2557</v>
      </c>
      <c r="P1093" s="2996" t="str">
        <f>'Part VIII-Threshold Criteria'!P143</f>
        <v>No</v>
      </c>
      <c r="Q1093" s="2996">
        <f>'Part VIII-Threshold Criteria'!Q143</f>
        <v>0</v>
      </c>
    </row>
    <row r="1094" spans="1:17">
      <c r="B1094" s="2997"/>
      <c r="C1094" s="2967"/>
      <c r="E1094" s="3046" t="s">
        <v>2558</v>
      </c>
      <c r="F1094" s="524" t="s">
        <v>2772</v>
      </c>
      <c r="G1094" s="523"/>
      <c r="H1094" s="524"/>
      <c r="I1094" s="523"/>
      <c r="J1094" s="523"/>
      <c r="O1094" s="3046" t="s">
        <v>2558</v>
      </c>
      <c r="P1094" s="2996" t="str">
        <f>'Part VIII-Threshold Criteria'!P144</f>
        <v>Yes</v>
      </c>
      <c r="Q1094" s="2996">
        <f>'Part VIII-Threshold Criteria'!Q144</f>
        <v>0</v>
      </c>
    </row>
    <row r="1095" spans="1:17">
      <c r="B1095" s="524"/>
      <c r="C1095" s="2967" t="s">
        <v>2477</v>
      </c>
      <c r="D1095" s="524" t="s">
        <v>2775</v>
      </c>
      <c r="E1095" s="2925"/>
      <c r="F1095" s="2925"/>
      <c r="G1095" s="2925"/>
      <c r="H1095" s="2925"/>
      <c r="I1095" s="523"/>
      <c r="J1095" s="523"/>
      <c r="O1095" s="2967" t="s">
        <v>2477</v>
      </c>
      <c r="P1095" s="2996" t="str">
        <f>'Part VIII-Threshold Criteria'!P145</f>
        <v>Yes</v>
      </c>
      <c r="Q1095" s="2996">
        <f>'Part VIII-Threshold Criteria'!Q145</f>
        <v>0</v>
      </c>
    </row>
    <row r="1096" spans="1:17">
      <c r="B1096" s="2997" t="s">
        <v>1823</v>
      </c>
      <c r="C1096" s="2995" t="s">
        <v>2534</v>
      </c>
      <c r="D1096" s="2925"/>
      <c r="E1096" s="2925"/>
      <c r="F1096" s="2925"/>
      <c r="G1096" s="2925"/>
      <c r="H1096" s="2925"/>
      <c r="I1096" s="523"/>
      <c r="J1096" s="523"/>
      <c r="K1096" s="2925"/>
      <c r="L1096" s="2922"/>
      <c r="M1096" s="2922"/>
      <c r="N1096" s="2922"/>
      <c r="O1096" s="2922"/>
      <c r="P1096" s="2922"/>
      <c r="Q1096" s="2922"/>
    </row>
    <row r="1097" spans="1:17">
      <c r="C1097" s="2967" t="s">
        <v>1825</v>
      </c>
      <c r="D1097" s="524" t="s">
        <v>2618</v>
      </c>
      <c r="E1097" s="2925"/>
      <c r="F1097" s="2996" t="str">
        <f>'Part VIII-Threshold Criteria'!F147</f>
        <v>No</v>
      </c>
      <c r="G1097" s="2996">
        <f>'Part VIII-Threshold Criteria'!G147</f>
        <v>0</v>
      </c>
      <c r="H1097" s="2967" t="s">
        <v>1626</v>
      </c>
      <c r="I1097" s="507" t="s">
        <v>2777</v>
      </c>
      <c r="L1097" s="2996" t="str">
        <f>'Part VIII-Threshold Criteria'!L147</f>
        <v>No</v>
      </c>
      <c r="M1097" s="2996">
        <f>'Part VIII-Threshold Criteria'!M147</f>
        <v>0</v>
      </c>
      <c r="N1097" s="2967" t="s">
        <v>536</v>
      </c>
      <c r="O1097" s="524" t="s">
        <v>1629</v>
      </c>
      <c r="P1097" s="2996" t="str">
        <f>'Part VIII-Threshold Criteria'!P147</f>
        <v>No</v>
      </c>
      <c r="Q1097" s="2996">
        <f>'Part VIII-Threshold Criteria'!Q147</f>
        <v>0</v>
      </c>
    </row>
    <row r="1098" spans="1:17">
      <c r="B1098" s="524"/>
      <c r="C1098" s="2967" t="s">
        <v>1826</v>
      </c>
      <c r="D1098" s="524" t="s">
        <v>3112</v>
      </c>
      <c r="E1098" s="2925"/>
      <c r="F1098" s="2996" t="str">
        <f>'Part VIII-Threshold Criteria'!F148</f>
        <v>Yes</v>
      </c>
      <c r="G1098" s="2996">
        <f>'Part VIII-Threshold Criteria'!G148</f>
        <v>0</v>
      </c>
      <c r="H1098" s="2967" t="s">
        <v>1627</v>
      </c>
      <c r="I1098" s="507" t="s">
        <v>2778</v>
      </c>
      <c r="L1098" s="2996" t="str">
        <f>'Part VIII-Threshold Criteria'!L148</f>
        <v>No</v>
      </c>
      <c r="M1098" s="2996">
        <f>'Part VIII-Threshold Criteria'!M148</f>
        <v>0</v>
      </c>
      <c r="N1098" s="2967" t="s">
        <v>537</v>
      </c>
      <c r="O1098" s="524" t="s">
        <v>1628</v>
      </c>
      <c r="P1098" s="2996" t="str">
        <f>'Part VIII-Threshold Criteria'!P148</f>
        <v>No</v>
      </c>
      <c r="Q1098" s="2996">
        <f>'Part VIII-Threshold Criteria'!Q148</f>
        <v>0</v>
      </c>
    </row>
    <row r="1099" spans="1:17">
      <c r="B1099" s="524"/>
      <c r="C1099" s="2967" t="s">
        <v>1827</v>
      </c>
      <c r="D1099" s="524" t="s">
        <v>2776</v>
      </c>
      <c r="E1099" s="2925"/>
      <c r="F1099" s="2996" t="str">
        <f>'Part VIII-Threshold Criteria'!F149</f>
        <v>No</v>
      </c>
      <c r="G1099" s="2996">
        <f>'Part VIII-Threshold Criteria'!G149</f>
        <v>0</v>
      </c>
      <c r="H1099" s="2967" t="s">
        <v>100</v>
      </c>
      <c r="I1099" s="507" t="s">
        <v>3113</v>
      </c>
      <c r="L1099" s="2996" t="str">
        <f>'Part VIII-Threshold Criteria'!L149</f>
        <v>No</v>
      </c>
      <c r="M1099" s="2996">
        <f>'Part VIII-Threshold Criteria'!M149</f>
        <v>0</v>
      </c>
      <c r="N1099" s="2967" t="s">
        <v>3115</v>
      </c>
      <c r="O1099" s="524" t="s">
        <v>1630</v>
      </c>
      <c r="P1099" s="2996" t="str">
        <f>'Part VIII-Threshold Criteria'!P149</f>
        <v>No</v>
      </c>
      <c r="Q1099" s="2996">
        <f>'Part VIII-Threshold Criteria'!Q149</f>
        <v>0</v>
      </c>
    </row>
    <row r="1100" spans="1:17">
      <c r="B1100" s="524"/>
      <c r="C1100" s="2967" t="s">
        <v>2477</v>
      </c>
      <c r="D1100" s="524" t="s">
        <v>3116</v>
      </c>
      <c r="E1100" s="2925"/>
      <c r="F1100" s="2996" t="str">
        <f>'Part VIII-Threshold Criteria'!F150</f>
        <v>No</v>
      </c>
      <c r="G1100" s="2996">
        <f>'Part VIII-Threshold Criteria'!G150</f>
        <v>0</v>
      </c>
      <c r="H1100" s="2967" t="s">
        <v>535</v>
      </c>
      <c r="I1100" s="524" t="s">
        <v>3111</v>
      </c>
      <c r="L1100" s="2996" t="str">
        <f>'Part VIII-Threshold Criteria'!L150</f>
        <v>No</v>
      </c>
      <c r="M1100" s="2996">
        <f>'Part VIII-Threshold Criteria'!M150</f>
        <v>0</v>
      </c>
      <c r="O1100" s="2967"/>
    </row>
    <row r="1101" spans="1:17">
      <c r="B1101" s="524"/>
      <c r="C1101" s="2967" t="s">
        <v>3290</v>
      </c>
      <c r="D1101" s="524" t="s">
        <v>3114</v>
      </c>
      <c r="E1101" s="2925"/>
      <c r="F1101" s="2925"/>
      <c r="G1101" s="2925"/>
      <c r="H1101" s="2925"/>
      <c r="I1101" s="2925"/>
      <c r="J1101" s="2925"/>
      <c r="K1101" s="2925"/>
      <c r="L1101" s="2925"/>
      <c r="M1101" s="524"/>
      <c r="O1101" s="2967"/>
      <c r="P1101" s="2967"/>
    </row>
    <row r="1102" spans="1:17">
      <c r="B1102" s="524"/>
      <c r="D1102" s="3037">
        <v>0</v>
      </c>
      <c r="E1102" s="3037"/>
      <c r="F1102" s="3037"/>
      <c r="G1102" s="3037"/>
      <c r="H1102" s="3037"/>
      <c r="I1102" s="3037"/>
      <c r="J1102" s="3037"/>
      <c r="K1102" s="3037"/>
      <c r="L1102" s="3037"/>
      <c r="M1102" s="3037"/>
      <c r="N1102" s="3037"/>
      <c r="O1102" s="3037"/>
      <c r="P1102" s="3037"/>
      <c r="Q1102" s="2996">
        <f>'Part VIII-Threshold Criteria'!Q152</f>
        <v>0</v>
      </c>
    </row>
    <row r="1103" spans="1:17">
      <c r="B1103" s="2997" t="s">
        <v>1824</v>
      </c>
      <c r="C1103" s="524" t="s">
        <v>1349</v>
      </c>
      <c r="D1103" s="2925"/>
      <c r="E1103" s="2925"/>
      <c r="F1103" s="2925"/>
      <c r="G1103" s="2925"/>
      <c r="H1103" s="2925"/>
      <c r="I1103" s="523"/>
      <c r="J1103" s="523"/>
      <c r="K1103" s="2925"/>
      <c r="L1103" s="2925"/>
      <c r="M1103" s="2922"/>
      <c r="O1103" s="2967" t="s">
        <v>1824</v>
      </c>
      <c r="P1103" s="2996" t="str">
        <f>'Part VIII-Threshold Criteria'!P153</f>
        <v>N/A</v>
      </c>
      <c r="Q1103" s="2996">
        <f>'Part VIII-Threshold Criteria'!Q153</f>
        <v>0</v>
      </c>
    </row>
    <row r="1104" spans="1:17">
      <c r="A1104" s="3035"/>
      <c r="B1104" s="523"/>
      <c r="C1104" s="2967" t="s">
        <v>1825</v>
      </c>
      <c r="D1104" s="524" t="s">
        <v>3117</v>
      </c>
      <c r="E1104" s="2925"/>
      <c r="F1104" s="2925"/>
      <c r="G1104" s="2925"/>
      <c r="H1104" s="2925"/>
      <c r="O1104" s="2967" t="s">
        <v>1825</v>
      </c>
      <c r="P1104" s="2996" t="str">
        <f>'Part VIII-Threshold Criteria'!P154</f>
        <v>No</v>
      </c>
      <c r="Q1104" s="2996">
        <f>'Part VIII-Threshold Criteria'!Q154</f>
        <v>0</v>
      </c>
    </row>
    <row r="1105" spans="1:17">
      <c r="A1105" s="3035"/>
      <c r="B1105" s="2992"/>
      <c r="C1105" s="2967" t="s">
        <v>1826</v>
      </c>
      <c r="D1105" s="524" t="s">
        <v>513</v>
      </c>
      <c r="E1105" s="524"/>
      <c r="F1105" s="524"/>
      <c r="G1105" s="524"/>
      <c r="H1105" s="524"/>
      <c r="I1105" s="523"/>
      <c r="J1105" s="523"/>
      <c r="K1105" s="524"/>
      <c r="L1105" s="524"/>
      <c r="M1105" s="524"/>
      <c r="O1105" s="2967" t="s">
        <v>1826</v>
      </c>
      <c r="P1105" s="2996" t="str">
        <f>'Part VIII-Threshold Criteria'!P155</f>
        <v>No</v>
      </c>
      <c r="Q1105" s="2996">
        <f>'Part VIII-Threshold Criteria'!Q155</f>
        <v>0</v>
      </c>
    </row>
    <row r="1106" spans="1:17">
      <c r="A1106" s="3035"/>
      <c r="B1106" s="2992"/>
      <c r="C1106" s="2967" t="s">
        <v>1827</v>
      </c>
      <c r="D1106" s="524" t="s">
        <v>717</v>
      </c>
      <c r="E1106" s="524"/>
      <c r="F1106" s="524"/>
      <c r="G1106" s="524"/>
      <c r="H1106" s="524"/>
      <c r="I1106" s="523"/>
      <c r="J1106" s="523"/>
      <c r="K1106" s="524"/>
      <c r="L1106" s="524"/>
      <c r="M1106" s="524"/>
      <c r="O1106" s="2967" t="s">
        <v>1827</v>
      </c>
      <c r="P1106" s="2996" t="str">
        <f>'Part VIII-Threshold Criteria'!P156</f>
        <v>Yes</v>
      </c>
      <c r="Q1106" s="2996">
        <f>'Part VIII-Threshold Criteria'!Q156</f>
        <v>0</v>
      </c>
    </row>
    <row r="1107" spans="1:17">
      <c r="B1107" s="2997" t="s">
        <v>2044</v>
      </c>
      <c r="C1107" s="524" t="s">
        <v>1841</v>
      </c>
      <c r="D1107" s="2925"/>
      <c r="E1107" s="2925"/>
      <c r="F1107" s="2925"/>
      <c r="G1107" s="2925"/>
      <c r="H1107" s="2925"/>
      <c r="I1107" s="523"/>
      <c r="J1107" s="523"/>
      <c r="K1107" s="2925"/>
      <c r="L1107" s="2925"/>
      <c r="M1107" s="2922"/>
      <c r="O1107" s="2967" t="s">
        <v>2044</v>
      </c>
      <c r="P1107" s="2996" t="str">
        <f>'Part VIII-Threshold Criteria'!P157</f>
        <v>N/A</v>
      </c>
      <c r="Q1107" s="2996">
        <f>'Part VIII-Threshold Criteria'!Q157</f>
        <v>0</v>
      </c>
    </row>
    <row r="1108" spans="1:17">
      <c r="A1108" s="3048" t="s">
        <v>4079</v>
      </c>
      <c r="C1108" s="524"/>
      <c r="D1108" s="2925"/>
      <c r="E1108" s="2925"/>
      <c r="F1108" s="2925"/>
      <c r="G1108" s="2925"/>
      <c r="H1108" s="2925"/>
      <c r="I1108" s="523"/>
      <c r="J1108" s="523"/>
      <c r="K1108" s="2925"/>
      <c r="L1108" s="2925"/>
      <c r="M1108" s="2922"/>
      <c r="N1108" s="2922"/>
      <c r="O1108" s="2922"/>
      <c r="P1108" s="2922"/>
      <c r="Q1108" s="2922"/>
    </row>
    <row r="1109" spans="1:17">
      <c r="A1109" s="523"/>
      <c r="B1109" s="2994" t="s">
        <v>3838</v>
      </c>
      <c r="C1109" s="2933" t="s">
        <v>4591</v>
      </c>
      <c r="D1109" s="2933"/>
      <c r="E1109" s="2933"/>
      <c r="F1109" s="2933"/>
      <c r="G1109" s="2933"/>
      <c r="H1109" s="2933"/>
      <c r="I1109" s="2933"/>
      <c r="J1109" s="2933"/>
      <c r="K1109" s="2933"/>
      <c r="L1109" s="2933"/>
      <c r="M1109" s="3042" t="s">
        <v>3838</v>
      </c>
      <c r="N1109" s="3049">
        <f>'Part VIII-Threshold Criteria'!N159</f>
        <v>0</v>
      </c>
      <c r="O1109" s="3049"/>
      <c r="P1109" s="3049" t="str">
        <f>'Part VIII-Threshold Criteria'!P159</f>
        <v>&lt;&lt;Select&gt;&gt;</v>
      </c>
      <c r="Q1109" s="3049"/>
    </row>
    <row r="1110" spans="1:17">
      <c r="A1110" s="523"/>
      <c r="B1110" s="2997" t="s">
        <v>647</v>
      </c>
      <c r="C1110" s="2995" t="s">
        <v>1</v>
      </c>
      <c r="D1110" s="3050"/>
      <c r="E1110" s="3050"/>
      <c r="F1110" s="523"/>
      <c r="G1110" s="2967" t="s">
        <v>647</v>
      </c>
      <c r="H1110" s="2921" t="str">
        <f>'Part VIII-Threshold Criteria'!H160</f>
        <v>N/A</v>
      </c>
      <c r="I1110" s="2921"/>
      <c r="J1110" s="2921"/>
      <c r="K1110" s="2921"/>
      <c r="L1110" s="2921"/>
      <c r="M1110" s="2921"/>
      <c r="N1110" s="2921"/>
      <c r="O1110" s="2921"/>
      <c r="P1110" s="2921"/>
      <c r="Q1110" s="2996">
        <f>'Part VIII-Threshold Criteria'!Q160</f>
        <v>0</v>
      </c>
    </row>
    <row r="1111" spans="1:17">
      <c r="A1111" s="523"/>
      <c r="B1111" s="2997" t="s">
        <v>3839</v>
      </c>
      <c r="C1111" s="2995" t="s">
        <v>1486</v>
      </c>
      <c r="D1111" s="3051"/>
      <c r="E1111" s="3051"/>
      <c r="F1111" s="3051"/>
      <c r="G1111" s="2883"/>
      <c r="H1111" s="2883"/>
      <c r="I1111" s="2995"/>
      <c r="J1111" s="523"/>
      <c r="K1111" s="2883"/>
      <c r="L1111" s="2883"/>
      <c r="M1111" s="2883"/>
      <c r="N1111" s="523"/>
      <c r="O1111" s="2967" t="s">
        <v>3839</v>
      </c>
      <c r="P1111" s="2996">
        <f>'Part VIII-Threshold Criteria'!P161</f>
        <v>0</v>
      </c>
      <c r="Q1111" s="2996">
        <f>'Part VIII-Threshold Criteria'!Q161</f>
        <v>0</v>
      </c>
    </row>
    <row r="1112" spans="1:17">
      <c r="B1112" s="3031" t="s">
        <v>1959</v>
      </c>
      <c r="D1112" s="3031"/>
      <c r="E1112" s="3031"/>
      <c r="F1112" s="3031"/>
      <c r="G1112" s="3031"/>
      <c r="H1112" s="2995"/>
      <c r="I1112" s="2992"/>
      <c r="J1112" s="2992"/>
      <c r="K1112" s="2992"/>
      <c r="L1112" s="2894"/>
      <c r="M1112" s="2894"/>
      <c r="N1112" s="2894"/>
      <c r="O1112" s="2894"/>
      <c r="P1112" s="2894"/>
      <c r="Q1112" s="2894"/>
    </row>
    <row r="1113" spans="1:17">
      <c r="A1113" s="2933" t="str">
        <f>'Part VIII-Threshold Criteria'!A163</f>
        <v>This project does not have HOME Funds thus items H, I, and J. were not completed.  Please note that there are wetlands present on the backside of the property but development activity will not disturb the wetland/stream, nor will it encroach on the buffer zones.</v>
      </c>
      <c r="B1113" s="2933"/>
      <c r="C1113" s="2933"/>
      <c r="D1113" s="2933"/>
      <c r="E1113" s="2933"/>
      <c r="F1113" s="2933"/>
      <c r="G1113" s="2933"/>
      <c r="H1113" s="2933"/>
      <c r="I1113" s="2933"/>
      <c r="J1113" s="2933"/>
      <c r="K1113" s="2933"/>
      <c r="L1113" s="2933"/>
      <c r="M1113" s="2933"/>
      <c r="N1113" s="2933"/>
      <c r="O1113" s="2933"/>
      <c r="P1113" s="2933"/>
      <c r="Q1113" s="2933"/>
    </row>
    <row r="1115" spans="1:17">
      <c r="B1115" s="2998" t="s">
        <v>1960</v>
      </c>
      <c r="C1115" s="2999"/>
      <c r="D1115" s="3000"/>
      <c r="E1115" s="3000"/>
      <c r="F1115" s="3000"/>
      <c r="G1115" s="3000"/>
      <c r="H1115" s="3000"/>
      <c r="I1115" s="3000"/>
      <c r="J1115" s="3000"/>
      <c r="K1115" s="3000"/>
      <c r="L1115" s="3000"/>
      <c r="M1115" s="3000"/>
      <c r="N1115" s="3000"/>
      <c r="O1115" s="3000"/>
      <c r="P1115" s="3000"/>
      <c r="Q1115" s="3000"/>
    </row>
    <row r="1116" spans="1:17">
      <c r="A1116" s="2933">
        <f>'Part VIII-Threshold Criteria'!A166</f>
        <v>0</v>
      </c>
      <c r="B1116" s="2933"/>
      <c r="C1116" s="2933"/>
      <c r="D1116" s="2933"/>
      <c r="E1116" s="2933"/>
      <c r="F1116" s="2933"/>
      <c r="G1116" s="2933"/>
      <c r="H1116" s="2933"/>
      <c r="I1116" s="2933"/>
      <c r="J1116" s="2933"/>
      <c r="K1116" s="2933"/>
      <c r="L1116" s="2933"/>
      <c r="M1116" s="2933"/>
      <c r="N1116" s="2933"/>
      <c r="O1116" s="2933"/>
      <c r="P1116" s="2933"/>
      <c r="Q1116" s="2933"/>
    </row>
    <row r="1117" spans="1:17">
      <c r="A1117" s="2894"/>
      <c r="B1117" s="2992"/>
      <c r="C1117" s="3000"/>
      <c r="D1117" s="3000"/>
      <c r="E1117" s="3000"/>
      <c r="F1117" s="3000"/>
      <c r="G1117" s="3000"/>
      <c r="H1117" s="3000"/>
      <c r="I1117" s="3000"/>
      <c r="J1117" s="3000"/>
      <c r="K1117" s="3000"/>
      <c r="L1117" s="3000"/>
      <c r="M1117" s="3000"/>
      <c r="N1117" s="3000"/>
      <c r="O1117" s="3000"/>
      <c r="P1117" s="3000"/>
      <c r="Q1117" s="2894"/>
    </row>
    <row r="1118" spans="1:17">
      <c r="A1118" s="2874">
        <v>8</v>
      </c>
      <c r="B1118" s="2874" t="s">
        <v>2794</v>
      </c>
      <c r="C1118" s="2874"/>
      <c r="D1118" s="3000"/>
      <c r="E1118" s="3000"/>
      <c r="F1118" s="3000"/>
      <c r="G1118" s="3000"/>
      <c r="H1118" s="3000"/>
      <c r="I1118" s="3000"/>
      <c r="J1118" s="3000"/>
      <c r="K1118" s="3000"/>
      <c r="O1118" s="2993" t="s">
        <v>1961</v>
      </c>
      <c r="P1118" s="2897">
        <f>'Part VIII-Threshold Criteria'!P168</f>
        <v>0</v>
      </c>
      <c r="Q1118" s="2897"/>
    </row>
    <row r="1119" spans="1:17">
      <c r="B1119" s="2997" t="s">
        <v>2081</v>
      </c>
      <c r="C1119" s="524" t="s">
        <v>3837</v>
      </c>
      <c r="D1119" s="524"/>
      <c r="E1119" s="524"/>
      <c r="F1119" s="524"/>
      <c r="G1119" s="524"/>
      <c r="I1119" s="524" t="s">
        <v>2878</v>
      </c>
      <c r="K1119" s="3052">
        <f>'Part VIII-Threshold Criteria'!K169</f>
        <v>42430</v>
      </c>
      <c r="L1119" s="3052"/>
      <c r="N1119" s="524"/>
      <c r="O1119" s="2967" t="s">
        <v>2081</v>
      </c>
      <c r="P1119" s="2996" t="str">
        <f>'Part VIII-Threshold Criteria'!P169</f>
        <v>Yes</v>
      </c>
      <c r="Q1119" s="2996">
        <f>'Part VIII-Threshold Criteria'!Q169</f>
        <v>0</v>
      </c>
    </row>
    <row r="1120" spans="1:17">
      <c r="A1120" s="3045"/>
      <c r="B1120" s="2997" t="s">
        <v>2084</v>
      </c>
      <c r="C1120" s="3032" t="s">
        <v>155</v>
      </c>
      <c r="D1120" s="3032"/>
      <c r="E1120" s="3032"/>
      <c r="F1120" s="3032"/>
      <c r="G1120" s="3032"/>
      <c r="H1120" s="3032"/>
      <c r="M1120" s="2967" t="s">
        <v>2084</v>
      </c>
      <c r="N1120" s="3053" t="str">
        <f>'Part VIII-Threshold Criteria'!N170</f>
        <v>Contract/Option</v>
      </c>
      <c r="O1120" s="3053"/>
      <c r="P1120" s="3053">
        <f>'Part VIII-Threshold Criteria'!P170</f>
        <v>0</v>
      </c>
      <c r="Q1120" s="3053"/>
    </row>
    <row r="1121" spans="1:17">
      <c r="A1121" s="3045"/>
      <c r="B1121" s="2997" t="s">
        <v>789</v>
      </c>
      <c r="C1121" s="3032" t="s">
        <v>718</v>
      </c>
      <c r="D1121" s="3032"/>
      <c r="E1121" s="3032"/>
      <c r="F1121" s="3032"/>
      <c r="G1121" s="3032"/>
      <c r="H1121" s="3032"/>
      <c r="J1121" s="2967" t="s">
        <v>789</v>
      </c>
      <c r="K1121" s="3037" t="str">
        <f>'Part VIII-Threshold Criteria'!K171</f>
        <v>The Cove at York, LP</v>
      </c>
      <c r="L1121" s="3037"/>
      <c r="M1121" s="3037"/>
      <c r="N1121" s="3037"/>
      <c r="O1121" s="3037"/>
      <c r="P1121" s="3037"/>
      <c r="Q1121" s="2996">
        <f>'Part VIII-Threshold Criteria'!Q171</f>
        <v>0</v>
      </c>
    </row>
    <row r="1122" spans="1:17">
      <c r="A1122" s="3045"/>
      <c r="B1122" s="2997" t="s">
        <v>2216</v>
      </c>
      <c r="C1122" s="3032" t="s">
        <v>3276</v>
      </c>
      <c r="D1122" s="3032"/>
      <c r="E1122" s="3032"/>
      <c r="F1122" s="3032"/>
      <c r="G1122" s="3032"/>
      <c r="H1122" s="3032"/>
      <c r="J1122" s="2967"/>
      <c r="K1122" s="2967"/>
      <c r="L1122" s="2967"/>
      <c r="M1122" s="2967"/>
      <c r="N1122" s="2967"/>
      <c r="O1122" s="2967" t="s">
        <v>2216</v>
      </c>
      <c r="P1122" s="2996" t="str">
        <f>'Part VIII-Threshold Criteria'!P172</f>
        <v>Yes</v>
      </c>
      <c r="Q1122" s="2996">
        <f>'Part VIII-Threshold Criteria'!Q172</f>
        <v>0</v>
      </c>
    </row>
    <row r="1123" spans="1:17">
      <c r="B1123" s="3031" t="s">
        <v>1959</v>
      </c>
      <c r="D1123" s="3031"/>
      <c r="E1123" s="3031"/>
      <c r="F1123" s="3031"/>
      <c r="G1123" s="3031"/>
      <c r="H1123" s="2995"/>
      <c r="I1123" s="2992"/>
      <c r="J1123" s="2992"/>
      <c r="K1123" s="2992"/>
      <c r="L1123" s="2894"/>
      <c r="M1123" s="2894"/>
      <c r="N1123" s="2894"/>
      <c r="O1123" s="2894"/>
      <c r="P1123" s="2894"/>
      <c r="Q1123" s="2894"/>
    </row>
    <row r="1124" spans="1:17">
      <c r="A1124" s="2933" t="str">
        <f>'Part VIII-Threshold Criteria'!A174</f>
        <v>No identity of interest exists between Seller and Purchaser.  The entity with site control via assignment, and the applicant, are one in the same.</v>
      </c>
      <c r="B1124" s="2933"/>
      <c r="C1124" s="2933"/>
      <c r="D1124" s="2933"/>
      <c r="E1124" s="2933"/>
      <c r="F1124" s="2933"/>
      <c r="G1124" s="2933"/>
      <c r="H1124" s="2933"/>
      <c r="I1124" s="2933"/>
      <c r="J1124" s="2933"/>
      <c r="K1124" s="2933"/>
      <c r="L1124" s="2933"/>
      <c r="M1124" s="2933"/>
      <c r="N1124" s="2933"/>
      <c r="O1124" s="2933"/>
      <c r="P1124" s="2933"/>
      <c r="Q1124" s="2933"/>
    </row>
    <row r="1125" spans="1:17">
      <c r="B1125" s="2998" t="s">
        <v>1960</v>
      </c>
      <c r="C1125" s="2999"/>
      <c r="D1125" s="3000"/>
      <c r="E1125" s="3000"/>
      <c r="F1125" s="3000"/>
      <c r="G1125" s="3000"/>
      <c r="H1125" s="3000"/>
      <c r="I1125" s="3000"/>
      <c r="J1125" s="3000"/>
      <c r="K1125" s="3000"/>
      <c r="L1125" s="3000"/>
      <c r="M1125" s="3000"/>
      <c r="N1125" s="3000"/>
      <c r="O1125" s="3000"/>
      <c r="P1125" s="3000"/>
    </row>
    <row r="1126" spans="1:17">
      <c r="A1126" s="2933">
        <f>'Part VIII-Threshold Criteria'!A176</f>
        <v>0</v>
      </c>
      <c r="B1126" s="2933"/>
      <c r="C1126" s="2933"/>
      <c r="D1126" s="2933"/>
      <c r="E1126" s="2933"/>
      <c r="F1126" s="2933"/>
      <c r="G1126" s="2933"/>
      <c r="H1126" s="2933"/>
      <c r="I1126" s="2933"/>
      <c r="J1126" s="2933"/>
      <c r="K1126" s="2933"/>
      <c r="L1126" s="2933"/>
      <c r="M1126" s="2933"/>
      <c r="N1126" s="2933"/>
      <c r="O1126" s="2933"/>
      <c r="P1126" s="2933"/>
      <c r="Q1126" s="2933"/>
    </row>
    <row r="1127" spans="1:17">
      <c r="A1127" s="2894"/>
      <c r="B1127" s="2992"/>
      <c r="C1127" s="3000"/>
      <c r="D1127" s="3000"/>
      <c r="E1127" s="3000"/>
      <c r="F1127" s="3000"/>
      <c r="G1127" s="3000"/>
      <c r="H1127" s="3000"/>
      <c r="I1127" s="3000"/>
      <c r="J1127" s="3000"/>
      <c r="K1127" s="3000"/>
      <c r="L1127" s="3000"/>
      <c r="M1127" s="3000"/>
      <c r="Q1127" s="2894"/>
    </row>
    <row r="1128" spans="1:17">
      <c r="A1128" s="2874">
        <v>9</v>
      </c>
      <c r="B1128" s="2874" t="s">
        <v>2795</v>
      </c>
      <c r="C1128" s="2874"/>
      <c r="D1128" s="3000"/>
      <c r="E1128" s="3000"/>
      <c r="F1128" s="3000"/>
      <c r="G1128" s="3000"/>
      <c r="H1128" s="3000"/>
      <c r="I1128" s="3000"/>
      <c r="J1128" s="3000"/>
      <c r="K1128" s="3000"/>
      <c r="L1128" s="3000"/>
      <c r="M1128" s="3000"/>
      <c r="O1128" s="2993" t="s">
        <v>1961</v>
      </c>
      <c r="P1128" s="2897">
        <f>'Part VIII-Threshold Criteria'!P178</f>
        <v>0</v>
      </c>
      <c r="Q1128" s="2897"/>
    </row>
    <row r="1129" spans="1:17">
      <c r="B1129" s="2994" t="s">
        <v>2081</v>
      </c>
      <c r="C1129" s="2933" t="s">
        <v>3267</v>
      </c>
      <c r="D1129" s="2933"/>
      <c r="E1129" s="2933"/>
      <c r="F1129" s="2933"/>
      <c r="G1129" s="2933"/>
      <c r="H1129" s="2933"/>
      <c r="I1129" s="2933"/>
      <c r="J1129" s="2933"/>
      <c r="K1129" s="2933"/>
      <c r="L1129" s="2933"/>
      <c r="M1129" s="2933"/>
      <c r="N1129" s="2933"/>
      <c r="O1129" s="3042" t="s">
        <v>2081</v>
      </c>
      <c r="P1129" s="2996" t="str">
        <f>'Part VIII-Threshold Criteria'!P179</f>
        <v>Yes</v>
      </c>
      <c r="Q1129" s="2996">
        <f>'Part VIII-Threshold Criteria'!Q179</f>
        <v>0</v>
      </c>
    </row>
    <row r="1130" spans="1:17">
      <c r="B1130" s="2994" t="s">
        <v>2084</v>
      </c>
      <c r="C1130" s="2933" t="s">
        <v>2633</v>
      </c>
      <c r="D1130" s="2933"/>
      <c r="E1130" s="2933"/>
      <c r="F1130" s="2933"/>
      <c r="G1130" s="2933"/>
      <c r="H1130" s="2933"/>
      <c r="I1130" s="2933"/>
      <c r="J1130" s="2933"/>
      <c r="K1130" s="2933"/>
      <c r="L1130" s="2933"/>
      <c r="M1130" s="2933"/>
      <c r="N1130" s="2933"/>
      <c r="O1130" s="3042" t="s">
        <v>2084</v>
      </c>
      <c r="P1130" s="2996">
        <f>'Part VIII-Threshold Criteria'!P180</f>
        <v>0</v>
      </c>
      <c r="Q1130" s="2996">
        <f>'Part VIII-Threshold Criteria'!Q180</f>
        <v>0</v>
      </c>
    </row>
    <row r="1131" spans="1:17">
      <c r="B1131" s="2994" t="s">
        <v>789</v>
      </c>
      <c r="C1131" s="2933" t="s">
        <v>2779</v>
      </c>
      <c r="D1131" s="2933"/>
      <c r="E1131" s="2933"/>
      <c r="F1131" s="2933"/>
      <c r="G1131" s="2933"/>
      <c r="H1131" s="2933"/>
      <c r="I1131" s="2933"/>
      <c r="J1131" s="2933"/>
      <c r="K1131" s="2933"/>
      <c r="L1131" s="2933"/>
      <c r="M1131" s="2933"/>
      <c r="N1131" s="2933"/>
      <c r="O1131" s="3042" t="s">
        <v>789</v>
      </c>
      <c r="P1131" s="2996">
        <f>'Part VIII-Threshold Criteria'!P181</f>
        <v>0</v>
      </c>
      <c r="Q1131" s="2996">
        <f>'Part VIII-Threshold Criteria'!Q181</f>
        <v>0</v>
      </c>
    </row>
    <row r="1132" spans="1:17">
      <c r="B1132" s="3031" t="s">
        <v>1959</v>
      </c>
      <c r="D1132" s="3031"/>
      <c r="E1132" s="3031"/>
      <c r="F1132" s="3031"/>
      <c r="G1132" s="3031"/>
      <c r="H1132" s="2995"/>
      <c r="I1132" s="2992"/>
      <c r="J1132" s="2992"/>
      <c r="K1132" s="2992"/>
      <c r="L1132" s="2894"/>
      <c r="M1132" s="2894"/>
      <c r="N1132" s="2894"/>
      <c r="O1132" s="2894"/>
      <c r="P1132" s="2894"/>
      <c r="Q1132" s="2894"/>
    </row>
    <row r="1133" spans="1:17">
      <c r="A1133" s="2933">
        <f>'Part VIII-Threshold Criteria'!A183</f>
        <v>0</v>
      </c>
      <c r="B1133" s="2933"/>
      <c r="C1133" s="2933"/>
      <c r="D1133" s="2933"/>
      <c r="E1133" s="2933"/>
      <c r="F1133" s="2933"/>
      <c r="G1133" s="2933"/>
      <c r="H1133" s="2933"/>
      <c r="I1133" s="2933"/>
      <c r="J1133" s="2933"/>
      <c r="K1133" s="2933"/>
      <c r="L1133" s="2933"/>
      <c r="M1133" s="2933"/>
      <c r="N1133" s="2933"/>
      <c r="O1133" s="2933"/>
      <c r="P1133" s="2933"/>
      <c r="Q1133" s="2933"/>
    </row>
    <row r="1134" spans="1:17">
      <c r="B1134" s="2998" t="s">
        <v>1960</v>
      </c>
      <c r="C1134" s="2999"/>
      <c r="D1134" s="3000"/>
      <c r="E1134" s="3000"/>
      <c r="F1134" s="3000"/>
      <c r="G1134" s="3000"/>
      <c r="H1134" s="3000"/>
      <c r="I1134" s="3000"/>
      <c r="J1134" s="3000"/>
      <c r="K1134" s="3000"/>
      <c r="L1134" s="3000"/>
      <c r="M1134" s="3000"/>
      <c r="N1134" s="3000"/>
      <c r="O1134" s="3000"/>
      <c r="P1134" s="3000"/>
    </row>
    <row r="1135" spans="1:17">
      <c r="A1135" s="2933">
        <f>'Part VIII-Threshold Criteria'!A185</f>
        <v>0</v>
      </c>
      <c r="B1135" s="2933"/>
      <c r="C1135" s="2933"/>
      <c r="D1135" s="2933"/>
      <c r="E1135" s="2933"/>
      <c r="F1135" s="2933"/>
      <c r="G1135" s="2933"/>
      <c r="H1135" s="2933"/>
      <c r="I1135" s="2933"/>
      <c r="J1135" s="2933"/>
      <c r="K1135" s="2933"/>
      <c r="L1135" s="2933"/>
      <c r="M1135" s="2933"/>
      <c r="N1135" s="2933"/>
      <c r="O1135" s="2933"/>
      <c r="P1135" s="2933"/>
      <c r="Q1135" s="2933"/>
    </row>
    <row r="1136" spans="1:17">
      <c r="B1136" s="2992"/>
      <c r="C1136" s="3000"/>
      <c r="D1136" s="3000"/>
      <c r="E1136" s="3000"/>
      <c r="F1136" s="3000"/>
      <c r="G1136" s="3000"/>
      <c r="H1136" s="3000"/>
      <c r="I1136" s="3000"/>
      <c r="J1136" s="3000"/>
      <c r="K1136" s="3000"/>
      <c r="L1136" s="3000"/>
      <c r="M1136" s="3000"/>
      <c r="N1136" s="3000"/>
      <c r="O1136" s="3000"/>
      <c r="P1136" s="3000"/>
      <c r="Q1136" s="2894"/>
    </row>
    <row r="1137" spans="1:17">
      <c r="A1137" s="2893">
        <v>10</v>
      </c>
      <c r="B1137" s="3054" t="s">
        <v>2796</v>
      </c>
      <c r="C1137" s="3054"/>
      <c r="D1137" s="3054"/>
      <c r="O1137" s="2993" t="s">
        <v>1961</v>
      </c>
      <c r="P1137" s="2897">
        <f>'Part VIII-Threshold Criteria'!P187</f>
        <v>0</v>
      </c>
      <c r="Q1137" s="2897"/>
    </row>
    <row r="1138" spans="1:17">
      <c r="B1138" s="2994" t="s">
        <v>2081</v>
      </c>
      <c r="C1138" s="3055" t="s">
        <v>489</v>
      </c>
      <c r="D1138" s="3055"/>
      <c r="E1138" s="3055"/>
      <c r="F1138" s="3055"/>
      <c r="G1138" s="3055"/>
      <c r="H1138" s="3055"/>
      <c r="I1138" s="3055"/>
      <c r="J1138" s="3055"/>
      <c r="K1138" s="3055"/>
      <c r="L1138" s="3055"/>
      <c r="M1138" s="3055"/>
      <c r="O1138" s="3042" t="s">
        <v>2081</v>
      </c>
      <c r="P1138" s="2996" t="str">
        <f>'Part VIII-Threshold Criteria'!P188</f>
        <v>Yes</v>
      </c>
      <c r="Q1138" s="2996">
        <f>'Part VIII-Threshold Criteria'!Q188</f>
        <v>0</v>
      </c>
    </row>
    <row r="1139" spans="1:17">
      <c r="B1139" s="2994" t="s">
        <v>2084</v>
      </c>
      <c r="C1139" s="3055" t="s">
        <v>2780</v>
      </c>
      <c r="D1139" s="3055"/>
      <c r="E1139" s="3055"/>
      <c r="F1139" s="3055"/>
      <c r="G1139" s="3055"/>
      <c r="H1139" s="3055"/>
      <c r="I1139" s="3055"/>
      <c r="J1139" s="3055"/>
      <c r="K1139" s="3055"/>
      <c r="L1139" s="3055"/>
      <c r="M1139" s="3055"/>
      <c r="O1139" s="3042" t="s">
        <v>2084</v>
      </c>
      <c r="P1139" s="2996" t="str">
        <f>'Part VIII-Threshold Criteria'!P189</f>
        <v>Yes</v>
      </c>
      <c r="Q1139" s="2996">
        <f>'Part VIII-Threshold Criteria'!Q189</f>
        <v>0</v>
      </c>
    </row>
    <row r="1140" spans="1:17">
      <c r="B1140" s="2994" t="s">
        <v>789</v>
      </c>
      <c r="C1140" s="3055" t="s">
        <v>2781</v>
      </c>
      <c r="D1140" s="3055"/>
      <c r="E1140" s="3055"/>
      <c r="F1140" s="3055"/>
      <c r="G1140" s="3055"/>
      <c r="H1140" s="3055"/>
      <c r="I1140" s="3055"/>
      <c r="J1140" s="3055"/>
      <c r="K1140" s="3055"/>
      <c r="L1140" s="3055"/>
      <c r="M1140" s="3055"/>
      <c r="O1140" s="3042" t="s">
        <v>789</v>
      </c>
      <c r="P1140" s="2996" t="str">
        <f>'Part VIII-Threshold Criteria'!P190</f>
        <v>Yes</v>
      </c>
      <c r="Q1140" s="2996">
        <f>'Part VIII-Threshold Criteria'!Q190</f>
        <v>0</v>
      </c>
    </row>
    <row r="1141" spans="1:17">
      <c r="B1141" s="2994"/>
      <c r="C1141" s="3055" t="s">
        <v>2769</v>
      </c>
      <c r="D1141" s="3055"/>
      <c r="E1141" s="3046" t="s">
        <v>1825</v>
      </c>
      <c r="F1141" s="3055" t="s">
        <v>2782</v>
      </c>
      <c r="G1141" s="3055"/>
      <c r="H1141" s="3055"/>
      <c r="I1141" s="3055"/>
      <c r="J1141" s="3055"/>
      <c r="K1141" s="3055"/>
      <c r="L1141" s="3055"/>
      <c r="M1141" s="3055"/>
      <c r="O1141" s="3046" t="s">
        <v>1825</v>
      </c>
      <c r="P1141" s="2996" t="str">
        <f>'Part VIII-Threshold Criteria'!P191</f>
        <v>Yes</v>
      </c>
      <c r="Q1141" s="2996">
        <f>'Part VIII-Threshold Criteria'!Q191</f>
        <v>0</v>
      </c>
    </row>
    <row r="1142" spans="1:17">
      <c r="B1142" s="2994"/>
      <c r="C1142" s="3055"/>
      <c r="D1142" s="3055"/>
      <c r="E1142" s="3046" t="s">
        <v>1826</v>
      </c>
      <c r="F1142" s="3055" t="s">
        <v>4592</v>
      </c>
      <c r="G1142" s="3055"/>
      <c r="H1142" s="3055"/>
      <c r="I1142" s="3055"/>
      <c r="J1142" s="3055"/>
      <c r="K1142" s="3055"/>
      <c r="L1142" s="3055"/>
      <c r="M1142" s="3055"/>
      <c r="O1142" s="3046" t="s">
        <v>1826</v>
      </c>
      <c r="P1142" s="2996" t="str">
        <f>'Part VIII-Threshold Criteria'!P192</f>
        <v>Yes</v>
      </c>
      <c r="Q1142" s="2996">
        <f>'Part VIII-Threshold Criteria'!Q192</f>
        <v>0</v>
      </c>
    </row>
    <row r="1143" spans="1:17">
      <c r="A1143" s="3041"/>
      <c r="B1143" s="2994"/>
      <c r="C1143" s="3055"/>
      <c r="D1143" s="3055"/>
      <c r="E1143" s="3042" t="s">
        <v>1827</v>
      </c>
      <c r="F1143" s="2933" t="s">
        <v>4178</v>
      </c>
      <c r="G1143" s="2933"/>
      <c r="H1143" s="2933"/>
      <c r="I1143" s="2933"/>
      <c r="J1143" s="2933"/>
      <c r="K1143" s="2933"/>
      <c r="L1143" s="2933"/>
      <c r="M1143" s="2933"/>
      <c r="N1143" s="2933"/>
      <c r="O1143" s="3042" t="s">
        <v>1827</v>
      </c>
      <c r="P1143" s="2996" t="str">
        <f>'Part VIII-Threshold Criteria'!P193</f>
        <v>Yes</v>
      </c>
      <c r="Q1143" s="2996">
        <f>'Part VIII-Threshold Criteria'!Q193</f>
        <v>0</v>
      </c>
    </row>
    <row r="1144" spans="1:17">
      <c r="B1144" s="2994"/>
      <c r="C1144" s="3055"/>
      <c r="D1144" s="3055"/>
      <c r="E1144" s="3046" t="s">
        <v>2477</v>
      </c>
      <c r="F1144" s="3055" t="s">
        <v>2784</v>
      </c>
      <c r="G1144" s="3055"/>
      <c r="H1144" s="3055"/>
      <c r="I1144" s="3055"/>
      <c r="J1144" s="3055"/>
      <c r="K1144" s="3055"/>
      <c r="L1144" s="3055"/>
      <c r="M1144" s="3055"/>
      <c r="O1144" s="3046" t="s">
        <v>2477</v>
      </c>
      <c r="P1144" s="2996" t="str">
        <f>'Part VIII-Threshold Criteria'!P194</f>
        <v>Yes</v>
      </c>
      <c r="Q1144" s="2996">
        <f>'Part VIII-Threshold Criteria'!Q194</f>
        <v>0</v>
      </c>
    </row>
    <row r="1145" spans="1:17">
      <c r="A1145" s="3041"/>
      <c r="B1145" s="2994"/>
      <c r="C1145" s="3055"/>
      <c r="D1145" s="3055"/>
      <c r="E1145" s="3042" t="s">
        <v>1626</v>
      </c>
      <c r="F1145" s="2933" t="s">
        <v>2785</v>
      </c>
      <c r="G1145" s="2933"/>
      <c r="H1145" s="2933"/>
      <c r="I1145" s="2933"/>
      <c r="J1145" s="2933"/>
      <c r="K1145" s="2933"/>
      <c r="L1145" s="2933"/>
      <c r="M1145" s="2933"/>
      <c r="N1145" s="2933"/>
      <c r="O1145" s="3042" t="s">
        <v>1626</v>
      </c>
      <c r="P1145" s="2996" t="str">
        <f>'Part VIII-Threshold Criteria'!P195</f>
        <v>No</v>
      </c>
      <c r="Q1145" s="2996">
        <f>'Part VIII-Threshold Criteria'!Q195</f>
        <v>0</v>
      </c>
    </row>
    <row r="1146" spans="1:17">
      <c r="B1146" s="2994" t="s">
        <v>2216</v>
      </c>
      <c r="C1146" s="2933" t="s">
        <v>2786</v>
      </c>
      <c r="D1146" s="2933"/>
      <c r="E1146" s="2933"/>
      <c r="F1146" s="2933"/>
      <c r="G1146" s="2933"/>
      <c r="H1146" s="2933"/>
      <c r="I1146" s="2933"/>
      <c r="J1146" s="2933"/>
      <c r="K1146" s="2933"/>
      <c r="L1146" s="2933"/>
      <c r="M1146" s="2933"/>
      <c r="N1146" s="2933"/>
      <c r="O1146" s="3042" t="s">
        <v>2216</v>
      </c>
      <c r="P1146" s="2996" t="str">
        <f>'Part VIII-Threshold Criteria'!P196</f>
        <v>Yes</v>
      </c>
      <c r="Q1146" s="2996">
        <f>'Part VIII-Threshold Criteria'!Q196</f>
        <v>0</v>
      </c>
    </row>
    <row r="1147" spans="1:17">
      <c r="B1147" s="2994" t="s">
        <v>1823</v>
      </c>
      <c r="C1147" s="3055" t="s">
        <v>2493</v>
      </c>
      <c r="D1147" s="3055"/>
      <c r="E1147" s="3055"/>
      <c r="F1147" s="3055"/>
      <c r="G1147" s="3055"/>
      <c r="H1147" s="3055"/>
      <c r="I1147" s="3055"/>
      <c r="J1147" s="3055"/>
      <c r="K1147" s="3055"/>
      <c r="L1147" s="3055"/>
      <c r="M1147" s="3055"/>
      <c r="O1147" s="3042" t="s">
        <v>1823</v>
      </c>
      <c r="P1147" s="2996" t="str">
        <f>'Part VIII-Threshold Criteria'!P197</f>
        <v>Yes</v>
      </c>
      <c r="Q1147" s="2996">
        <f>'Part VIII-Threshold Criteria'!Q197</f>
        <v>0</v>
      </c>
    </row>
    <row r="1148" spans="1:17">
      <c r="B1148" s="3031" t="s">
        <v>1959</v>
      </c>
      <c r="D1148" s="3031"/>
      <c r="E1148" s="3031"/>
      <c r="F1148" s="3031"/>
      <c r="G1148" s="3031"/>
      <c r="H1148" s="2995"/>
      <c r="I1148" s="2992"/>
      <c r="J1148" s="2992"/>
      <c r="K1148" s="2992"/>
      <c r="L1148" s="2894"/>
      <c r="M1148" s="2894"/>
      <c r="N1148" s="2894"/>
      <c r="O1148" s="2894"/>
      <c r="P1148" s="2894"/>
      <c r="Q1148" s="2894"/>
    </row>
    <row r="1149" spans="1:17">
      <c r="A1149" s="2933" t="str">
        <f>'Part VIII-Threshold Criteria'!A199</f>
        <v xml:space="preserve">Property is zoned R-3 (Multi-family Residential) as evidenced by the letter included in Tab 10. Item C. 5) above is answered no because it is not a HOME deal. </v>
      </c>
      <c r="B1149" s="2933"/>
      <c r="C1149" s="2933"/>
      <c r="D1149" s="2933"/>
      <c r="E1149" s="2933"/>
      <c r="F1149" s="2933"/>
      <c r="G1149" s="2933"/>
      <c r="H1149" s="2933"/>
      <c r="I1149" s="2933"/>
      <c r="J1149" s="2933"/>
      <c r="K1149" s="2933"/>
      <c r="L1149" s="2933"/>
      <c r="M1149" s="2933"/>
      <c r="N1149" s="2933"/>
      <c r="O1149" s="2933"/>
      <c r="P1149" s="2933"/>
      <c r="Q1149" s="2933"/>
    </row>
    <row r="1150" spans="1:17">
      <c r="B1150" s="2998" t="s">
        <v>1960</v>
      </c>
      <c r="C1150" s="2999"/>
      <c r="D1150" s="3000"/>
      <c r="E1150" s="3000"/>
      <c r="F1150" s="3000"/>
      <c r="G1150" s="3000"/>
      <c r="H1150" s="3000"/>
      <c r="I1150" s="3000"/>
      <c r="J1150" s="3000"/>
      <c r="K1150" s="3000"/>
      <c r="L1150" s="3000"/>
      <c r="M1150" s="3000"/>
      <c r="N1150" s="3000"/>
      <c r="O1150" s="3000"/>
      <c r="P1150" s="3000"/>
    </row>
    <row r="1151" spans="1:17">
      <c r="A1151" s="2933">
        <f>'Part VIII-Threshold Criteria'!A201</f>
        <v>0</v>
      </c>
      <c r="B1151" s="2933"/>
      <c r="C1151" s="2933"/>
      <c r="D1151" s="2933"/>
      <c r="E1151" s="2933"/>
      <c r="F1151" s="2933"/>
      <c r="G1151" s="2933"/>
      <c r="H1151" s="2933"/>
      <c r="I1151" s="2933"/>
      <c r="J1151" s="2933"/>
      <c r="K1151" s="2933"/>
      <c r="L1151" s="2933"/>
      <c r="M1151" s="2933"/>
      <c r="N1151" s="2933"/>
      <c r="O1151" s="2933"/>
      <c r="P1151" s="2933"/>
      <c r="Q1151" s="2933"/>
    </row>
    <row r="1152" spans="1:17">
      <c r="A1152" s="2894"/>
      <c r="B1152" s="2992"/>
      <c r="C1152" s="3000"/>
      <c r="D1152" s="3000"/>
      <c r="E1152" s="3000"/>
      <c r="F1152" s="3000"/>
      <c r="G1152" s="3000"/>
      <c r="H1152" s="3000"/>
      <c r="I1152" s="3000"/>
      <c r="J1152" s="3000"/>
      <c r="K1152" s="3000"/>
      <c r="L1152" s="3000"/>
      <c r="M1152" s="3000"/>
      <c r="N1152" s="3000"/>
      <c r="O1152" s="3000"/>
      <c r="P1152" s="3000"/>
      <c r="Q1152" s="2894"/>
    </row>
    <row r="1153" spans="1:17">
      <c r="A1153" s="2874">
        <v>11</v>
      </c>
      <c r="B1153" s="2874" t="s">
        <v>2797</v>
      </c>
      <c r="C1153" s="2874"/>
      <c r="D1153" s="3000"/>
      <c r="E1153" s="2837"/>
      <c r="F1153" s="2837"/>
      <c r="G1153" s="3000"/>
      <c r="J1153" s="3034"/>
      <c r="K1153" s="3034"/>
      <c r="L1153" s="3034"/>
      <c r="M1153" s="3034"/>
      <c r="N1153" s="3034"/>
      <c r="O1153" s="2993" t="s">
        <v>1961</v>
      </c>
      <c r="P1153" s="2897">
        <f>'Part VIII-Threshold Criteria'!P203</f>
        <v>0</v>
      </c>
      <c r="Q1153" s="2897"/>
    </row>
    <row r="1154" spans="1:17">
      <c r="A1154" s="3045"/>
      <c r="B1154" s="2997" t="s">
        <v>2081</v>
      </c>
      <c r="C1154" s="2933" t="s">
        <v>99</v>
      </c>
      <c r="D1154" s="2933"/>
      <c r="E1154" s="2933"/>
      <c r="F1154" s="2933"/>
      <c r="G1154" s="2933"/>
      <c r="H1154" s="2967" t="s">
        <v>1825</v>
      </c>
      <c r="I1154" s="524" t="s">
        <v>157</v>
      </c>
      <c r="K1154" s="3037" t="str">
        <f>'Part VIII-Threshold Criteria'!K204</f>
        <v>N/A</v>
      </c>
      <c r="L1154" s="3037"/>
      <c r="M1154" s="3037"/>
      <c r="N1154" s="3037"/>
      <c r="O1154" s="2967" t="s">
        <v>1825</v>
      </c>
      <c r="P1154" s="2996">
        <f>'Part VIII-Threshold Criteria'!P204</f>
        <v>0</v>
      </c>
      <c r="Q1154" s="2996">
        <f>'Part VIII-Threshold Criteria'!Q204</f>
        <v>0</v>
      </c>
    </row>
    <row r="1155" spans="1:17">
      <c r="A1155" s="3045"/>
      <c r="B1155" s="2992"/>
      <c r="C1155" s="2908"/>
      <c r="D1155" s="2908"/>
      <c r="E1155" s="2908"/>
      <c r="F1155" s="2908"/>
      <c r="H1155" s="2967" t="s">
        <v>1826</v>
      </c>
      <c r="I1155" s="524" t="s">
        <v>1673</v>
      </c>
      <c r="K1155" s="3037" t="str">
        <f>'Part VIII-Threshold Criteria'!K205</f>
        <v>Flint Energies</v>
      </c>
      <c r="L1155" s="3037"/>
      <c r="M1155" s="3037"/>
      <c r="N1155" s="3037"/>
      <c r="O1155" s="2967" t="s">
        <v>1826</v>
      </c>
      <c r="P1155" s="2996" t="str">
        <f>'Part VIII-Threshold Criteria'!P205</f>
        <v>Yes</v>
      </c>
      <c r="Q1155" s="2996">
        <f>'Part VIII-Threshold Criteria'!Q205</f>
        <v>0</v>
      </c>
    </row>
    <row r="1156" spans="1:17">
      <c r="B1156" s="3031" t="s">
        <v>1959</v>
      </c>
      <c r="D1156" s="3031"/>
      <c r="E1156" s="3031"/>
      <c r="F1156" s="3031"/>
      <c r="G1156" s="3031"/>
      <c r="J1156" s="2992"/>
      <c r="K1156" s="2992"/>
      <c r="L1156" s="2894"/>
      <c r="M1156" s="2894"/>
      <c r="N1156" s="2894"/>
      <c r="O1156" s="2894"/>
      <c r="P1156" s="2894"/>
      <c r="Q1156" s="2894"/>
    </row>
    <row r="1157" spans="1:17">
      <c r="A1157" s="2933" t="str">
        <f>'Part VIII-Threshold Criteria'!A207</f>
        <v>We will not be using gas as a utility.  The units will be all electric</v>
      </c>
      <c r="B1157" s="2933"/>
      <c r="C1157" s="2933"/>
      <c r="D1157" s="2933"/>
      <c r="E1157" s="2933"/>
      <c r="F1157" s="2933"/>
      <c r="G1157" s="2933"/>
      <c r="H1157" s="2933"/>
      <c r="I1157" s="2933"/>
      <c r="J1157" s="2933"/>
      <c r="K1157" s="2933"/>
      <c r="L1157" s="2933"/>
      <c r="M1157" s="2933"/>
      <c r="N1157" s="2933"/>
      <c r="O1157" s="2933"/>
      <c r="P1157" s="2933"/>
      <c r="Q1157" s="2933"/>
    </row>
    <row r="1158" spans="1:17">
      <c r="B1158" s="2998" t="s">
        <v>1960</v>
      </c>
      <c r="C1158" s="2999"/>
      <c r="D1158" s="3000"/>
      <c r="E1158" s="3000"/>
      <c r="F1158" s="3000"/>
      <c r="G1158" s="3000"/>
      <c r="H1158" s="3000"/>
      <c r="I1158" s="3000"/>
      <c r="J1158" s="3000"/>
      <c r="K1158" s="3000"/>
      <c r="L1158" s="3000"/>
      <c r="M1158" s="3000"/>
      <c r="N1158" s="3000"/>
      <c r="O1158" s="3000"/>
      <c r="P1158" s="3000"/>
    </row>
    <row r="1159" spans="1:17">
      <c r="A1159" s="2933">
        <f>'Part VIII-Threshold Criteria'!A209</f>
        <v>0</v>
      </c>
      <c r="B1159" s="2933"/>
      <c r="C1159" s="2933"/>
      <c r="D1159" s="2933"/>
      <c r="E1159" s="2933"/>
      <c r="F1159" s="2933"/>
      <c r="G1159" s="2933"/>
      <c r="H1159" s="2933"/>
      <c r="I1159" s="2933"/>
      <c r="J1159" s="2933"/>
      <c r="K1159" s="2933"/>
      <c r="L1159" s="2933"/>
      <c r="M1159" s="2933"/>
      <c r="N1159" s="2933"/>
      <c r="O1159" s="2933"/>
      <c r="P1159" s="2933"/>
      <c r="Q1159" s="2933"/>
    </row>
    <row r="1160" spans="1:17">
      <c r="B1160" s="2992"/>
      <c r="C1160" s="3000"/>
      <c r="D1160" s="3000"/>
      <c r="E1160" s="3000"/>
      <c r="F1160" s="3000"/>
      <c r="G1160" s="3000"/>
      <c r="H1160" s="3000"/>
      <c r="I1160" s="3000"/>
      <c r="J1160" s="3000"/>
      <c r="K1160" s="3000"/>
      <c r="L1160" s="3000"/>
      <c r="M1160" s="3000"/>
      <c r="Q1160" s="2894"/>
    </row>
    <row r="1161" spans="1:17">
      <c r="A1161" s="2874">
        <v>12</v>
      </c>
      <c r="B1161" s="526" t="s">
        <v>2798</v>
      </c>
      <c r="C1161" s="526"/>
      <c r="D1161" s="2991"/>
      <c r="E1161" s="2991"/>
      <c r="F1161" s="2991"/>
      <c r="G1161" s="3000"/>
      <c r="H1161" s="3000"/>
      <c r="I1161" s="3000"/>
      <c r="J1161" s="3000"/>
      <c r="K1161" s="3000"/>
      <c r="L1161" s="3000"/>
      <c r="M1161" s="3000"/>
      <c r="O1161" s="2993" t="s">
        <v>1961</v>
      </c>
      <c r="P1161" s="2897">
        <f>'Part VIII-Threshold Criteria'!P211</f>
        <v>0</v>
      </c>
      <c r="Q1161" s="2897"/>
    </row>
    <row r="1163" spans="1:17">
      <c r="B1163" s="2994" t="s">
        <v>2081</v>
      </c>
      <c r="C1163" s="3056" t="s">
        <v>1825</v>
      </c>
      <c r="D1163" s="3057" t="s">
        <v>538</v>
      </c>
      <c r="E1163" s="3057"/>
      <c r="F1163" s="3057"/>
      <c r="G1163" s="3057"/>
      <c r="H1163" s="3057"/>
      <c r="I1163" s="3057"/>
      <c r="J1163" s="3057"/>
      <c r="K1163" s="3057"/>
      <c r="L1163" s="3057"/>
      <c r="M1163" s="3057"/>
      <c r="N1163" s="3057"/>
      <c r="O1163" s="3042" t="s">
        <v>1562</v>
      </c>
      <c r="P1163" s="2996" t="str">
        <f>'Part VIII-Threshold Criteria'!P213</f>
        <v>No</v>
      </c>
      <c r="Q1163" s="2996">
        <f>'Part VIII-Threshold Criteria'!Q213</f>
        <v>0</v>
      </c>
    </row>
    <row r="1164" spans="1:17">
      <c r="B1164" s="2994"/>
      <c r="C1164" s="3056" t="s">
        <v>1826</v>
      </c>
      <c r="D1164" s="3057" t="s">
        <v>1542</v>
      </c>
      <c r="E1164" s="3057"/>
      <c r="F1164" s="3057"/>
      <c r="G1164" s="3057"/>
      <c r="H1164" s="3057"/>
      <c r="I1164" s="3057"/>
      <c r="J1164" s="3057"/>
      <c r="K1164" s="3057"/>
      <c r="L1164" s="3057"/>
      <c r="M1164" s="3057"/>
      <c r="N1164" s="3057"/>
      <c r="O1164" s="3042" t="s">
        <v>1826</v>
      </c>
      <c r="P1164" s="2996">
        <f>'Part VIII-Threshold Criteria'!P214</f>
        <v>0</v>
      </c>
      <c r="Q1164" s="2996">
        <f>'Part VIII-Threshold Criteria'!Q214</f>
        <v>0</v>
      </c>
    </row>
    <row r="1165" spans="1:17">
      <c r="A1165" s="3045"/>
      <c r="B1165" s="2994" t="s">
        <v>2084</v>
      </c>
      <c r="C1165" s="2933" t="s">
        <v>1942</v>
      </c>
      <c r="D1165" s="2933"/>
      <c r="E1165" s="2933"/>
      <c r="F1165" s="2933"/>
      <c r="G1165" s="2933"/>
      <c r="H1165" s="2967" t="s">
        <v>1825</v>
      </c>
      <c r="I1165" s="524" t="s">
        <v>666</v>
      </c>
      <c r="K1165" s="3037" t="str">
        <f>'Part VIII-Threshold Criteria'!K215</f>
        <v>City of Centerville</v>
      </c>
      <c r="L1165" s="3037"/>
      <c r="M1165" s="3037"/>
      <c r="N1165" s="3037"/>
      <c r="O1165" s="2967" t="s">
        <v>1520</v>
      </c>
      <c r="P1165" s="2996" t="str">
        <f>'Part VIII-Threshold Criteria'!P215</f>
        <v>Yes</v>
      </c>
      <c r="Q1165" s="2996">
        <f>'Part VIII-Threshold Criteria'!Q215</f>
        <v>0</v>
      </c>
    </row>
    <row r="1166" spans="1:17">
      <c r="A1166" s="3045"/>
      <c r="B1166" s="541"/>
      <c r="C1166" s="2933"/>
      <c r="D1166" s="2933"/>
      <c r="E1166" s="2933"/>
      <c r="F1166" s="2933"/>
      <c r="G1166" s="2933"/>
      <c r="H1166" s="2967" t="s">
        <v>1826</v>
      </c>
      <c r="I1166" s="524" t="s">
        <v>118</v>
      </c>
      <c r="K1166" s="3037" t="str">
        <f>'Part VIII-Threshold Criteria'!K216</f>
        <v>City of Centerville</v>
      </c>
      <c r="L1166" s="3037"/>
      <c r="M1166" s="3037"/>
      <c r="N1166" s="3037"/>
      <c r="O1166" s="2967" t="s">
        <v>1826</v>
      </c>
      <c r="P1166" s="2996" t="str">
        <f>'Part VIII-Threshold Criteria'!P216</f>
        <v>Yes</v>
      </c>
      <c r="Q1166" s="2996">
        <f>'Part VIII-Threshold Criteria'!Q216</f>
        <v>0</v>
      </c>
    </row>
    <row r="1167" spans="1:17">
      <c r="B1167" s="3031" t="s">
        <v>1959</v>
      </c>
      <c r="D1167" s="3031"/>
      <c r="E1167" s="3031"/>
      <c r="F1167" s="3031"/>
      <c r="G1167" s="3031"/>
      <c r="H1167" s="2995"/>
      <c r="I1167" s="2992"/>
      <c r="J1167" s="2992"/>
      <c r="K1167" s="2992"/>
      <c r="L1167" s="2894"/>
      <c r="M1167" s="2894"/>
      <c r="N1167" s="2894"/>
      <c r="O1167" s="2894"/>
      <c r="P1167" s="2894"/>
      <c r="Q1167" s="2894"/>
    </row>
    <row r="1168" spans="1:17">
      <c r="A1168" s="2933" t="str">
        <f>'Part VIII-Threshold Criteria'!A218</f>
        <v>No waiver is requested because no waiver is needed.</v>
      </c>
      <c r="B1168" s="2933"/>
      <c r="C1168" s="2933"/>
      <c r="D1168" s="2933"/>
      <c r="E1168" s="2933"/>
      <c r="F1168" s="2933"/>
      <c r="G1168" s="2933"/>
      <c r="H1168" s="2933"/>
      <c r="I1168" s="2933"/>
      <c r="J1168" s="2933"/>
      <c r="K1168" s="2933"/>
      <c r="L1168" s="2933"/>
      <c r="M1168" s="2933"/>
      <c r="N1168" s="2933"/>
      <c r="O1168" s="2933"/>
      <c r="P1168" s="2933"/>
      <c r="Q1168" s="2933"/>
    </row>
    <row r="1169" spans="1:17">
      <c r="B1169" s="2998" t="s">
        <v>1960</v>
      </c>
      <c r="C1169" s="2999"/>
      <c r="D1169" s="3000"/>
      <c r="E1169" s="3000"/>
      <c r="F1169" s="3000"/>
      <c r="G1169" s="3000"/>
      <c r="H1169" s="3000"/>
      <c r="I1169" s="3000"/>
      <c r="J1169" s="3000"/>
      <c r="K1169" s="3000"/>
      <c r="L1169" s="3000"/>
      <c r="M1169" s="3000"/>
      <c r="N1169" s="3000"/>
      <c r="O1169" s="3000"/>
      <c r="P1169" s="3000"/>
    </row>
    <row r="1170" spans="1:17">
      <c r="A1170" s="2933">
        <f>'Part VIII-Threshold Criteria'!A220</f>
        <v>0</v>
      </c>
      <c r="B1170" s="2933"/>
      <c r="C1170" s="2933"/>
      <c r="D1170" s="2933"/>
      <c r="E1170" s="2933"/>
      <c r="F1170" s="2933"/>
      <c r="G1170" s="2933"/>
      <c r="H1170" s="2933"/>
      <c r="I1170" s="2933"/>
      <c r="J1170" s="2933"/>
      <c r="K1170" s="2933"/>
      <c r="L1170" s="2933"/>
      <c r="M1170" s="2933"/>
      <c r="N1170" s="2933"/>
      <c r="O1170" s="2933"/>
      <c r="P1170" s="2933"/>
      <c r="Q1170" s="2933"/>
    </row>
    <row r="1171" spans="1:17">
      <c r="A1171" s="2894"/>
      <c r="B1171" s="2992"/>
      <c r="C1171" s="3000"/>
      <c r="D1171" s="3000"/>
      <c r="E1171" s="3000"/>
      <c r="F1171" s="3000"/>
      <c r="G1171" s="3000"/>
      <c r="H1171" s="3000"/>
      <c r="I1171" s="3000"/>
      <c r="J1171" s="3000"/>
      <c r="K1171" s="3000"/>
      <c r="L1171" s="3000"/>
      <c r="M1171" s="3000"/>
      <c r="Q1171" s="2894"/>
    </row>
    <row r="1172" spans="1:17">
      <c r="A1172" s="2874">
        <v>13</v>
      </c>
      <c r="B1172" s="526" t="s">
        <v>2799</v>
      </c>
      <c r="C1172" s="526"/>
      <c r="D1172" s="2991"/>
      <c r="E1172" s="2991"/>
      <c r="F1172" s="2991"/>
      <c r="G1172" s="2991"/>
      <c r="H1172" s="3000"/>
      <c r="I1172" s="3000"/>
      <c r="J1172" s="3000"/>
      <c r="K1172" s="3000"/>
      <c r="L1172" s="3000"/>
      <c r="M1172" s="3000"/>
      <c r="O1172" s="2993" t="s">
        <v>1961</v>
      </c>
      <c r="P1172" s="2897">
        <f>'Part VIII-Threshold Criteria'!P222</f>
        <v>0</v>
      </c>
      <c r="Q1172" s="2897"/>
    </row>
    <row r="1173" spans="1:17">
      <c r="B1173" s="507" t="s">
        <v>149</v>
      </c>
    </row>
    <row r="1174" spans="1:17">
      <c r="B1174" s="2997" t="s">
        <v>2081</v>
      </c>
      <c r="C1174" s="524" t="s">
        <v>3331</v>
      </c>
      <c r="D1174" s="523"/>
      <c r="E1174" s="524"/>
      <c r="F1174" s="524"/>
      <c r="G1174" s="524"/>
      <c r="H1174" s="524"/>
      <c r="I1174" s="523"/>
      <c r="J1174" s="523"/>
      <c r="K1174" s="523"/>
      <c r="L1174" s="3055"/>
      <c r="M1174" s="3055"/>
      <c r="O1174" s="3042" t="s">
        <v>2081</v>
      </c>
      <c r="P1174" s="2996" t="str">
        <f>'Part VIII-Threshold Criteria'!P224</f>
        <v>Yes</v>
      </c>
      <c r="Q1174" s="2996">
        <f>'Part VIII-Threshold Criteria'!Q224</f>
        <v>0</v>
      </c>
    </row>
    <row r="1175" spans="1:17" ht="12.75" customHeight="1">
      <c r="B1175" s="2997"/>
      <c r="C1175" s="524"/>
      <c r="D1175" s="524" t="s">
        <v>3301</v>
      </c>
      <c r="E1175" s="524"/>
      <c r="F1175" s="524"/>
      <c r="G1175" s="3058">
        <f>'Part VIII-Threshold Criteria'!G225</f>
        <v>42154</v>
      </c>
      <c r="H1175" s="3058"/>
      <c r="L1175" s="3059" t="s">
        <v>4370</v>
      </c>
      <c r="M1175" s="3058">
        <f>'Part VIII-Threshold Criteria'!M225</f>
        <v>0</v>
      </c>
      <c r="N1175" s="3058"/>
    </row>
    <row r="1176" spans="1:17">
      <c r="B1176" s="2997"/>
      <c r="C1176" s="524"/>
      <c r="D1176" s="507" t="s">
        <v>3303</v>
      </c>
      <c r="E1176" s="524"/>
      <c r="F1176" s="524"/>
      <c r="G1176" s="3037" t="str">
        <f>'Part VIII-Threshold Criteria'!G226</f>
        <v>Houston Home Journal</v>
      </c>
      <c r="H1176" s="3037"/>
      <c r="I1176" s="3037"/>
      <c r="J1176" s="3037"/>
      <c r="K1176" s="3037"/>
      <c r="L1176" s="3059"/>
      <c r="M1176" s="3037">
        <f>'Part VIII-Threshold Criteria'!M226</f>
        <v>0</v>
      </c>
      <c r="N1176" s="3037"/>
      <c r="O1176" s="3037"/>
      <c r="P1176" s="3037"/>
      <c r="Q1176" s="3037"/>
    </row>
    <row r="1177" spans="1:17">
      <c r="B1177" s="2997"/>
      <c r="C1177" s="524"/>
      <c r="D1177" s="524" t="s">
        <v>3302</v>
      </c>
      <c r="E1177" s="523"/>
      <c r="G1177" s="3058">
        <f>'Part VIII-Threshold Criteria'!G227</f>
        <v>42157</v>
      </c>
      <c r="H1177" s="3058"/>
      <c r="I1177" s="524"/>
      <c r="J1177" s="523"/>
      <c r="K1177" s="523"/>
      <c r="L1177" s="3059"/>
      <c r="M1177" s="3058">
        <f>'Part VIII-Threshold Criteria'!M227</f>
        <v>0</v>
      </c>
      <c r="N1177" s="3058"/>
    </row>
    <row r="1178" spans="1:17">
      <c r="B1178" s="2997" t="s">
        <v>2084</v>
      </c>
      <c r="C1178" s="524" t="s">
        <v>4367</v>
      </c>
      <c r="D1178" s="524"/>
      <c r="E1178" s="524"/>
      <c r="F1178" s="524"/>
      <c r="G1178" s="524"/>
      <c r="H1178" s="524"/>
      <c r="I1178" s="523"/>
      <c r="J1178" s="523"/>
      <c r="K1178" s="523"/>
      <c r="L1178" s="3032"/>
      <c r="M1178" s="3032"/>
      <c r="O1178" s="3042" t="s">
        <v>2084</v>
      </c>
      <c r="P1178" s="2996" t="str">
        <f>'Part VIII-Threshold Criteria'!P228</f>
        <v>Yes</v>
      </c>
      <c r="Q1178" s="2996">
        <f>'Part VIII-Threshold Criteria'!Q228</f>
        <v>0</v>
      </c>
    </row>
    <row r="1179" spans="1:17">
      <c r="B1179" s="2997" t="s">
        <v>789</v>
      </c>
      <c r="C1179" s="524" t="s">
        <v>4368</v>
      </c>
      <c r="D1179" s="524"/>
      <c r="E1179" s="524"/>
      <c r="F1179" s="524"/>
      <c r="G1179" s="524"/>
      <c r="H1179" s="524"/>
      <c r="I1179" s="523"/>
      <c r="J1179" s="523"/>
      <c r="K1179" s="523"/>
      <c r="L1179" s="3032"/>
      <c r="M1179" s="3032"/>
      <c r="O1179" s="3042" t="s">
        <v>789</v>
      </c>
      <c r="P1179" s="2996" t="str">
        <f>'Part VIII-Threshold Criteria'!P229</f>
        <v>Yes</v>
      </c>
      <c r="Q1179" s="2996">
        <f>'Part VIII-Threshold Criteria'!Q229</f>
        <v>0</v>
      </c>
    </row>
    <row r="1180" spans="1:17">
      <c r="B1180" s="2997" t="s">
        <v>2216</v>
      </c>
      <c r="C1180" s="524" t="s">
        <v>4179</v>
      </c>
      <c r="D1180" s="524"/>
      <c r="E1180" s="524"/>
      <c r="F1180" s="524"/>
      <c r="G1180" s="524"/>
      <c r="H1180" s="524"/>
      <c r="I1180" s="523"/>
      <c r="J1180" s="523"/>
      <c r="K1180" s="523"/>
      <c r="L1180" s="3055"/>
      <c r="M1180" s="3055"/>
      <c r="O1180" s="2967" t="s">
        <v>2216</v>
      </c>
      <c r="P1180" s="2996" t="str">
        <f>'Part VIII-Threshold Criteria'!P230</f>
        <v>No</v>
      </c>
      <c r="Q1180" s="2996">
        <f>'Part VIII-Threshold Criteria'!Q230</f>
        <v>0</v>
      </c>
    </row>
    <row r="1181" spans="1:17">
      <c r="B1181" s="2997" t="s">
        <v>1823</v>
      </c>
      <c r="C1181" s="524" t="s">
        <v>150</v>
      </c>
      <c r="D1181" s="524"/>
      <c r="E1181" s="524"/>
      <c r="F1181" s="524"/>
      <c r="G1181" s="524"/>
      <c r="H1181" s="524"/>
      <c r="I1181" s="523"/>
      <c r="J1181" s="523"/>
      <c r="K1181" s="523"/>
      <c r="L1181" s="523"/>
      <c r="M1181" s="523"/>
      <c r="O1181" s="2967" t="s">
        <v>1823</v>
      </c>
      <c r="P1181" s="2996" t="str">
        <f>'Part VIII-Threshold Criteria'!P231</f>
        <v>No</v>
      </c>
      <c r="Q1181" s="2996">
        <f>'Part VIII-Threshold Criteria'!Q231</f>
        <v>0</v>
      </c>
    </row>
    <row r="1182" spans="1:17">
      <c r="B1182" s="3031" t="s">
        <v>1959</v>
      </c>
      <c r="D1182" s="3031"/>
      <c r="E1182" s="3031"/>
      <c r="F1182" s="3031"/>
      <c r="G1182" s="3031"/>
      <c r="H1182" s="2995"/>
      <c r="I1182" s="2992"/>
      <c r="J1182" s="2992"/>
      <c r="K1182" s="2992"/>
      <c r="L1182" s="2894"/>
      <c r="M1182" s="2894"/>
      <c r="N1182" s="2894"/>
      <c r="O1182" s="2894"/>
      <c r="P1182" s="2894"/>
      <c r="Q1182" s="2894"/>
    </row>
    <row r="1183" spans="1:17">
      <c r="A1183" s="2933" t="str">
        <f>'Part VIII-Threshold Criteria'!A233</f>
        <v>The proposed development was presented and discussed during the regular council meeting.  The local government officials and citizens were pleased to hear of the potential development coming to their area.</v>
      </c>
      <c r="B1183" s="2933"/>
      <c r="C1183" s="2933"/>
      <c r="D1183" s="2933"/>
      <c r="E1183" s="2933"/>
      <c r="F1183" s="2933"/>
      <c r="G1183" s="2933"/>
      <c r="H1183" s="2933"/>
      <c r="I1183" s="2933"/>
      <c r="J1183" s="2933"/>
      <c r="K1183" s="2933"/>
      <c r="L1183" s="2933"/>
      <c r="M1183" s="2933"/>
      <c r="N1183" s="2933"/>
      <c r="O1183" s="2933"/>
      <c r="P1183" s="2933"/>
      <c r="Q1183" s="2933"/>
    </row>
    <row r="1185" spans="1:17">
      <c r="B1185" s="2998" t="s">
        <v>1960</v>
      </c>
      <c r="C1185" s="2999"/>
      <c r="D1185" s="3000"/>
      <c r="E1185" s="3000"/>
      <c r="F1185" s="3000"/>
      <c r="G1185" s="3000"/>
      <c r="H1185" s="3000"/>
      <c r="I1185" s="3000"/>
      <c r="J1185" s="3000"/>
      <c r="K1185" s="3000"/>
      <c r="L1185" s="3000"/>
      <c r="M1185" s="3000"/>
      <c r="N1185" s="3000"/>
      <c r="O1185" s="3000"/>
      <c r="P1185" s="3000"/>
      <c r="Q1185" s="3000"/>
    </row>
    <row r="1186" spans="1:17">
      <c r="A1186" s="2933">
        <f>'Part VIII-Threshold Criteria'!A236</f>
        <v>0</v>
      </c>
      <c r="B1186" s="2933"/>
      <c r="C1186" s="2933"/>
      <c r="D1186" s="2933"/>
      <c r="E1186" s="2933"/>
      <c r="F1186" s="2933"/>
      <c r="G1186" s="2933"/>
      <c r="H1186" s="2933"/>
      <c r="I1186" s="2933"/>
      <c r="J1186" s="2933"/>
      <c r="K1186" s="2933"/>
      <c r="L1186" s="2933"/>
      <c r="M1186" s="2933"/>
      <c r="N1186" s="2933"/>
      <c r="O1186" s="2933"/>
      <c r="P1186" s="2933"/>
      <c r="Q1186" s="2933"/>
    </row>
    <row r="1187" spans="1:17">
      <c r="A1187" s="2894"/>
      <c r="B1187" s="2992"/>
      <c r="C1187" s="3000"/>
      <c r="D1187" s="3000"/>
      <c r="E1187" s="3000"/>
      <c r="F1187" s="3000"/>
      <c r="G1187" s="3000"/>
      <c r="H1187" s="3000"/>
      <c r="I1187" s="3000"/>
      <c r="J1187" s="3000"/>
      <c r="K1187" s="3000"/>
      <c r="L1187" s="3000"/>
      <c r="M1187" s="3000"/>
      <c r="Q1187" s="2894"/>
    </row>
    <row r="1188" spans="1:17">
      <c r="A1188" s="2874">
        <v>14</v>
      </c>
      <c r="B1188" s="2874" t="s">
        <v>2800</v>
      </c>
      <c r="C1188" s="3028"/>
      <c r="D1188" s="3000"/>
      <c r="E1188" s="3000"/>
      <c r="F1188" s="3000"/>
      <c r="G1188" s="3000"/>
      <c r="H1188" s="3000"/>
      <c r="I1188" s="3000"/>
      <c r="J1188" s="3000"/>
      <c r="K1188" s="3000"/>
      <c r="L1188" s="3000"/>
      <c r="M1188" s="3000"/>
      <c r="O1188" s="2993" t="s">
        <v>1961</v>
      </c>
      <c r="P1188" s="2897">
        <f>'Part VIII-Threshold Criteria'!P238</f>
        <v>0</v>
      </c>
      <c r="Q1188" s="2897"/>
    </row>
    <row r="1189" spans="1:17">
      <c r="B1189" s="507" t="s">
        <v>1248</v>
      </c>
      <c r="N1189" s="2877"/>
      <c r="P1189" s="2996" t="str">
        <f>'Part VIII-Threshold Criteria'!P239</f>
        <v>No</v>
      </c>
      <c r="Q1189" s="2996">
        <f>'Part VIII-Threshold Criteria'!Q239</f>
        <v>0</v>
      </c>
    </row>
    <row r="1190" spans="1:17">
      <c r="B1190" s="2997" t="s">
        <v>2081</v>
      </c>
      <c r="C1190" s="2991" t="s">
        <v>1447</v>
      </c>
      <c r="D1190" s="523"/>
      <c r="E1190" s="523"/>
      <c r="F1190" s="523"/>
      <c r="G1190" s="523"/>
      <c r="H1190" s="523"/>
      <c r="I1190" s="523"/>
      <c r="J1190" s="523"/>
      <c r="K1190" s="523"/>
      <c r="L1190" s="523"/>
      <c r="M1190" s="523"/>
    </row>
    <row r="1191" spans="1:17">
      <c r="B1191" s="2997"/>
      <c r="C1191" s="2967" t="s">
        <v>1825</v>
      </c>
      <c r="D1191" s="524" t="s">
        <v>2028</v>
      </c>
      <c r="E1191" s="524"/>
      <c r="F1191" s="524"/>
      <c r="G1191" s="524"/>
      <c r="H1191" s="524"/>
      <c r="I1191" s="523"/>
      <c r="K1191" s="2967" t="s">
        <v>1562</v>
      </c>
      <c r="L1191" s="3037" t="str">
        <f>'Part VIII-Threshold Criteria'!L241</f>
        <v>Building</v>
      </c>
      <c r="M1191" s="3037"/>
      <c r="Q1191" s="2996">
        <f>'Part VIII-Threshold Criteria'!Q241</f>
        <v>0</v>
      </c>
    </row>
    <row r="1192" spans="1:17" ht="13.5">
      <c r="B1192" s="2997"/>
      <c r="C1192" s="2967" t="s">
        <v>1826</v>
      </c>
      <c r="D1192" s="2995" t="s">
        <v>2898</v>
      </c>
      <c r="E1192" s="2995"/>
      <c r="F1192" s="2995"/>
      <c r="G1192" s="2995"/>
      <c r="H1192" s="2995"/>
      <c r="I1192" s="523"/>
      <c r="K1192" s="2967" t="s">
        <v>1563</v>
      </c>
      <c r="L1192" s="3037" t="str">
        <f>'Part VIII-Threshold Criteria'!L242</f>
        <v>Covered Porch</v>
      </c>
      <c r="M1192" s="3037"/>
      <c r="N1192" s="3060" t="str">
        <f>'Part VIII-Threshold Criteria'!N242</f>
        <v>If "Other", explain here</v>
      </c>
      <c r="O1192" s="3060"/>
      <c r="P1192" s="3060"/>
      <c r="Q1192" s="2996">
        <f>'Part VIII-Threshold Criteria'!Q242</f>
        <v>0</v>
      </c>
    </row>
    <row r="1193" spans="1:17">
      <c r="B1193" s="2997"/>
      <c r="C1193" s="2967" t="s">
        <v>1827</v>
      </c>
      <c r="D1193" s="2995" t="s">
        <v>582</v>
      </c>
      <c r="E1193" s="2995"/>
      <c r="F1193" s="2995"/>
      <c r="G1193" s="2995"/>
      <c r="H1193" s="2995"/>
      <c r="I1193" s="523"/>
      <c r="K1193" s="2967" t="s">
        <v>1564</v>
      </c>
      <c r="L1193" s="3037" t="str">
        <f>'Part VIII-Threshold Criteria'!L243</f>
        <v>On-site laundry</v>
      </c>
      <c r="M1193" s="3037"/>
      <c r="N1193" s="3037"/>
      <c r="Q1193" s="2996">
        <f>'Part VIII-Threshold Criteria'!Q243</f>
        <v>0</v>
      </c>
    </row>
    <row r="1194" spans="1:17">
      <c r="B1194" s="2997"/>
      <c r="C1194" s="2967"/>
      <c r="D1194" s="524"/>
      <c r="E1194" s="524"/>
      <c r="F1194" s="524"/>
      <c r="G1194" s="524"/>
      <c r="H1194" s="524"/>
      <c r="I1194" s="523"/>
      <c r="J1194" s="523"/>
      <c r="K1194" s="523"/>
      <c r="L1194" s="523"/>
      <c r="M1194" s="523"/>
    </row>
    <row r="1195" spans="1:17">
      <c r="B1195" s="2997" t="s">
        <v>2084</v>
      </c>
      <c r="C1195" s="2991" t="s">
        <v>2635</v>
      </c>
      <c r="D1195" s="524"/>
      <c r="E1195" s="524"/>
      <c r="F1195" s="524"/>
      <c r="G1195" s="524"/>
      <c r="H1195" s="524"/>
      <c r="I1195" s="524"/>
      <c r="J1195" s="524"/>
      <c r="K1195" s="523"/>
      <c r="L1195" s="523"/>
      <c r="M1195" s="523"/>
      <c r="N1195" s="523"/>
      <c r="O1195" s="2967" t="s">
        <v>2084</v>
      </c>
      <c r="P1195" s="2996" t="str">
        <f>'Part VIII-Threshold Criteria'!P245</f>
        <v>Agree</v>
      </c>
      <c r="Q1195" s="2996">
        <f>'Part VIII-Threshold Criteria'!Q245</f>
        <v>0</v>
      </c>
    </row>
    <row r="1196" spans="1:17">
      <c r="B1196" s="2997"/>
      <c r="C1196" s="524" t="s">
        <v>4593</v>
      </c>
      <c r="D1196" s="524"/>
      <c r="E1196" s="524"/>
      <c r="F1196" s="524"/>
      <c r="G1196" s="524"/>
      <c r="H1196" s="524"/>
      <c r="I1196" s="524"/>
      <c r="J1196" s="524"/>
      <c r="K1196" s="523"/>
      <c r="L1196" s="523"/>
      <c r="M1196" s="523"/>
      <c r="N1196" s="523"/>
      <c r="O1196" s="523"/>
      <c r="P1196" s="3061" t="s">
        <v>3</v>
      </c>
      <c r="Q1196" s="3061"/>
    </row>
    <row r="1197" spans="1:17">
      <c r="B1197" s="2997"/>
      <c r="D1197" s="524" t="s">
        <v>2</v>
      </c>
      <c r="E1197" s="524"/>
      <c r="F1197" s="524"/>
      <c r="G1197" s="524"/>
      <c r="I1197" s="2756" t="s">
        <v>814</v>
      </c>
      <c r="J1197" s="2686" t="s">
        <v>815</v>
      </c>
      <c r="L1197" s="524" t="s">
        <v>2900</v>
      </c>
      <c r="M1197" s="523"/>
      <c r="N1197" s="523"/>
      <c r="O1197" s="2756"/>
      <c r="P1197" s="2844" t="s">
        <v>814</v>
      </c>
      <c r="Q1197" s="2686" t="s">
        <v>815</v>
      </c>
    </row>
    <row r="1198" spans="1:17">
      <c r="A1198" s="523"/>
      <c r="B1198" s="2996"/>
      <c r="C1198" s="2967" t="s">
        <v>1825</v>
      </c>
      <c r="D1198" s="2933" t="str">
        <f>'Part VIII-Threshold Criteria'!D248</f>
        <v>Covered pavillion with picnic area and BBQ grills</v>
      </c>
      <c r="E1198" s="2933"/>
      <c r="F1198" s="2933"/>
      <c r="G1198" s="2933"/>
      <c r="H1198" s="2933"/>
      <c r="I1198" s="2996">
        <f>'Part VIII-Threshold Criteria'!I248</f>
        <v>0</v>
      </c>
      <c r="J1198" s="2996">
        <f>'Part VIII-Threshold Criteria'!J248</f>
        <v>0</v>
      </c>
      <c r="K1198" s="2967" t="s">
        <v>1827</v>
      </c>
      <c r="L1198" s="2933">
        <f>'Part VIII-Threshold Criteria'!L248</f>
        <v>0</v>
      </c>
      <c r="M1198" s="2933"/>
      <c r="N1198" s="2933"/>
      <c r="O1198" s="2933"/>
      <c r="P1198" s="2996">
        <f>'Part VIII-Threshold Criteria'!P248</f>
        <v>0</v>
      </c>
      <c r="Q1198" s="2996">
        <f>'Part VIII-Threshold Criteria'!Q248</f>
        <v>0</v>
      </c>
    </row>
    <row r="1199" spans="1:17">
      <c r="A1199" s="523"/>
      <c r="B1199" s="2996"/>
      <c r="C1199" s="2967" t="s">
        <v>1826</v>
      </c>
      <c r="D1199" s="2933" t="str">
        <f>'Part VIII-Threshold Criteria'!D249</f>
        <v>Equipped playground</v>
      </c>
      <c r="E1199" s="2933"/>
      <c r="F1199" s="2933"/>
      <c r="G1199" s="2933"/>
      <c r="H1199" s="2933"/>
      <c r="I1199" s="2996">
        <f>'Part VIII-Threshold Criteria'!I249</f>
        <v>0</v>
      </c>
      <c r="J1199" s="2996">
        <f>'Part VIII-Threshold Criteria'!J249</f>
        <v>0</v>
      </c>
      <c r="K1199" s="2967" t="s">
        <v>2477</v>
      </c>
      <c r="L1199" s="2933">
        <f>'Part VIII-Threshold Criteria'!L249</f>
        <v>0</v>
      </c>
      <c r="M1199" s="2933"/>
      <c r="N1199" s="2933"/>
      <c r="O1199" s="2933"/>
      <c r="P1199" s="2996">
        <f>'Part VIII-Threshold Criteria'!P249</f>
        <v>0</v>
      </c>
      <c r="Q1199" s="2996">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97" t="s">
        <v>789</v>
      </c>
      <c r="C1201" s="2991" t="s">
        <v>1448</v>
      </c>
      <c r="D1201" s="524"/>
      <c r="E1201" s="524"/>
      <c r="F1201" s="524"/>
      <c r="G1201" s="524"/>
      <c r="H1201" s="524"/>
      <c r="I1201" s="524"/>
      <c r="J1201" s="524"/>
      <c r="K1201" s="523"/>
      <c r="L1201" s="524"/>
      <c r="M1201" s="524"/>
      <c r="O1201" s="2967" t="s">
        <v>789</v>
      </c>
      <c r="P1201" s="2996" t="str">
        <f>'Part VIII-Threshold Criteria'!P251</f>
        <v>Agree</v>
      </c>
      <c r="Q1201" s="2996">
        <f>'Part VIII-Threshold Criteria'!Q251</f>
        <v>0</v>
      </c>
    </row>
    <row r="1202" spans="1:17">
      <c r="B1202" s="2997"/>
      <c r="C1202" s="2967" t="s">
        <v>1825</v>
      </c>
      <c r="D1202" s="524" t="s">
        <v>4094</v>
      </c>
      <c r="E1202" s="524"/>
      <c r="F1202" s="524"/>
      <c r="G1202" s="524"/>
      <c r="H1202" s="524"/>
      <c r="I1202" s="523"/>
      <c r="J1202" s="523"/>
      <c r="K1202" s="523"/>
      <c r="L1202" s="523"/>
      <c r="M1202" s="523"/>
      <c r="O1202" s="2967" t="s">
        <v>1825</v>
      </c>
      <c r="P1202" s="2996" t="str">
        <f>'Part VIII-Threshold Criteria'!P252</f>
        <v>Yes</v>
      </c>
      <c r="Q1202" s="2996">
        <f>'Part VIII-Threshold Criteria'!Q252</f>
        <v>0</v>
      </c>
    </row>
    <row r="1203" spans="1:17">
      <c r="C1203" s="2967" t="s">
        <v>1826</v>
      </c>
      <c r="D1203" s="2995" t="s">
        <v>3120</v>
      </c>
      <c r="E1203" s="2995"/>
      <c r="F1203" s="2995"/>
      <c r="G1203" s="2995"/>
      <c r="H1203" s="2995"/>
      <c r="I1203" s="523"/>
      <c r="J1203" s="523"/>
      <c r="K1203" s="523"/>
      <c r="L1203" s="523"/>
      <c r="M1203" s="523"/>
      <c r="O1203" s="2967" t="s">
        <v>1826</v>
      </c>
      <c r="P1203" s="2996" t="str">
        <f>'Part VIII-Threshold Criteria'!P253</f>
        <v>Yes</v>
      </c>
      <c r="Q1203" s="2996">
        <f>'Part VIII-Threshold Criteria'!Q253</f>
        <v>0</v>
      </c>
    </row>
    <row r="1204" spans="1:17">
      <c r="C1204" s="2967" t="s">
        <v>1827</v>
      </c>
      <c r="D1204" s="2995" t="s">
        <v>3121</v>
      </c>
      <c r="E1204" s="2995"/>
      <c r="F1204" s="2995"/>
      <c r="G1204" s="2995"/>
      <c r="H1204" s="2995"/>
      <c r="I1204" s="523"/>
      <c r="J1204" s="523"/>
      <c r="K1204" s="523"/>
      <c r="L1204" s="523"/>
      <c r="M1204" s="523"/>
      <c r="O1204" s="2967" t="s">
        <v>1827</v>
      </c>
      <c r="P1204" s="2996" t="str">
        <f>'Part VIII-Threshold Criteria'!P254</f>
        <v>Yes</v>
      </c>
      <c r="Q1204" s="2996">
        <f>'Part VIII-Threshold Criteria'!Q254</f>
        <v>0</v>
      </c>
    </row>
    <row r="1205" spans="1:17">
      <c r="B1205" s="2997"/>
      <c r="C1205" s="2967" t="s">
        <v>2477</v>
      </c>
      <c r="D1205" s="2995" t="s">
        <v>3122</v>
      </c>
      <c r="E1205" s="2995"/>
      <c r="F1205" s="2995"/>
      <c r="G1205" s="2995"/>
      <c r="H1205" s="2995"/>
      <c r="I1205" s="523"/>
      <c r="J1205" s="523"/>
      <c r="K1205" s="523"/>
      <c r="L1205" s="523"/>
      <c r="M1205" s="523"/>
      <c r="O1205" s="2967" t="s">
        <v>2477</v>
      </c>
      <c r="P1205" s="2996" t="str">
        <f>'Part VIII-Threshold Criteria'!P255</f>
        <v>Yes</v>
      </c>
      <c r="Q1205" s="2996">
        <f>'Part VIII-Threshold Criteria'!Q255</f>
        <v>0</v>
      </c>
    </row>
    <row r="1206" spans="1:17">
      <c r="B1206" s="2997"/>
      <c r="C1206" s="2967" t="s">
        <v>1626</v>
      </c>
      <c r="D1206" s="2995" t="s">
        <v>3123</v>
      </c>
      <c r="E1206" s="2995"/>
      <c r="F1206" s="2995"/>
      <c r="G1206" s="2995"/>
      <c r="H1206" s="2995"/>
      <c r="I1206" s="523"/>
      <c r="J1206" s="523"/>
      <c r="K1206" s="523"/>
      <c r="L1206" s="523"/>
      <c r="M1206" s="523"/>
      <c r="O1206" s="2967" t="s">
        <v>1626</v>
      </c>
      <c r="P1206" s="2996" t="str">
        <f>'Part VIII-Threshold Criteria'!P256</f>
        <v>Yes</v>
      </c>
      <c r="Q1206" s="2996">
        <f>'Part VIII-Threshold Criteria'!Q256</f>
        <v>0</v>
      </c>
    </row>
    <row r="1207" spans="1:17">
      <c r="B1207" s="2997"/>
      <c r="C1207" s="2967" t="s">
        <v>1627</v>
      </c>
      <c r="D1207" s="524" t="s">
        <v>816</v>
      </c>
      <c r="E1207" s="524"/>
      <c r="F1207" s="524"/>
      <c r="G1207" s="524"/>
      <c r="H1207" s="524"/>
      <c r="I1207" s="523"/>
      <c r="J1207" s="523"/>
      <c r="K1207" s="523"/>
      <c r="L1207" s="523"/>
      <c r="M1207" s="523"/>
      <c r="O1207" s="2967" t="s">
        <v>3108</v>
      </c>
      <c r="P1207" s="2996" t="str">
        <f>'Part VIII-Threshold Criteria'!P257</f>
        <v>Yes</v>
      </c>
      <c r="Q1207" s="2996">
        <f>'Part VIII-Threshold Criteria'!Q257</f>
        <v>0</v>
      </c>
    </row>
    <row r="1208" spans="1:17">
      <c r="B1208" s="2997"/>
      <c r="C1208" s="2967"/>
      <c r="D1208" s="524" t="s">
        <v>1565</v>
      </c>
      <c r="E1208" s="524"/>
      <c r="F1208" s="524"/>
      <c r="G1208" s="524"/>
      <c r="H1208" s="524"/>
      <c r="I1208" s="523"/>
      <c r="J1208" s="523"/>
      <c r="K1208" s="523"/>
      <c r="L1208" s="523"/>
      <c r="M1208" s="523"/>
      <c r="O1208" s="2967" t="s">
        <v>3109</v>
      </c>
      <c r="P1208" s="2996" t="str">
        <f>'Part VIII-Threshold Criteria'!P258</f>
        <v>No</v>
      </c>
      <c r="Q1208" s="2996">
        <f>'Part VIII-Threshold Criteria'!Q258</f>
        <v>0</v>
      </c>
    </row>
    <row r="1209" spans="1:17">
      <c r="B1209" s="2997"/>
      <c r="C1209" s="2967"/>
      <c r="D1209" s="524"/>
      <c r="E1209" s="524"/>
      <c r="F1209" s="524"/>
      <c r="G1209" s="524"/>
      <c r="H1209" s="524"/>
      <c r="I1209" s="523"/>
      <c r="J1209" s="523"/>
      <c r="K1209" s="523"/>
      <c r="L1209" s="523"/>
      <c r="M1209" s="523"/>
    </row>
    <row r="1210" spans="1:17">
      <c r="B1210" s="2997" t="s">
        <v>2216</v>
      </c>
      <c r="C1210" s="2991" t="s">
        <v>2828</v>
      </c>
      <c r="D1210" s="524"/>
      <c r="E1210" s="524"/>
      <c r="F1210" s="524"/>
      <c r="G1210" s="524"/>
      <c r="H1210" s="524"/>
      <c r="I1210" s="524"/>
      <c r="J1210" s="524"/>
      <c r="K1210" s="523"/>
      <c r="L1210" s="524"/>
      <c r="M1210" s="524"/>
      <c r="O1210" s="2967" t="s">
        <v>2216</v>
      </c>
      <c r="P1210" s="2996">
        <f>'Part VIII-Threshold Criteria'!P260</f>
        <v>0</v>
      </c>
      <c r="Q1210" s="2996">
        <f>'Part VIII-Threshold Criteria'!Q260</f>
        <v>0</v>
      </c>
    </row>
    <row r="1211" spans="1:17">
      <c r="B1211" s="2997"/>
      <c r="C1211" s="2967" t="s">
        <v>1825</v>
      </c>
      <c r="D1211" s="524" t="s">
        <v>1315</v>
      </c>
      <c r="E1211" s="523"/>
      <c r="F1211" s="523"/>
      <c r="G1211" s="524"/>
      <c r="H1211" s="2995"/>
      <c r="I1211" s="523"/>
      <c r="J1211" s="2995"/>
      <c r="K1211" s="523"/>
      <c r="L1211" s="2995"/>
      <c r="M1211" s="2995"/>
      <c r="O1211" s="2967" t="s">
        <v>1825</v>
      </c>
      <c r="P1211" s="2996">
        <f>'Part VIII-Threshold Criteria'!P261</f>
        <v>0</v>
      </c>
      <c r="Q1211" s="2996">
        <f>'Part VIII-Threshold Criteria'!Q261</f>
        <v>0</v>
      </c>
    </row>
    <row r="1212" spans="1:17">
      <c r="B1212" s="2997"/>
      <c r="C1212" s="2967" t="s">
        <v>1826</v>
      </c>
      <c r="D1212" s="524" t="s">
        <v>151</v>
      </c>
      <c r="E1212" s="523"/>
      <c r="F1212" s="523"/>
      <c r="G1212" s="2995"/>
      <c r="H1212" s="2995"/>
      <c r="I1212" s="523"/>
      <c r="J1212" s="2995"/>
      <c r="K1212" s="523"/>
      <c r="L1212" s="2995"/>
      <c r="M1212" s="2995"/>
      <c r="O1212" s="2967" t="s">
        <v>1826</v>
      </c>
      <c r="P1212" s="2996">
        <f>'Part VIII-Threshold Criteria'!P262</f>
        <v>0</v>
      </c>
      <c r="Q1212" s="2996">
        <f>'Part VIII-Threshold Criteria'!Q262</f>
        <v>0</v>
      </c>
    </row>
    <row r="1213" spans="1:17">
      <c r="B1213" s="2997"/>
      <c r="C1213" s="2967" t="s">
        <v>1827</v>
      </c>
      <c r="D1213" s="2995" t="s">
        <v>1720</v>
      </c>
      <c r="E1213" s="523"/>
      <c r="F1213" s="523"/>
      <c r="G1213" s="2995"/>
      <c r="H1213" s="2995"/>
      <c r="I1213" s="523"/>
      <c r="J1213" s="2995"/>
      <c r="K1213" s="523"/>
      <c r="L1213" s="2995"/>
      <c r="M1213" s="2995"/>
      <c r="O1213" s="2967" t="s">
        <v>2483</v>
      </c>
      <c r="P1213" s="2996">
        <f>'Part VIII-Threshold Criteria'!P263</f>
        <v>0</v>
      </c>
      <c r="Q1213" s="2996">
        <f>'Part VIII-Threshold Criteria'!Q263</f>
        <v>0</v>
      </c>
    </row>
    <row r="1214" spans="1:17">
      <c r="B1214" s="524"/>
      <c r="C1214" s="523"/>
      <c r="D1214" s="2995" t="s">
        <v>1350</v>
      </c>
      <c r="E1214" s="523"/>
      <c r="F1214" s="523"/>
      <c r="G1214" s="2995"/>
      <c r="H1214" s="2995"/>
      <c r="I1214" s="523"/>
      <c r="J1214" s="2995"/>
      <c r="K1214" s="523"/>
      <c r="L1214" s="2995"/>
      <c r="M1214" s="2995"/>
      <c r="O1214" s="2967" t="s">
        <v>2484</v>
      </c>
      <c r="P1214" s="2996">
        <f>'Part VIII-Threshold Criteria'!P264</f>
        <v>0</v>
      </c>
      <c r="Q1214" s="2996">
        <f>'Part VIII-Threshold Criteria'!Q264</f>
        <v>0</v>
      </c>
    </row>
    <row r="1215" spans="1:17">
      <c r="B1215" s="3031" t="s">
        <v>1959</v>
      </c>
      <c r="D1215" s="3031"/>
      <c r="E1215" s="3031"/>
      <c r="F1215" s="3031"/>
      <c r="G1215" s="3031"/>
      <c r="H1215" s="2995"/>
      <c r="I1215" s="2992"/>
      <c r="J1215" s="2992"/>
      <c r="K1215" s="2992"/>
      <c r="L1215" s="2894"/>
      <c r="M1215" s="2894"/>
      <c r="N1215" s="2894"/>
      <c r="O1215" s="2894"/>
      <c r="P1215" s="2894"/>
      <c r="Q1215" s="2894"/>
    </row>
    <row r="1216" spans="1:17">
      <c r="A1216" s="2933">
        <f>'Part VIII-Threshold Criteria'!A266</f>
        <v>0</v>
      </c>
      <c r="B1216" s="2933"/>
      <c r="C1216" s="2933"/>
      <c r="D1216" s="2933"/>
      <c r="E1216" s="2933"/>
      <c r="F1216" s="2933"/>
      <c r="G1216" s="2933"/>
      <c r="H1216" s="2933"/>
      <c r="I1216" s="2933"/>
      <c r="J1216" s="2933"/>
      <c r="K1216" s="2933"/>
      <c r="L1216" s="2933"/>
      <c r="M1216" s="2933"/>
      <c r="N1216" s="2933"/>
      <c r="O1216" s="2933"/>
      <c r="P1216" s="2933"/>
      <c r="Q1216" s="2933"/>
    </row>
    <row r="1217" spans="1:17">
      <c r="B1217" s="2998" t="s">
        <v>1960</v>
      </c>
      <c r="C1217" s="2999"/>
      <c r="D1217" s="3000"/>
      <c r="E1217" s="3000"/>
      <c r="F1217" s="3000"/>
      <c r="G1217" s="3000"/>
      <c r="H1217" s="3000"/>
      <c r="I1217" s="3000"/>
      <c r="J1217" s="3000"/>
      <c r="K1217" s="3000"/>
      <c r="L1217" s="3000"/>
      <c r="M1217" s="3000"/>
      <c r="N1217" s="3000"/>
      <c r="O1217" s="3000"/>
      <c r="P1217" s="3000"/>
    </row>
    <row r="1218" spans="1:17">
      <c r="A1218" s="2933">
        <f>'Part VIII-Threshold Criteria'!A268</f>
        <v>0</v>
      </c>
      <c r="B1218" s="2933"/>
      <c r="C1218" s="2933"/>
      <c r="D1218" s="2933"/>
      <c r="E1218" s="2933"/>
      <c r="F1218" s="2933"/>
      <c r="G1218" s="2933"/>
      <c r="H1218" s="2933"/>
      <c r="I1218" s="2933"/>
      <c r="J1218" s="2933"/>
      <c r="K1218" s="2933"/>
      <c r="L1218" s="2933"/>
      <c r="M1218" s="2933"/>
      <c r="N1218" s="2933"/>
      <c r="O1218" s="2933"/>
      <c r="P1218" s="2933"/>
      <c r="Q1218" s="2933"/>
    </row>
    <row r="1219" spans="1:17">
      <c r="A1219" s="2894"/>
      <c r="B1219" s="2992"/>
      <c r="C1219" s="3000"/>
      <c r="D1219" s="3000"/>
      <c r="E1219" s="3000"/>
      <c r="F1219" s="3000"/>
      <c r="G1219" s="3000"/>
      <c r="H1219" s="3000"/>
      <c r="I1219" s="3000"/>
      <c r="J1219" s="3000"/>
      <c r="K1219" s="3000"/>
      <c r="L1219" s="3000"/>
      <c r="M1219" s="3000"/>
      <c r="Q1219" s="2894"/>
    </row>
    <row r="1220" spans="1:17">
      <c r="A1220" s="2874">
        <v>15</v>
      </c>
      <c r="B1220" s="526" t="s">
        <v>2801</v>
      </c>
      <c r="C1220" s="526"/>
      <c r="D1220" s="2991"/>
      <c r="E1220" s="2991"/>
      <c r="F1220" s="2991"/>
      <c r="G1220" s="2991"/>
      <c r="H1220" s="3000"/>
      <c r="I1220" s="3000"/>
      <c r="J1220" s="3000"/>
      <c r="K1220" s="3000"/>
      <c r="L1220" s="3000"/>
      <c r="M1220" s="3000"/>
      <c r="O1220" s="2993" t="s">
        <v>1961</v>
      </c>
      <c r="P1220" s="2897">
        <f>'Part VIII-Threshold Criteria'!P270</f>
        <v>0</v>
      </c>
      <c r="Q1220" s="2897"/>
    </row>
    <row r="1222" spans="1:17">
      <c r="B1222" s="2997" t="s">
        <v>2081</v>
      </c>
      <c r="C1222" s="524" t="s">
        <v>1328</v>
      </c>
      <c r="D1222" s="523"/>
      <c r="E1222" s="524"/>
      <c r="F1222" s="524"/>
      <c r="G1222" s="524"/>
      <c r="H1222" s="524"/>
      <c r="I1222" s="523"/>
      <c r="J1222" s="523"/>
      <c r="K1222" s="523"/>
      <c r="L1222" s="2967" t="s">
        <v>2081</v>
      </c>
      <c r="M1222" s="3037" t="str">
        <f>'Part VIII-Threshold Criteria'!M272</f>
        <v>&lt;&lt;Select&gt;&gt;</v>
      </c>
      <c r="N1222" s="3037"/>
      <c r="O1222" s="3037"/>
      <c r="P1222" s="3037" t="str">
        <f>'Part VIII-Threshold Criteria'!P272</f>
        <v>&lt;&lt;Select&gt;&gt;</v>
      </c>
      <c r="Q1222" s="3037"/>
    </row>
    <row r="1223" spans="1:17">
      <c r="B1223" s="2997" t="s">
        <v>2084</v>
      </c>
      <c r="C1223" s="524" t="s">
        <v>3124</v>
      </c>
      <c r="D1223" s="524"/>
      <c r="E1223" s="524"/>
      <c r="F1223" s="524"/>
      <c r="G1223" s="524"/>
      <c r="H1223" s="524"/>
      <c r="I1223" s="523"/>
      <c r="J1223" s="523"/>
      <c r="K1223" s="523"/>
      <c r="L1223" s="2967" t="s">
        <v>2084</v>
      </c>
      <c r="M1223" s="3037">
        <f>'Part VIII-Threshold Criteria'!M273</f>
        <v>0</v>
      </c>
      <c r="N1223" s="3037"/>
      <c r="O1223" s="3037"/>
      <c r="P1223" s="3037">
        <f>'Part VIII-Threshold Criteria'!P273</f>
        <v>0</v>
      </c>
      <c r="Q1223" s="3037"/>
    </row>
    <row r="1224" spans="1:17">
      <c r="B1224" s="2997" t="s">
        <v>789</v>
      </c>
      <c r="C1224" s="524" t="s">
        <v>2042</v>
      </c>
      <c r="D1224" s="524"/>
      <c r="E1224" s="524"/>
      <c r="F1224" s="524"/>
      <c r="G1224" s="524"/>
      <c r="H1224" s="524"/>
      <c r="I1224" s="523"/>
      <c r="J1224" s="523"/>
      <c r="K1224" s="523"/>
      <c r="L1224" s="2967" t="s">
        <v>789</v>
      </c>
      <c r="M1224" s="3037">
        <f>'Part VIII-Threshold Criteria'!M274</f>
        <v>0</v>
      </c>
      <c r="N1224" s="3037"/>
      <c r="O1224" s="3037"/>
      <c r="P1224" s="3037">
        <f>'Part VIII-Threshold Criteria'!P274</f>
        <v>0</v>
      </c>
      <c r="Q1224" s="3037"/>
    </row>
    <row r="1225" spans="1:17">
      <c r="B1225" s="2997" t="s">
        <v>2216</v>
      </c>
      <c r="C1225" s="524" t="s">
        <v>2671</v>
      </c>
      <c r="D1225" s="524"/>
      <c r="E1225" s="524"/>
      <c r="F1225" s="524"/>
      <c r="G1225" s="524"/>
      <c r="H1225" s="524"/>
      <c r="I1225" s="523"/>
      <c r="J1225" s="523"/>
      <c r="K1225" s="523"/>
      <c r="L1225" s="523"/>
      <c r="M1225" s="523"/>
      <c r="O1225" s="2967" t="s">
        <v>2216</v>
      </c>
      <c r="P1225" s="2996">
        <f>'Part VIII-Threshold Criteria'!P275</f>
        <v>0</v>
      </c>
      <c r="Q1225" s="2996">
        <f>'Part VIII-Threshold Criteria'!Q275</f>
        <v>0</v>
      </c>
    </row>
    <row r="1226" spans="1:17">
      <c r="B1226" s="2994" t="s">
        <v>1823</v>
      </c>
      <c r="C1226" s="2933" t="s">
        <v>4594</v>
      </c>
      <c r="D1226" s="2933"/>
      <c r="E1226" s="2933"/>
      <c r="F1226" s="2933"/>
      <c r="G1226" s="2933"/>
      <c r="H1226" s="2933"/>
      <c r="I1226" s="2933"/>
      <c r="J1226" s="2933"/>
      <c r="K1226" s="2933"/>
      <c r="L1226" s="2933"/>
      <c r="M1226" s="2933"/>
      <c r="N1226" s="2933"/>
      <c r="O1226" s="3042" t="s">
        <v>1823</v>
      </c>
      <c r="P1226" s="2996">
        <f>'Part VIII-Threshold Criteria'!P276</f>
        <v>0</v>
      </c>
      <c r="Q1226" s="2996">
        <f>'Part VIII-Threshold Criteria'!Q276</f>
        <v>0</v>
      </c>
    </row>
    <row r="1227" spans="1:17">
      <c r="B1227" s="3031" t="s">
        <v>1959</v>
      </c>
      <c r="D1227" s="3031"/>
      <c r="E1227" s="3031"/>
      <c r="F1227" s="3031"/>
      <c r="G1227" s="3031"/>
      <c r="H1227" s="2995"/>
      <c r="I1227" s="2992"/>
      <c r="J1227" s="2992"/>
      <c r="K1227" s="2992"/>
      <c r="L1227" s="2894"/>
      <c r="M1227" s="2894"/>
      <c r="N1227" s="2894"/>
      <c r="O1227" s="2894"/>
      <c r="P1227" s="2894"/>
      <c r="Q1227" s="2894"/>
    </row>
    <row r="1228" spans="1:17">
      <c r="A1228" s="2933" t="str">
        <f>'Part VIII-Threshold Criteria'!A278</f>
        <v>This project is new construction, not a rehabilitation</v>
      </c>
      <c r="B1228" s="2933"/>
      <c r="C1228" s="2933"/>
      <c r="D1228" s="2933"/>
      <c r="E1228" s="2933"/>
      <c r="F1228" s="2933"/>
      <c r="G1228" s="2933"/>
      <c r="H1228" s="2933"/>
      <c r="I1228" s="2933"/>
      <c r="J1228" s="2933"/>
      <c r="K1228" s="2933"/>
      <c r="L1228" s="2933"/>
      <c r="M1228" s="2933"/>
      <c r="N1228" s="2933"/>
      <c r="O1228" s="2933"/>
      <c r="P1228" s="2933"/>
      <c r="Q1228" s="2933"/>
    </row>
    <row r="1229" spans="1:17">
      <c r="B1229" s="2998" t="s">
        <v>1960</v>
      </c>
      <c r="C1229" s="2999"/>
      <c r="D1229" s="3000"/>
      <c r="E1229" s="3000"/>
      <c r="F1229" s="3000"/>
      <c r="G1229" s="3000"/>
      <c r="H1229" s="3000"/>
      <c r="I1229" s="3000"/>
      <c r="J1229" s="3000"/>
      <c r="K1229" s="3000"/>
      <c r="L1229" s="3000"/>
      <c r="M1229" s="3000"/>
      <c r="N1229" s="3000"/>
      <c r="O1229" s="3000"/>
      <c r="P1229" s="3000"/>
    </row>
    <row r="1230" spans="1:17">
      <c r="A1230" s="2933">
        <f>'Part VIII-Threshold Criteria'!A280</f>
        <v>0</v>
      </c>
      <c r="B1230" s="2933"/>
      <c r="C1230" s="2933"/>
      <c r="D1230" s="2933"/>
      <c r="E1230" s="2933"/>
      <c r="F1230" s="2933"/>
      <c r="G1230" s="2933"/>
      <c r="H1230" s="2933"/>
      <c r="I1230" s="2933"/>
      <c r="J1230" s="2933"/>
      <c r="K1230" s="2933"/>
      <c r="L1230" s="2933"/>
      <c r="M1230" s="2933"/>
      <c r="N1230" s="2933"/>
      <c r="O1230" s="2933"/>
      <c r="P1230" s="2933"/>
      <c r="Q1230" s="2933"/>
    </row>
    <row r="1231" spans="1:17">
      <c r="A1231" s="2894"/>
      <c r="B1231" s="2992"/>
      <c r="C1231" s="3000"/>
      <c r="D1231" s="3000"/>
      <c r="E1231" s="3000"/>
      <c r="F1231" s="3000"/>
      <c r="G1231" s="3000"/>
      <c r="H1231" s="3000"/>
      <c r="I1231" s="3000"/>
      <c r="J1231" s="3000"/>
      <c r="K1231" s="3000"/>
      <c r="L1231" s="3000"/>
      <c r="M1231" s="3000"/>
      <c r="Q1231" s="2894"/>
    </row>
    <row r="1232" spans="1:17">
      <c r="A1232" s="2874">
        <v>16</v>
      </c>
      <c r="B1232" s="526" t="s">
        <v>2802</v>
      </c>
      <c r="C1232" s="526"/>
      <c r="D1232" s="2991"/>
      <c r="E1232" s="2991"/>
      <c r="F1232" s="2991"/>
      <c r="G1232" s="2991"/>
      <c r="H1232" s="3000"/>
      <c r="I1232" s="3000"/>
      <c r="J1232" s="3000"/>
      <c r="K1232" s="3000"/>
      <c r="L1232" s="3000"/>
      <c r="M1232" s="3000"/>
      <c r="O1232" s="2993" t="s">
        <v>1961</v>
      </c>
      <c r="P1232" s="2897">
        <f>'Part VIII-Threshold Criteria'!P282</f>
        <v>0</v>
      </c>
      <c r="Q1232" s="2897"/>
    </row>
    <row r="1234" spans="1:17">
      <c r="A1234" s="3041"/>
      <c r="B1234" s="2994" t="s">
        <v>2081</v>
      </c>
      <c r="C1234" s="2933" t="s">
        <v>3125</v>
      </c>
      <c r="D1234" s="2933"/>
      <c r="E1234" s="2933"/>
      <c r="F1234" s="2933"/>
      <c r="G1234" s="2933"/>
      <c r="H1234" s="2933"/>
      <c r="I1234" s="2933"/>
      <c r="J1234" s="2933"/>
      <c r="K1234" s="2933"/>
      <c r="L1234" s="2933"/>
      <c r="M1234" s="2933"/>
      <c r="N1234" s="2933"/>
      <c r="O1234" s="3042" t="s">
        <v>2081</v>
      </c>
      <c r="P1234" s="2996" t="str">
        <f>'Part VIII-Threshold Criteria'!P284</f>
        <v>Yes</v>
      </c>
      <c r="Q1234" s="2996">
        <f>'Part VIII-Threshold Criteria'!Q284</f>
        <v>0</v>
      </c>
    </row>
    <row r="1235" spans="1:17">
      <c r="B1235" s="2997" t="s">
        <v>2084</v>
      </c>
      <c r="C1235" s="524" t="s">
        <v>1474</v>
      </c>
      <c r="D1235" s="524"/>
      <c r="E1235" s="524"/>
      <c r="F1235" s="524"/>
      <c r="G1235" s="524"/>
      <c r="H1235" s="524"/>
      <c r="I1235" s="524"/>
      <c r="J1235" s="524"/>
      <c r="K1235" s="524"/>
      <c r="L1235" s="524"/>
      <c r="M1235" s="524"/>
      <c r="O1235" s="2967" t="s">
        <v>2084</v>
      </c>
      <c r="P1235" s="2996" t="str">
        <f>'Part VIII-Threshold Criteria'!P285</f>
        <v>Yes</v>
      </c>
      <c r="Q1235" s="2996">
        <f>'Part VIII-Threshold Criteria'!Q285</f>
        <v>0</v>
      </c>
    </row>
    <row r="1236" spans="1:17">
      <c r="B1236" s="3031" t="s">
        <v>1959</v>
      </c>
      <c r="D1236" s="3031"/>
      <c r="E1236" s="3031"/>
      <c r="F1236" s="3031"/>
      <c r="G1236" s="3031"/>
      <c r="H1236" s="2995"/>
      <c r="I1236" s="2992"/>
      <c r="J1236" s="2992"/>
      <c r="K1236" s="2992"/>
      <c r="L1236" s="2894"/>
      <c r="M1236" s="2894"/>
      <c r="N1236" s="2894"/>
      <c r="O1236" s="2894"/>
      <c r="P1236" s="2894"/>
      <c r="Q1236" s="2894"/>
    </row>
    <row r="1237" spans="1:17">
      <c r="A1237" s="2933">
        <f>'Part VIII-Threshold Criteria'!A287</f>
        <v>0</v>
      </c>
      <c r="B1237" s="2933"/>
      <c r="C1237" s="2933"/>
      <c r="D1237" s="2933"/>
      <c r="E1237" s="2933"/>
      <c r="F1237" s="2933"/>
      <c r="G1237" s="2933"/>
      <c r="H1237" s="2933"/>
      <c r="I1237" s="2933"/>
      <c r="J1237" s="2933"/>
      <c r="K1237" s="2933"/>
      <c r="L1237" s="2933"/>
      <c r="M1237" s="2933"/>
      <c r="N1237" s="2933"/>
      <c r="O1237" s="2933"/>
      <c r="P1237" s="2933"/>
      <c r="Q1237" s="2933"/>
    </row>
    <row r="1238" spans="1:17">
      <c r="B1238" s="2998" t="s">
        <v>1960</v>
      </c>
      <c r="C1238" s="2999"/>
      <c r="D1238" s="3000"/>
      <c r="E1238" s="3000"/>
      <c r="F1238" s="3000"/>
      <c r="G1238" s="3000"/>
      <c r="H1238" s="3000"/>
      <c r="I1238" s="3000"/>
      <c r="J1238" s="3000"/>
      <c r="K1238" s="3000"/>
      <c r="L1238" s="3000"/>
      <c r="M1238" s="3000"/>
      <c r="N1238" s="3000"/>
      <c r="O1238" s="3000"/>
      <c r="P1238" s="3000"/>
    </row>
    <row r="1239" spans="1:17">
      <c r="A1239" s="2933">
        <f>'Part VIII-Threshold Criteria'!A289</f>
        <v>0</v>
      </c>
      <c r="B1239" s="2933"/>
      <c r="C1239" s="2933"/>
      <c r="D1239" s="2933"/>
      <c r="E1239" s="2933"/>
      <c r="F1239" s="2933"/>
      <c r="G1239" s="2933"/>
      <c r="H1239" s="2933"/>
      <c r="I1239" s="2933"/>
      <c r="J1239" s="2933"/>
      <c r="K1239" s="2933"/>
      <c r="L1239" s="2933"/>
      <c r="M1239" s="2933"/>
      <c r="N1239" s="2933"/>
      <c r="O1239" s="2933"/>
      <c r="P1239" s="2933"/>
      <c r="Q1239" s="2933"/>
    </row>
    <row r="1240" spans="1:17">
      <c r="A1240" s="2894"/>
      <c r="B1240" s="2992"/>
      <c r="C1240" s="3000"/>
      <c r="D1240" s="3000"/>
      <c r="E1240" s="3000"/>
      <c r="F1240" s="3000"/>
      <c r="G1240" s="3000"/>
      <c r="H1240" s="3000"/>
      <c r="I1240" s="3000"/>
      <c r="J1240" s="3000"/>
      <c r="K1240" s="3000"/>
      <c r="L1240" s="3000"/>
      <c r="M1240" s="3000"/>
      <c r="N1240" s="3000"/>
      <c r="O1240" s="3000"/>
      <c r="P1240" s="2993"/>
      <c r="Q1240" s="2894"/>
    </row>
    <row r="1241" spans="1:17">
      <c r="A1241" s="2874">
        <v>17</v>
      </c>
      <c r="B1241" s="2874" t="s">
        <v>2803</v>
      </c>
      <c r="C1241" s="2874"/>
      <c r="D1241" s="3000"/>
      <c r="E1241" s="3000"/>
      <c r="F1241" s="3000"/>
      <c r="G1241" s="3000"/>
      <c r="H1241" s="3000"/>
      <c r="I1241" s="3000"/>
      <c r="J1241" s="3000"/>
      <c r="K1241" s="3000"/>
      <c r="L1241" s="3000"/>
      <c r="M1241" s="3000"/>
      <c r="O1241" s="2993" t="s">
        <v>1961</v>
      </c>
      <c r="P1241" s="2897">
        <f>'Part VIII-Threshold Criteria'!P291</f>
        <v>0</v>
      </c>
      <c r="Q1241" s="2897"/>
    </row>
    <row r="1243" spans="1:17">
      <c r="A1243" s="3041"/>
      <c r="B1243" s="2994" t="s">
        <v>2081</v>
      </c>
      <c r="C1243" s="3062" t="s">
        <v>3126</v>
      </c>
      <c r="D1243" s="3063"/>
      <c r="E1243" s="3063"/>
      <c r="F1243" s="3063"/>
      <c r="G1243" s="3063"/>
      <c r="H1243" s="3063"/>
      <c r="I1243" s="3063"/>
      <c r="J1243" s="3063"/>
      <c r="K1243" s="3063"/>
      <c r="L1243" s="3063"/>
      <c r="M1243" s="3063"/>
      <c r="N1243" s="3063"/>
      <c r="O1243" s="3042" t="s">
        <v>2081</v>
      </c>
      <c r="P1243" s="2996" t="str">
        <f>'Part VIII-Threshold Criteria'!P293</f>
        <v>Agree</v>
      </c>
      <c r="Q1243" s="2996">
        <f>'Part VIII-Threshold Criteria'!Q293</f>
        <v>0</v>
      </c>
    </row>
    <row r="1244" spans="1:17">
      <c r="A1244" s="3041"/>
      <c r="B1244" s="2994" t="s">
        <v>2084</v>
      </c>
      <c r="C1244" s="3062" t="s">
        <v>3127</v>
      </c>
      <c r="D1244" s="3063"/>
      <c r="E1244" s="3063"/>
      <c r="F1244" s="3063"/>
      <c r="G1244" s="3063"/>
      <c r="H1244" s="3063"/>
      <c r="I1244" s="3063"/>
      <c r="J1244" s="3063"/>
      <c r="K1244" s="3063"/>
      <c r="L1244" s="3063"/>
      <c r="M1244" s="3063"/>
      <c r="N1244" s="3063"/>
      <c r="O1244" s="3042" t="s">
        <v>2084</v>
      </c>
      <c r="P1244" s="2996" t="str">
        <f>'Part VIII-Threshold Criteria'!P294</f>
        <v>Agree</v>
      </c>
      <c r="Q1244" s="2996">
        <f>'Part VIII-Threshold Criteria'!Q294</f>
        <v>0</v>
      </c>
    </row>
    <row r="1245" spans="1:17">
      <c r="B1245" s="3031" t="s">
        <v>1959</v>
      </c>
      <c r="D1245" s="3031"/>
      <c r="E1245" s="3031"/>
      <c r="F1245" s="3031"/>
      <c r="G1245" s="3031"/>
      <c r="H1245" s="2995"/>
      <c r="I1245" s="2992"/>
      <c r="J1245" s="2992"/>
      <c r="K1245" s="2992"/>
      <c r="L1245" s="2894"/>
      <c r="M1245" s="2894"/>
      <c r="N1245" s="2894"/>
      <c r="O1245" s="2894"/>
      <c r="P1245" s="2894"/>
      <c r="Q1245" s="2894"/>
    </row>
    <row r="1246" spans="1:17">
      <c r="A1246" s="2933">
        <f>'Part VIII-Threshold Criteria'!A296</f>
        <v>0</v>
      </c>
      <c r="B1246" s="2933"/>
      <c r="C1246" s="2933"/>
      <c r="D1246" s="2933"/>
      <c r="E1246" s="2933"/>
      <c r="F1246" s="2933"/>
      <c r="G1246" s="2933"/>
      <c r="H1246" s="2933"/>
      <c r="I1246" s="2933"/>
      <c r="J1246" s="2933"/>
      <c r="K1246" s="2933"/>
      <c r="L1246" s="2933"/>
      <c r="M1246" s="2933"/>
      <c r="N1246" s="2933"/>
      <c r="O1246" s="2933"/>
      <c r="P1246" s="2933"/>
      <c r="Q1246" s="2933"/>
    </row>
    <row r="1247" spans="1:17">
      <c r="B1247" s="2998" t="s">
        <v>1960</v>
      </c>
      <c r="C1247" s="2999"/>
      <c r="D1247" s="3000"/>
      <c r="E1247" s="3000"/>
      <c r="F1247" s="3000"/>
      <c r="G1247" s="3000"/>
      <c r="H1247" s="3000"/>
      <c r="I1247" s="3000"/>
      <c r="J1247" s="3000"/>
      <c r="K1247" s="3000"/>
      <c r="L1247" s="3000"/>
      <c r="M1247" s="3000"/>
      <c r="N1247" s="3000"/>
      <c r="O1247" s="3000"/>
      <c r="P1247" s="3000"/>
    </row>
    <row r="1248" spans="1:17">
      <c r="A1248" s="2933">
        <f>'Part VIII-Threshold Criteria'!A298</f>
        <v>0</v>
      </c>
      <c r="B1248" s="2933"/>
      <c r="C1248" s="2933"/>
      <c r="D1248" s="2933"/>
      <c r="E1248" s="2933"/>
      <c r="F1248" s="2933"/>
      <c r="G1248" s="2933"/>
      <c r="H1248" s="2933"/>
      <c r="I1248" s="2933"/>
      <c r="J1248" s="2933"/>
      <c r="K1248" s="2933"/>
      <c r="L1248" s="2933"/>
      <c r="M1248" s="2933"/>
      <c r="N1248" s="2933"/>
      <c r="O1248" s="2933"/>
      <c r="P1248" s="2933"/>
      <c r="Q1248" s="2933"/>
    </row>
    <row r="1249" spans="1:17">
      <c r="A1249" s="2894"/>
      <c r="B1249" s="2992"/>
      <c r="C1249" s="3000"/>
      <c r="D1249" s="3000"/>
      <c r="E1249" s="3000"/>
      <c r="F1249" s="3000"/>
      <c r="G1249" s="3000"/>
      <c r="H1249" s="3000"/>
      <c r="I1249" s="3000"/>
      <c r="J1249" s="3000"/>
      <c r="K1249" s="3000"/>
      <c r="L1249" s="3000"/>
      <c r="M1249" s="3000"/>
      <c r="Q1249" s="2894"/>
    </row>
    <row r="1250" spans="1:17">
      <c r="A1250" s="2874">
        <v>18</v>
      </c>
      <c r="B1250" s="2874" t="s">
        <v>2804</v>
      </c>
      <c r="C1250" s="3064"/>
      <c r="D1250" s="3065"/>
      <c r="E1250" s="3000"/>
      <c r="F1250" s="3000"/>
      <c r="G1250" s="3000"/>
      <c r="H1250" s="3000"/>
      <c r="I1250" s="3000"/>
      <c r="J1250" s="3000"/>
      <c r="K1250" s="3000"/>
      <c r="L1250" s="3000"/>
      <c r="M1250" s="3000"/>
      <c r="O1250" s="2993" t="s">
        <v>1961</v>
      </c>
      <c r="P1250" s="2897">
        <f>'Part VIII-Threshold Criteria'!P300</f>
        <v>0</v>
      </c>
      <c r="Q1250" s="2897"/>
    </row>
    <row r="1251" spans="1:17">
      <c r="B1251" s="2994" t="s">
        <v>2081</v>
      </c>
      <c r="C1251" s="3042" t="s">
        <v>1825</v>
      </c>
      <c r="D1251" s="3062" t="s">
        <v>4180</v>
      </c>
      <c r="E1251" s="3062"/>
      <c r="F1251" s="3062"/>
      <c r="G1251" s="3062"/>
      <c r="H1251" s="3062"/>
      <c r="I1251" s="3062"/>
      <c r="J1251" s="3062"/>
      <c r="K1251" s="3062"/>
      <c r="L1251" s="3062"/>
      <c r="M1251" s="3062"/>
      <c r="N1251" s="3062"/>
      <c r="O1251" s="3042" t="s">
        <v>2903</v>
      </c>
      <c r="P1251" s="2996" t="str">
        <f>'Part VIII-Threshold Criteria'!P301</f>
        <v>Yes</v>
      </c>
      <c r="Q1251" s="2996">
        <f>'Part VIII-Threshold Criteria'!Q301</f>
        <v>0</v>
      </c>
    </row>
    <row r="1252" spans="1:17">
      <c r="A1252" s="3041"/>
      <c r="B1252" s="2994"/>
      <c r="C1252" s="3042" t="s">
        <v>1826</v>
      </c>
      <c r="D1252" s="3062" t="s">
        <v>4082</v>
      </c>
      <c r="E1252" s="3062"/>
      <c r="F1252" s="3062"/>
      <c r="G1252" s="3062"/>
      <c r="H1252" s="3062"/>
      <c r="I1252" s="3062"/>
      <c r="J1252" s="3062"/>
      <c r="K1252" s="3062"/>
      <c r="L1252" s="3062"/>
      <c r="M1252" s="3062"/>
      <c r="N1252" s="3062"/>
      <c r="O1252" s="3042" t="s">
        <v>1826</v>
      </c>
      <c r="P1252" s="2996" t="str">
        <f>'Part VIII-Threshold Criteria'!P302</f>
        <v>Yes</v>
      </c>
      <c r="Q1252" s="2996">
        <f>'Part VIII-Threshold Criteria'!Q302</f>
        <v>0</v>
      </c>
    </row>
    <row r="1253" spans="1:17">
      <c r="A1253" s="523"/>
      <c r="B1253" s="2997"/>
      <c r="C1253" s="2967" t="s">
        <v>1827</v>
      </c>
      <c r="D1253" s="3066" t="s">
        <v>4080</v>
      </c>
      <c r="E1253" s="3066"/>
      <c r="F1253" s="3066"/>
      <c r="G1253" s="3066"/>
      <c r="H1253" s="3066"/>
      <c r="I1253" s="3066"/>
      <c r="J1253" s="3066"/>
      <c r="K1253" s="3066"/>
      <c r="L1253" s="3066"/>
      <c r="M1253" s="3066"/>
      <c r="N1253" s="3066"/>
      <c r="O1253" s="2967" t="s">
        <v>1827</v>
      </c>
      <c r="P1253" s="2996" t="str">
        <f>'Part VIII-Threshold Criteria'!P303</f>
        <v>Yes</v>
      </c>
      <c r="Q1253" s="2996">
        <f>'Part VIII-Threshold Criteria'!Q303</f>
        <v>0</v>
      </c>
    </row>
    <row r="1254" spans="1:17">
      <c r="A1254" s="523"/>
      <c r="B1254" s="2994" t="s">
        <v>2084</v>
      </c>
      <c r="C1254" s="3042" t="s">
        <v>1825</v>
      </c>
      <c r="D1254" s="3062" t="s">
        <v>2901</v>
      </c>
      <c r="E1254" s="3062"/>
      <c r="F1254" s="3062"/>
      <c r="G1254" s="3062"/>
      <c r="H1254" s="3062"/>
      <c r="I1254" s="3062"/>
      <c r="J1254" s="3062"/>
      <c r="K1254" s="3062"/>
      <c r="L1254" s="3062"/>
      <c r="M1254" s="3062"/>
      <c r="N1254" s="3062"/>
      <c r="O1254" s="2967" t="s">
        <v>2904</v>
      </c>
      <c r="P1254" s="2996" t="str">
        <f>'Part VIII-Threshold Criteria'!P304</f>
        <v>Yes</v>
      </c>
      <c r="Q1254" s="2996">
        <f>'Part VIII-Threshold Criteria'!Q304</f>
        <v>0</v>
      </c>
    </row>
    <row r="1255" spans="1:17">
      <c r="A1255" s="523"/>
      <c r="B1255" s="2994"/>
      <c r="C1255" s="3042" t="s">
        <v>1826</v>
      </c>
      <c r="D1255" s="3062" t="s">
        <v>2902</v>
      </c>
      <c r="E1255" s="3062"/>
      <c r="F1255" s="3062"/>
      <c r="G1255" s="3062"/>
      <c r="H1255" s="3062"/>
      <c r="I1255" s="3062"/>
      <c r="J1255" s="3062"/>
      <c r="K1255" s="3062"/>
      <c r="L1255" s="3062"/>
      <c r="M1255" s="3062"/>
      <c r="N1255" s="3062"/>
      <c r="O1255" s="2967" t="s">
        <v>3128</v>
      </c>
      <c r="P1255" s="2996" t="str">
        <f>'Part VIII-Threshold Criteria'!P305</f>
        <v>Yes</v>
      </c>
      <c r="Q1255" s="2996">
        <f>'Part VIII-Threshold Criteria'!Q305</f>
        <v>0</v>
      </c>
    </row>
    <row r="1256" spans="1:17">
      <c r="A1256" s="3041"/>
      <c r="B1256" s="2994" t="s">
        <v>789</v>
      </c>
      <c r="C1256" s="3042"/>
      <c r="D1256" s="3062" t="s">
        <v>4181</v>
      </c>
      <c r="E1256" s="3062"/>
      <c r="F1256" s="3062"/>
      <c r="G1256" s="3062"/>
      <c r="H1256" s="3062"/>
      <c r="I1256" s="3062"/>
      <c r="J1256" s="3062"/>
      <c r="K1256" s="3062"/>
      <c r="L1256" s="3062"/>
      <c r="M1256" s="3062"/>
      <c r="N1256" s="3062"/>
      <c r="O1256" s="3042" t="s">
        <v>789</v>
      </c>
      <c r="P1256" s="2996" t="str">
        <f>'Part VIII-Threshold Criteria'!P306</f>
        <v>Yes</v>
      </c>
      <c r="Q1256" s="2996">
        <f>'Part VIII-Threshold Criteria'!Q306</f>
        <v>0</v>
      </c>
    </row>
    <row r="1257" spans="1:17">
      <c r="B1257" s="3031" t="s">
        <v>1959</v>
      </c>
      <c r="D1257" s="3031"/>
      <c r="E1257" s="3031"/>
      <c r="F1257" s="3031"/>
      <c r="G1257" s="3031"/>
      <c r="H1257" s="2995"/>
      <c r="I1257" s="2992"/>
      <c r="J1257" s="2992"/>
      <c r="K1257" s="2992"/>
      <c r="L1257" s="2894"/>
      <c r="M1257" s="2894"/>
      <c r="N1257" s="2894"/>
      <c r="O1257" s="2894"/>
      <c r="P1257" s="2894"/>
      <c r="Q1257" s="2894"/>
    </row>
    <row r="1258" spans="1:17">
      <c r="A1258" s="2933">
        <f>'Part VIII-Threshold Criteria'!A308</f>
        <v>0</v>
      </c>
      <c r="B1258" s="2933"/>
      <c r="C1258" s="2933"/>
      <c r="D1258" s="2933"/>
      <c r="E1258" s="2933"/>
      <c r="F1258" s="2933"/>
      <c r="G1258" s="2933"/>
      <c r="H1258" s="2933"/>
      <c r="I1258" s="2933"/>
      <c r="J1258" s="2933"/>
      <c r="K1258" s="2933"/>
      <c r="L1258" s="2933"/>
      <c r="M1258" s="2933"/>
      <c r="N1258" s="2933"/>
      <c r="O1258" s="2933"/>
      <c r="P1258" s="2933"/>
      <c r="Q1258" s="2933"/>
    </row>
    <row r="1259" spans="1:17">
      <c r="B1259" s="2998" t="s">
        <v>1960</v>
      </c>
      <c r="C1259" s="2999"/>
      <c r="D1259" s="3000"/>
      <c r="E1259" s="3000"/>
      <c r="F1259" s="3000"/>
      <c r="G1259" s="3000"/>
      <c r="H1259" s="3000"/>
      <c r="I1259" s="3000"/>
      <c r="J1259" s="3000"/>
      <c r="K1259" s="3000"/>
      <c r="L1259" s="3000"/>
      <c r="M1259" s="3000"/>
      <c r="N1259" s="3000"/>
      <c r="O1259" s="3000"/>
      <c r="P1259" s="3000"/>
    </row>
    <row r="1260" spans="1:17">
      <c r="A1260" s="2933">
        <f>'Part VIII-Threshold Criteria'!A310</f>
        <v>0</v>
      </c>
      <c r="B1260" s="2933"/>
      <c r="C1260" s="2933"/>
      <c r="D1260" s="2933"/>
      <c r="E1260" s="2933"/>
      <c r="F1260" s="2933"/>
      <c r="G1260" s="2933"/>
      <c r="H1260" s="2933"/>
      <c r="I1260" s="2933"/>
      <c r="J1260" s="2933"/>
      <c r="K1260" s="2933"/>
      <c r="L1260" s="2933"/>
      <c r="M1260" s="2933"/>
      <c r="N1260" s="2933"/>
      <c r="O1260" s="2933"/>
      <c r="P1260" s="2933"/>
      <c r="Q1260" s="2933"/>
    </row>
    <row r="1261" spans="1:17">
      <c r="A1261" s="2874">
        <v>19</v>
      </c>
      <c r="B1261" s="526" t="s">
        <v>2805</v>
      </c>
      <c r="C1261" s="526"/>
      <c r="D1261" s="526"/>
      <c r="E1261" s="526"/>
      <c r="F1261" s="526"/>
      <c r="G1261" s="526"/>
      <c r="H1261" s="3000"/>
      <c r="I1261" s="3000"/>
      <c r="J1261" s="3000"/>
      <c r="K1261" s="3000"/>
      <c r="L1261" s="3000"/>
      <c r="M1261" s="3000"/>
      <c r="O1261" s="2993" t="s">
        <v>1961</v>
      </c>
      <c r="P1261" s="2897">
        <f>'Part VIII-Threshold Criteria'!P311</f>
        <v>0</v>
      </c>
      <c r="Q1261" s="2897"/>
    </row>
    <row r="1262" spans="1:17">
      <c r="B1262" s="507" t="s">
        <v>2361</v>
      </c>
      <c r="P1262" s="2996" t="str">
        <f>'Part VIII-Threshold Criteria'!P312</f>
        <v>No</v>
      </c>
      <c r="Q1262" s="2996">
        <f>'Part VIII-Threshold Criteria'!Q312</f>
        <v>0</v>
      </c>
    </row>
    <row r="1263" spans="1:17">
      <c r="B1263" s="3055" t="s">
        <v>2316</v>
      </c>
      <c r="C1263" s="3055"/>
      <c r="D1263" s="3055"/>
      <c r="E1263" s="3055"/>
      <c r="F1263" s="3055"/>
      <c r="G1263" s="3055"/>
      <c r="H1263" s="3055"/>
      <c r="I1263" s="3055"/>
      <c r="J1263" s="3055"/>
      <c r="K1263" s="3055"/>
      <c r="L1263" s="3055"/>
      <c r="P1263" s="2996" t="str">
        <f>'Part VIII-Threshold Criteria'!P313</f>
        <v>Yes</v>
      </c>
      <c r="Q1263" s="2996">
        <f>'Part VIII-Threshold Criteria'!Q313</f>
        <v>0</v>
      </c>
    </row>
    <row r="1264" spans="1:17">
      <c r="B1264" s="2994" t="s">
        <v>2081</v>
      </c>
      <c r="C1264" s="3028" t="s">
        <v>4595</v>
      </c>
      <c r="D1264" s="2995"/>
      <c r="E1264" s="2995"/>
      <c r="F1264" s="2995"/>
      <c r="G1264" s="2995"/>
      <c r="H1264" s="2995"/>
      <c r="I1264" s="2995"/>
      <c r="J1264" s="2995"/>
      <c r="K1264" s="2995"/>
      <c r="L1264" s="2995"/>
      <c r="M1264" s="2995"/>
      <c r="N1264" s="3042"/>
    </row>
    <row r="1265" spans="1:17">
      <c r="A1265" s="3035"/>
      <c r="C1265" s="3062" t="s">
        <v>3268</v>
      </c>
      <c r="D1265" s="3062"/>
      <c r="E1265" s="3062"/>
      <c r="F1265" s="3062"/>
      <c r="G1265" s="3062"/>
      <c r="H1265" s="3062"/>
      <c r="I1265" s="3062"/>
      <c r="J1265" s="3062"/>
      <c r="K1265" s="3062"/>
      <c r="L1265" s="3062"/>
      <c r="M1265" s="3062"/>
      <c r="N1265" s="3062"/>
      <c r="O1265" s="3042" t="s">
        <v>2081</v>
      </c>
      <c r="P1265" s="2996">
        <f>'Part VIII-Threshold Criteria'!P315</f>
        <v>0</v>
      </c>
      <c r="Q1265" s="2996">
        <f>'Part VIII-Threshold Criteria'!Q315</f>
        <v>0</v>
      </c>
    </row>
    <row r="1266" spans="1:17">
      <c r="B1266" s="2994" t="s">
        <v>2084</v>
      </c>
      <c r="C1266" s="3036" t="s">
        <v>479</v>
      </c>
      <c r="D1266" s="3036"/>
      <c r="E1266" s="3036"/>
      <c r="F1266" s="3036"/>
      <c r="G1266" s="3036"/>
      <c r="H1266" s="3036"/>
      <c r="I1266" s="3036"/>
      <c r="J1266" s="3036"/>
      <c r="K1266" s="3036"/>
      <c r="L1266" s="3036"/>
      <c r="M1266" s="3036"/>
      <c r="O1266" s="3042" t="s">
        <v>2084</v>
      </c>
      <c r="P1266" s="2894"/>
      <c r="Q1266" s="2894"/>
    </row>
    <row r="1267" spans="1:17">
      <c r="A1267" s="3035"/>
      <c r="C1267" s="3044" t="s">
        <v>1825</v>
      </c>
      <c r="D1267" s="3032" t="s">
        <v>1183</v>
      </c>
      <c r="E1267" s="3041"/>
      <c r="F1267" s="3041"/>
      <c r="G1267" s="3067" t="str">
        <f>'Part VIII-Threshold Criteria'!G317</f>
        <v>Exterior wall faces will have an excess of 40% brick or stone on each total wall surface</v>
      </c>
      <c r="H1267" s="3068"/>
      <c r="I1267" s="3068"/>
      <c r="J1267" s="3068"/>
      <c r="K1267" s="3068"/>
      <c r="L1267" s="3068"/>
      <c r="M1267" s="3068"/>
      <c r="N1267" s="3068"/>
      <c r="O1267" s="3042" t="s">
        <v>1825</v>
      </c>
      <c r="P1267" s="2996" t="str">
        <f>'Part VIII-Threshold Criteria'!P317</f>
        <v>Yes</v>
      </c>
      <c r="Q1267" s="2996">
        <f>'Part VIII-Threshold Criteria'!Q317</f>
        <v>0</v>
      </c>
    </row>
    <row r="1268" spans="1:17" ht="12.75" customHeight="1">
      <c r="A1268" s="3035"/>
      <c r="C1268" s="3044" t="s">
        <v>1826</v>
      </c>
      <c r="D1268" s="2933" t="s">
        <v>1184</v>
      </c>
      <c r="E1268" s="2810"/>
      <c r="F1268" s="2810"/>
      <c r="G1268" s="3067" t="str">
        <f>'Part VIII-Threshold Criteria'!G318</f>
        <v>Upgraded roofing shingles, or roofing materials  (warranty 30 years or greater)</v>
      </c>
      <c r="H1268" s="3068"/>
      <c r="I1268" s="3068"/>
      <c r="J1268" s="3068"/>
      <c r="K1268" s="3068"/>
      <c r="L1268" s="3068"/>
      <c r="M1268" s="3068"/>
      <c r="N1268" s="3068"/>
      <c r="O1268" s="3042" t="s">
        <v>1826</v>
      </c>
      <c r="P1268" s="2996" t="str">
        <f>'Part VIII-Threshold Criteria'!P318</f>
        <v>Yes</v>
      </c>
      <c r="Q1268" s="2996">
        <f>'Part VIII-Threshold Criteria'!Q318</f>
        <v>0</v>
      </c>
    </row>
    <row r="1269" spans="1:17">
      <c r="A1269" s="2894"/>
      <c r="B1269" s="2894"/>
      <c r="C1269" s="2894"/>
      <c r="D1269" s="2894"/>
      <c r="E1269" s="2894"/>
      <c r="F1269" s="2894"/>
      <c r="G1269" s="2894"/>
      <c r="H1269" s="2894"/>
      <c r="I1269" s="2894"/>
      <c r="J1269" s="2894"/>
      <c r="K1269" s="2894"/>
      <c r="L1269" s="2894"/>
      <c r="M1269" s="2894"/>
      <c r="N1269" s="2894"/>
      <c r="O1269" s="2894"/>
      <c r="P1269" s="2894"/>
      <c r="Q1269" s="2894"/>
    </row>
    <row r="1270" spans="1:17">
      <c r="A1270" s="3041"/>
      <c r="B1270" s="2994" t="s">
        <v>789</v>
      </c>
      <c r="C1270" s="3069" t="s">
        <v>4596</v>
      </c>
      <c r="D1270" s="3069"/>
      <c r="E1270" s="3069"/>
      <c r="F1270" s="3069"/>
      <c r="G1270" s="3069"/>
      <c r="H1270" s="3069"/>
      <c r="I1270" s="3069"/>
      <c r="J1270" s="3069"/>
      <c r="K1270" s="3069"/>
      <c r="L1270" s="3069"/>
      <c r="M1270" s="3069"/>
      <c r="N1270" s="3069"/>
      <c r="O1270" s="3046" t="s">
        <v>789</v>
      </c>
      <c r="P1270" s="2894"/>
      <c r="Q1270" s="2894"/>
    </row>
    <row r="1271" spans="1:17">
      <c r="A1271" s="3035"/>
      <c r="B1271" s="3041"/>
      <c r="C1271" s="3044" t="s">
        <v>1825</v>
      </c>
      <c r="D1271" s="2933">
        <f>'Part VIII-Threshold Criteria'!D321</f>
        <v>0</v>
      </c>
      <c r="E1271" s="2933"/>
      <c r="F1271" s="2933"/>
      <c r="G1271" s="2933"/>
      <c r="H1271" s="2933"/>
      <c r="I1271" s="2933"/>
      <c r="J1271" s="2933"/>
      <c r="K1271" s="2933"/>
      <c r="L1271" s="2933"/>
      <c r="M1271" s="2933"/>
      <c r="N1271" s="2933"/>
      <c r="O1271" s="3042" t="s">
        <v>1825</v>
      </c>
      <c r="P1271" s="2996">
        <f>'Part VIII-Threshold Criteria'!P321</f>
        <v>0</v>
      </c>
      <c r="Q1271" s="2996">
        <f>'Part VIII-Threshold Criteria'!Q321</f>
        <v>0</v>
      </c>
    </row>
    <row r="1272" spans="1:17">
      <c r="A1272" s="3035"/>
      <c r="B1272" s="3041"/>
      <c r="C1272" s="3044" t="s">
        <v>1826</v>
      </c>
      <c r="D1272" s="2933">
        <f>'Part VIII-Threshold Criteria'!D322</f>
        <v>0</v>
      </c>
      <c r="E1272" s="2933"/>
      <c r="F1272" s="2933"/>
      <c r="G1272" s="2933"/>
      <c r="H1272" s="2933"/>
      <c r="I1272" s="2933"/>
      <c r="J1272" s="2933"/>
      <c r="K1272" s="2933"/>
      <c r="L1272" s="2933"/>
      <c r="M1272" s="2933"/>
      <c r="N1272" s="2933"/>
      <c r="O1272" s="3042" t="s">
        <v>1826</v>
      </c>
      <c r="P1272" s="2996">
        <f>'Part VIII-Threshold Criteria'!P322</f>
        <v>0</v>
      </c>
      <c r="Q1272" s="2996">
        <f>'Part VIII-Threshold Criteria'!Q322</f>
        <v>0</v>
      </c>
    </row>
    <row r="1273" spans="1:17">
      <c r="A1273" s="2894"/>
      <c r="B1273" s="2894"/>
      <c r="C1273" s="2894"/>
      <c r="D1273" s="2894"/>
      <c r="E1273" s="2894"/>
      <c r="F1273" s="2894"/>
      <c r="G1273" s="2894"/>
      <c r="H1273" s="2894"/>
      <c r="I1273" s="2894"/>
      <c r="J1273" s="2894"/>
      <c r="K1273" s="2894"/>
      <c r="L1273" s="2894"/>
      <c r="M1273" s="2894"/>
      <c r="N1273" s="2894"/>
      <c r="O1273" s="2894"/>
      <c r="P1273" s="2894"/>
      <c r="Q1273" s="2894"/>
    </row>
    <row r="1274" spans="1:17">
      <c r="B1274" s="3031" t="s">
        <v>1959</v>
      </c>
      <c r="D1274" s="3031"/>
      <c r="E1274" s="3031"/>
      <c r="F1274" s="3031"/>
      <c r="G1274" s="3031"/>
      <c r="H1274" s="2995"/>
      <c r="I1274" s="2992"/>
      <c r="J1274" s="2992"/>
      <c r="K1274" s="2992"/>
      <c r="L1274" s="2894"/>
      <c r="M1274" s="2894"/>
      <c r="N1274" s="2894"/>
      <c r="O1274" s="2894"/>
      <c r="P1274" s="2894"/>
      <c r="Q1274" s="2894"/>
    </row>
    <row r="1275" spans="1:17">
      <c r="A1275" s="2933" t="str">
        <f>'Part VIII-Threshold Criteria'!A325</f>
        <v>A. is N/A because this proposal is new construction.</v>
      </c>
      <c r="B1275" s="2933"/>
      <c r="C1275" s="2933"/>
      <c r="D1275" s="2933"/>
      <c r="E1275" s="2933"/>
      <c r="F1275" s="2933"/>
      <c r="G1275" s="2933"/>
      <c r="H1275" s="2933"/>
      <c r="I1275" s="2933"/>
      <c r="J1275" s="2933"/>
      <c r="K1275" s="2933"/>
      <c r="L1275" s="2933"/>
      <c r="M1275" s="2933"/>
      <c r="N1275" s="2933"/>
      <c r="O1275" s="2933"/>
      <c r="P1275" s="2933"/>
      <c r="Q1275" s="2933"/>
    </row>
    <row r="1276" spans="1:17">
      <c r="B1276" s="2998" t="s">
        <v>1960</v>
      </c>
      <c r="C1276" s="2999"/>
      <c r="D1276" s="3000"/>
      <c r="E1276" s="3000"/>
      <c r="F1276" s="3000"/>
      <c r="G1276" s="3000"/>
      <c r="H1276" s="3000"/>
      <c r="I1276" s="3000"/>
      <c r="J1276" s="3000"/>
      <c r="K1276" s="3000"/>
      <c r="L1276" s="3000"/>
      <c r="M1276" s="3000"/>
      <c r="N1276" s="3000"/>
      <c r="O1276" s="3000"/>
      <c r="P1276" s="3000"/>
    </row>
    <row r="1277" spans="1:17">
      <c r="A1277" s="2933">
        <f>'Part VIII-Threshold Criteria'!A327</f>
        <v>0</v>
      </c>
      <c r="B1277" s="2933"/>
      <c r="C1277" s="2933"/>
      <c r="D1277" s="2933"/>
      <c r="E1277" s="2933"/>
      <c r="F1277" s="2933"/>
      <c r="G1277" s="2933"/>
      <c r="H1277" s="2933"/>
      <c r="I1277" s="2933"/>
      <c r="J1277" s="2933"/>
      <c r="K1277" s="2933"/>
      <c r="L1277" s="2933"/>
      <c r="M1277" s="2933"/>
      <c r="N1277" s="2933"/>
      <c r="O1277" s="2933"/>
      <c r="P1277" s="2933"/>
      <c r="Q1277" s="2933"/>
    </row>
    <row r="1278" spans="1:17">
      <c r="A1278" s="2894"/>
      <c r="B1278" s="2992"/>
      <c r="C1278" s="3000"/>
      <c r="D1278" s="3000"/>
      <c r="E1278" s="3000"/>
      <c r="F1278" s="3000"/>
      <c r="G1278" s="3000"/>
      <c r="H1278" s="3000"/>
      <c r="I1278" s="3000"/>
      <c r="J1278" s="3000"/>
      <c r="K1278" s="3000"/>
      <c r="L1278" s="3000"/>
      <c r="M1278" s="3000"/>
      <c r="N1278" s="3000"/>
      <c r="O1278" s="3000"/>
      <c r="P1278" s="3000"/>
      <c r="Q1278" s="2894"/>
    </row>
    <row r="1279" spans="1:17">
      <c r="A1279" s="2874">
        <v>20</v>
      </c>
      <c r="B1279" s="2874" t="s">
        <v>3278</v>
      </c>
      <c r="C1279" s="2874"/>
      <c r="D1279" s="3000"/>
      <c r="E1279" s="3000"/>
      <c r="F1279" s="3000"/>
      <c r="G1279" s="3000"/>
      <c r="H1279" s="3000"/>
      <c r="O1279" s="2993" t="s">
        <v>1961</v>
      </c>
      <c r="P1279" s="2897">
        <f>'Part VIII-Threshold Criteria'!P329</f>
        <v>0</v>
      </c>
      <c r="Q1279" s="2897"/>
    </row>
    <row r="1280" spans="1:17">
      <c r="B1280" s="507" t="s">
        <v>3279</v>
      </c>
      <c r="P1280" s="2996" t="str">
        <f>'Part VIII-Threshold Criteria'!P330</f>
        <v>No</v>
      </c>
      <c r="Q1280" s="2996">
        <f>'Part VIII-Threshold Criteria'!Q330</f>
        <v>0</v>
      </c>
    </row>
    <row r="1281" spans="1:17">
      <c r="B1281" s="507" t="s">
        <v>2460</v>
      </c>
      <c r="P1281" s="2996">
        <f>'Part VIII-Threshold Criteria'!P331</f>
        <v>0</v>
      </c>
      <c r="Q1281" s="2996">
        <f>'Part VIII-Threshold Criteria'!Q331</f>
        <v>0</v>
      </c>
    </row>
    <row r="1282" spans="1:17">
      <c r="B1282" s="507" t="s">
        <v>3280</v>
      </c>
      <c r="M1282" s="3070">
        <f>'Part VIII-Threshold Criteria'!M332</f>
        <v>0</v>
      </c>
      <c r="N1282" s="3070"/>
      <c r="O1282" s="3070"/>
    </row>
    <row r="1283" spans="1:17">
      <c r="B1283" s="3048" t="s">
        <v>2461</v>
      </c>
      <c r="M1283" s="3070" t="str">
        <f>'Part VIII-Threshold Criteria'!M333</f>
        <v>&lt;&lt; Select Designation &gt;&gt;</v>
      </c>
      <c r="N1283" s="3070"/>
      <c r="O1283" s="3070"/>
    </row>
    <row r="1284" spans="1:17">
      <c r="B1284" s="3031" t="s">
        <v>1959</v>
      </c>
      <c r="D1284" s="3031"/>
      <c r="E1284" s="3031"/>
      <c r="F1284" s="3031"/>
      <c r="G1284" s="3031"/>
      <c r="H1284" s="2995"/>
      <c r="I1284" s="2992"/>
      <c r="J1284" s="2992"/>
      <c r="K1284" s="2992"/>
      <c r="L1284" s="2894"/>
      <c r="M1284" s="2894"/>
      <c r="N1284" s="2894"/>
      <c r="O1284" s="2894"/>
      <c r="P1284" s="2894"/>
      <c r="Q1284" s="2894"/>
    </row>
    <row r="1285" spans="1:17">
      <c r="A1285" s="2933" t="str">
        <f>'Part VIII-Threshold Criteria'!A335</f>
        <v>There was not a pre-application determination for this development; however, the General Partner and Developer entities were deemed to be qualified without conditions on a separate development (The Vinings at Oxford) submitted in March.</v>
      </c>
      <c r="B1285" s="2933"/>
      <c r="C1285" s="2933"/>
      <c r="D1285" s="2933"/>
      <c r="E1285" s="2933"/>
      <c r="F1285" s="2933"/>
      <c r="G1285" s="2933"/>
      <c r="H1285" s="2933"/>
      <c r="I1285" s="2933"/>
      <c r="J1285" s="2933"/>
      <c r="K1285" s="2933"/>
      <c r="L1285" s="2933"/>
      <c r="M1285" s="2933"/>
      <c r="N1285" s="2933"/>
      <c r="O1285" s="2933"/>
      <c r="P1285" s="2933"/>
      <c r="Q1285" s="2933"/>
    </row>
    <row r="1286" spans="1:17">
      <c r="B1286" s="2998" t="s">
        <v>1960</v>
      </c>
      <c r="C1286" s="2999"/>
      <c r="D1286" s="3000"/>
      <c r="E1286" s="3000"/>
      <c r="F1286" s="3000"/>
      <c r="G1286" s="3000"/>
      <c r="H1286" s="3000"/>
      <c r="I1286" s="3000"/>
      <c r="J1286" s="3000"/>
      <c r="K1286" s="3000"/>
      <c r="L1286" s="3000"/>
      <c r="M1286" s="3000"/>
      <c r="N1286" s="3000"/>
      <c r="O1286" s="3000"/>
      <c r="P1286" s="3000"/>
    </row>
    <row r="1287" spans="1:17">
      <c r="A1287" s="2933">
        <f>'Part VIII-Threshold Criteria'!A337</f>
        <v>0</v>
      </c>
      <c r="B1287" s="2933"/>
      <c r="C1287" s="2933"/>
      <c r="D1287" s="2933"/>
      <c r="E1287" s="2933"/>
      <c r="F1287" s="2933"/>
      <c r="G1287" s="2933"/>
      <c r="H1287" s="2933"/>
      <c r="I1287" s="2933"/>
      <c r="J1287" s="2933"/>
      <c r="K1287" s="2933"/>
      <c r="L1287" s="2933"/>
      <c r="M1287" s="2933"/>
      <c r="N1287" s="2933"/>
      <c r="O1287" s="2933"/>
      <c r="P1287" s="2933"/>
      <c r="Q1287" s="2933"/>
    </row>
    <row r="1288" spans="1:17">
      <c r="B1288" s="2992"/>
      <c r="C1288" s="3000"/>
      <c r="D1288" s="3000"/>
      <c r="E1288" s="3000"/>
      <c r="F1288" s="3000"/>
      <c r="G1288" s="3000"/>
      <c r="H1288" s="3000"/>
      <c r="I1288" s="3000"/>
      <c r="J1288" s="3000"/>
      <c r="K1288" s="3000"/>
      <c r="L1288" s="3000"/>
      <c r="M1288" s="3000"/>
      <c r="Q1288" s="2894"/>
    </row>
    <row r="1289" spans="1:17">
      <c r="A1289" s="2874">
        <v>21</v>
      </c>
      <c r="B1289" s="526" t="s">
        <v>2806</v>
      </c>
      <c r="C1289" s="526"/>
      <c r="D1289" s="2991"/>
      <c r="E1289" s="3000"/>
      <c r="F1289" s="3000"/>
      <c r="G1289" s="3000"/>
      <c r="H1289" s="3000"/>
      <c r="I1289" s="3000"/>
      <c r="J1289" s="3000"/>
      <c r="K1289" s="3000"/>
      <c r="L1289" s="3000"/>
      <c r="M1289" s="3000"/>
      <c r="O1289" s="2993" t="s">
        <v>1961</v>
      </c>
      <c r="P1289" s="2897">
        <f>'Part VIII-Threshold Criteria'!P339</f>
        <v>0</v>
      </c>
      <c r="Q1289" s="2897"/>
    </row>
    <row r="1290" spans="1:17">
      <c r="B1290" s="2994" t="s">
        <v>2081</v>
      </c>
      <c r="C1290" s="2933" t="s">
        <v>4182</v>
      </c>
      <c r="D1290" s="2933"/>
      <c r="E1290" s="2933"/>
      <c r="F1290" s="2933"/>
      <c r="G1290" s="2933"/>
      <c r="H1290" s="2933"/>
      <c r="I1290" s="2933"/>
      <c r="J1290" s="2933"/>
      <c r="K1290" s="2933"/>
      <c r="L1290" s="2933"/>
      <c r="M1290" s="2933"/>
      <c r="N1290" s="2933"/>
      <c r="O1290" s="3042" t="s">
        <v>2081</v>
      </c>
      <c r="P1290" s="2996" t="str">
        <f>'Part VIII-Threshold Criteria'!P340</f>
        <v>Yes</v>
      </c>
      <c r="Q1290" s="2996">
        <f>'Part VIII-Threshold Criteria'!Q340</f>
        <v>0</v>
      </c>
    </row>
    <row r="1291" spans="1:17">
      <c r="B1291" s="2994" t="s">
        <v>2084</v>
      </c>
      <c r="C1291" s="2933" t="s">
        <v>3304</v>
      </c>
      <c r="D1291" s="2933"/>
      <c r="E1291" s="2933"/>
      <c r="F1291" s="2933"/>
      <c r="G1291" s="2933"/>
      <c r="H1291" s="2933"/>
      <c r="I1291" s="2933"/>
      <c r="J1291" s="2933"/>
      <c r="K1291" s="2933"/>
      <c r="L1291" s="2933"/>
      <c r="M1291" s="2933"/>
      <c r="N1291" s="2933"/>
      <c r="O1291" s="3042" t="s">
        <v>2084</v>
      </c>
      <c r="P1291" s="2996" t="str">
        <f>'Part VIII-Threshold Criteria'!P341</f>
        <v>Yes</v>
      </c>
      <c r="Q1291" s="2996">
        <f>'Part VIII-Threshold Criteria'!Q341</f>
        <v>0</v>
      </c>
    </row>
    <row r="1292" spans="1:17">
      <c r="B1292" s="2994" t="s">
        <v>789</v>
      </c>
      <c r="C1292" s="3055" t="s">
        <v>3129</v>
      </c>
      <c r="D1292" s="3055"/>
      <c r="E1292" s="3055"/>
      <c r="F1292" s="3055"/>
      <c r="G1292" s="3055"/>
      <c r="H1292" s="3055"/>
      <c r="I1292" s="3055"/>
      <c r="J1292" s="3055"/>
      <c r="K1292" s="3055"/>
      <c r="L1292" s="3055"/>
      <c r="M1292" s="3055"/>
      <c r="O1292" s="3042" t="s">
        <v>789</v>
      </c>
      <c r="P1292" s="2996" t="str">
        <f>'Part VIII-Threshold Criteria'!P342</f>
        <v>Yes</v>
      </c>
      <c r="Q1292" s="2996">
        <f>'Part VIII-Threshold Criteria'!Q342</f>
        <v>0</v>
      </c>
    </row>
    <row r="1293" spans="1:17">
      <c r="B1293" s="2994" t="s">
        <v>2216</v>
      </c>
      <c r="C1293" s="2933" t="s">
        <v>4597</v>
      </c>
      <c r="D1293" s="2933"/>
      <c r="E1293" s="2933"/>
      <c r="F1293" s="2933"/>
      <c r="G1293" s="2933"/>
      <c r="H1293" s="2933"/>
      <c r="I1293" s="2933"/>
      <c r="J1293" s="2933"/>
      <c r="K1293" s="2933"/>
      <c r="L1293" s="2933"/>
      <c r="M1293" s="2933"/>
      <c r="N1293" s="2933"/>
      <c r="O1293" s="3042" t="s">
        <v>2216</v>
      </c>
      <c r="P1293" s="2996" t="str">
        <f>'Part VIII-Threshold Criteria'!P343</f>
        <v>Yes</v>
      </c>
      <c r="Q1293" s="2996">
        <f>'Part VIII-Threshold Criteria'!Q343</f>
        <v>0</v>
      </c>
    </row>
    <row r="1294" spans="1:17">
      <c r="B1294" s="2994" t="s">
        <v>1823</v>
      </c>
      <c r="C1294" s="2933" t="s">
        <v>4598</v>
      </c>
      <c r="D1294" s="2933"/>
      <c r="E1294" s="2933"/>
      <c r="F1294" s="2933"/>
      <c r="G1294" s="2933"/>
      <c r="H1294" s="2933"/>
      <c r="I1294" s="2933"/>
      <c r="J1294" s="2933"/>
      <c r="K1294" s="2933"/>
      <c r="L1294" s="2933"/>
      <c r="M1294" s="2933"/>
      <c r="N1294" s="2933"/>
      <c r="O1294" s="3042" t="s">
        <v>1823</v>
      </c>
      <c r="P1294" s="2996" t="str">
        <f>'Part VIII-Threshold Criteria'!P344</f>
        <v>Yes</v>
      </c>
      <c r="Q1294" s="2996">
        <f>'Part VIII-Threshold Criteria'!Q344</f>
        <v>0</v>
      </c>
    </row>
    <row r="1295" spans="1:17">
      <c r="B1295" s="3031" t="s">
        <v>1959</v>
      </c>
      <c r="D1295" s="3031"/>
      <c r="E1295" s="3031"/>
      <c r="F1295" s="3031"/>
      <c r="G1295" s="3031"/>
      <c r="H1295" s="2995"/>
      <c r="I1295" s="2992"/>
      <c r="J1295" s="2992"/>
      <c r="K1295" s="2992"/>
      <c r="L1295" s="2894"/>
      <c r="M1295" s="2894"/>
      <c r="N1295" s="2894"/>
      <c r="O1295" s="2894"/>
      <c r="P1295" s="2894"/>
      <c r="Q1295" s="2894"/>
    </row>
    <row r="1296" spans="1:17">
      <c r="A1296" s="2933">
        <f>'Part VIII-Threshold Criteria'!A346</f>
        <v>0</v>
      </c>
      <c r="B1296" s="2933"/>
      <c r="C1296" s="2933"/>
      <c r="D1296" s="2933"/>
      <c r="E1296" s="2933"/>
      <c r="F1296" s="2933"/>
      <c r="G1296" s="2933"/>
      <c r="H1296" s="2933"/>
      <c r="I1296" s="2933"/>
      <c r="J1296" s="2933"/>
      <c r="K1296" s="2933"/>
      <c r="L1296" s="2933"/>
      <c r="M1296" s="2933"/>
      <c r="N1296" s="2933"/>
      <c r="O1296" s="2933"/>
      <c r="P1296" s="2933"/>
      <c r="Q1296" s="2933"/>
    </row>
    <row r="1297" spans="1:17">
      <c r="B1297" s="2998" t="s">
        <v>1960</v>
      </c>
      <c r="C1297" s="2999"/>
      <c r="D1297" s="3000"/>
      <c r="E1297" s="3000"/>
      <c r="F1297" s="3000"/>
      <c r="G1297" s="3000"/>
      <c r="H1297" s="3000"/>
      <c r="I1297" s="3000"/>
      <c r="J1297" s="3000"/>
      <c r="K1297" s="3000"/>
      <c r="L1297" s="3000"/>
      <c r="M1297" s="3000"/>
      <c r="N1297" s="3000"/>
      <c r="O1297" s="3000"/>
      <c r="P1297" s="3000"/>
    </row>
    <row r="1298" spans="1:17">
      <c r="A1298" s="2933">
        <f>'Part VIII-Threshold Criteria'!A348</f>
        <v>0</v>
      </c>
      <c r="B1298" s="2933"/>
      <c r="C1298" s="2933"/>
      <c r="D1298" s="2933"/>
      <c r="E1298" s="2933"/>
      <c r="F1298" s="2933"/>
      <c r="G1298" s="2933"/>
      <c r="H1298" s="2933"/>
      <c r="I1298" s="2933"/>
      <c r="J1298" s="2933"/>
      <c r="K1298" s="2933"/>
      <c r="L1298" s="2933"/>
      <c r="M1298" s="2933"/>
      <c r="N1298" s="2933"/>
      <c r="O1298" s="2933"/>
      <c r="P1298" s="2933"/>
      <c r="Q1298" s="2933"/>
    </row>
    <row r="1299" spans="1:17">
      <c r="A1299" s="2894"/>
      <c r="B1299" s="2992"/>
      <c r="C1299" s="3000"/>
      <c r="D1299" s="3000"/>
      <c r="E1299" s="3000"/>
      <c r="F1299" s="3000"/>
      <c r="G1299" s="3000"/>
      <c r="H1299" s="3000"/>
      <c r="I1299" s="3000"/>
      <c r="J1299" s="3000"/>
      <c r="K1299" s="3000"/>
      <c r="L1299" s="3000"/>
      <c r="M1299" s="3000"/>
      <c r="N1299" s="3000"/>
      <c r="O1299" s="3000"/>
      <c r="P1299" s="3000"/>
      <c r="Q1299" s="2894"/>
    </row>
    <row r="1300" spans="1:17">
      <c r="A1300" s="2874">
        <v>22</v>
      </c>
      <c r="B1300" s="526" t="s">
        <v>2834</v>
      </c>
      <c r="C1300" s="526"/>
      <c r="D1300" s="526"/>
      <c r="E1300" s="526"/>
      <c r="F1300" s="526"/>
      <c r="G1300" s="526"/>
      <c r="H1300" s="3000"/>
      <c r="I1300" s="3000"/>
      <c r="J1300" s="3000"/>
      <c r="K1300" s="3000"/>
      <c r="L1300" s="3000"/>
      <c r="M1300" s="3000"/>
      <c r="O1300" s="2993" t="s">
        <v>1961</v>
      </c>
      <c r="P1300" s="2897">
        <f>'Part VIII-Threshold Criteria'!P350</f>
        <v>0</v>
      </c>
      <c r="Q1300" s="2897"/>
    </row>
    <row r="1301" spans="1:17">
      <c r="B1301" s="2997" t="s">
        <v>2081</v>
      </c>
      <c r="C1301" s="524" t="s">
        <v>2830</v>
      </c>
      <c r="D1301" s="541"/>
      <c r="E1301" s="541"/>
      <c r="F1301" s="541"/>
      <c r="G1301" s="541"/>
      <c r="H1301" s="541"/>
      <c r="I1301" s="523"/>
      <c r="J1301" s="2967" t="s">
        <v>2081</v>
      </c>
      <c r="K1301" s="3037" t="str">
        <f>'Part VIII-Threshold Criteria'!K351</f>
        <v>National Affordable Housing Preservation Associates, Inc.</v>
      </c>
      <c r="L1301" s="3037"/>
      <c r="M1301" s="3037"/>
      <c r="N1301" s="3037"/>
      <c r="O1301" s="3037"/>
      <c r="P1301" s="3037"/>
      <c r="Q1301" s="2996">
        <f>'Part VIII-Threshold Criteria'!Q351</f>
        <v>0</v>
      </c>
    </row>
    <row r="1302" spans="1:17">
      <c r="B1302" s="2994" t="s">
        <v>2084</v>
      </c>
      <c r="C1302" s="2921" t="s">
        <v>2829</v>
      </c>
      <c r="D1302" s="2921"/>
      <c r="E1302" s="2921"/>
      <c r="F1302" s="2921"/>
      <c r="G1302" s="2921"/>
      <c r="H1302" s="2921"/>
      <c r="I1302" s="2921"/>
      <c r="J1302" s="2921"/>
      <c r="K1302" s="2921"/>
      <c r="L1302" s="2921"/>
      <c r="M1302" s="2921"/>
      <c r="N1302" s="2921"/>
      <c r="O1302" s="3042" t="s">
        <v>2084</v>
      </c>
      <c r="P1302" s="2996" t="str">
        <f>'Part VIII-Threshold Criteria'!P352</f>
        <v>Yes</v>
      </c>
      <c r="Q1302" s="2996">
        <f>'Part VIII-Threshold Criteria'!Q352</f>
        <v>0</v>
      </c>
    </row>
    <row r="1303" spans="1:17">
      <c r="B1303" s="2997" t="s">
        <v>789</v>
      </c>
      <c r="C1303" s="524" t="s">
        <v>2831</v>
      </c>
      <c r="D1303" s="524"/>
      <c r="E1303" s="524"/>
      <c r="F1303" s="524"/>
      <c r="G1303" s="524"/>
      <c r="H1303" s="524"/>
      <c r="I1303" s="524"/>
      <c r="J1303" s="524"/>
      <c r="K1303" s="524"/>
      <c r="L1303" s="2995"/>
      <c r="M1303" s="2995"/>
      <c r="O1303" s="2967" t="s">
        <v>789</v>
      </c>
      <c r="P1303" s="2996" t="str">
        <f>'Part VIII-Threshold Criteria'!P353</f>
        <v>Yes</v>
      </c>
      <c r="Q1303" s="2996">
        <f>'Part VIII-Threshold Criteria'!Q353</f>
        <v>0</v>
      </c>
    </row>
    <row r="1304" spans="1:17">
      <c r="B1304" s="2997" t="s">
        <v>2216</v>
      </c>
      <c r="C1304" s="524" t="s">
        <v>2832</v>
      </c>
      <c r="D1304" s="524"/>
      <c r="E1304" s="524"/>
      <c r="F1304" s="524"/>
      <c r="G1304" s="524"/>
      <c r="H1304" s="524"/>
      <c r="I1304" s="524"/>
      <c r="J1304" s="524"/>
      <c r="K1304" s="524"/>
      <c r="L1304" s="524"/>
      <c r="M1304" s="524"/>
      <c r="O1304" s="2967" t="s">
        <v>2216</v>
      </c>
      <c r="P1304" s="2996" t="str">
        <f>'Part VIII-Threshold Criteria'!P354</f>
        <v>Yes</v>
      </c>
      <c r="Q1304" s="2996">
        <f>'Part VIII-Threshold Criteria'!Q354</f>
        <v>0</v>
      </c>
    </row>
    <row r="1305" spans="1:17">
      <c r="A1305" s="3041"/>
      <c r="B1305" s="2994" t="s">
        <v>1823</v>
      </c>
      <c r="C1305" s="2933" t="s">
        <v>2835</v>
      </c>
      <c r="D1305" s="2933"/>
      <c r="E1305" s="2933"/>
      <c r="F1305" s="2933"/>
      <c r="G1305" s="2933"/>
      <c r="H1305" s="2933"/>
      <c r="I1305" s="2933"/>
      <c r="J1305" s="2933"/>
      <c r="K1305" s="2933"/>
      <c r="L1305" s="2933"/>
      <c r="M1305" s="2933"/>
      <c r="N1305" s="2933"/>
      <c r="O1305" s="3042" t="s">
        <v>1823</v>
      </c>
      <c r="P1305" s="2996" t="str">
        <f>'Part VIII-Threshold Criteria'!P355</f>
        <v>No</v>
      </c>
      <c r="Q1305" s="2996">
        <f>'Part VIII-Threshold Criteria'!Q355</f>
        <v>0</v>
      </c>
    </row>
    <row r="1306" spans="1:17">
      <c r="A1306" s="3041"/>
      <c r="B1306" s="2994" t="s">
        <v>1824</v>
      </c>
      <c r="C1306" s="2933" t="s">
        <v>2836</v>
      </c>
      <c r="D1306" s="2933"/>
      <c r="E1306" s="2933"/>
      <c r="F1306" s="2933"/>
      <c r="G1306" s="2933"/>
      <c r="H1306" s="2933"/>
      <c r="I1306" s="2933"/>
      <c r="J1306" s="2933"/>
      <c r="K1306" s="2933"/>
      <c r="L1306" s="2933"/>
      <c r="M1306" s="2933"/>
      <c r="N1306" s="2933"/>
      <c r="O1306" s="3042" t="s">
        <v>1824</v>
      </c>
      <c r="P1306" s="2996" t="str">
        <f>'Part VIII-Threshold Criteria'!P356</f>
        <v>Yes</v>
      </c>
      <c r="Q1306" s="2996">
        <f>'Part VIII-Threshold Criteria'!Q356</f>
        <v>0</v>
      </c>
    </row>
    <row r="1307" spans="1:17">
      <c r="B1307" s="2997" t="s">
        <v>2044</v>
      </c>
      <c r="C1307" s="524" t="s">
        <v>2833</v>
      </c>
      <c r="D1307" s="524"/>
      <c r="E1307" s="524"/>
      <c r="F1307" s="524"/>
      <c r="G1307" s="524"/>
      <c r="H1307" s="524"/>
      <c r="I1307" s="524"/>
      <c r="J1307" s="524"/>
      <c r="K1307" s="524"/>
      <c r="L1307" s="524"/>
      <c r="M1307" s="524"/>
      <c r="O1307" s="2967" t="s">
        <v>2044</v>
      </c>
      <c r="P1307" s="2996" t="str">
        <f>'Part VIII-Threshold Criteria'!P357</f>
        <v>No</v>
      </c>
      <c r="Q1307" s="2996">
        <f>'Part VIII-Threshold Criteria'!Q357</f>
        <v>0</v>
      </c>
    </row>
    <row r="1308" spans="1:17">
      <c r="B1308" s="3031" t="s">
        <v>1959</v>
      </c>
      <c r="D1308" s="3031"/>
      <c r="E1308" s="3031"/>
      <c r="F1308" s="3031"/>
      <c r="G1308" s="3031"/>
      <c r="H1308" s="2995"/>
      <c r="I1308" s="2992"/>
      <c r="J1308" s="2992"/>
      <c r="K1308" s="2992"/>
      <c r="L1308" s="2894"/>
      <c r="M1308" s="2894"/>
      <c r="N1308" s="2894"/>
      <c r="O1308" s="2894"/>
      <c r="P1308" s="2894"/>
      <c r="Q1308" s="2894"/>
    </row>
    <row r="1309" spans="1:17">
      <c r="A1309" s="2933" t="str">
        <f>'Part VIII-Threshold Criteria'!A359</f>
        <v>The Entity listed above is a nonprofit corporatoin with no stock (shareholders) but is governed by a Board of Directors; therefore, item E was answered "No".</v>
      </c>
      <c r="B1309" s="2933"/>
      <c r="C1309" s="2933"/>
      <c r="D1309" s="2933"/>
      <c r="E1309" s="2933"/>
      <c r="F1309" s="2933"/>
      <c r="G1309" s="2933"/>
      <c r="H1309" s="2933"/>
      <c r="I1309" s="2933"/>
      <c r="J1309" s="2933"/>
      <c r="K1309" s="2933"/>
      <c r="L1309" s="2933"/>
      <c r="M1309" s="2933"/>
      <c r="N1309" s="2933"/>
      <c r="O1309" s="2933"/>
      <c r="P1309" s="2933"/>
      <c r="Q1309" s="2933"/>
    </row>
    <row r="1310" spans="1:17">
      <c r="B1310" s="2998" t="s">
        <v>1960</v>
      </c>
      <c r="C1310" s="2999"/>
      <c r="D1310" s="3000"/>
      <c r="E1310" s="3000"/>
      <c r="F1310" s="3000"/>
      <c r="G1310" s="3000"/>
      <c r="H1310" s="3000"/>
      <c r="I1310" s="3000"/>
      <c r="J1310" s="3000"/>
      <c r="K1310" s="3000"/>
      <c r="L1310" s="3000"/>
      <c r="M1310" s="3000"/>
      <c r="N1310" s="3000"/>
      <c r="O1310" s="3000"/>
      <c r="P1310" s="3000"/>
    </row>
    <row r="1311" spans="1:17">
      <c r="A1311" s="2933">
        <f>'Part VIII-Threshold Criteria'!A361</f>
        <v>0</v>
      </c>
      <c r="B1311" s="2933"/>
      <c r="C1311" s="2933"/>
      <c r="D1311" s="2933"/>
      <c r="E1311" s="2933"/>
      <c r="F1311" s="2933"/>
      <c r="G1311" s="2933"/>
      <c r="H1311" s="2933"/>
      <c r="I1311" s="2933"/>
      <c r="J1311" s="2933"/>
      <c r="K1311" s="2933"/>
      <c r="L1311" s="2933"/>
      <c r="M1311" s="2933"/>
      <c r="N1311" s="2933"/>
      <c r="O1311" s="2933"/>
      <c r="P1311" s="2933"/>
      <c r="Q1311" s="2933"/>
    </row>
    <row r="1312" spans="1:17">
      <c r="A1312" s="2894"/>
      <c r="B1312" s="2992"/>
      <c r="C1312" s="3000"/>
      <c r="D1312" s="3000"/>
      <c r="E1312" s="3000"/>
      <c r="F1312" s="3000"/>
      <c r="G1312" s="3000"/>
      <c r="H1312" s="3000"/>
      <c r="I1312" s="3000"/>
      <c r="J1312" s="3000"/>
      <c r="K1312" s="3000"/>
      <c r="L1312" s="3000"/>
      <c r="M1312" s="3000"/>
      <c r="Q1312" s="2894"/>
    </row>
    <row r="1313" spans="1:17">
      <c r="A1313" s="2874">
        <v>23</v>
      </c>
      <c r="B1313" s="526" t="s">
        <v>2837</v>
      </c>
      <c r="C1313" s="526"/>
      <c r="D1313" s="526"/>
      <c r="E1313" s="526"/>
      <c r="F1313" s="526"/>
      <c r="G1313" s="526"/>
      <c r="H1313" s="3000"/>
      <c r="I1313" s="3000"/>
      <c r="J1313" s="3000"/>
      <c r="O1313" s="2993" t="s">
        <v>1961</v>
      </c>
      <c r="P1313" s="2897">
        <f>'Part VIII-Threshold Criteria'!P363</f>
        <v>0</v>
      </c>
      <c r="Q1313" s="2897"/>
    </row>
    <row r="1314" spans="1:17">
      <c r="B1314" s="2997" t="s">
        <v>2081</v>
      </c>
      <c r="C1314" s="524" t="s">
        <v>1084</v>
      </c>
      <c r="E1314" s="3037" t="str">
        <f>'Part VIII-Threshold Criteria'!E364</f>
        <v>N/A</v>
      </c>
      <c r="F1314" s="3037"/>
      <c r="G1314" s="3037"/>
      <c r="H1314" s="3037"/>
      <c r="I1314" s="3037"/>
      <c r="J1314" s="3004" t="s">
        <v>2811</v>
      </c>
      <c r="K1314" s="3004"/>
      <c r="L1314" s="3004"/>
      <c r="M1314" s="3037">
        <f>'Part VIII-Threshold Criteria'!M364</f>
        <v>0</v>
      </c>
      <c r="N1314" s="3037"/>
      <c r="O1314" s="3037"/>
      <c r="P1314" s="3037"/>
      <c r="Q1314" s="3037"/>
    </row>
    <row r="1315" spans="1:17">
      <c r="B1315" s="2997" t="s">
        <v>2084</v>
      </c>
      <c r="C1315" s="524" t="s">
        <v>4083</v>
      </c>
      <c r="D1315" s="524"/>
      <c r="E1315" s="524"/>
      <c r="F1315" s="524"/>
      <c r="G1315" s="524"/>
      <c r="H1315" s="524"/>
      <c r="I1315" s="524"/>
      <c r="J1315" s="524"/>
      <c r="K1315" s="524"/>
      <c r="L1315" s="2995"/>
      <c r="M1315" s="2995"/>
      <c r="O1315" s="2967" t="s">
        <v>2084</v>
      </c>
      <c r="P1315" s="2996">
        <f>'Part VIII-Threshold Criteria'!P365</f>
        <v>0</v>
      </c>
      <c r="Q1315" s="2996">
        <f>'Part VIII-Threshold Criteria'!Q365</f>
        <v>0</v>
      </c>
    </row>
    <row r="1316" spans="1:17">
      <c r="B1316" s="2994" t="s">
        <v>789</v>
      </c>
      <c r="C1316" s="2921" t="s">
        <v>4183</v>
      </c>
      <c r="D1316" s="2921"/>
      <c r="E1316" s="2921"/>
      <c r="F1316" s="2921"/>
      <c r="G1316" s="2921"/>
      <c r="H1316" s="2921"/>
      <c r="I1316" s="2921"/>
      <c r="J1316" s="2921"/>
      <c r="K1316" s="2921"/>
      <c r="L1316" s="2921"/>
      <c r="M1316" s="2921"/>
      <c r="N1316" s="2921"/>
      <c r="O1316" s="2967" t="s">
        <v>789</v>
      </c>
      <c r="P1316" s="2996">
        <f>'Part VIII-Threshold Criteria'!P366</f>
        <v>0</v>
      </c>
      <c r="Q1316" s="2996">
        <f>'Part VIII-Threshold Criteria'!Q366</f>
        <v>0</v>
      </c>
    </row>
    <row r="1317" spans="1:17">
      <c r="B1317" s="2997" t="s">
        <v>2216</v>
      </c>
      <c r="C1317" s="2995" t="s">
        <v>4184</v>
      </c>
      <c r="D1317" s="2922"/>
      <c r="E1317" s="3071">
        <f>'Part III-Sources of Funds'!H960</f>
        <v>0</v>
      </c>
      <c r="F1317" s="3071"/>
      <c r="G1317" s="2922"/>
      <c r="H1317" s="2922"/>
      <c r="I1317" s="2922"/>
      <c r="J1317" s="2922"/>
      <c r="K1317" s="2922"/>
      <c r="L1317" s="2922"/>
      <c r="M1317" s="2922"/>
      <c r="N1317" s="2922"/>
      <c r="O1317" s="2967" t="s">
        <v>2216</v>
      </c>
      <c r="P1317" s="2996">
        <f>'Part VIII-Threshold Criteria'!P367</f>
        <v>0</v>
      </c>
      <c r="Q1317" s="2996">
        <f>'Part VIII-Threshold Criteria'!Q367</f>
        <v>0</v>
      </c>
    </row>
    <row r="1318" spans="1:17">
      <c r="B1318" s="3031" t="s">
        <v>1959</v>
      </c>
      <c r="D1318" s="3031"/>
      <c r="E1318" s="3031"/>
      <c r="F1318" s="3031"/>
      <c r="G1318" s="3031"/>
      <c r="H1318" s="2995"/>
      <c r="I1318" s="2992"/>
      <c r="J1318" s="2992"/>
      <c r="K1318" s="2992"/>
      <c r="L1318" s="2894"/>
      <c r="M1318" s="2894"/>
      <c r="N1318" s="2894"/>
      <c r="O1318" s="2894"/>
      <c r="P1318" s="2894"/>
      <c r="Q1318" s="2894"/>
    </row>
    <row r="1319" spans="1:17">
      <c r="A1319" s="2933" t="str">
        <f>'Part VIII-Threshold Criteria'!A369</f>
        <v>The applicant is not a CHDO nor competing under the CHDO set-aside.</v>
      </c>
      <c r="B1319" s="2933"/>
      <c r="C1319" s="2933"/>
      <c r="D1319" s="2933"/>
      <c r="E1319" s="2933"/>
      <c r="F1319" s="2933"/>
      <c r="G1319" s="2933"/>
      <c r="H1319" s="2933"/>
      <c r="I1319" s="2933"/>
      <c r="J1319" s="2933"/>
      <c r="K1319" s="2933"/>
      <c r="L1319" s="2933"/>
      <c r="M1319" s="2933"/>
      <c r="N1319" s="2933"/>
      <c r="O1319" s="2933"/>
      <c r="P1319" s="2933"/>
      <c r="Q1319" s="2933"/>
    </row>
    <row r="1320" spans="1:17">
      <c r="B1320" s="2998" t="s">
        <v>1960</v>
      </c>
      <c r="C1320" s="2999"/>
      <c r="D1320" s="3000"/>
      <c r="E1320" s="3000"/>
      <c r="F1320" s="3000"/>
      <c r="G1320" s="3000"/>
      <c r="H1320" s="3000"/>
      <c r="I1320" s="3000"/>
      <c r="J1320" s="3000"/>
      <c r="K1320" s="3000"/>
      <c r="L1320" s="3000"/>
      <c r="M1320" s="3000"/>
      <c r="N1320" s="3000"/>
      <c r="O1320" s="3000"/>
      <c r="P1320" s="3000"/>
    </row>
    <row r="1321" spans="1:17">
      <c r="A1321" s="2933">
        <f>'Part VIII-Threshold Criteria'!A371</f>
        <v>0</v>
      </c>
      <c r="B1321" s="2933"/>
      <c r="C1321" s="2933"/>
      <c r="D1321" s="2933"/>
      <c r="E1321" s="2933"/>
      <c r="F1321" s="2933"/>
      <c r="G1321" s="2933"/>
      <c r="H1321" s="2933"/>
      <c r="I1321" s="2933"/>
      <c r="J1321" s="2933"/>
      <c r="K1321" s="2933"/>
      <c r="L1321" s="2933"/>
      <c r="M1321" s="2933"/>
      <c r="N1321" s="2933"/>
      <c r="O1321" s="2933"/>
      <c r="P1321" s="2933"/>
      <c r="Q1321" s="2933"/>
    </row>
    <row r="1322" spans="1:17">
      <c r="A1322" s="2894"/>
      <c r="B1322" s="2992"/>
      <c r="C1322" s="3000"/>
      <c r="D1322" s="3000"/>
      <c r="E1322" s="3000"/>
      <c r="F1322" s="3000"/>
      <c r="G1322" s="3000"/>
      <c r="H1322" s="3000"/>
      <c r="I1322" s="3000"/>
      <c r="J1322" s="3000"/>
      <c r="K1322" s="3000"/>
      <c r="L1322" s="3000"/>
      <c r="M1322" s="3000"/>
      <c r="Q1322" s="2894"/>
    </row>
    <row r="1323" spans="1:17">
      <c r="A1323" s="2874">
        <v>24</v>
      </c>
      <c r="B1323" s="526" t="s">
        <v>2807</v>
      </c>
      <c r="C1323" s="526"/>
      <c r="D1323" s="526"/>
      <c r="E1323" s="3000"/>
      <c r="G1323" s="3032" t="s">
        <v>739</v>
      </c>
      <c r="H1323" s="3000"/>
      <c r="I1323" s="3000"/>
      <c r="J1323" s="3000"/>
      <c r="K1323" s="3000"/>
      <c r="L1323" s="3000"/>
      <c r="M1323" s="3000"/>
      <c r="O1323" s="2993" t="s">
        <v>1961</v>
      </c>
      <c r="P1323" s="2897">
        <f>'Part VIII-Threshold Criteria'!P373</f>
        <v>0</v>
      </c>
      <c r="Q1323" s="2897"/>
    </row>
    <row r="1324" spans="1:17">
      <c r="A1324" s="3035"/>
      <c r="B1324" s="2997" t="s">
        <v>2081</v>
      </c>
      <c r="C1324" s="524" t="s">
        <v>2813</v>
      </c>
      <c r="D1324" s="3034"/>
      <c r="E1324" s="3034"/>
      <c r="H1324" s="3032"/>
      <c r="O1324" s="2967" t="s">
        <v>2081</v>
      </c>
      <c r="P1324" s="2996" t="str">
        <f>'Part VIII-Threshold Criteria'!P374</f>
        <v>No</v>
      </c>
      <c r="Q1324" s="2996">
        <f>'Part VIII-Threshold Criteria'!Q374</f>
        <v>0</v>
      </c>
    </row>
    <row r="1325" spans="1:17">
      <c r="A1325" s="3035"/>
      <c r="B1325" s="2997" t="s">
        <v>2084</v>
      </c>
      <c r="C1325" s="524" t="s">
        <v>2814</v>
      </c>
      <c r="D1325" s="3034"/>
      <c r="E1325" s="3034"/>
      <c r="O1325" s="2967" t="s">
        <v>2084</v>
      </c>
      <c r="P1325" s="2996" t="str">
        <f>'Part VIII-Threshold Criteria'!P375</f>
        <v>No</v>
      </c>
      <c r="Q1325" s="2996">
        <f>'Part VIII-Threshold Criteria'!Q375</f>
        <v>0</v>
      </c>
    </row>
    <row r="1326" spans="1:17">
      <c r="A1326" s="3035"/>
      <c r="B1326" s="2997" t="s">
        <v>789</v>
      </c>
      <c r="C1326" s="524" t="s">
        <v>2838</v>
      </c>
      <c r="D1326" s="3034"/>
      <c r="E1326" s="3034"/>
      <c r="O1326" s="2967" t="s">
        <v>789</v>
      </c>
      <c r="P1326" s="2996" t="str">
        <f>'Part VIII-Threshold Criteria'!P376</f>
        <v>Yes</v>
      </c>
      <c r="Q1326" s="2996">
        <f>'Part VIII-Threshold Criteria'!Q376</f>
        <v>0</v>
      </c>
    </row>
    <row r="1327" spans="1:17">
      <c r="A1327" s="3035"/>
      <c r="B1327" s="2997" t="s">
        <v>2216</v>
      </c>
      <c r="C1327" s="524" t="s">
        <v>2810</v>
      </c>
      <c r="E1327" s="3032"/>
      <c r="O1327" s="2967" t="s">
        <v>2216</v>
      </c>
      <c r="P1327" s="2996" t="str">
        <f>'Part VIII-Threshold Criteria'!P377</f>
        <v>No</v>
      </c>
      <c r="Q1327" s="2996">
        <f>'Part VIII-Threshold Criteria'!Q377</f>
        <v>0</v>
      </c>
    </row>
    <row r="1328" spans="1:17">
      <c r="B1328" s="2997" t="s">
        <v>1823</v>
      </c>
      <c r="C1328" s="524" t="s">
        <v>2180</v>
      </c>
      <c r="E1328" s="3032"/>
      <c r="G1328" s="2967" t="s">
        <v>1823</v>
      </c>
      <c r="H1328" s="2921">
        <f>'Part VIII-Threshold Criteria'!H378</f>
        <v>0</v>
      </c>
      <c r="I1328" s="2921"/>
      <c r="J1328" s="2921"/>
      <c r="K1328" s="2921"/>
      <c r="L1328" s="2921"/>
      <c r="M1328" s="2921"/>
      <c r="N1328" s="2921"/>
      <c r="O1328" s="2921"/>
      <c r="P1328" s="2996">
        <f>'Part VIII-Threshold Criteria'!P378</f>
        <v>0</v>
      </c>
      <c r="Q1328" s="2996">
        <f>'Part VIII-Threshold Criteria'!Q378</f>
        <v>0</v>
      </c>
    </row>
    <row r="1329" spans="1:17">
      <c r="B1329" s="3031" t="s">
        <v>1959</v>
      </c>
      <c r="D1329" s="3031"/>
      <c r="E1329" s="3031"/>
      <c r="F1329" s="3031"/>
      <c r="G1329" s="3031"/>
      <c r="H1329" s="2995"/>
      <c r="I1329" s="2992"/>
      <c r="J1329" s="2992"/>
      <c r="K1329" s="2992"/>
      <c r="L1329" s="2894"/>
      <c r="M1329" s="2894"/>
      <c r="N1329" s="2894"/>
      <c r="O1329" s="2894"/>
      <c r="P1329" s="2894"/>
      <c r="Q1329" s="2894"/>
    </row>
    <row r="1330" spans="1:17">
      <c r="A1330" s="2933">
        <f>'Part VIII-Threshold Criteria'!A380</f>
        <v>0</v>
      </c>
      <c r="B1330" s="2933"/>
      <c r="C1330" s="2933"/>
      <c r="D1330" s="2933"/>
      <c r="E1330" s="2933"/>
      <c r="F1330" s="2933"/>
      <c r="G1330" s="2933"/>
      <c r="H1330" s="2933"/>
      <c r="I1330" s="2933"/>
      <c r="J1330" s="2933"/>
      <c r="K1330" s="2933"/>
      <c r="L1330" s="2933"/>
      <c r="M1330" s="2933"/>
      <c r="N1330" s="2933"/>
      <c r="O1330" s="2933"/>
      <c r="P1330" s="2933"/>
      <c r="Q1330" s="2933"/>
    </row>
    <row r="1331" spans="1:17">
      <c r="B1331" s="2998" t="s">
        <v>1960</v>
      </c>
      <c r="C1331" s="2999"/>
      <c r="D1331" s="3000"/>
      <c r="E1331" s="3000"/>
      <c r="F1331" s="3000"/>
      <c r="G1331" s="3000"/>
      <c r="H1331" s="3000"/>
      <c r="I1331" s="3000"/>
      <c r="J1331" s="3000"/>
      <c r="K1331" s="3000"/>
      <c r="L1331" s="3000"/>
      <c r="M1331" s="3000"/>
      <c r="N1331" s="3000"/>
      <c r="O1331" s="3000"/>
      <c r="P1331" s="3000"/>
    </row>
    <row r="1332" spans="1:17">
      <c r="A1332" s="2933">
        <f>'Part VIII-Threshold Criteria'!A382</f>
        <v>0</v>
      </c>
      <c r="B1332" s="2933"/>
      <c r="C1332" s="2933"/>
      <c r="D1332" s="2933"/>
      <c r="E1332" s="2933"/>
      <c r="F1332" s="2933"/>
      <c r="G1332" s="2933"/>
      <c r="H1332" s="2933"/>
      <c r="I1332" s="2933"/>
      <c r="J1332" s="2933"/>
      <c r="K1332" s="2933"/>
      <c r="L1332" s="2933"/>
      <c r="M1332" s="2933"/>
      <c r="N1332" s="2933"/>
      <c r="O1332" s="2933"/>
      <c r="P1332" s="2933"/>
      <c r="Q1332" s="2933"/>
    </row>
    <row r="1333" spans="1:17">
      <c r="A1333" s="2894"/>
      <c r="B1333" s="2992"/>
      <c r="C1333" s="3000"/>
      <c r="D1333" s="3000"/>
      <c r="E1333" s="3000"/>
      <c r="F1333" s="3000"/>
      <c r="G1333" s="3000"/>
      <c r="H1333" s="3000"/>
      <c r="I1333" s="3000"/>
      <c r="J1333" s="3000"/>
      <c r="K1333" s="3000"/>
      <c r="L1333" s="3000"/>
      <c r="M1333" s="3000"/>
      <c r="N1333" s="3000"/>
      <c r="O1333" s="3000"/>
      <c r="P1333" s="3000"/>
      <c r="Q1333" s="2894"/>
    </row>
    <row r="1334" spans="1:17">
      <c r="A1334" s="2874">
        <v>25</v>
      </c>
      <c r="B1334" s="526" t="s">
        <v>2808</v>
      </c>
      <c r="C1334" s="526"/>
      <c r="D1334" s="526"/>
      <c r="E1334" s="526"/>
      <c r="F1334" s="526"/>
      <c r="G1334" s="526"/>
      <c r="H1334" s="3000"/>
      <c r="I1334" s="3000"/>
      <c r="J1334" s="3000"/>
      <c r="K1334" s="3000"/>
      <c r="L1334" s="3000"/>
      <c r="M1334" s="3000"/>
      <c r="O1334" s="2993" t="s">
        <v>1961</v>
      </c>
      <c r="P1334" s="2897">
        <f>'Part VIII-Threshold Criteria'!P384</f>
        <v>0</v>
      </c>
      <c r="Q1334" s="2897"/>
    </row>
    <row r="1335" spans="1:17">
      <c r="A1335" s="523"/>
      <c r="B1335" s="2997" t="s">
        <v>2081</v>
      </c>
      <c r="C1335" s="524" t="s">
        <v>792</v>
      </c>
      <c r="D1335" s="523"/>
      <c r="E1335" s="523"/>
      <c r="F1335" s="523"/>
      <c r="G1335" s="523"/>
      <c r="H1335" s="523"/>
      <c r="I1335" s="523"/>
      <c r="J1335" s="523"/>
      <c r="K1335" s="523"/>
      <c r="L1335" s="523"/>
      <c r="M1335" s="523"/>
      <c r="N1335" s="523"/>
      <c r="O1335" s="2967" t="s">
        <v>2081</v>
      </c>
      <c r="P1335" s="2996" t="str">
        <f>'Part VIII-Threshold Criteria'!P385</f>
        <v>No</v>
      </c>
      <c r="Q1335" s="2996">
        <f>'Part VIII-Threshold Criteria'!Q385</f>
        <v>0</v>
      </c>
    </row>
    <row r="1336" spans="1:17">
      <c r="A1336" s="523"/>
      <c r="B1336" s="2997" t="s">
        <v>2084</v>
      </c>
      <c r="C1336" s="524" t="s">
        <v>4189</v>
      </c>
      <c r="D1336" s="523"/>
      <c r="E1336" s="523"/>
      <c r="F1336" s="523"/>
      <c r="G1336" s="523"/>
      <c r="H1336" s="523"/>
      <c r="I1336" s="523"/>
      <c r="J1336" s="523"/>
      <c r="K1336" s="523"/>
      <c r="L1336" s="523"/>
      <c r="M1336" s="523"/>
      <c r="N1336" s="523"/>
      <c r="O1336" s="2967" t="s">
        <v>1520</v>
      </c>
      <c r="P1336" s="2996" t="str">
        <f>'Part VIII-Threshold Criteria'!P386</f>
        <v>No</v>
      </c>
      <c r="Q1336" s="2996">
        <f>'Part VIII-Threshold Criteria'!Q386</f>
        <v>0</v>
      </c>
    </row>
    <row r="1337" spans="1:17">
      <c r="A1337" s="523"/>
      <c r="B1337" s="2997"/>
      <c r="C1337" s="524" t="s">
        <v>1559</v>
      </c>
      <c r="D1337" s="524"/>
      <c r="E1337" s="524"/>
      <c r="F1337" s="524"/>
      <c r="G1337" s="524"/>
      <c r="H1337" s="524"/>
      <c r="I1337" s="524"/>
      <c r="J1337" s="524"/>
      <c r="K1337" s="524"/>
      <c r="L1337" s="524"/>
      <c r="M1337" s="524"/>
      <c r="N1337" s="523"/>
    </row>
    <row r="1338" spans="1:17">
      <c r="A1338" s="523"/>
      <c r="B1338" s="2997"/>
      <c r="C1338" s="524" t="s">
        <v>2306</v>
      </c>
      <c r="D1338" s="524" t="s">
        <v>4185</v>
      </c>
      <c r="E1338" s="524"/>
      <c r="F1338" s="524"/>
      <c r="G1338" s="524"/>
      <c r="H1338" s="524"/>
      <c r="I1338" s="524"/>
      <c r="J1338" s="524"/>
      <c r="K1338" s="524"/>
      <c r="L1338" s="524"/>
      <c r="M1338" s="524"/>
      <c r="N1338" s="523"/>
      <c r="O1338" s="2967" t="s">
        <v>1826</v>
      </c>
      <c r="P1338" s="2996">
        <f>'Part VIII-Threshold Criteria'!P388</f>
        <v>0</v>
      </c>
      <c r="Q1338" s="2996">
        <f>'Part VIII-Threshold Criteria'!Q388</f>
        <v>0</v>
      </c>
    </row>
    <row r="1339" spans="1:17">
      <c r="A1339" s="523"/>
      <c r="B1339" s="2997"/>
      <c r="C1339" s="524" t="s">
        <v>4188</v>
      </c>
      <c r="D1339" s="524"/>
      <c r="E1339" s="524"/>
      <c r="F1339" s="524"/>
      <c r="G1339" s="524"/>
      <c r="H1339" s="524"/>
      <c r="I1339" s="524"/>
      <c r="J1339" s="524"/>
      <c r="K1339" s="524"/>
      <c r="L1339" s="524"/>
      <c r="M1339" s="524"/>
      <c r="N1339" s="523"/>
      <c r="O1339" s="2967" t="s">
        <v>1827</v>
      </c>
      <c r="P1339" s="2996">
        <f>'Part VIII-Threshold Criteria'!P389</f>
        <v>0</v>
      </c>
      <c r="Q1339" s="2996">
        <f>'Part VIII-Threshold Criteria'!Q389</f>
        <v>0</v>
      </c>
    </row>
    <row r="1340" spans="1:17">
      <c r="A1340" s="523"/>
      <c r="B1340" s="2997" t="s">
        <v>789</v>
      </c>
      <c r="C1340" s="2921" t="s">
        <v>2305</v>
      </c>
      <c r="D1340" s="2921"/>
      <c r="E1340" s="2921"/>
      <c r="F1340" s="2921"/>
      <c r="G1340" s="2921"/>
      <c r="H1340" s="2921"/>
      <c r="I1340" s="2921"/>
      <c r="J1340" s="2921"/>
      <c r="K1340" s="2921"/>
      <c r="L1340" s="2921"/>
      <c r="M1340" s="2921"/>
      <c r="N1340" s="2921"/>
      <c r="O1340" s="2967" t="s">
        <v>789</v>
      </c>
      <c r="P1340" s="2996" t="str">
        <f>'Part VIII-Threshold Criteria'!P390</f>
        <v>No</v>
      </c>
      <c r="Q1340" s="2996">
        <f>'Part VIII-Threshold Criteria'!Q390</f>
        <v>0</v>
      </c>
    </row>
    <row r="1341" spans="1:17">
      <c r="A1341" s="523"/>
      <c r="B1341" s="2997" t="s">
        <v>2216</v>
      </c>
      <c r="C1341" s="2995" t="s">
        <v>3131</v>
      </c>
      <c r="D1341" s="2995"/>
      <c r="E1341" s="2995"/>
      <c r="F1341" s="2995"/>
      <c r="G1341" s="2995"/>
      <c r="H1341" s="2995"/>
      <c r="I1341" s="2995"/>
      <c r="J1341" s="2995"/>
      <c r="K1341" s="2995"/>
      <c r="L1341" s="2995"/>
      <c r="M1341" s="2995"/>
      <c r="N1341" s="523"/>
      <c r="O1341" s="2967"/>
      <c r="P1341" s="523"/>
      <c r="Q1341" s="523"/>
    </row>
    <row r="1342" spans="1:17">
      <c r="A1342" s="523"/>
      <c r="B1342" s="2997"/>
      <c r="C1342" s="524" t="s">
        <v>2307</v>
      </c>
      <c r="D1342" s="524"/>
      <c r="E1342" s="523"/>
      <c r="F1342" s="2995"/>
      <c r="G1342" s="2886">
        <f>'Part VIII-Threshold Criteria'!G392</f>
        <v>0</v>
      </c>
      <c r="H1342" s="2886" t="str">
        <f>'Part VIII-Threshold Criteria'!H392</f>
        <v xml:space="preserve"> </v>
      </c>
      <c r="J1342" s="524" t="s">
        <v>2310</v>
      </c>
      <c r="K1342" s="2995"/>
      <c r="N1342" s="2886">
        <f>'Part VIII-Threshold Criteria'!N392</f>
        <v>0</v>
      </c>
      <c r="O1342" s="2886" t="str">
        <f>'Part VIII-Threshold Criteria'!O392</f>
        <v xml:space="preserve"> </v>
      </c>
    </row>
    <row r="1343" spans="1:17">
      <c r="A1343" s="523"/>
      <c r="B1343" s="2997"/>
      <c r="C1343" s="524" t="s">
        <v>2308</v>
      </c>
      <c r="D1343" s="524"/>
      <c r="E1343" s="523"/>
      <c r="F1343" s="2995"/>
      <c r="G1343" s="2886">
        <f>'Part VIII-Threshold Criteria'!G393</f>
        <v>0</v>
      </c>
      <c r="H1343" s="2886">
        <f>'Part VIII-Threshold Criteria'!H393</f>
        <v>0</v>
      </c>
      <c r="J1343" s="524" t="s">
        <v>2311</v>
      </c>
      <c r="K1343" s="2995"/>
      <c r="N1343" s="2886">
        <f>'Part VIII-Threshold Criteria'!N393</f>
        <v>0</v>
      </c>
      <c r="O1343" s="2886">
        <f>'Part VIII-Threshold Criteria'!O393</f>
        <v>0</v>
      </c>
    </row>
    <row r="1344" spans="1:17">
      <c r="A1344" s="523"/>
      <c r="B1344" s="2997"/>
      <c r="C1344" s="524" t="s">
        <v>2309</v>
      </c>
      <c r="D1344" s="524"/>
      <c r="E1344" s="523"/>
      <c r="F1344" s="2995"/>
      <c r="G1344" s="2886">
        <f>'Part VIII-Threshold Criteria'!G394</f>
        <v>0</v>
      </c>
      <c r="H1344" s="2886" t="str">
        <f>'Part VIII-Threshold Criteria'!H394</f>
        <v xml:space="preserve"> </v>
      </c>
      <c r="K1344" s="2995"/>
      <c r="L1344" s="2995"/>
      <c r="M1344" s="2995"/>
      <c r="N1344" s="523"/>
      <c r="O1344" s="2967"/>
    </row>
    <row r="1345" spans="1:18">
      <c r="A1345" s="523"/>
      <c r="B1345" s="2997" t="s">
        <v>1823</v>
      </c>
      <c r="C1345" s="2995" t="s">
        <v>2499</v>
      </c>
      <c r="D1345" s="2995"/>
      <c r="E1345" s="2995"/>
      <c r="F1345" s="2995"/>
      <c r="G1345" s="2995"/>
      <c r="J1345" s="523"/>
      <c r="K1345" s="2995"/>
      <c r="L1345" s="2995"/>
      <c r="M1345" s="2995"/>
      <c r="N1345" s="523"/>
      <c r="O1345" s="2967"/>
      <c r="P1345" s="2967"/>
      <c r="Q1345" s="2967"/>
    </row>
    <row r="1346" spans="1:18">
      <c r="A1346" s="523"/>
      <c r="B1346" s="2997"/>
      <c r="C1346" s="507" t="s">
        <v>2312</v>
      </c>
      <c r="D1346" s="2995"/>
      <c r="E1346" s="2995"/>
      <c r="F1346" s="2995"/>
      <c r="G1346" s="2996">
        <f>'Part VIII-Threshold Criteria'!G396</f>
        <v>0</v>
      </c>
      <c r="H1346" s="2996">
        <f>'Part VIII-Threshold Criteria'!H396</f>
        <v>0</v>
      </c>
      <c r="J1346" s="507" t="s">
        <v>1238</v>
      </c>
      <c r="K1346" s="2995"/>
      <c r="N1346" s="2996">
        <f>'Part VIII-Threshold Criteria'!N396</f>
        <v>0</v>
      </c>
      <c r="O1346" s="2996">
        <f>'Part VIII-Threshold Criteria'!O396</f>
        <v>0</v>
      </c>
    </row>
    <row r="1347" spans="1:18">
      <c r="A1347" s="523"/>
      <c r="B1347" s="2997"/>
      <c r="C1347" s="507" t="s">
        <v>1237</v>
      </c>
      <c r="D1347" s="2995"/>
      <c r="E1347" s="2995"/>
      <c r="F1347" s="2995"/>
      <c r="G1347" s="2996">
        <f>'Part VIII-Threshold Criteria'!G397</f>
        <v>0</v>
      </c>
      <c r="H1347" s="2996">
        <f>'Part VIII-Threshold Criteria'!H397</f>
        <v>0</v>
      </c>
      <c r="J1347" s="507" t="s">
        <v>2362</v>
      </c>
      <c r="N1347" s="3072">
        <f>'Part VIII-Threshold Criteria'!N397</f>
        <v>0</v>
      </c>
      <c r="O1347" s="3072"/>
      <c r="P1347" s="3072"/>
      <c r="Q1347" s="3072"/>
    </row>
    <row r="1348" spans="1:18">
      <c r="B1348" s="3031" t="s">
        <v>1959</v>
      </c>
      <c r="D1348" s="3031"/>
      <c r="E1348" s="3031"/>
      <c r="F1348" s="3031"/>
      <c r="G1348" s="3031"/>
      <c r="H1348" s="2995"/>
      <c r="I1348" s="2992"/>
      <c r="J1348" s="2992"/>
      <c r="K1348" s="2992"/>
      <c r="P1348" s="2894"/>
      <c r="Q1348" s="2894"/>
    </row>
    <row r="1349" spans="1:18">
      <c r="A1349" s="2933" t="str">
        <f>'Part VIII-Threshold Criteria'!A399</f>
        <v>The proposed project is a new construction on vacant land; therefore, there will not be displacement of tenants.  The required Relaction Survey has been completed and is located in Tab 24.</v>
      </c>
      <c r="B1349" s="2933"/>
      <c r="C1349" s="2933"/>
      <c r="D1349" s="2933"/>
      <c r="E1349" s="2933"/>
      <c r="F1349" s="2933"/>
      <c r="G1349" s="2933"/>
      <c r="H1349" s="2933"/>
      <c r="I1349" s="2933"/>
      <c r="J1349" s="2933"/>
      <c r="K1349" s="2933"/>
      <c r="L1349" s="2933"/>
      <c r="M1349" s="2933"/>
      <c r="N1349" s="2933"/>
      <c r="O1349" s="2933"/>
      <c r="P1349" s="2933"/>
      <c r="Q1349" s="2933"/>
    </row>
    <row r="1350" spans="1:18">
      <c r="B1350" s="2998" t="s">
        <v>1960</v>
      </c>
      <c r="C1350" s="2999"/>
      <c r="D1350" s="3000"/>
      <c r="E1350" s="3000"/>
      <c r="F1350" s="3000"/>
      <c r="G1350" s="3000"/>
      <c r="H1350" s="3000"/>
      <c r="I1350" s="3000"/>
      <c r="J1350" s="3000"/>
      <c r="K1350" s="3000"/>
      <c r="L1350" s="3000"/>
      <c r="M1350" s="3000"/>
      <c r="N1350" s="3000"/>
      <c r="O1350" s="3000"/>
      <c r="P1350" s="3000"/>
    </row>
    <row r="1351" spans="1:18">
      <c r="A1351" s="2933">
        <f>'Part VIII-Threshold Criteria'!A401</f>
        <v>0</v>
      </c>
      <c r="B1351" s="2933"/>
      <c r="C1351" s="2933"/>
      <c r="D1351" s="2933"/>
      <c r="E1351" s="2933"/>
      <c r="F1351" s="2933"/>
      <c r="G1351" s="2933"/>
      <c r="H1351" s="2933"/>
      <c r="I1351" s="2933"/>
      <c r="J1351" s="2933"/>
      <c r="K1351" s="2933"/>
      <c r="L1351" s="2933"/>
      <c r="M1351" s="2933"/>
      <c r="N1351" s="2933"/>
      <c r="O1351" s="2933"/>
      <c r="P1351" s="2933"/>
      <c r="Q1351" s="2933"/>
    </row>
    <row r="1352" spans="1:18">
      <c r="A1352" s="2894"/>
      <c r="B1352" s="2992"/>
      <c r="C1352" s="3000"/>
      <c r="D1352" s="3000"/>
      <c r="E1352" s="3000"/>
      <c r="F1352" s="3000"/>
      <c r="G1352" s="3000"/>
      <c r="H1352" s="3000"/>
      <c r="I1352" s="3000"/>
      <c r="J1352" s="3000"/>
      <c r="K1352" s="3000"/>
      <c r="L1352" s="3000"/>
      <c r="M1352" s="3000"/>
      <c r="Q1352" s="2894"/>
    </row>
    <row r="1353" spans="1:18">
      <c r="A1353" s="2874">
        <v>26</v>
      </c>
      <c r="B1353" s="526" t="s">
        <v>3132</v>
      </c>
      <c r="C1353" s="526"/>
      <c r="D1353" s="2991"/>
      <c r="E1353" s="3000"/>
      <c r="F1353" s="3000"/>
      <c r="G1353" s="3000"/>
      <c r="H1353" s="3000"/>
      <c r="O1353" s="2993" t="s">
        <v>1961</v>
      </c>
      <c r="P1353" s="2897">
        <f>'Part VIII-Threshold Criteria'!P403</f>
        <v>0</v>
      </c>
      <c r="Q1353" s="2897"/>
    </row>
    <row r="1354" spans="1:18">
      <c r="A1354" s="2874"/>
      <c r="B1354" s="2991" t="s">
        <v>3840</v>
      </c>
      <c r="C1354" s="526"/>
      <c r="D1354" s="2991"/>
      <c r="E1354" s="3000"/>
      <c r="F1354" s="3000"/>
      <c r="G1354" s="3000"/>
      <c r="H1354" s="3000"/>
      <c r="O1354" s="2993"/>
      <c r="P1354" s="2993"/>
      <c r="Q1354" s="2993"/>
      <c r="R1354" s="2993"/>
    </row>
    <row r="1355" spans="1:18">
      <c r="A1355" s="3041"/>
      <c r="B1355" s="2994" t="s">
        <v>2081</v>
      </c>
      <c r="C1355" s="3062" t="s">
        <v>3841</v>
      </c>
      <c r="D1355" s="3062"/>
      <c r="E1355" s="3062"/>
      <c r="F1355" s="3062"/>
      <c r="G1355" s="3062"/>
      <c r="H1355" s="3062"/>
      <c r="I1355" s="3062"/>
      <c r="J1355" s="3062"/>
      <c r="K1355" s="3062"/>
      <c r="L1355" s="3062"/>
      <c r="M1355" s="3062"/>
      <c r="N1355" s="3062"/>
      <c r="O1355" s="3042" t="s">
        <v>2081</v>
      </c>
      <c r="P1355" s="2996" t="str">
        <f>'Part VIII-Threshold Criteria'!P405</f>
        <v>Agree</v>
      </c>
      <c r="Q1355" s="2996">
        <f>'Part VIII-Threshold Criteria'!Q405</f>
        <v>0</v>
      </c>
    </row>
    <row r="1356" spans="1:18">
      <c r="A1356" s="3041"/>
      <c r="B1356" s="2994" t="s">
        <v>2084</v>
      </c>
      <c r="C1356" s="3062" t="s">
        <v>4186</v>
      </c>
      <c r="D1356" s="3062"/>
      <c r="E1356" s="3062"/>
      <c r="F1356" s="3062"/>
      <c r="G1356" s="3062"/>
      <c r="H1356" s="3062"/>
      <c r="I1356" s="3062"/>
      <c r="J1356" s="3062"/>
      <c r="K1356" s="3062"/>
      <c r="L1356" s="3062"/>
      <c r="M1356" s="3062"/>
      <c r="N1356" s="3062"/>
      <c r="O1356" s="3042" t="s">
        <v>2084</v>
      </c>
      <c r="P1356" s="2996" t="str">
        <f>'Part VIII-Threshold Criteria'!P406</f>
        <v>Agree</v>
      </c>
      <c r="Q1356" s="2996">
        <f>'Part VIII-Threshold Criteria'!Q406</f>
        <v>0</v>
      </c>
    </row>
    <row r="1357" spans="1:18">
      <c r="A1357" s="3041"/>
      <c r="B1357" s="2994" t="s">
        <v>789</v>
      </c>
      <c r="C1357" s="3062" t="s">
        <v>4187</v>
      </c>
      <c r="D1357" s="3062"/>
      <c r="E1357" s="3062"/>
      <c r="F1357" s="3062"/>
      <c r="G1357" s="3062"/>
      <c r="H1357" s="3062"/>
      <c r="I1357" s="3062"/>
      <c r="J1357" s="3062"/>
      <c r="K1357" s="3062"/>
      <c r="L1357" s="3062"/>
      <c r="M1357" s="3062"/>
      <c r="N1357" s="3062"/>
      <c r="O1357" s="3042" t="s">
        <v>789</v>
      </c>
      <c r="P1357" s="2996" t="str">
        <f>'Part VIII-Threshold Criteria'!P407</f>
        <v>Agree</v>
      </c>
      <c r="Q1357" s="2996">
        <f>'Part VIII-Threshold Criteria'!Q407</f>
        <v>0</v>
      </c>
    </row>
    <row r="1358" spans="1:18">
      <c r="A1358" s="3041"/>
      <c r="B1358" s="2994" t="s">
        <v>2216</v>
      </c>
      <c r="C1358" s="3062" t="s">
        <v>3842</v>
      </c>
      <c r="D1358" s="3062"/>
      <c r="E1358" s="3062"/>
      <c r="F1358" s="3062"/>
      <c r="G1358" s="3062"/>
      <c r="H1358" s="3062"/>
      <c r="I1358" s="3062"/>
      <c r="J1358" s="3062"/>
      <c r="K1358" s="3062"/>
      <c r="L1358" s="3062"/>
      <c r="M1358" s="3062"/>
      <c r="N1358" s="3062"/>
      <c r="O1358" s="3042" t="s">
        <v>2216</v>
      </c>
      <c r="P1358" s="2996" t="str">
        <f>'Part VIII-Threshold Criteria'!P408</f>
        <v>Agree</v>
      </c>
      <c r="Q1358" s="2996">
        <f>'Part VIII-Threshold Criteria'!Q408</f>
        <v>0</v>
      </c>
    </row>
    <row r="1359" spans="1:18">
      <c r="A1359" s="3041"/>
      <c r="B1359" s="2994" t="s">
        <v>1823</v>
      </c>
      <c r="C1359" s="3062" t="s">
        <v>3843</v>
      </c>
      <c r="D1359" s="3062"/>
      <c r="E1359" s="3062"/>
      <c r="F1359" s="3062"/>
      <c r="G1359" s="3062"/>
      <c r="H1359" s="3062"/>
      <c r="I1359" s="3062"/>
      <c r="J1359" s="3062"/>
      <c r="K1359" s="3062"/>
      <c r="L1359" s="3062"/>
      <c r="M1359" s="3062"/>
      <c r="N1359" s="3062"/>
      <c r="O1359" s="3042" t="s">
        <v>1823</v>
      </c>
      <c r="P1359" s="2996" t="str">
        <f>'Part VIII-Threshold Criteria'!P409</f>
        <v>Agree</v>
      </c>
      <c r="Q1359" s="2996">
        <f>'Part VIII-Threshold Criteria'!Q409</f>
        <v>0</v>
      </c>
    </row>
    <row r="1360" spans="1:18">
      <c r="A1360" s="3041"/>
      <c r="B1360" s="2994" t="s">
        <v>1824</v>
      </c>
      <c r="C1360" s="3062" t="s">
        <v>3844</v>
      </c>
      <c r="D1360" s="3062"/>
      <c r="E1360" s="3062"/>
      <c r="F1360" s="3062"/>
      <c r="G1360" s="3062"/>
      <c r="H1360" s="3062"/>
      <c r="I1360" s="3062"/>
      <c r="J1360" s="3062"/>
      <c r="K1360" s="3062"/>
      <c r="L1360" s="3062"/>
      <c r="M1360" s="3062"/>
      <c r="N1360" s="3062"/>
      <c r="O1360" s="3042" t="s">
        <v>1824</v>
      </c>
      <c r="P1360" s="2996" t="str">
        <f>'Part VIII-Threshold Criteria'!P410</f>
        <v>Agree</v>
      </c>
      <c r="Q1360" s="2996">
        <f>'Part VIII-Threshold Criteria'!Q410</f>
        <v>0</v>
      </c>
    </row>
    <row r="1361" spans="1:17">
      <c r="A1361" s="3041"/>
      <c r="B1361" s="2994" t="s">
        <v>2044</v>
      </c>
      <c r="C1361" s="3062" t="s">
        <v>4190</v>
      </c>
      <c r="D1361" s="3062"/>
      <c r="E1361" s="3062"/>
      <c r="F1361" s="3062"/>
      <c r="G1361" s="3062"/>
      <c r="H1361" s="3062"/>
      <c r="I1361" s="3062"/>
      <c r="J1361" s="3062"/>
      <c r="K1361" s="3062"/>
      <c r="L1361" s="3062"/>
      <c r="M1361" s="3062"/>
      <c r="N1361" s="3062"/>
      <c r="O1361" s="3042" t="s">
        <v>2044</v>
      </c>
      <c r="P1361" s="2996" t="str">
        <f>'Part VIII-Threshold Criteria'!P411</f>
        <v>Agree</v>
      </c>
      <c r="Q1361" s="2996">
        <f>'Part VIII-Threshold Criteria'!Q411</f>
        <v>0</v>
      </c>
    </row>
    <row r="1362" spans="1:17">
      <c r="B1362" s="3031" t="s">
        <v>1959</v>
      </c>
      <c r="D1362" s="3031"/>
      <c r="E1362" s="3031"/>
      <c r="F1362" s="3031"/>
      <c r="G1362" s="3031"/>
      <c r="H1362" s="2995"/>
      <c r="I1362" s="2992"/>
      <c r="J1362" s="2992"/>
      <c r="K1362" s="2992"/>
      <c r="L1362" s="2894"/>
      <c r="M1362" s="2894"/>
      <c r="N1362" s="2894"/>
      <c r="O1362" s="2894"/>
      <c r="P1362" s="2894"/>
      <c r="Q1362" s="2894"/>
    </row>
    <row r="1363" spans="1:17">
      <c r="A1363" s="2933">
        <f>'Part VIII-Threshold Criteria'!A413</f>
        <v>0</v>
      </c>
      <c r="B1363" s="2933"/>
      <c r="C1363" s="2933"/>
      <c r="D1363" s="2933"/>
      <c r="E1363" s="2933"/>
      <c r="F1363" s="2933"/>
      <c r="G1363" s="2933"/>
      <c r="H1363" s="2933"/>
      <c r="I1363" s="2933"/>
      <c r="J1363" s="2933"/>
      <c r="K1363" s="2933"/>
      <c r="L1363" s="2933"/>
      <c r="M1363" s="2933"/>
      <c r="N1363" s="2933"/>
      <c r="O1363" s="2933"/>
      <c r="P1363" s="2933"/>
      <c r="Q1363" s="2933"/>
    </row>
    <row r="1364" spans="1:17">
      <c r="B1364" s="2998" t="s">
        <v>1960</v>
      </c>
      <c r="C1364" s="2999"/>
      <c r="D1364" s="3000"/>
      <c r="E1364" s="3000"/>
      <c r="F1364" s="3000"/>
      <c r="G1364" s="3000"/>
      <c r="H1364" s="3000"/>
      <c r="I1364" s="3000"/>
      <c r="J1364" s="3000"/>
      <c r="K1364" s="3000"/>
      <c r="L1364" s="3000"/>
      <c r="M1364" s="3000"/>
      <c r="N1364" s="3000"/>
      <c r="O1364" s="3000"/>
      <c r="P1364" s="3000"/>
    </row>
    <row r="1365" spans="1:17">
      <c r="A1365" s="2933">
        <f>'Part VIII-Threshold Criteria'!A415</f>
        <v>0</v>
      </c>
      <c r="B1365" s="2933"/>
      <c r="C1365" s="2933"/>
      <c r="D1365" s="2933"/>
      <c r="E1365" s="2933"/>
      <c r="F1365" s="2933"/>
      <c r="G1365" s="2933"/>
      <c r="H1365" s="2933"/>
      <c r="I1365" s="2933"/>
      <c r="J1365" s="2933"/>
      <c r="K1365" s="2933"/>
      <c r="L1365" s="2933"/>
      <c r="M1365" s="2933"/>
      <c r="N1365" s="2933"/>
      <c r="O1365" s="2933"/>
      <c r="P1365" s="2933"/>
      <c r="Q1365" s="2933"/>
    </row>
    <row r="1366" spans="1:17">
      <c r="A1366" s="2894"/>
      <c r="B1366" s="2992"/>
      <c r="C1366" s="3000"/>
      <c r="D1366" s="3000"/>
      <c r="E1366" s="3000"/>
      <c r="F1366" s="3000"/>
      <c r="G1366" s="3000"/>
      <c r="H1366" s="3000"/>
      <c r="I1366" s="3000"/>
      <c r="J1366" s="3000"/>
      <c r="K1366" s="3000"/>
      <c r="L1366" s="3000"/>
      <c r="M1366" s="3000"/>
      <c r="Q1366" s="2894"/>
    </row>
    <row r="1367" spans="1:17">
      <c r="A1367" s="2874">
        <v>27</v>
      </c>
      <c r="B1367" s="526" t="s">
        <v>2809</v>
      </c>
      <c r="C1367" s="526"/>
      <c r="D1367" s="2991"/>
      <c r="E1367" s="3000"/>
      <c r="F1367" s="3000"/>
      <c r="G1367" s="3000"/>
      <c r="H1367" s="3000"/>
      <c r="I1367" s="3000"/>
      <c r="J1367" s="3000"/>
      <c r="K1367" s="3000"/>
      <c r="L1367" s="3000"/>
      <c r="M1367" s="3000"/>
      <c r="O1367" s="2993" t="s">
        <v>1961</v>
      </c>
      <c r="P1367" s="2897">
        <f>'Part VIII-Threshold Criteria'!P417</f>
        <v>0</v>
      </c>
      <c r="Q1367" s="2897"/>
    </row>
    <row r="1368" spans="1:17">
      <c r="A1368" s="2874"/>
      <c r="B1368" s="3031" t="s">
        <v>1959</v>
      </c>
      <c r="D1368" s="3031"/>
      <c r="E1368" s="3031"/>
      <c r="F1368" s="3031"/>
      <c r="G1368" s="3031"/>
      <c r="H1368" s="2995"/>
      <c r="I1368" s="2992"/>
      <c r="J1368" s="2992"/>
      <c r="K1368" s="2992"/>
      <c r="L1368" s="2894"/>
      <c r="M1368" s="2894"/>
      <c r="N1368" s="2894"/>
      <c r="O1368" s="2894"/>
      <c r="P1368" s="2894"/>
      <c r="Q1368" s="2894"/>
    </row>
    <row r="1369" spans="1:17">
      <c r="A1369" s="2933">
        <f>'Part VIII-Threshold Criteria'!A419</f>
        <v>0</v>
      </c>
      <c r="B1369" s="2933"/>
      <c r="C1369" s="2933"/>
      <c r="D1369" s="2933"/>
      <c r="E1369" s="2933"/>
      <c r="F1369" s="2933"/>
      <c r="G1369" s="2933"/>
      <c r="H1369" s="2933"/>
      <c r="I1369" s="2933"/>
      <c r="J1369" s="2933"/>
      <c r="K1369" s="2933"/>
      <c r="L1369" s="2933"/>
      <c r="M1369" s="2933"/>
      <c r="N1369" s="2933"/>
      <c r="O1369" s="2933"/>
      <c r="P1369" s="2933"/>
      <c r="Q1369" s="2933"/>
    </row>
    <row r="1370" spans="1:17">
      <c r="B1370" s="2998" t="s">
        <v>1960</v>
      </c>
      <c r="C1370" s="2999"/>
      <c r="D1370" s="3000"/>
      <c r="E1370" s="3000"/>
      <c r="F1370" s="3000"/>
      <c r="G1370" s="3000"/>
      <c r="H1370" s="3000"/>
      <c r="I1370" s="3000"/>
      <c r="J1370" s="3000"/>
      <c r="K1370" s="3000"/>
      <c r="L1370" s="3000"/>
      <c r="M1370" s="3000"/>
      <c r="N1370" s="3000"/>
      <c r="O1370" s="3000"/>
      <c r="P1370" s="3000"/>
    </row>
    <row r="1371" spans="1:17">
      <c r="A1371" s="2933">
        <f>'Part VIII-Threshold Criteria'!A421</f>
        <v>0</v>
      </c>
      <c r="B1371" s="2933"/>
      <c r="C1371" s="2933"/>
      <c r="D1371" s="2933"/>
      <c r="E1371" s="2933"/>
      <c r="F1371" s="2933"/>
      <c r="G1371" s="2933"/>
      <c r="H1371" s="2933"/>
      <c r="I1371" s="2933"/>
      <c r="J1371" s="2933"/>
      <c r="K1371" s="2933"/>
      <c r="L1371" s="2933"/>
      <c r="M1371" s="2933"/>
      <c r="N1371" s="2933"/>
      <c r="O1371" s="2933"/>
      <c r="P1371" s="2933"/>
      <c r="Q1371" s="2933"/>
    </row>
    <row r="1374" spans="1:17">
      <c r="A1374" s="2873" t="str">
        <f>CONCATENATE("PART NINE - SCORING CRITERIA","  -  ",'Part I-Project Information'!$O$4," ",'Part I-Project Information'!$F$24,", ",'Part I-Project Information'!F1401,", ",'Part I-Project Information'!J1402," County")</f>
        <v>PART NINE - SCORING CRITERIA  -  2015-009 The Cove at York, ,  County</v>
      </c>
      <c r="B1374" s="2873"/>
      <c r="C1374" s="2873"/>
      <c r="D1374" s="2873"/>
      <c r="E1374" s="2873"/>
      <c r="F1374" s="2873"/>
      <c r="G1374" s="2873"/>
      <c r="H1374" s="2873"/>
      <c r="I1374" s="2873"/>
      <c r="J1374" s="2873"/>
      <c r="K1374" s="2873"/>
      <c r="L1374" s="2873"/>
      <c r="M1374" s="2873"/>
      <c r="N1374" s="2873"/>
      <c r="O1374" s="2873"/>
      <c r="P1374" s="2873"/>
    </row>
    <row r="1375" spans="1:17">
      <c r="A1375" s="524"/>
      <c r="B1375" s="524"/>
      <c r="C1375" s="3073"/>
      <c r="D1375" s="524"/>
      <c r="E1375" s="524"/>
      <c r="F1375" s="524"/>
      <c r="G1375" s="524"/>
      <c r="H1375" s="524"/>
      <c r="I1375" s="524"/>
      <c r="J1375" s="524"/>
      <c r="K1375" s="524"/>
      <c r="L1375" s="524"/>
      <c r="M1375" s="2992"/>
      <c r="N1375" s="2883"/>
      <c r="O1375" s="2891"/>
      <c r="P1375" s="2891"/>
    </row>
    <row r="1376" spans="1:17">
      <c r="A1376" s="2924" t="s">
        <v>4191</v>
      </c>
      <c r="B1376" s="2924"/>
      <c r="C1376" s="2924"/>
      <c r="D1376" s="2924"/>
      <c r="E1376" s="2924"/>
      <c r="F1376" s="2924"/>
      <c r="G1376" s="2924"/>
      <c r="H1376" s="2924"/>
      <c r="I1376" s="2924"/>
      <c r="J1376" s="2924"/>
      <c r="K1376" s="2924"/>
      <c r="L1376" s="2924"/>
      <c r="M1376" s="3074" t="s">
        <v>2325</v>
      </c>
      <c r="N1376" s="2883"/>
      <c r="O1376" s="2891" t="s">
        <v>2324</v>
      </c>
      <c r="P1376" s="2879" t="s">
        <v>268</v>
      </c>
    </row>
    <row r="1377" spans="1:17" ht="14.25">
      <c r="A1377" s="2924"/>
      <c r="B1377" s="2924"/>
      <c r="C1377" s="2924"/>
      <c r="D1377" s="2924"/>
      <c r="E1377" s="2924"/>
      <c r="F1377" s="2924"/>
      <c r="G1377" s="2924"/>
      <c r="H1377" s="2924"/>
      <c r="I1377" s="2924"/>
      <c r="J1377" s="2924"/>
      <c r="K1377" s="2924"/>
      <c r="L1377" s="2924"/>
      <c r="M1377" s="3074" t="s">
        <v>95</v>
      </c>
      <c r="N1377" s="526"/>
      <c r="O1377" s="2891" t="s">
        <v>2325</v>
      </c>
      <c r="P1377" s="2879" t="s">
        <v>2325</v>
      </c>
      <c r="Q1377" s="3075"/>
    </row>
    <row r="1378" spans="1:17" ht="14.25">
      <c r="A1378" s="523"/>
      <c r="B1378" s="523"/>
      <c r="C1378" s="523"/>
      <c r="D1378" s="523"/>
      <c r="E1378" s="523"/>
      <c r="F1378" s="523"/>
      <c r="G1378" s="523"/>
      <c r="H1378" s="523"/>
      <c r="I1378" s="523"/>
      <c r="J1378" s="523"/>
      <c r="K1378" s="523"/>
      <c r="L1378" s="3075"/>
      <c r="M1378" s="3074"/>
      <c r="N1378" s="526"/>
      <c r="O1378" s="2891"/>
      <c r="P1378" s="2879"/>
      <c r="Q1378" s="3075"/>
    </row>
    <row r="1379" spans="1:17" ht="15.75">
      <c r="A1379" s="523"/>
      <c r="B1379" s="523"/>
      <c r="C1379" s="523"/>
      <c r="D1379" s="523"/>
      <c r="E1379" s="523"/>
      <c r="F1379" s="523"/>
      <c r="G1379" s="523"/>
      <c r="H1379" s="3075"/>
      <c r="I1379" s="523"/>
      <c r="J1379" s="523"/>
      <c r="K1379" s="3075"/>
      <c r="L1379" s="3076" t="s">
        <v>1285</v>
      </c>
      <c r="M1379" s="3077">
        <f>M1746</f>
        <v>92</v>
      </c>
      <c r="N1379" s="2955"/>
      <c r="O1379" s="3077">
        <f>O1746</f>
        <v>52</v>
      </c>
      <c r="P1379" s="3077">
        <f>P1746</f>
        <v>12</v>
      </c>
      <c r="Q1379" s="3075"/>
    </row>
    <row r="1380" spans="1:17" ht="14.25">
      <c r="A1380" s="523"/>
      <c r="B1380" s="523"/>
      <c r="C1380" s="523"/>
      <c r="D1380" s="523"/>
      <c r="E1380" s="523"/>
      <c r="F1380" s="523"/>
      <c r="G1380" s="523"/>
      <c r="H1380" s="523"/>
      <c r="I1380" s="523"/>
      <c r="J1380" s="523"/>
      <c r="K1380" s="523"/>
      <c r="L1380" s="3075"/>
      <c r="M1380" s="3074"/>
      <c r="N1380" s="526"/>
      <c r="O1380" s="2891"/>
      <c r="P1380" s="2879"/>
      <c r="Q1380" s="3075"/>
    </row>
    <row r="1381" spans="1:17">
      <c r="A1381" s="3078" t="s">
        <v>2085</v>
      </c>
      <c r="B1381" s="3079" t="s">
        <v>3092</v>
      </c>
      <c r="C1381" s="526"/>
      <c r="D1381" s="526"/>
      <c r="E1381" s="526"/>
      <c r="F1381" s="526"/>
      <c r="G1381" s="523"/>
      <c r="H1381" s="2958" t="s">
        <v>4599</v>
      </c>
      <c r="I1381" s="523"/>
      <c r="J1381" s="523"/>
      <c r="K1381" s="523"/>
      <c r="L1381" s="523"/>
      <c r="M1381" s="2891">
        <v>10</v>
      </c>
      <c r="N1381" s="3080"/>
      <c r="O1381" s="3077">
        <f>'Part IX A-Scoring Criteria'!O8</f>
        <v>10</v>
      </c>
      <c r="P1381" s="3077">
        <f>'Part IX A-Scoring Criteria'!P8</f>
        <v>10</v>
      </c>
      <c r="Q1381" s="2891" t="s">
        <v>458</v>
      </c>
    </row>
    <row r="1382" spans="1:17" ht="15">
      <c r="A1382" s="523"/>
      <c r="B1382" s="2997"/>
      <c r="C1382" s="524"/>
      <c r="D1382" s="527"/>
      <c r="E1382" s="527"/>
      <c r="F1382" s="527"/>
      <c r="G1382" s="527"/>
      <c r="H1382" s="527"/>
      <c r="I1382" s="527"/>
      <c r="J1382" s="527"/>
      <c r="K1382" s="527"/>
      <c r="L1382" s="523"/>
      <c r="M1382" s="2883"/>
      <c r="N1382" s="2877"/>
      <c r="O1382" s="3077"/>
      <c r="P1382" s="2891"/>
      <c r="Q1382" s="3081"/>
    </row>
    <row r="1383" spans="1:17">
      <c r="A1383" s="3045" t="s">
        <v>2081</v>
      </c>
      <c r="B1383" s="2898" t="s">
        <v>1962</v>
      </c>
      <c r="C1383" s="523"/>
      <c r="D1383" s="527"/>
      <c r="E1383" s="527"/>
      <c r="F1383" s="2992" t="s">
        <v>2711</v>
      </c>
      <c r="G1383" s="2995">
        <f>F1389</f>
        <v>0</v>
      </c>
      <c r="H1383" s="2686" t="s">
        <v>3269</v>
      </c>
      <c r="I1383" s="523"/>
      <c r="J1383" s="523"/>
      <c r="K1383" s="523"/>
      <c r="L1383" s="523"/>
      <c r="M1383" s="2883"/>
      <c r="N1383" s="2967" t="s">
        <v>2081</v>
      </c>
      <c r="O1383" s="3077">
        <f>'Part IX A-Scoring Criteria'!O10</f>
        <v>0</v>
      </c>
      <c r="P1383" s="3077">
        <f>'Part IX A-Scoring Criteria'!P10</f>
        <v>0</v>
      </c>
      <c r="Q1383" s="523"/>
    </row>
    <row r="1384" spans="1:17" ht="15">
      <c r="A1384" s="3045"/>
      <c r="B1384" s="527" t="s">
        <v>2214</v>
      </c>
      <c r="C1384" s="3081"/>
      <c r="D1384" s="527"/>
      <c r="E1384" s="527"/>
      <c r="F1384" s="2992" t="s">
        <v>2711</v>
      </c>
      <c r="G1384" s="2995">
        <f>P1389</f>
        <v>0</v>
      </c>
      <c r="H1384" s="2686" t="s">
        <v>3039</v>
      </c>
      <c r="I1384" s="3081"/>
      <c r="J1384" s="2958"/>
      <c r="K1384" s="3081"/>
      <c r="L1384" s="3081"/>
      <c r="M1384" s="2883">
        <v>1</v>
      </c>
      <c r="N1384" s="2967"/>
      <c r="O1384" s="3077">
        <f>'Part IX A-Scoring Criteria'!O11</f>
        <v>0</v>
      </c>
      <c r="P1384" s="3077">
        <f>'Part IX A-Scoring Criteria'!P11</f>
        <v>0</v>
      </c>
      <c r="Q1384" s="3081"/>
    </row>
    <row r="1385" spans="1:17">
      <c r="A1385" s="3045" t="s">
        <v>2084</v>
      </c>
      <c r="B1385" s="2898" t="s">
        <v>766</v>
      </c>
      <c r="C1385" s="523"/>
      <c r="D1385" s="527"/>
      <c r="E1385" s="527"/>
      <c r="F1385" s="2992" t="s">
        <v>2711</v>
      </c>
      <c r="G1385" s="2995">
        <f>K1389</f>
        <v>0</v>
      </c>
      <c r="H1385" s="2686" t="s">
        <v>4600</v>
      </c>
      <c r="I1385" s="523"/>
      <c r="J1385" s="2958"/>
      <c r="K1385" s="523"/>
      <c r="L1385" s="523"/>
      <c r="M1385" s="2883"/>
      <c r="N1385" s="2967" t="s">
        <v>2084</v>
      </c>
      <c r="O1385" s="3077">
        <f>'Part IX A-Scoring Criteria'!O12</f>
        <v>0</v>
      </c>
      <c r="P1385" s="3077">
        <f>'Part IX A-Scoring Criteria'!P12</f>
        <v>0</v>
      </c>
      <c r="Q1385" s="2891"/>
    </row>
    <row r="1386" spans="1:17" ht="15">
      <c r="A1386" s="2958" t="s">
        <v>267</v>
      </c>
      <c r="B1386" s="523"/>
      <c r="C1386" s="523"/>
      <c r="D1386" s="527"/>
      <c r="E1386" s="527"/>
      <c r="F1386" s="527"/>
      <c r="G1386" s="527"/>
      <c r="H1386" s="524"/>
      <c r="I1386" s="524"/>
      <c r="J1386" s="524"/>
      <c r="K1386" s="524"/>
      <c r="L1386" s="3081"/>
      <c r="M1386" s="2883"/>
      <c r="N1386" s="2877"/>
      <c r="O1386" s="3077"/>
      <c r="P1386" s="2879"/>
      <c r="Q1386" s="523"/>
    </row>
    <row r="1387" spans="1:17" ht="15.75">
      <c r="A1387" s="2933" t="str">
        <f>'Part IX A-Scoring Criteria'!A14</f>
        <v>All required documents are complete and included in application</v>
      </c>
      <c r="B1387" s="2933"/>
      <c r="C1387" s="2933"/>
      <c r="D1387" s="2933"/>
      <c r="E1387" s="2933"/>
      <c r="F1387" s="2933"/>
      <c r="G1387" s="2933"/>
      <c r="H1387" s="2933"/>
      <c r="I1387" s="2933"/>
      <c r="J1387" s="2933"/>
      <c r="K1387" s="2933"/>
      <c r="L1387" s="2933"/>
      <c r="M1387" s="2933"/>
      <c r="N1387" s="2933"/>
      <c r="O1387" s="2933"/>
      <c r="P1387" s="2933"/>
      <c r="Q1387" s="3082" t="s">
        <v>1314</v>
      </c>
    </row>
    <row r="1388" spans="1:17">
      <c r="A1388" s="2958" t="s">
        <v>1960</v>
      </c>
      <c r="B1388" s="523"/>
      <c r="C1388" s="523"/>
      <c r="D1388" s="523"/>
      <c r="E1388" s="523"/>
      <c r="F1388" s="2992" t="s">
        <v>1801</v>
      </c>
      <c r="G1388" s="523"/>
      <c r="H1388" s="523"/>
      <c r="I1388" s="523"/>
      <c r="J1388" s="523"/>
      <c r="K1388" s="2992" t="s">
        <v>1801</v>
      </c>
      <c r="L1388" s="523"/>
      <c r="M1388" s="523"/>
      <c r="N1388" s="523"/>
      <c r="O1388" s="523"/>
      <c r="P1388" s="2967" t="s">
        <v>1801</v>
      </c>
      <c r="Q1388" s="523"/>
    </row>
    <row r="1389" spans="1:17">
      <c r="A1389" s="3037" t="s">
        <v>2521</v>
      </c>
      <c r="B1389" s="3037"/>
      <c r="C1389" s="3037"/>
      <c r="D1389" s="3037"/>
      <c r="E1389" s="2967" t="s">
        <v>532</v>
      </c>
      <c r="F1389" s="2891">
        <f>SUM(F1390:F1401)</f>
        <v>0</v>
      </c>
      <c r="G1389" s="3037" t="s">
        <v>3845</v>
      </c>
      <c r="H1389" s="3037"/>
      <c r="I1389" s="3037"/>
      <c r="J1389" s="2967" t="s">
        <v>532</v>
      </c>
      <c r="K1389" s="2891">
        <f>SUM(K1390:K1401)</f>
        <v>0</v>
      </c>
      <c r="L1389" s="3028" t="s">
        <v>4601</v>
      </c>
      <c r="M1389" s="523"/>
      <c r="N1389" s="2931"/>
      <c r="O1389" s="2967"/>
      <c r="P1389" s="2891">
        <f>SUM(P1390:P1401)</f>
        <v>0</v>
      </c>
      <c r="Q1389" s="523"/>
    </row>
    <row r="1390" spans="1:17" ht="15.75">
      <c r="A1390" s="2769">
        <f>'Part IX A-Scoring Criteria'!A17</f>
        <v>1</v>
      </c>
      <c r="B1390" s="2713"/>
      <c r="C1390" s="2713"/>
      <c r="D1390" s="2713"/>
      <c r="E1390" s="2713"/>
      <c r="F1390" s="543">
        <f>'Part IX A-Scoring Criteria'!F17</f>
        <v>0</v>
      </c>
      <c r="G1390" s="2769">
        <f>'Part IX A-Scoring Criteria'!G17</f>
        <v>1</v>
      </c>
      <c r="H1390" s="2769"/>
      <c r="I1390" s="2769"/>
      <c r="J1390" s="2769"/>
      <c r="K1390" s="543" t="s">
        <v>1821</v>
      </c>
      <c r="L1390" s="2769">
        <f>'Part IX A-Scoring Criteria'!L17</f>
        <v>1</v>
      </c>
      <c r="M1390" s="2769"/>
      <c r="N1390" s="2769"/>
      <c r="O1390" s="2769"/>
      <c r="P1390" s="543">
        <f>'Part IX A-Scoring Criteria'!P17</f>
        <v>0</v>
      </c>
      <c r="Q1390" s="3082" t="s">
        <v>1314</v>
      </c>
    </row>
    <row r="1391" spans="1:17" ht="15.75">
      <c r="A1391" s="2769">
        <f>'Part IX A-Scoring Criteria'!A18</f>
        <v>2</v>
      </c>
      <c r="B1391" s="2713"/>
      <c r="C1391" s="2713"/>
      <c r="D1391" s="2713"/>
      <c r="E1391" s="2713"/>
      <c r="F1391" s="543">
        <f>'Part IX A-Scoring Criteria'!F18</f>
        <v>0</v>
      </c>
      <c r="G1391" s="2769">
        <f>'Part IX A-Scoring Criteria'!G18</f>
        <v>2</v>
      </c>
      <c r="H1391" s="2769"/>
      <c r="I1391" s="2769"/>
      <c r="J1391" s="2769"/>
      <c r="K1391" s="543">
        <f>'Part IX A-Scoring Criteria'!K18</f>
        <v>0</v>
      </c>
      <c r="L1391" s="2769">
        <f>'Part IX A-Scoring Criteria'!L18</f>
        <v>2</v>
      </c>
      <c r="M1391" s="2769"/>
      <c r="N1391" s="2769"/>
      <c r="O1391" s="2769"/>
      <c r="P1391" s="543">
        <f>'Part IX A-Scoring Criteria'!P18</f>
        <v>0</v>
      </c>
      <c r="Q1391" s="3082"/>
    </row>
    <row r="1392" spans="1:17" ht="24">
      <c r="A1392" s="2769">
        <f>'Part IX A-Scoring Criteria'!A19</f>
        <v>3</v>
      </c>
      <c r="B1392" s="2713"/>
      <c r="C1392" s="2713"/>
      <c r="D1392" s="2713"/>
      <c r="E1392" s="2713"/>
      <c r="F1392" s="543">
        <f>'Part IX A-Scoring Criteria'!F19</f>
        <v>0</v>
      </c>
      <c r="G1392" s="2769">
        <f>'Part IX A-Scoring Criteria'!G19</f>
        <v>3</v>
      </c>
      <c r="H1392" s="2769"/>
      <c r="I1392" s="2769"/>
      <c r="J1392" s="2769"/>
      <c r="K1392" s="2896" t="s">
        <v>3312</v>
      </c>
      <c r="L1392" s="2769">
        <f>'Part IX A-Scoring Criteria'!L19</f>
        <v>3</v>
      </c>
      <c r="M1392" s="2769"/>
      <c r="N1392" s="2769"/>
      <c r="O1392" s="2769"/>
      <c r="P1392" s="543">
        <f>'Part IX A-Scoring Criteria'!P19</f>
        <v>0</v>
      </c>
      <c r="Q1392" s="3082"/>
    </row>
    <row r="1393" spans="1:17" ht="24">
      <c r="A1393" s="2769">
        <f>'Part IX A-Scoring Criteria'!A20</f>
        <v>4</v>
      </c>
      <c r="B1393" s="2713"/>
      <c r="C1393" s="2713"/>
      <c r="D1393" s="2713"/>
      <c r="E1393" s="2713"/>
      <c r="F1393" s="543">
        <f>'Part IX A-Scoring Criteria'!F20</f>
        <v>0</v>
      </c>
      <c r="G1393" s="2769">
        <f>'Part IX A-Scoring Criteria'!G20</f>
        <v>4</v>
      </c>
      <c r="H1393" s="2769"/>
      <c r="I1393" s="2769"/>
      <c r="J1393" s="2769"/>
      <c r="K1393" s="2896" t="s">
        <v>3312</v>
      </c>
      <c r="L1393" s="2769">
        <f>'Part IX A-Scoring Criteria'!L20</f>
        <v>4</v>
      </c>
      <c r="M1393" s="2769"/>
      <c r="N1393" s="2769"/>
      <c r="O1393" s="2769"/>
      <c r="P1393" s="543">
        <f>'Part IX A-Scoring Criteria'!P20</f>
        <v>0</v>
      </c>
      <c r="Q1393" s="3082"/>
    </row>
    <row r="1394" spans="1:17">
      <c r="A1394" s="2769">
        <f>'Part IX A-Scoring Criteria'!A21</f>
        <v>5</v>
      </c>
      <c r="B1394" s="2713"/>
      <c r="C1394" s="2713"/>
      <c r="D1394" s="2713"/>
      <c r="E1394" s="2713"/>
      <c r="F1394" s="543">
        <f>'Part IX A-Scoring Criteria'!F21</f>
        <v>0</v>
      </c>
      <c r="G1394" s="2769">
        <f>'Part IX A-Scoring Criteria'!G21</f>
        <v>5</v>
      </c>
      <c r="H1394" s="2769"/>
      <c r="I1394" s="2769"/>
      <c r="J1394" s="2769"/>
      <c r="K1394" s="543">
        <f>'Part IX A-Scoring Criteria'!K21</f>
        <v>0</v>
      </c>
      <c r="L1394" s="2769">
        <f>'Part IX A-Scoring Criteria'!L21</f>
        <v>5</v>
      </c>
      <c r="M1394" s="2769"/>
      <c r="N1394" s="2769"/>
      <c r="O1394" s="2769"/>
      <c r="P1394" s="543">
        <f>'Part IX A-Scoring Criteria'!P21</f>
        <v>0</v>
      </c>
      <c r="Q1394" s="523"/>
    </row>
    <row r="1395" spans="1:17">
      <c r="A1395" s="2769">
        <f>'Part IX A-Scoring Criteria'!A22</f>
        <v>6</v>
      </c>
      <c r="B1395" s="2713"/>
      <c r="C1395" s="2713"/>
      <c r="D1395" s="2713"/>
      <c r="E1395" s="2713"/>
      <c r="F1395" s="543">
        <f>'Part IX A-Scoring Criteria'!F22</f>
        <v>0</v>
      </c>
      <c r="G1395" s="2769">
        <f>'Part IX A-Scoring Criteria'!G22</f>
        <v>6</v>
      </c>
      <c r="H1395" s="2769"/>
      <c r="I1395" s="2769"/>
      <c r="J1395" s="2769"/>
      <c r="K1395" s="543">
        <f>'Part IX A-Scoring Criteria'!K22</f>
        <v>0</v>
      </c>
      <c r="L1395" s="2769">
        <f>'Part IX A-Scoring Criteria'!L22</f>
        <v>6</v>
      </c>
      <c r="M1395" s="2769"/>
      <c r="N1395" s="2769"/>
      <c r="O1395" s="2769"/>
      <c r="P1395" s="543">
        <f>'Part IX A-Scoring Criteria'!P22</f>
        <v>0</v>
      </c>
      <c r="Q1395" s="523"/>
    </row>
    <row r="1396" spans="1:17">
      <c r="A1396" s="2769">
        <f>'Part IX A-Scoring Criteria'!A23</f>
        <v>7</v>
      </c>
      <c r="B1396" s="2713"/>
      <c r="C1396" s="2713"/>
      <c r="D1396" s="2713"/>
      <c r="E1396" s="2713"/>
      <c r="F1396" s="543">
        <f>'Part IX A-Scoring Criteria'!F23</f>
        <v>0</v>
      </c>
      <c r="G1396" s="2769">
        <f>'Part IX A-Scoring Criteria'!G23</f>
        <v>7</v>
      </c>
      <c r="H1396" s="2769"/>
      <c r="I1396" s="2769"/>
      <c r="J1396" s="2769"/>
      <c r="K1396" s="543">
        <f>'Part IX A-Scoring Criteria'!K23</f>
        <v>0</v>
      </c>
      <c r="L1396" s="2769">
        <f>'Part IX A-Scoring Criteria'!L23</f>
        <v>7</v>
      </c>
      <c r="M1396" s="2769"/>
      <c r="N1396" s="2769"/>
      <c r="O1396" s="2769"/>
      <c r="P1396" s="543">
        <f>'Part IX A-Scoring Criteria'!P23</f>
        <v>0</v>
      </c>
      <c r="Q1396" s="523"/>
    </row>
    <row r="1397" spans="1:17">
      <c r="A1397" s="2769">
        <f>'Part IX A-Scoring Criteria'!A24</f>
        <v>8</v>
      </c>
      <c r="B1397" s="2713"/>
      <c r="C1397" s="2713"/>
      <c r="D1397" s="2713"/>
      <c r="E1397" s="2713"/>
      <c r="F1397" s="543">
        <f>'Part IX A-Scoring Criteria'!F24</f>
        <v>0</v>
      </c>
      <c r="G1397" s="2769">
        <f>'Part IX A-Scoring Criteria'!G24</f>
        <v>8</v>
      </c>
      <c r="H1397" s="2769"/>
      <c r="I1397" s="2769"/>
      <c r="J1397" s="2769"/>
      <c r="K1397" s="543">
        <f>'Part IX A-Scoring Criteria'!K24</f>
        <v>0</v>
      </c>
      <c r="L1397" s="2769">
        <f>'Part IX A-Scoring Criteria'!L24</f>
        <v>8</v>
      </c>
      <c r="M1397" s="2769"/>
      <c r="N1397" s="2769"/>
      <c r="O1397" s="2769"/>
      <c r="P1397" s="543">
        <f>'Part IX A-Scoring Criteria'!P24</f>
        <v>0</v>
      </c>
      <c r="Q1397" s="523"/>
    </row>
    <row r="1398" spans="1:17">
      <c r="A1398" s="2769">
        <f>'Part IX A-Scoring Criteria'!A25</f>
        <v>9</v>
      </c>
      <c r="B1398" s="2713"/>
      <c r="C1398" s="2713"/>
      <c r="D1398" s="2713"/>
      <c r="E1398" s="2713"/>
      <c r="F1398" s="543">
        <f>'Part IX A-Scoring Criteria'!F25</f>
        <v>0</v>
      </c>
      <c r="G1398" s="2769">
        <f>'Part IX A-Scoring Criteria'!G25</f>
        <v>9</v>
      </c>
      <c r="H1398" s="2769"/>
      <c r="I1398" s="2769"/>
      <c r="J1398" s="2769"/>
      <c r="K1398" s="543">
        <f>'Part IX A-Scoring Criteria'!K25</f>
        <v>0</v>
      </c>
      <c r="L1398" s="2769">
        <f>'Part IX A-Scoring Criteria'!L25</f>
        <v>9</v>
      </c>
      <c r="M1398" s="2769"/>
      <c r="N1398" s="2769"/>
      <c r="O1398" s="2769"/>
      <c r="P1398" s="543">
        <f>'Part IX A-Scoring Criteria'!P25</f>
        <v>0</v>
      </c>
      <c r="Q1398" s="523"/>
    </row>
    <row r="1399" spans="1:17">
      <c r="A1399" s="2769">
        <f>'Part IX A-Scoring Criteria'!A26</f>
        <v>10</v>
      </c>
      <c r="B1399" s="2713"/>
      <c r="C1399" s="2713"/>
      <c r="D1399" s="2713"/>
      <c r="E1399" s="2713"/>
      <c r="F1399" s="543">
        <f>'Part IX A-Scoring Criteria'!F26</f>
        <v>0</v>
      </c>
      <c r="G1399" s="2769">
        <f>'Part IX A-Scoring Criteria'!G26</f>
        <v>10</v>
      </c>
      <c r="H1399" s="2769"/>
      <c r="I1399" s="2769"/>
      <c r="J1399" s="2769"/>
      <c r="K1399" s="543">
        <f>'Part IX A-Scoring Criteria'!K26</f>
        <v>0</v>
      </c>
      <c r="L1399" s="2769">
        <f>'Part IX A-Scoring Criteria'!L26</f>
        <v>10</v>
      </c>
      <c r="M1399" s="2769"/>
      <c r="N1399" s="2769"/>
      <c r="O1399" s="2769"/>
      <c r="P1399" s="543">
        <f>'Part IX A-Scoring Criteria'!P26</f>
        <v>0</v>
      </c>
      <c r="Q1399" s="523"/>
    </row>
    <row r="1400" spans="1:17">
      <c r="A1400" s="2769">
        <f>'Part IX A-Scoring Criteria'!A27</f>
        <v>11</v>
      </c>
      <c r="B1400" s="2713"/>
      <c r="C1400" s="2713"/>
      <c r="D1400" s="2713"/>
      <c r="E1400" s="2713"/>
      <c r="F1400" s="543">
        <f>'Part IX A-Scoring Criteria'!F27</f>
        <v>0</v>
      </c>
      <c r="G1400" s="2769">
        <f>'Part IX A-Scoring Criteria'!G27</f>
        <v>11</v>
      </c>
      <c r="H1400" s="2769"/>
      <c r="I1400" s="2769"/>
      <c r="J1400" s="2769"/>
      <c r="K1400" s="543">
        <f>'Part IX A-Scoring Criteria'!K27</f>
        <v>0</v>
      </c>
      <c r="L1400" s="2769">
        <f>'Part IX A-Scoring Criteria'!L27</f>
        <v>11</v>
      </c>
      <c r="M1400" s="2769"/>
      <c r="N1400" s="2769"/>
      <c r="O1400" s="2769"/>
      <c r="P1400" s="543">
        <f>'Part IX A-Scoring Criteria'!P27</f>
        <v>0</v>
      </c>
      <c r="Q1400" s="523"/>
    </row>
    <row r="1401" spans="1:17">
      <c r="A1401" s="2769">
        <f>'Part IX A-Scoring Criteria'!A28</f>
        <v>12</v>
      </c>
      <c r="B1401" s="2713"/>
      <c r="C1401" s="2713"/>
      <c r="D1401" s="2713"/>
      <c r="E1401" s="2713"/>
      <c r="F1401" s="543">
        <f>'Part IX A-Scoring Criteria'!F28</f>
        <v>0</v>
      </c>
      <c r="G1401" s="2769">
        <f>'Part IX A-Scoring Criteria'!G28</f>
        <v>12</v>
      </c>
      <c r="H1401" s="2769"/>
      <c r="I1401" s="2769"/>
      <c r="J1401" s="2769"/>
      <c r="K1401" s="543">
        <f>'Part IX A-Scoring Criteria'!K28</f>
        <v>0</v>
      </c>
      <c r="L1401" s="2769">
        <f>'Part IX A-Scoring Criteria'!L28</f>
        <v>12</v>
      </c>
      <c r="M1401" s="2769"/>
      <c r="N1401" s="2769"/>
      <c r="O1401" s="2769"/>
      <c r="P1401" s="543">
        <f>'Part IX A-Scoring Criteria'!P28</f>
        <v>0</v>
      </c>
      <c r="Q1401" s="523"/>
    </row>
    <row r="1402" spans="1:17" ht="15">
      <c r="A1402" s="3081"/>
      <c r="B1402" s="3081"/>
      <c r="C1402" s="3081"/>
      <c r="D1402" s="524"/>
      <c r="E1402" s="524"/>
      <c r="F1402" s="2891"/>
      <c r="G1402" s="2891"/>
      <c r="H1402" s="2891"/>
      <c r="I1402" s="2891"/>
      <c r="J1402" s="2995"/>
      <c r="K1402" s="2995"/>
      <c r="L1402" s="2995"/>
      <c r="M1402" s="2992"/>
      <c r="N1402" s="2891"/>
      <c r="O1402" s="2879"/>
      <c r="P1402" s="3077"/>
      <c r="Q1402" s="3081"/>
    </row>
    <row r="1403" spans="1:17" ht="15">
      <c r="A1403" s="3083" t="s">
        <v>2087</v>
      </c>
      <c r="B1403" s="3084" t="s">
        <v>1065</v>
      </c>
      <c r="C1403" s="3081"/>
      <c r="D1403" s="3081"/>
      <c r="E1403" s="524"/>
      <c r="F1403" s="3081"/>
      <c r="G1403" s="2951"/>
      <c r="H1403" s="524"/>
      <c r="I1403" s="3085" t="s">
        <v>4249</v>
      </c>
      <c r="J1403" s="3081"/>
      <c r="K1403" s="3081"/>
      <c r="L1403" s="3081"/>
      <c r="M1403" s="2891">
        <v>3</v>
      </c>
      <c r="N1403" s="2883"/>
      <c r="O1403" s="3077">
        <f>'Part IX A-Scoring Criteria'!O30</f>
        <v>2</v>
      </c>
      <c r="P1403" s="3077">
        <f>'Part IX A-Scoring Criteria'!P30</f>
        <v>0</v>
      </c>
      <c r="Q1403" s="2891" t="s">
        <v>458</v>
      </c>
    </row>
    <row r="1404" spans="1:17" ht="15">
      <c r="A1404" s="3086" t="s">
        <v>2081</v>
      </c>
      <c r="B1404" s="3087" t="s">
        <v>2753</v>
      </c>
      <c r="C1404" s="3081"/>
      <c r="D1404" s="3081"/>
      <c r="E1404" s="524"/>
      <c r="F1404" s="3081"/>
      <c r="G1404" s="2951"/>
      <c r="H1404" s="524"/>
      <c r="I1404" s="3088" t="s">
        <v>3850</v>
      </c>
      <c r="J1404" s="3088"/>
      <c r="K1404" s="3081"/>
      <c r="L1404" s="3081"/>
      <c r="M1404" s="2891"/>
      <c r="N1404" s="2883"/>
      <c r="O1404" s="2883"/>
      <c r="P1404" s="2883"/>
      <c r="Q1404" s="2883"/>
    </row>
    <row r="1405" spans="1:17" ht="15">
      <c r="A1405" s="3089"/>
      <c r="B1405" s="3032" t="s">
        <v>3848</v>
      </c>
      <c r="C1405" s="3090"/>
      <c r="D1405" s="3090"/>
      <c r="E1405" s="3091"/>
      <c r="F1405" s="3089"/>
      <c r="G1405" s="3089"/>
      <c r="H1405" s="3089"/>
      <c r="I1405" s="3088"/>
      <c r="J1405" s="3088"/>
      <c r="K1405" s="3061" t="s">
        <v>3847</v>
      </c>
      <c r="L1405" s="3061"/>
      <c r="M1405" s="2883"/>
      <c r="N1405" s="2943"/>
      <c r="O1405" s="3089"/>
      <c r="P1405" s="3089"/>
      <c r="Q1405" s="3089"/>
    </row>
    <row r="1406" spans="1:17" ht="15">
      <c r="A1406" s="3086"/>
      <c r="B1406" s="3032" t="s">
        <v>3849</v>
      </c>
      <c r="C1406" s="3090"/>
      <c r="D1406" s="3089"/>
      <c r="E1406" s="3092" t="s">
        <v>2085</v>
      </c>
      <c r="F1406" s="3093">
        <v>0.15</v>
      </c>
      <c r="G1406" s="3032" t="s">
        <v>3846</v>
      </c>
      <c r="H1406" s="3089"/>
      <c r="I1406" s="3094">
        <f>'Part IX A-Scoring Criteria'!I33</f>
        <v>20</v>
      </c>
      <c r="J1406" s="3094">
        <f>'Part IX A-Scoring Criteria'!J33</f>
        <v>0</v>
      </c>
      <c r="K1406" s="3095">
        <f>'Part IX A-Scoring Criteria'!K33</f>
        <v>0.20833333333333334</v>
      </c>
      <c r="L1406" s="3095">
        <f>'Part IX A-Scoring Criteria'!L33</f>
        <v>0</v>
      </c>
      <c r="M1406" s="2883">
        <v>1</v>
      </c>
      <c r="N1406" s="2943"/>
      <c r="O1406" s="3096"/>
      <c r="P1406" s="3097"/>
      <c r="Q1406" s="3089"/>
    </row>
    <row r="1407" spans="1:17" ht="15">
      <c r="A1407" s="2996" t="s">
        <v>1419</v>
      </c>
      <c r="B1407" s="3090"/>
      <c r="C1407" s="3090"/>
      <c r="D1407" s="3089"/>
      <c r="E1407" s="3092" t="s">
        <v>2087</v>
      </c>
      <c r="F1407" s="3093">
        <v>0.2</v>
      </c>
      <c r="G1407" s="3032" t="s">
        <v>3846</v>
      </c>
      <c r="H1407" s="3046"/>
      <c r="I1407" s="3094">
        <f>'Part IX A-Scoring Criteria'!I34</f>
        <v>20</v>
      </c>
      <c r="J1407" s="3094">
        <f>'Part IX A-Scoring Criteria'!J34</f>
        <v>0</v>
      </c>
      <c r="K1407" s="3095">
        <f>'Part IX A-Scoring Criteria'!K34</f>
        <v>0.20833333333333334</v>
      </c>
      <c r="L1407" s="3095">
        <f>'Part IX A-Scoring Criteria'!L34</f>
        <v>0</v>
      </c>
      <c r="M1407" s="2883">
        <v>2</v>
      </c>
      <c r="N1407" s="2943"/>
      <c r="O1407" s="3098" t="s">
        <v>2841</v>
      </c>
      <c r="P1407" s="3098"/>
      <c r="Q1407" s="3089"/>
    </row>
    <row r="1408" spans="1:17" ht="15">
      <c r="A1408" s="3086" t="s">
        <v>2084</v>
      </c>
      <c r="B1408" s="3087" t="s">
        <v>4602</v>
      </c>
      <c r="C1408" s="3089"/>
      <c r="D1408" s="3089"/>
      <c r="E1408" s="3057"/>
      <c r="F1408" s="3089"/>
      <c r="G1408" s="3089"/>
      <c r="H1408" s="3046" t="s">
        <v>2754</v>
      </c>
      <c r="I1408" s="3094">
        <f>'Part IX A-Scoring Criteria'!I35</f>
        <v>0</v>
      </c>
      <c r="J1408" s="3094">
        <f>'Part IX A-Scoring Criteria'!J35</f>
        <v>0</v>
      </c>
      <c r="K1408" s="3095">
        <f>'Part IX A-Scoring Criteria'!K35</f>
        <v>0</v>
      </c>
      <c r="L1408" s="3095">
        <f>'Part IX A-Scoring Criteria'!L35</f>
        <v>0</v>
      </c>
      <c r="M1408" s="2883">
        <v>3</v>
      </c>
      <c r="N1408" s="2943"/>
      <c r="O1408" s="3099">
        <v>0.15</v>
      </c>
      <c r="P1408" s="3099"/>
      <c r="Q1408" s="3089"/>
    </row>
    <row r="1409" spans="1:17" ht="15">
      <c r="A1409" s="523"/>
      <c r="B1409" s="2958" t="s">
        <v>267</v>
      </c>
      <c r="C1409" s="523"/>
      <c r="D1409" s="527"/>
      <c r="E1409" s="527"/>
      <c r="F1409" s="527"/>
      <c r="G1409" s="527"/>
      <c r="H1409" s="524"/>
      <c r="I1409" s="524"/>
      <c r="J1409" s="524"/>
      <c r="K1409" s="524"/>
      <c r="L1409" s="3081"/>
      <c r="M1409" s="2883"/>
      <c r="N1409" s="2877"/>
      <c r="O1409" s="3077"/>
      <c r="P1409" s="2879"/>
      <c r="Q1409" s="3081"/>
    </row>
    <row r="1410" spans="1:17" ht="15.75">
      <c r="A1410" s="2933" t="str">
        <f>'Part IX A-Scoring Criteria'!A37</f>
        <v>20 units (21%) will be set aside to be criteria 2.A; there is no PBRA Contract.</v>
      </c>
      <c r="B1410" s="2933"/>
      <c r="C1410" s="2933"/>
      <c r="D1410" s="2933"/>
      <c r="E1410" s="2933"/>
      <c r="F1410" s="2933"/>
      <c r="G1410" s="2933"/>
      <c r="H1410" s="2933"/>
      <c r="I1410" s="2933"/>
      <c r="J1410" s="2933"/>
      <c r="K1410" s="2933"/>
      <c r="L1410" s="2933"/>
      <c r="M1410" s="2933"/>
      <c r="N1410" s="2933"/>
      <c r="O1410" s="2933"/>
      <c r="P1410" s="2933"/>
      <c r="Q1410" s="3082" t="s">
        <v>1314</v>
      </c>
    </row>
    <row r="1411" spans="1:17" ht="15">
      <c r="A1411" s="523"/>
      <c r="B1411" s="2958" t="s">
        <v>1960</v>
      </c>
      <c r="C1411" s="523"/>
      <c r="D1411" s="2998"/>
      <c r="E1411" s="3000"/>
      <c r="F1411" s="3000"/>
      <c r="G1411" s="3000"/>
      <c r="H1411" s="3000"/>
      <c r="I1411" s="3000"/>
      <c r="J1411" s="3000"/>
      <c r="K1411" s="3000"/>
      <c r="L1411" s="3000"/>
      <c r="M1411" s="3000"/>
      <c r="N1411" s="3100"/>
      <c r="O1411" s="3101"/>
      <c r="P1411" s="2891"/>
      <c r="Q1411" s="3089"/>
    </row>
    <row r="1412" spans="1:17" ht="15.75">
      <c r="A1412" s="2933">
        <f>'Part IX A-Scoring Criteria'!A39</f>
        <v>0</v>
      </c>
      <c r="B1412" s="2933"/>
      <c r="C1412" s="2933"/>
      <c r="D1412" s="2933"/>
      <c r="E1412" s="2933"/>
      <c r="F1412" s="2933"/>
      <c r="G1412" s="2933"/>
      <c r="H1412" s="2933"/>
      <c r="I1412" s="2933"/>
      <c r="J1412" s="2933"/>
      <c r="K1412" s="2933"/>
      <c r="L1412" s="2933"/>
      <c r="M1412" s="2933"/>
      <c r="N1412" s="2933"/>
      <c r="O1412" s="2933"/>
      <c r="P1412" s="2933"/>
      <c r="Q1412" s="3082" t="s">
        <v>1314</v>
      </c>
    </row>
    <row r="1413" spans="1:17">
      <c r="N1413" s="2877"/>
      <c r="O1413" s="2879"/>
      <c r="P1413" s="2879"/>
    </row>
    <row r="1414" spans="1:17" ht="15">
      <c r="A1414" s="3078" t="s">
        <v>2661</v>
      </c>
      <c r="B1414" s="3079" t="s">
        <v>1968</v>
      </c>
      <c r="C1414" s="3081"/>
      <c r="D1414" s="3102"/>
      <c r="E1414" s="3081"/>
      <c r="F1414" s="3081"/>
      <c r="G1414" s="3081"/>
      <c r="H1414" s="3081"/>
      <c r="I1414" s="3081"/>
      <c r="J1414" s="2862" t="s">
        <v>626</v>
      </c>
      <c r="K1414" s="2862"/>
      <c r="L1414" s="2862"/>
      <c r="M1414" s="2891">
        <v>13</v>
      </c>
      <c r="N1414" s="2967"/>
      <c r="O1414" s="3077">
        <f>'Part IX A-Scoring Criteria'!O41</f>
        <v>13</v>
      </c>
      <c r="P1414" s="3077">
        <f>'Part IX A-Scoring Criteria'!P41</f>
        <v>0</v>
      </c>
      <c r="Q1414" s="2891" t="s">
        <v>458</v>
      </c>
    </row>
    <row r="1415" spans="1:17" ht="15">
      <c r="A1415" s="523"/>
      <c r="B1415" s="3081"/>
      <c r="C1415" s="3081"/>
      <c r="D1415" s="524"/>
      <c r="E1415" s="524"/>
      <c r="F1415" s="2891"/>
      <c r="G1415" s="2891"/>
      <c r="H1415" s="3081"/>
      <c r="I1415" s="3081"/>
      <c r="J1415" s="2862"/>
      <c r="K1415" s="2862"/>
      <c r="L1415" s="2862"/>
      <c r="M1415" s="2992"/>
      <c r="N1415" s="2891"/>
      <c r="O1415" s="2879"/>
      <c r="P1415" s="3077"/>
      <c r="Q1415" s="3081"/>
    </row>
    <row r="1416" spans="1:17" ht="15">
      <c r="A1416" s="3045" t="s">
        <v>2081</v>
      </c>
      <c r="B1416" s="2898" t="s">
        <v>1969</v>
      </c>
      <c r="C1416" s="526"/>
      <c r="D1416" s="526"/>
      <c r="E1416" s="2686" t="s">
        <v>2891</v>
      </c>
      <c r="F1416" s="2684"/>
      <c r="G1416" s="2684"/>
      <c r="H1416" s="3081"/>
      <c r="I1416" s="3081"/>
      <c r="J1416" s="2862"/>
      <c r="K1416" s="2862"/>
      <c r="L1416" s="2862"/>
      <c r="M1416" s="2883">
        <v>12</v>
      </c>
      <c r="N1416" s="3103" t="s">
        <v>2081</v>
      </c>
      <c r="O1416" s="2891">
        <f>'Part IX A-Scoring Criteria'!O43</f>
        <v>12</v>
      </c>
      <c r="P1416" s="2891">
        <f>'Part IX A-Scoring Criteria'!P43</f>
        <v>0</v>
      </c>
      <c r="Q1416" s="2936" t="s">
        <v>2877</v>
      </c>
    </row>
    <row r="1417" spans="1:17" ht="15">
      <c r="A1417" s="3045" t="s">
        <v>2084</v>
      </c>
      <c r="B1417" s="2898" t="s">
        <v>3966</v>
      </c>
      <c r="C1417" s="526"/>
      <c r="D1417" s="526"/>
      <c r="E1417" s="3081"/>
      <c r="F1417" s="2686" t="s">
        <v>3988</v>
      </c>
      <c r="G1417" s="3081"/>
      <c r="H1417" s="2684"/>
      <c r="I1417" s="2686" t="s">
        <v>3989</v>
      </c>
      <c r="J1417" s="3081"/>
      <c r="K1417" s="3081"/>
      <c r="L1417" s="3056" t="s">
        <v>3968</v>
      </c>
      <c r="M1417" s="2883">
        <v>1</v>
      </c>
      <c r="N1417" s="2967" t="s">
        <v>2084</v>
      </c>
      <c r="O1417" s="2891">
        <f>'Part IX A-Scoring Criteria'!O44</f>
        <v>1</v>
      </c>
      <c r="P1417" s="2891">
        <f>'Part IX A-Scoring Criteria'!P44</f>
        <v>0</v>
      </c>
      <c r="Q1417" s="2936" t="s">
        <v>2877</v>
      </c>
    </row>
    <row r="1418" spans="1:17" ht="13.5">
      <c r="A1418" s="3045"/>
      <c r="B1418" s="2915" t="s">
        <v>3967</v>
      </c>
      <c r="C1418" s="2915"/>
      <c r="D1418" s="2915"/>
      <c r="E1418" s="2915"/>
      <c r="F1418" s="2786" t="str">
        <f>'Part IX A-Scoring Criteria'!F45</f>
        <v>Elementary, middle, or high school</v>
      </c>
      <c r="G1418" s="2786"/>
      <c r="H1418" s="2786"/>
      <c r="I1418" s="2786" t="str">
        <f>'Part IX A-Scoring Criteria'!I45</f>
        <v>Thomson Middle School</v>
      </c>
      <c r="J1418" s="2786"/>
      <c r="K1418" s="2786"/>
      <c r="L1418" s="3104">
        <f>'Part IX A-Scoring Criteria'!L45</f>
        <v>0.8</v>
      </c>
      <c r="M1418" s="2883"/>
      <c r="N1418" s="3103"/>
      <c r="O1418" s="3103"/>
      <c r="P1418" s="3103"/>
      <c r="Q1418" s="2936"/>
    </row>
    <row r="1419" spans="1:17" ht="13.5">
      <c r="A1419" s="3045"/>
      <c r="B1419" s="2915"/>
      <c r="C1419" s="2915"/>
      <c r="D1419" s="2915"/>
      <c r="E1419" s="2915"/>
      <c r="F1419" s="2786" t="str">
        <f>'Part IX A-Scoring Criteria'!F46</f>
        <v>Post Office</v>
      </c>
      <c r="G1419" s="2786"/>
      <c r="H1419" s="2786"/>
      <c r="I1419" s="2786" t="str">
        <f>'Part IX A-Scoring Criteria'!I46</f>
        <v>US Post Office</v>
      </c>
      <c r="J1419" s="2786"/>
      <c r="K1419" s="2786"/>
      <c r="L1419" s="3104">
        <f>'Part IX A-Scoring Criteria'!L46</f>
        <v>0.5</v>
      </c>
      <c r="M1419" s="2883"/>
      <c r="N1419" s="3103"/>
      <c r="O1419" s="3103"/>
      <c r="P1419" s="3103"/>
      <c r="Q1419" s="2936"/>
    </row>
    <row r="1420" spans="1:17" ht="13.5">
      <c r="A1420" s="3045"/>
      <c r="B1420" s="2915"/>
      <c r="C1420" s="2915"/>
      <c r="D1420" s="2915"/>
      <c r="E1420" s="2915"/>
      <c r="F1420" s="2786" t="str">
        <f>'Part IX A-Scoring Criteria'!F47</f>
        <v>Church</v>
      </c>
      <c r="G1420" s="2786"/>
      <c r="H1420" s="2786"/>
      <c r="I1420" s="2786" t="str">
        <f>'Part IX A-Scoring Criteria'!I47</f>
        <v>Centerville United Methodist Church</v>
      </c>
      <c r="J1420" s="2786"/>
      <c r="K1420" s="2786"/>
      <c r="L1420" s="3104">
        <f>'Part IX A-Scoring Criteria'!L47</f>
        <v>0.7</v>
      </c>
      <c r="M1420" s="2883"/>
      <c r="N1420" s="3103"/>
      <c r="O1420" s="3103"/>
      <c r="P1420" s="3103"/>
      <c r="Q1420" s="2936"/>
    </row>
    <row r="1421" spans="1:17" ht="16.5">
      <c r="A1421" s="3045" t="s">
        <v>789</v>
      </c>
      <c r="B1421" s="2898" t="s">
        <v>1970</v>
      </c>
      <c r="C1421" s="3081"/>
      <c r="D1421" s="3102"/>
      <c r="E1421" s="2686" t="s">
        <v>442</v>
      </c>
      <c r="F1421" s="3105"/>
      <c r="G1421" s="3105"/>
      <c r="H1421" s="3105"/>
      <c r="I1421" s="3081"/>
      <c r="J1421" s="3081"/>
      <c r="K1421" s="3081"/>
      <c r="L1421" s="3081"/>
      <c r="M1421" s="2992" t="s">
        <v>1298</v>
      </c>
      <c r="N1421" s="2967" t="s">
        <v>789</v>
      </c>
      <c r="O1421" s="2891">
        <f>'Part IX A-Scoring Criteria'!O48</f>
        <v>0</v>
      </c>
      <c r="P1421" s="2891">
        <f>'Part IX A-Scoring Criteria'!P48</f>
        <v>0</v>
      </c>
      <c r="Q1421" s="2936" t="s">
        <v>2877</v>
      </c>
    </row>
    <row r="1422" spans="1:17" ht="15">
      <c r="A1422" s="523"/>
      <c r="B1422" s="2958" t="s">
        <v>267</v>
      </c>
      <c r="C1422" s="523"/>
      <c r="D1422" s="527"/>
      <c r="E1422" s="527"/>
      <c r="F1422" s="527"/>
      <c r="G1422" s="527"/>
      <c r="H1422" s="524"/>
      <c r="I1422" s="524"/>
      <c r="J1422" s="524"/>
      <c r="K1422" s="524"/>
      <c r="L1422" s="3081"/>
      <c r="M1422" s="2883"/>
      <c r="N1422" s="2877"/>
      <c r="O1422" s="3077"/>
      <c r="P1422" s="2879"/>
      <c r="Q1422" s="3081"/>
    </row>
    <row r="1423" spans="1:17" ht="15.75">
      <c r="A1423" s="2933" t="str">
        <f>'Part IX A-Scoring Criteria'!A50</f>
        <v>There are no undesirable amenities near the site and there are 3 desirable amenities within 1 mile of the proposed site.  Please note that the 2015 Desirable/Undesirable Site Certification will only include bonus points for amenities located less than 1.0 mile, while the QAP states that the amenity is to be within 1.0 miles from the proposed site.</v>
      </c>
      <c r="B1423" s="2933"/>
      <c r="C1423" s="2933"/>
      <c r="D1423" s="2933"/>
      <c r="E1423" s="2933"/>
      <c r="F1423" s="2933"/>
      <c r="G1423" s="2933"/>
      <c r="H1423" s="2933"/>
      <c r="I1423" s="2933"/>
      <c r="J1423" s="2933"/>
      <c r="K1423" s="2933"/>
      <c r="L1423" s="2933"/>
      <c r="M1423" s="2933"/>
      <c r="N1423" s="2933"/>
      <c r="O1423" s="2933"/>
      <c r="P1423" s="2933"/>
      <c r="Q1423" s="3082" t="s">
        <v>1314</v>
      </c>
    </row>
    <row r="1424" spans="1:17" ht="15">
      <c r="A1424" s="523"/>
      <c r="B1424" s="2958" t="s">
        <v>1960</v>
      </c>
      <c r="C1424" s="523"/>
      <c r="D1424" s="2998"/>
      <c r="E1424" s="3000"/>
      <c r="F1424" s="3000"/>
      <c r="G1424" s="3000"/>
      <c r="H1424" s="3000"/>
      <c r="I1424" s="3000"/>
      <c r="J1424" s="3000"/>
      <c r="K1424" s="3000"/>
      <c r="L1424" s="3000"/>
      <c r="M1424" s="3000"/>
      <c r="N1424" s="3100"/>
      <c r="O1424" s="3101"/>
      <c r="P1424" s="2891"/>
      <c r="Q1424" s="3089"/>
    </row>
    <row r="1425" spans="1:17" ht="15.75">
      <c r="A1425" s="2933">
        <f>'Part IX A-Scoring Criteria'!A52</f>
        <v>0</v>
      </c>
      <c r="B1425" s="2933"/>
      <c r="C1425" s="2933"/>
      <c r="D1425" s="2933"/>
      <c r="E1425" s="2933"/>
      <c r="F1425" s="2933"/>
      <c r="G1425" s="2933"/>
      <c r="H1425" s="2933"/>
      <c r="I1425" s="2933"/>
      <c r="J1425" s="2933"/>
      <c r="K1425" s="2933"/>
      <c r="L1425" s="2933"/>
      <c r="M1425" s="2933"/>
      <c r="N1425" s="2933"/>
      <c r="O1425" s="2933"/>
      <c r="P1425" s="2933"/>
      <c r="Q1425" s="3082" t="s">
        <v>1314</v>
      </c>
    </row>
    <row r="1426" spans="1:17">
      <c r="M1426" s="523"/>
      <c r="N1426" s="2883"/>
      <c r="O1426" s="2891"/>
      <c r="P1426" s="2891"/>
    </row>
    <row r="1427" spans="1:17" ht="15">
      <c r="A1427" s="3078" t="s">
        <v>1283</v>
      </c>
      <c r="B1427" s="3079" t="s">
        <v>2767</v>
      </c>
      <c r="C1427" s="3081"/>
      <c r="D1427" s="3102"/>
      <c r="E1427" s="3081"/>
      <c r="F1427" s="3081"/>
      <c r="G1427" s="3081"/>
      <c r="H1427" s="3085" t="s">
        <v>2825</v>
      </c>
      <c r="I1427" s="2958" t="s">
        <v>1976</v>
      </c>
      <c r="J1427" s="527"/>
      <c r="K1427" s="527"/>
      <c r="L1427" s="3081"/>
      <c r="M1427" s="2891">
        <v>5</v>
      </c>
      <c r="N1427" s="2967"/>
      <c r="O1427" s="3077">
        <f>'Part IX A-Scoring Criteria'!O54</f>
        <v>0</v>
      </c>
      <c r="P1427" s="3077">
        <f>'Part IX A-Scoring Criteria'!P54</f>
        <v>0</v>
      </c>
      <c r="Q1427" s="2891" t="s">
        <v>458</v>
      </c>
    </row>
    <row r="1428" spans="1:17" ht="15">
      <c r="A1428" s="3106" t="s">
        <v>3093</v>
      </c>
      <c r="B1428" s="3079"/>
      <c r="C1428" s="3081"/>
      <c r="D1428" s="3102"/>
      <c r="E1428" s="3081"/>
      <c r="F1428" s="3081"/>
      <c r="G1428" s="3081"/>
      <c r="H1428" s="2898" t="s">
        <v>3102</v>
      </c>
      <c r="I1428" s="3107"/>
      <c r="J1428" s="2898" t="str">
        <f>'Part I-Project Information'!$H$90</f>
        <v>Flexible</v>
      </c>
      <c r="K1428" s="3081"/>
      <c r="M1428" s="2891"/>
      <c r="N1428" s="2891"/>
      <c r="O1428" s="2891"/>
      <c r="P1428" s="2891"/>
      <c r="Q1428" s="2891"/>
    </row>
    <row r="1429" spans="1:17">
      <c r="A1429" s="3035" t="s">
        <v>2081</v>
      </c>
      <c r="B1429" s="2882" t="s">
        <v>4603</v>
      </c>
      <c r="C1429" s="2882"/>
      <c r="D1429" s="2882"/>
      <c r="E1429" s="2882"/>
      <c r="F1429" s="2882"/>
      <c r="G1429" s="2882"/>
      <c r="H1429" s="2882"/>
      <c r="I1429" s="2915" t="s">
        <v>4604</v>
      </c>
      <c r="J1429" s="2915"/>
      <c r="K1429" s="2915"/>
      <c r="L1429" s="2915"/>
      <c r="M1429" s="3108">
        <v>5</v>
      </c>
      <c r="N1429" s="3109" t="s">
        <v>2081</v>
      </c>
      <c r="O1429" s="3110">
        <f>'Part IX A-Scoring Criteria'!O56</f>
        <v>0</v>
      </c>
      <c r="P1429" s="3110">
        <f>'Part IX A-Scoring Criteria'!P56</f>
        <v>0</v>
      </c>
      <c r="Q1429" s="3111" t="str">
        <f>IF(OR($O1429=$M1429,$O1429=0,$O1429=""),"","* * Check Score! * *")</f>
        <v/>
      </c>
    </row>
    <row r="1430" spans="1:17">
      <c r="A1430" s="3035" t="s">
        <v>2084</v>
      </c>
      <c r="B1430" s="3112" t="s">
        <v>4605</v>
      </c>
      <c r="C1430" s="3112"/>
      <c r="D1430" s="3112"/>
      <c r="E1430" s="3112"/>
      <c r="F1430" s="3112"/>
      <c r="G1430" s="3112"/>
      <c r="H1430" s="3112"/>
      <c r="I1430" s="2778" t="str">
        <f>'Part IX A-Scoring Criteria'!I57</f>
        <v>Enter transit agency name</v>
      </c>
      <c r="J1430" s="2778"/>
      <c r="K1430" s="2778"/>
      <c r="L1430" s="3113" t="str">
        <f>'Part IX A-Scoring Criteria'!L57</f>
        <v>Enter Agency phone</v>
      </c>
      <c r="M1430" s="3108">
        <v>4</v>
      </c>
      <c r="N1430" s="3042" t="s">
        <v>2084</v>
      </c>
      <c r="O1430" s="3110">
        <f>'Part IX A-Scoring Criteria'!O57</f>
        <v>0</v>
      </c>
      <c r="P1430" s="3110">
        <f>'Part IX A-Scoring Criteria'!P57</f>
        <v>0</v>
      </c>
      <c r="Q1430" s="3111" t="str">
        <f>IF(OR($O1430=$M1430,$O1430=0,$O1430=""),"","* * Check Score! * *")</f>
        <v/>
      </c>
    </row>
    <row r="1431" spans="1:17">
      <c r="A1431" s="3045" t="s">
        <v>789</v>
      </c>
      <c r="B1431" s="527" t="s">
        <v>4606</v>
      </c>
      <c r="C1431" s="3112"/>
      <c r="D1431" s="3112"/>
      <c r="E1431" s="3112"/>
      <c r="F1431" s="3112"/>
      <c r="G1431" s="3112"/>
      <c r="H1431" s="3112"/>
      <c r="I1431" s="2769" t="str">
        <f>'Part IX A-Scoring Criteria'!I58</f>
        <v>Enter specific URL/webpage showing established schedule from transit agency website</v>
      </c>
      <c r="J1431" s="2769"/>
      <c r="K1431" s="2769"/>
      <c r="L1431" s="2769"/>
      <c r="M1431" s="3108">
        <v>3</v>
      </c>
      <c r="N1431" s="3103" t="s">
        <v>789</v>
      </c>
      <c r="O1431" s="3110">
        <f>'Part IX A-Scoring Criteria'!O58</f>
        <v>0</v>
      </c>
      <c r="P1431" s="3110">
        <f>'Part IX A-Scoring Criteria'!P58</f>
        <v>0</v>
      </c>
      <c r="Q1431" s="3111" t="str">
        <f>IF(OR($O1431=$M1431,$O1431=0,$O1431=""),"","* * Check Score! * *")</f>
        <v/>
      </c>
    </row>
    <row r="1432" spans="1:17" ht="15">
      <c r="A1432" s="3045" t="s">
        <v>2216</v>
      </c>
      <c r="B1432" s="527" t="s">
        <v>4607</v>
      </c>
      <c r="C1432" s="3081"/>
      <c r="D1432" s="3081"/>
      <c r="E1432" s="3102"/>
      <c r="F1432" s="3081"/>
      <c r="G1432" s="3081"/>
      <c r="H1432" s="3081"/>
      <c r="I1432" s="2769"/>
      <c r="J1432" s="2769"/>
      <c r="K1432" s="2769"/>
      <c r="L1432" s="2769"/>
      <c r="M1432" s="2883">
        <v>2</v>
      </c>
      <c r="N1432" s="3103" t="s">
        <v>2216</v>
      </c>
      <c r="O1432" s="3110">
        <f>'Part IX A-Scoring Criteria'!O59</f>
        <v>0</v>
      </c>
      <c r="P1432" s="3110">
        <f>'Part IX A-Scoring Criteria'!P59</f>
        <v>0</v>
      </c>
      <c r="Q1432" s="3114" t="str">
        <f>IF(OR($O1432=$M1432,$O1432=0,$O1432=""),"","* * Check Score! * *")</f>
        <v/>
      </c>
    </row>
    <row r="1433" spans="1:17" ht="15">
      <c r="A1433" s="3045" t="s">
        <v>1823</v>
      </c>
      <c r="B1433" s="3112" t="s">
        <v>4608</v>
      </c>
      <c r="C1433" s="3081"/>
      <c r="D1433" s="3081"/>
      <c r="E1433" s="3102"/>
      <c r="F1433" s="3081"/>
      <c r="G1433" s="3081"/>
      <c r="H1433" s="3081"/>
      <c r="I1433" s="2769" t="str">
        <f>'Part IX A-Scoring Criteria'!I60</f>
        <v>Enter specific URL/webpage showing established routes from transit agency website (if different)</v>
      </c>
      <c r="J1433" s="2769"/>
      <c r="K1433" s="2769"/>
      <c r="L1433" s="2769"/>
      <c r="M1433" s="2883">
        <v>1</v>
      </c>
      <c r="N1433" s="3103" t="s">
        <v>1823</v>
      </c>
      <c r="O1433" s="3110">
        <f>'Part IX A-Scoring Criteria'!O60</f>
        <v>0</v>
      </c>
      <c r="P1433" s="3110">
        <f>'Part IX A-Scoring Criteria'!P60</f>
        <v>0</v>
      </c>
      <c r="Q1433" s="3114" t="str">
        <f>IF(OR($O1433=$M1433,$O1433=0,$O1433=""),"","* * Check Score! * *")</f>
        <v/>
      </c>
    </row>
    <row r="1434" spans="1:17" ht="15">
      <c r="A1434" s="3106" t="s">
        <v>3095</v>
      </c>
      <c r="B1434" s="2898"/>
      <c r="C1434" s="3081"/>
      <c r="D1434" s="3081"/>
      <c r="E1434" s="3102"/>
      <c r="F1434" s="3081"/>
      <c r="G1434" s="3081"/>
      <c r="H1434" s="3081"/>
      <c r="I1434" s="2769"/>
      <c r="J1434" s="2769"/>
      <c r="K1434" s="2769"/>
      <c r="L1434" s="2769"/>
      <c r="M1434" s="2883"/>
      <c r="N1434" s="2883"/>
      <c r="O1434" s="2883"/>
      <c r="P1434" s="2883"/>
      <c r="Q1434" s="3114"/>
    </row>
    <row r="1435" spans="1:17">
      <c r="A1435" s="3045" t="s">
        <v>1824</v>
      </c>
      <c r="B1435" s="2898" t="s">
        <v>4609</v>
      </c>
      <c r="C1435" s="2898"/>
      <c r="D1435" s="2898"/>
      <c r="E1435" s="2898"/>
      <c r="F1435" s="2898"/>
      <c r="G1435" s="2898"/>
      <c r="H1435" s="2898"/>
      <c r="I1435" s="2898"/>
      <c r="J1435" s="2898"/>
      <c r="K1435" s="2898"/>
      <c r="L1435" s="2898"/>
      <c r="M1435" s="2883">
        <v>2</v>
      </c>
      <c r="N1435" s="3103" t="s">
        <v>1824</v>
      </c>
      <c r="O1435" s="3110">
        <f>'Part IX A-Scoring Criteria'!O62</f>
        <v>0</v>
      </c>
      <c r="P1435" s="3110">
        <f>'Part IX A-Scoring Criteria'!P62</f>
        <v>0</v>
      </c>
      <c r="Q1435" s="3114" t="str">
        <f>IF(OR($O1435=$M1435,$O1435=0,$O1435=""),"","* * Check Score! * *")</f>
        <v/>
      </c>
    </row>
    <row r="1436" spans="1:17" ht="15">
      <c r="A1436" s="524" t="s">
        <v>4379</v>
      </c>
      <c r="B1436" s="2898"/>
      <c r="C1436" s="3081"/>
      <c r="D1436" s="3081"/>
      <c r="E1436" s="3102"/>
      <c r="F1436" s="3081"/>
      <c r="G1436" s="3081"/>
      <c r="H1436" s="3081"/>
      <c r="I1436" s="3081"/>
      <c r="J1436" s="3081"/>
      <c r="K1436" s="527"/>
      <c r="L1436" s="3081"/>
      <c r="M1436" s="2883"/>
      <c r="N1436" s="2883"/>
      <c r="O1436" s="2883"/>
      <c r="P1436" s="2883"/>
      <c r="Q1436" s="3114"/>
    </row>
    <row r="1437" spans="1:17" ht="15">
      <c r="A1437" s="523"/>
      <c r="B1437" s="2958" t="s">
        <v>267</v>
      </c>
      <c r="C1437" s="523"/>
      <c r="D1437" s="527"/>
      <c r="E1437" s="527"/>
      <c r="F1437" s="527"/>
      <c r="G1437" s="527"/>
      <c r="H1437" s="524"/>
      <c r="I1437" s="524"/>
      <c r="J1437" s="524"/>
      <c r="K1437" s="524"/>
      <c r="L1437" s="3115"/>
      <c r="M1437" s="2883"/>
      <c r="N1437" s="2883"/>
      <c r="O1437" s="3077"/>
      <c r="P1437" s="2891"/>
      <c r="Q1437" s="3115"/>
    </row>
    <row r="1438" spans="1:17" ht="15.75">
      <c r="A1438" s="2933">
        <f>'Part IX A-Scoring Criteria'!A65</f>
        <v>0</v>
      </c>
      <c r="B1438" s="2933"/>
      <c r="C1438" s="2933"/>
      <c r="D1438" s="2933"/>
      <c r="E1438" s="2933"/>
      <c r="F1438" s="2933"/>
      <c r="G1438" s="2933"/>
      <c r="H1438" s="2933"/>
      <c r="I1438" s="2933"/>
      <c r="J1438" s="2933"/>
      <c r="K1438" s="2933"/>
      <c r="L1438" s="2933"/>
      <c r="M1438" s="2933"/>
      <c r="N1438" s="2933"/>
      <c r="O1438" s="2933"/>
      <c r="P1438" s="2933"/>
      <c r="Q1438" s="3082" t="s">
        <v>1314</v>
      </c>
    </row>
    <row r="1439" spans="1:17" ht="15">
      <c r="A1439" s="523"/>
      <c r="B1439" s="2958" t="s">
        <v>1960</v>
      </c>
      <c r="C1439" s="523"/>
      <c r="D1439" s="2998"/>
      <c r="E1439" s="3000"/>
      <c r="F1439" s="3000"/>
      <c r="G1439" s="3000"/>
      <c r="H1439" s="3000"/>
      <c r="I1439" s="3000"/>
      <c r="J1439" s="3000"/>
      <c r="K1439" s="3000"/>
      <c r="L1439" s="3000"/>
      <c r="M1439" s="3000"/>
      <c r="N1439" s="3100"/>
      <c r="O1439" s="3101"/>
      <c r="P1439" s="2891"/>
      <c r="Q1439" s="3089"/>
    </row>
    <row r="1440" spans="1:17" ht="15.75">
      <c r="A1440" s="2933">
        <f>'Part IX A-Scoring Criteria'!A67</f>
        <v>0</v>
      </c>
      <c r="B1440" s="2933"/>
      <c r="C1440" s="2933"/>
      <c r="D1440" s="2933"/>
      <c r="E1440" s="2933"/>
      <c r="F1440" s="2933"/>
      <c r="G1440" s="2933"/>
      <c r="H1440" s="2933"/>
      <c r="I1440" s="2933"/>
      <c r="J1440" s="2933"/>
      <c r="K1440" s="2933"/>
      <c r="L1440" s="2933"/>
      <c r="M1440" s="2933"/>
      <c r="N1440" s="2933"/>
      <c r="O1440" s="2933"/>
      <c r="P1440" s="2933"/>
      <c r="Q1440" s="3082" t="s">
        <v>1314</v>
      </c>
    </row>
    <row r="1441" spans="1:17" ht="15">
      <c r="A1441" s="2912"/>
      <c r="B1441" s="3116"/>
      <c r="C1441" s="3081"/>
      <c r="D1441" s="3081"/>
      <c r="E1441" s="3081"/>
      <c r="F1441" s="3081"/>
      <c r="G1441" s="3102"/>
      <c r="H1441" s="3081"/>
      <c r="I1441" s="3081"/>
      <c r="J1441" s="527"/>
      <c r="K1441" s="527"/>
      <c r="L1441" s="3081"/>
      <c r="M1441" s="3115"/>
      <c r="N1441" s="3116"/>
      <c r="O1441" s="3115"/>
      <c r="P1441" s="3115"/>
      <c r="Q1441" s="3081"/>
    </row>
    <row r="1442" spans="1:17" ht="15">
      <c r="A1442" s="3078" t="s">
        <v>1284</v>
      </c>
      <c r="B1442" s="3079" t="s">
        <v>2768</v>
      </c>
      <c r="C1442" s="3081"/>
      <c r="D1442" s="3102"/>
      <c r="E1442" s="524" t="s">
        <v>1451</v>
      </c>
      <c r="F1442" s="3081"/>
      <c r="G1442" s="3081"/>
      <c r="H1442" s="3081"/>
      <c r="I1442" s="2958" t="s">
        <v>1976</v>
      </c>
      <c r="J1442" s="3081"/>
      <c r="K1442" s="3081"/>
      <c r="L1442" s="3081"/>
      <c r="M1442" s="2891">
        <v>2</v>
      </c>
      <c r="N1442" s="3117" t="str">
        <f>IF(OR($O1442=$M1442,$O1442=0,$O1442=""),"","***")</f>
        <v/>
      </c>
      <c r="O1442" s="2891">
        <f>'Part IX A-Scoring Criteria'!O69</f>
        <v>0</v>
      </c>
      <c r="P1442" s="2891">
        <f>'Part IX A-Scoring Criteria'!P69</f>
        <v>0</v>
      </c>
      <c r="Q1442" s="2891" t="s">
        <v>458</v>
      </c>
    </row>
    <row r="1443" spans="1:17" ht="15">
      <c r="A1443" s="3035" t="s">
        <v>2081</v>
      </c>
      <c r="B1443" s="573" t="s">
        <v>2755</v>
      </c>
      <c r="C1443" s="3081"/>
      <c r="D1443" s="3102"/>
      <c r="E1443" s="524"/>
      <c r="F1443" s="3081"/>
      <c r="G1443" s="3081"/>
      <c r="H1443" s="3081"/>
      <c r="I1443" s="3081"/>
      <c r="K1443" s="2949" t="str">
        <f>'Part IX A-Scoring Criteria'!K70</f>
        <v>N/A</v>
      </c>
      <c r="L1443" s="2949"/>
      <c r="M1443" s="2949"/>
      <c r="N1443" s="3081"/>
      <c r="O1443" s="3081"/>
      <c r="P1443" s="2967"/>
      <c r="Q1443" s="2891"/>
    </row>
    <row r="1444" spans="1:17" ht="15">
      <c r="A1444" s="3035" t="s">
        <v>2084</v>
      </c>
      <c r="B1444" s="573" t="s">
        <v>3990</v>
      </c>
      <c r="C1444" s="3081"/>
      <c r="D1444" s="3102"/>
      <c r="E1444" s="524"/>
      <c r="F1444" s="3081"/>
      <c r="G1444" s="3081"/>
      <c r="H1444" s="3081"/>
      <c r="I1444" s="3081"/>
      <c r="K1444" s="2949">
        <f>'Part IX A-Scoring Criteria'!K71</f>
        <v>0</v>
      </c>
      <c r="L1444" s="2949"/>
      <c r="M1444" s="2949"/>
      <c r="N1444" s="3081"/>
      <c r="O1444" s="3056" t="s">
        <v>2636</v>
      </c>
      <c r="P1444" s="3056" t="s">
        <v>2636</v>
      </c>
      <c r="Q1444" s="2891"/>
    </row>
    <row r="1445" spans="1:17" ht="15">
      <c r="A1445" s="3045" t="s">
        <v>789</v>
      </c>
      <c r="B1445" s="573" t="s">
        <v>4198</v>
      </c>
      <c r="C1445" s="3081"/>
      <c r="D1445" s="3102"/>
      <c r="E1445" s="524"/>
      <c r="F1445" s="3081"/>
      <c r="G1445" s="3081"/>
      <c r="H1445" s="3081"/>
      <c r="I1445" s="3081"/>
      <c r="J1445" s="3081"/>
      <c r="K1445" s="3081"/>
      <c r="L1445" s="3081"/>
      <c r="M1445" s="3081"/>
      <c r="N1445" s="3103" t="s">
        <v>789</v>
      </c>
      <c r="O1445" s="3110" t="str">
        <f>'Part IX A-Scoring Criteria'!O72</f>
        <v>No</v>
      </c>
      <c r="P1445" s="3110">
        <f>'Part IX A-Scoring Criteria'!P72</f>
        <v>0</v>
      </c>
      <c r="Q1445" s="2891"/>
    </row>
    <row r="1446" spans="1:17" ht="15">
      <c r="A1446" s="523"/>
      <c r="B1446" s="2958" t="s">
        <v>267</v>
      </c>
      <c r="C1446" s="523"/>
      <c r="D1446" s="527"/>
      <c r="E1446" s="527"/>
      <c r="F1446" s="527"/>
      <c r="G1446" s="527"/>
      <c r="H1446" s="3115"/>
      <c r="I1446" s="524"/>
      <c r="J1446" s="524"/>
      <c r="K1446" s="524"/>
      <c r="L1446" s="3115"/>
      <c r="M1446" s="2883"/>
      <c r="N1446" s="2883"/>
      <c r="O1446" s="3077"/>
      <c r="P1446" s="2891"/>
      <c r="Q1446" s="3115"/>
    </row>
    <row r="1447" spans="1:17" ht="15.75">
      <c r="A1447" s="2933">
        <f>'Part IX A-Scoring Criteria'!A74</f>
        <v>0</v>
      </c>
      <c r="B1447" s="2933"/>
      <c r="C1447" s="2933"/>
      <c r="D1447" s="2933"/>
      <c r="E1447" s="2933"/>
      <c r="F1447" s="2933"/>
      <c r="G1447" s="2933"/>
      <c r="H1447" s="2933"/>
      <c r="I1447" s="2933"/>
      <c r="J1447" s="2933"/>
      <c r="K1447" s="2933"/>
      <c r="L1447" s="2933"/>
      <c r="M1447" s="2933"/>
      <c r="N1447" s="2933"/>
      <c r="O1447" s="2933"/>
      <c r="P1447" s="2933"/>
      <c r="Q1447" s="3082" t="s">
        <v>1314</v>
      </c>
    </row>
    <row r="1448" spans="1:17" ht="15">
      <c r="A1448" s="523"/>
      <c r="B1448" s="2958" t="s">
        <v>1960</v>
      </c>
      <c r="C1448" s="523"/>
      <c r="D1448" s="2998"/>
      <c r="E1448" s="3000"/>
      <c r="F1448" s="3000"/>
      <c r="G1448" s="3000"/>
      <c r="H1448" s="3000"/>
      <c r="I1448" s="3000"/>
      <c r="J1448" s="3000"/>
      <c r="K1448" s="3000"/>
      <c r="L1448" s="3000"/>
      <c r="M1448" s="3000"/>
      <c r="N1448" s="3100"/>
      <c r="O1448" s="3101"/>
      <c r="P1448" s="2891"/>
      <c r="Q1448" s="3089"/>
    </row>
    <row r="1449" spans="1:17" ht="15.75">
      <c r="A1449" s="2933">
        <f>'Part IX A-Scoring Criteria'!A76</f>
        <v>0</v>
      </c>
      <c r="B1449" s="2933"/>
      <c r="C1449" s="2933"/>
      <c r="D1449" s="2933"/>
      <c r="E1449" s="2933"/>
      <c r="F1449" s="2933"/>
      <c r="G1449" s="2933"/>
      <c r="H1449" s="2933"/>
      <c r="I1449" s="2933"/>
      <c r="J1449" s="2933"/>
      <c r="K1449" s="2933"/>
      <c r="L1449" s="2933"/>
      <c r="M1449" s="2933"/>
      <c r="N1449" s="2933"/>
      <c r="O1449" s="2933"/>
      <c r="P1449" s="2933"/>
      <c r="Q1449" s="3082" t="s">
        <v>1314</v>
      </c>
    </row>
    <row r="1450" spans="1:17">
      <c r="N1450" s="2877"/>
      <c r="O1450" s="2879"/>
      <c r="P1450" s="2879"/>
    </row>
    <row r="1451" spans="1:17" ht="15">
      <c r="A1451" s="3078" t="s">
        <v>1978</v>
      </c>
      <c r="B1451" s="3079" t="s">
        <v>223</v>
      </c>
      <c r="C1451" s="3081"/>
      <c r="D1451" s="524"/>
      <c r="E1451" s="524"/>
      <c r="F1451" s="3081"/>
      <c r="G1451" s="3081"/>
      <c r="H1451" s="3081"/>
      <c r="I1451" s="3081"/>
      <c r="J1451" s="3081"/>
      <c r="K1451" s="3081"/>
      <c r="L1451" s="3081"/>
      <c r="M1451" s="2891">
        <v>3</v>
      </c>
      <c r="N1451" s="3117"/>
      <c r="O1451" s="3077">
        <f>'Part IX A-Scoring Criteria'!O78</f>
        <v>3</v>
      </c>
      <c r="P1451" s="3077">
        <f>'Part IX A-Scoring Criteria'!P78</f>
        <v>0</v>
      </c>
      <c r="Q1451" s="2891" t="s">
        <v>458</v>
      </c>
    </row>
    <row r="1452" spans="1:17" ht="15">
      <c r="A1452" s="3078"/>
      <c r="B1452" s="2995" t="s">
        <v>4610</v>
      </c>
      <c r="C1452" s="3081"/>
      <c r="D1452" s="3081"/>
      <c r="E1452" s="3081"/>
      <c r="F1452" s="3081"/>
      <c r="G1452" s="3081"/>
      <c r="H1452" s="3081"/>
      <c r="I1452" s="2863" t="str">
        <f>'Part IX A-Scoring Criteria'!I79</f>
        <v>Earth Craft House Multifamily</v>
      </c>
      <c r="J1452" s="2863"/>
      <c r="K1452" s="2863"/>
      <c r="L1452" s="3081"/>
      <c r="M1452" s="2891"/>
      <c r="N1452" s="3117"/>
      <c r="O1452" s="2883"/>
      <c r="P1452" s="2883"/>
      <c r="Q1452" s="2891"/>
    </row>
    <row r="1453" spans="1:17" ht="15">
      <c r="A1453" s="3078"/>
      <c r="B1453" s="2991" t="s">
        <v>3102</v>
      </c>
      <c r="C1453" s="3081"/>
      <c r="D1453" s="3081"/>
      <c r="E1453" s="3081"/>
      <c r="F1453" s="3081"/>
      <c r="G1453" s="3102"/>
      <c r="H1453" s="3102"/>
      <c r="I1453" s="2991" t="str">
        <f>'Part I-Project Information'!$H$90</f>
        <v>Flexible</v>
      </c>
      <c r="J1453" s="3081"/>
      <c r="L1453" s="3081"/>
      <c r="M1453" s="2891"/>
      <c r="N1453" s="3117"/>
      <c r="O1453" s="2883"/>
      <c r="P1453" s="2883"/>
      <c r="Q1453" s="2891"/>
    </row>
    <row r="1454" spans="1:17">
      <c r="A1454" s="3045" t="s">
        <v>2081</v>
      </c>
      <c r="B1454" s="2898" t="s">
        <v>2437</v>
      </c>
      <c r="D1454" s="523"/>
      <c r="M1454" s="2883">
        <v>3</v>
      </c>
      <c r="O1454" s="3056" t="s">
        <v>2636</v>
      </c>
      <c r="P1454" s="3056" t="s">
        <v>2636</v>
      </c>
    </row>
    <row r="1455" spans="1:17" ht="15">
      <c r="A1455" s="3081"/>
      <c r="B1455" s="3118" t="s">
        <v>2847</v>
      </c>
      <c r="C1455" s="3081"/>
      <c r="D1455" s="3102"/>
      <c r="E1455" s="3081"/>
      <c r="F1455" s="3081"/>
      <c r="G1455" s="3081"/>
      <c r="H1455" s="3081"/>
      <c r="I1455" s="3081"/>
      <c r="J1455" s="3081"/>
      <c r="K1455" s="3081"/>
      <c r="L1455" s="3081"/>
      <c r="M1455" s="2891"/>
      <c r="N1455" s="3103" t="s">
        <v>2081</v>
      </c>
      <c r="O1455" s="3110" t="str">
        <f>'Part IX A-Scoring Criteria'!O82</f>
        <v>No</v>
      </c>
      <c r="P1455" s="3110">
        <f>'Part IX A-Scoring Criteria'!P82</f>
        <v>0</v>
      </c>
      <c r="Q1455" s="2891"/>
    </row>
    <row r="1456" spans="1:17">
      <c r="B1456" s="3119" t="s">
        <v>2085</v>
      </c>
      <c r="C1456" s="3048" t="s">
        <v>2756</v>
      </c>
    </row>
    <row r="1457" spans="1:17">
      <c r="A1457" s="3120" t="str">
        <f>IF(AND(O1457="",$I$79="Earth Craft Communities"), "X","")</f>
        <v/>
      </c>
      <c r="B1457" s="3042"/>
      <c r="C1457" s="2933" t="s">
        <v>2758</v>
      </c>
      <c r="D1457" s="2933"/>
      <c r="E1457" s="2933"/>
      <c r="F1457" s="2933"/>
      <c r="G1457" s="2933"/>
      <c r="H1457" s="2933"/>
      <c r="I1457" s="2933"/>
      <c r="J1457" s="2933"/>
      <c r="K1457" s="2933"/>
      <c r="L1457" s="2933"/>
      <c r="M1457" s="2910" t="str">
        <f>IF(AND($I$103="Stable Communities &lt; 10%",O1457=""), "X","")</f>
        <v/>
      </c>
      <c r="N1457" s="3121" t="s">
        <v>2085</v>
      </c>
      <c r="O1457" s="3110" t="str">
        <f>'Part IX A-Scoring Criteria'!O84</f>
        <v>N/a</v>
      </c>
      <c r="P1457" s="3110">
        <f>'Part IX A-Scoring Criteria'!P84</f>
        <v>0</v>
      </c>
    </row>
    <row r="1458" spans="1:17">
      <c r="B1458" s="3119" t="s">
        <v>2087</v>
      </c>
      <c r="C1458" s="3048" t="s">
        <v>2757</v>
      </c>
      <c r="M1458" s="2912"/>
      <c r="O1458" s="3056" t="s">
        <v>2636</v>
      </c>
      <c r="P1458" s="3056" t="s">
        <v>2636</v>
      </c>
    </row>
    <row r="1459" spans="1:17">
      <c r="A1459" s="3120" t="str">
        <f>IF(AND(O1459="",$I$79="LEED-ND"), "X","")</f>
        <v/>
      </c>
      <c r="B1459" s="3042"/>
      <c r="C1459" s="2933" t="s">
        <v>2908</v>
      </c>
      <c r="D1459" s="2933"/>
      <c r="E1459" s="2933"/>
      <c r="F1459" s="2933"/>
      <c r="G1459" s="2933"/>
      <c r="H1459" s="2933"/>
      <c r="I1459" s="2933"/>
      <c r="J1459" s="2933"/>
      <c r="K1459" s="2933"/>
      <c r="L1459" s="2933"/>
      <c r="M1459" s="2910" t="str">
        <f>IF(AND($I$103="Stable Communities &lt; 10%",O1459=""), "X","")</f>
        <v/>
      </c>
      <c r="N1459" s="3121" t="s">
        <v>2087</v>
      </c>
      <c r="O1459" s="3110" t="str">
        <f>'Part IX A-Scoring Criteria'!O86</f>
        <v>N/a</v>
      </c>
      <c r="P1459" s="3110">
        <f>'Part IX A-Scoring Criteria'!P86</f>
        <v>0</v>
      </c>
    </row>
    <row r="1460" spans="1:17">
      <c r="A1460" s="3045" t="s">
        <v>2084</v>
      </c>
      <c r="B1460" s="2898" t="s">
        <v>323</v>
      </c>
      <c r="D1460" s="523"/>
      <c r="E1460" s="523"/>
      <c r="F1460" s="523"/>
      <c r="M1460" s="2883">
        <v>2</v>
      </c>
      <c r="N1460" s="3103" t="s">
        <v>2084</v>
      </c>
      <c r="O1460" s="3056" t="s">
        <v>2636</v>
      </c>
      <c r="P1460" s="3056" t="s">
        <v>2636</v>
      </c>
    </row>
    <row r="1461" spans="1:17" ht="15">
      <c r="A1461" s="2879" t="str">
        <f>IF(AND(O1461="",OR($I$79="Earth Craft House Single Family",$I$79="Earth Craft House Multifamily",$I$79="Earth Craft House Renovation",$I$79="EF Green Communities",$I$79="LEED for Homes",$I$79="NAHB Natl Green Bdlg Stds",$I$79="EnergyStar v3")), "X","")</f>
        <v/>
      </c>
      <c r="B1461" s="3121" t="s">
        <v>2085</v>
      </c>
      <c r="C1461" s="3055" t="s">
        <v>2912</v>
      </c>
      <c r="D1461" s="3102"/>
      <c r="E1461" s="3081"/>
      <c r="F1461" s="3081"/>
      <c r="G1461" s="3081"/>
      <c r="H1461" s="3081"/>
      <c r="I1461" s="3081"/>
      <c r="J1461" s="3081"/>
      <c r="K1461" s="3081"/>
      <c r="L1461" s="3081"/>
      <c r="M1461" s="2891"/>
      <c r="N1461" s="3121" t="s">
        <v>2085</v>
      </c>
      <c r="O1461" s="3110" t="str">
        <f>'Part IX A-Scoring Criteria'!O88</f>
        <v>Yes</v>
      </c>
      <c r="P1461" s="3110">
        <f>'Part IX A-Scoring Criteria'!P88</f>
        <v>0</v>
      </c>
      <c r="Q1461" s="2891"/>
    </row>
    <row r="1462" spans="1:17" ht="15">
      <c r="A1462" s="2879" t="str">
        <f>IF(AND(O1462="",OR($I$79="Earth Craft House Single Family",$I$79="Earth Craft House Multifamily",$I$79="Earth Craft House Renovation",$I$79="EF Green Communities",$I$79="LEED for Homes",$I$79="NAHB Natl Green Bdlg Stds",$I$79="EnergyStar v3")), "X","")</f>
        <v/>
      </c>
      <c r="B1462" s="3121" t="s">
        <v>2087</v>
      </c>
      <c r="C1462" s="3055" t="s">
        <v>2909</v>
      </c>
      <c r="D1462" s="3102"/>
      <c r="E1462" s="3081"/>
      <c r="F1462" s="3081"/>
      <c r="G1462" s="3081"/>
      <c r="H1462" s="3081"/>
      <c r="I1462" s="3081"/>
      <c r="J1462" s="3081"/>
      <c r="K1462" s="3081"/>
      <c r="L1462" s="3081"/>
      <c r="M1462" s="2891"/>
      <c r="N1462" s="3121" t="s">
        <v>2087</v>
      </c>
      <c r="O1462" s="3110" t="str">
        <f>'Part IX A-Scoring Criteria'!O89</f>
        <v>Yes</v>
      </c>
      <c r="P1462" s="3110">
        <f>'Part IX A-Scoring Criteria'!P89</f>
        <v>0</v>
      </c>
      <c r="Q1462" s="2891"/>
    </row>
    <row r="1463" spans="1:17" ht="15">
      <c r="A1463" s="2879" t="str">
        <f>IF(AND(O1463="",OR($I$79="Earth Craft House Single Family",$I$79="Earth Craft House Multifamily",$I$79="Earth Craft House Renovation",$I$79="EF Green Communities",$I$79="LEED for Homes",$I$79="NAHB Natl Green Bdlg Stds",$I$79="EnergyStar v3")), "X","")</f>
        <v/>
      </c>
      <c r="B1463" s="3121" t="s">
        <v>2661</v>
      </c>
      <c r="C1463" s="3055" t="s">
        <v>2910</v>
      </c>
      <c r="D1463" s="3102"/>
      <c r="E1463" s="3081"/>
      <c r="F1463" s="3081"/>
      <c r="G1463" s="3081"/>
      <c r="H1463" s="3081"/>
      <c r="I1463" s="3081"/>
      <c r="J1463" s="3081"/>
      <c r="K1463" s="3081"/>
      <c r="L1463" s="3081"/>
      <c r="M1463" s="2891"/>
      <c r="N1463" s="3121" t="s">
        <v>2661</v>
      </c>
      <c r="O1463" s="3110" t="str">
        <f>'Part IX A-Scoring Criteria'!O90</f>
        <v>Yes</v>
      </c>
      <c r="P1463" s="3110">
        <f>'Part IX A-Scoring Criteria'!P90</f>
        <v>0</v>
      </c>
      <c r="Q1463" s="2891"/>
    </row>
    <row r="1464" spans="1:17" ht="15">
      <c r="A1464" s="2879" t="str">
        <f>IF(AND(O1464="",OR($I$79="Earth Craft House Single Family",$I$79="Earth Craft House Multifamily",$I$79="Earth Craft House Renovation",$I$79="EF Green Communities",$I$79="LEED for Homes",$I$79="NAHB Natl Green Bdlg Stds",$I$79="EnergyStar v3")), "X","")</f>
        <v/>
      </c>
      <c r="B1464" s="3121" t="s">
        <v>1283</v>
      </c>
      <c r="C1464" s="3055" t="s">
        <v>2911</v>
      </c>
      <c r="D1464" s="3102"/>
      <c r="E1464" s="3081"/>
      <c r="F1464" s="3081"/>
      <c r="G1464" s="3081"/>
      <c r="H1464" s="3081"/>
      <c r="I1464" s="3081"/>
      <c r="J1464" s="3081"/>
      <c r="K1464" s="3081"/>
      <c r="L1464" s="3081"/>
      <c r="M1464" s="2891"/>
      <c r="N1464" s="3121" t="s">
        <v>1283</v>
      </c>
      <c r="O1464" s="3110" t="str">
        <f>'Part IX A-Scoring Criteria'!O91</f>
        <v>Yes</v>
      </c>
      <c r="P1464" s="3110">
        <f>'Part IX A-Scoring Criteria'!P91</f>
        <v>0</v>
      </c>
      <c r="Q1464" s="2891"/>
    </row>
    <row r="1465" spans="1:17">
      <c r="B1465" s="3042"/>
      <c r="E1465" s="3032"/>
      <c r="F1465" s="3032"/>
      <c r="I1465" s="3032"/>
      <c r="J1465" s="3032"/>
      <c r="K1465" s="3032"/>
      <c r="M1465" s="2910"/>
      <c r="N1465" s="2910"/>
      <c r="O1465" s="2910"/>
      <c r="P1465" s="2910"/>
    </row>
    <row r="1466" spans="1:17" ht="13.5">
      <c r="A1466" s="3045" t="s">
        <v>789</v>
      </c>
      <c r="B1466" s="2898" t="s">
        <v>3851</v>
      </c>
      <c r="D1466" s="523"/>
      <c r="E1466" s="523"/>
      <c r="I1466" s="2949" t="s">
        <v>4061</v>
      </c>
      <c r="J1466" s="2949"/>
      <c r="K1466" s="2949"/>
      <c r="L1466" s="2949"/>
      <c r="M1466" s="2883">
        <v>1</v>
      </c>
      <c r="N1466" s="3103" t="s">
        <v>789</v>
      </c>
      <c r="O1466" s="2891">
        <f>'Part IX A-Scoring Criteria'!O93</f>
        <v>1</v>
      </c>
      <c r="P1466" s="2891">
        <f>'Part IX A-Scoring Criteria'!P93</f>
        <v>0</v>
      </c>
      <c r="Q1466" s="2936" t="s">
        <v>2877</v>
      </c>
    </row>
    <row r="1467" spans="1:17" s="3126" customFormat="1" ht="11.25" customHeight="1">
      <c r="A1467" s="3122" t="str">
        <f>IF(AND(O1467="",OR($I$79="Earth Craft House Single Family",$I$79="Earth Craft House Multifamily",$I$79="Earth Craft House Renovation",$I$79="EF Green Communities",$I$79="LEED for Homes",$I$79="NAHB Natl Green Bdlg Stds",$I$79="EnergyStar v3")), "X","")</f>
        <v/>
      </c>
      <c r="B1467" s="3123" t="s">
        <v>2085</v>
      </c>
      <c r="C1467" s="3124" t="s">
        <v>4385</v>
      </c>
      <c r="D1467" s="3125"/>
      <c r="M1467" s="1279"/>
      <c r="N1467" s="3123" t="s">
        <v>2085</v>
      </c>
      <c r="O1467" s="3110" t="str">
        <f>'Part IX A-Scoring Criteria'!O94</f>
        <v>Yes</v>
      </c>
      <c r="P1467" s="3110">
        <f>'Part IX A-Scoring Criteria'!P94</f>
        <v>0</v>
      </c>
      <c r="Q1467" s="1279"/>
    </row>
    <row r="1468" spans="1:17" s="3129" customFormat="1" ht="11.45" customHeight="1">
      <c r="A1468" s="3127"/>
      <c r="B1468" s="3123" t="s">
        <v>2087</v>
      </c>
      <c r="C1468" s="3128" t="s">
        <v>4384</v>
      </c>
      <c r="D1468" s="3128"/>
      <c r="H1468" s="3130" t="s">
        <v>2087</v>
      </c>
      <c r="I1468" s="2995" t="str">
        <f>'Part IX A-Scoring Criteria'!I95</f>
        <v>Mike Kleffner</v>
      </c>
      <c r="J1468" s="3051"/>
      <c r="K1468" s="2995"/>
      <c r="L1468" s="3051"/>
    </row>
    <row r="1469" spans="1:17" s="3129" customFormat="1" ht="11.45" customHeight="1">
      <c r="A1469" s="3127"/>
      <c r="B1469" s="3123" t="s">
        <v>2661</v>
      </c>
      <c r="C1469" s="3128" t="s">
        <v>4045</v>
      </c>
      <c r="D1469" s="3128"/>
      <c r="H1469" s="3130" t="s">
        <v>2661</v>
      </c>
      <c r="I1469" s="2995" t="str">
        <f>'Part IX A-Scoring Criteria'!I96</f>
        <v>AIA, NCARB, LEED AP - BD&amp;C</v>
      </c>
      <c r="J1469" s="524"/>
      <c r="K1469" s="524"/>
      <c r="L1469" s="524"/>
      <c r="M1469" s="3128"/>
      <c r="N1469" s="3128"/>
      <c r="O1469" s="3128"/>
      <c r="P1469" s="3128"/>
    </row>
    <row r="1470" spans="1:17" ht="15">
      <c r="A1470" s="523"/>
      <c r="B1470" s="2958" t="s">
        <v>267</v>
      </c>
      <c r="C1470" s="523"/>
      <c r="D1470" s="527"/>
      <c r="E1470" s="527"/>
      <c r="F1470" s="527"/>
      <c r="G1470" s="527"/>
      <c r="H1470" s="3115"/>
      <c r="I1470" s="3115"/>
      <c r="J1470" s="3115"/>
      <c r="K1470" s="524"/>
      <c r="L1470" s="3115"/>
      <c r="M1470" s="2883"/>
      <c r="N1470" s="2883"/>
      <c r="O1470" s="3077"/>
      <c r="P1470" s="2891"/>
      <c r="Q1470" s="3115"/>
    </row>
    <row r="1471" spans="1:17" ht="15.75">
      <c r="A1471" s="2933" t="str">
        <f>'Part IX A-Scoring Criteria'!A98</f>
        <v>The charette will be held after tax credit award announcements are made.</v>
      </c>
      <c r="B1471" s="2933"/>
      <c r="C1471" s="2933"/>
      <c r="D1471" s="2933"/>
      <c r="E1471" s="2933"/>
      <c r="F1471" s="2933"/>
      <c r="G1471" s="2933"/>
      <c r="H1471" s="2933"/>
      <c r="I1471" s="2933"/>
      <c r="J1471" s="2933"/>
      <c r="K1471" s="2933"/>
      <c r="L1471" s="2933"/>
      <c r="M1471" s="2933"/>
      <c r="N1471" s="2933"/>
      <c r="O1471" s="2933"/>
      <c r="P1471" s="2933"/>
      <c r="Q1471" s="3082" t="s">
        <v>1314</v>
      </c>
    </row>
    <row r="1472" spans="1:17" ht="15">
      <c r="A1472" s="523"/>
      <c r="B1472" s="2958" t="s">
        <v>1960</v>
      </c>
      <c r="C1472" s="523"/>
      <c r="D1472" s="2998"/>
      <c r="E1472" s="3000"/>
      <c r="F1472" s="3000"/>
      <c r="G1472" s="3000"/>
      <c r="H1472" s="3000"/>
      <c r="I1472" s="3000"/>
      <c r="J1472" s="3000"/>
      <c r="K1472" s="3000"/>
      <c r="L1472" s="3000"/>
      <c r="M1472" s="3000"/>
      <c r="N1472" s="3100"/>
      <c r="O1472" s="3101"/>
      <c r="P1472" s="2891"/>
      <c r="Q1472" s="3089"/>
    </row>
    <row r="1473" spans="1:17" ht="15.75">
      <c r="A1473" s="2933">
        <f>'Part IX A-Scoring Criteria'!A100</f>
        <v>0</v>
      </c>
      <c r="B1473" s="2933"/>
      <c r="C1473" s="2933"/>
      <c r="D1473" s="2933"/>
      <c r="E1473" s="2933"/>
      <c r="F1473" s="2933"/>
      <c r="G1473" s="2933"/>
      <c r="H1473" s="2933"/>
      <c r="I1473" s="2933"/>
      <c r="J1473" s="2933"/>
      <c r="K1473" s="2933"/>
      <c r="L1473" s="2933"/>
      <c r="M1473" s="2933"/>
      <c r="N1473" s="2933"/>
      <c r="O1473" s="2933"/>
      <c r="P1473" s="2933"/>
      <c r="Q1473" s="3082" t="s">
        <v>1314</v>
      </c>
    </row>
    <row r="1474" spans="1:17" ht="15">
      <c r="A1474" s="523"/>
      <c r="B1474" s="3081"/>
      <c r="C1474" s="3081"/>
      <c r="D1474" s="524"/>
      <c r="E1474" s="524"/>
      <c r="F1474" s="2891"/>
      <c r="G1474" s="2891"/>
      <c r="H1474" s="2891"/>
      <c r="I1474" s="2891"/>
      <c r="J1474" s="2995"/>
      <c r="K1474" s="2995"/>
      <c r="L1474" s="2995"/>
      <c r="M1474" s="2992"/>
      <c r="N1474" s="2891"/>
      <c r="O1474" s="2879"/>
      <c r="P1474" s="3077"/>
      <c r="Q1474" s="3081"/>
    </row>
    <row r="1475" spans="1:17" ht="15">
      <c r="A1475" s="3078" t="s">
        <v>526</v>
      </c>
      <c r="B1475" s="3079" t="s">
        <v>3094</v>
      </c>
      <c r="C1475" s="3115"/>
      <c r="D1475" s="3085"/>
      <c r="E1475" s="3085"/>
      <c r="F1475" s="3115"/>
      <c r="G1475" s="3115"/>
      <c r="H1475" s="524" t="s">
        <v>4371</v>
      </c>
      <c r="I1475" s="3115"/>
      <c r="J1475" s="3115"/>
      <c r="K1475" s="3115"/>
      <c r="L1475" s="3115"/>
      <c r="M1475" s="2891">
        <v>4</v>
      </c>
      <c r="N1475" s="2883"/>
      <c r="O1475" s="3077">
        <f>'Part IX A-Scoring Criteria'!O102</f>
        <v>3</v>
      </c>
      <c r="P1475" s="2891">
        <f>'Part IX A-Scoring Criteria'!P102</f>
        <v>0</v>
      </c>
      <c r="Q1475" s="2891" t="s">
        <v>458</v>
      </c>
    </row>
    <row r="1476" spans="1:17">
      <c r="A1476" s="3045"/>
      <c r="B1476" s="2898" t="s">
        <v>3102</v>
      </c>
      <c r="C1476" s="2884"/>
      <c r="D1476" s="2884"/>
      <c r="E1476" s="2898" t="str">
        <f>'Part I-Project Information'!$H$90</f>
        <v>Flexible</v>
      </c>
      <c r="M1476" s="2883"/>
      <c r="O1476" s="3056" t="s">
        <v>2636</v>
      </c>
      <c r="P1476" s="3056" t="s">
        <v>2636</v>
      </c>
    </row>
    <row r="1477" spans="1:17">
      <c r="A1477" s="2879" t="str">
        <f>IF($I$103="Stable Communities &lt; 5%", "*","")</f>
        <v/>
      </c>
      <c r="B1477" s="3119" t="s">
        <v>2085</v>
      </c>
      <c r="C1477" s="507" t="s">
        <v>2839</v>
      </c>
      <c r="M1477" s="2877"/>
      <c r="O1477" s="3110" t="str">
        <f>'Part IX A-Scoring Criteria'!O104</f>
        <v>Yes</v>
      </c>
      <c r="P1477" s="3110">
        <f>'Part IX A-Scoring Criteria'!P104</f>
        <v>0</v>
      </c>
    </row>
    <row r="1478" spans="1:17">
      <c r="B1478" s="3119" t="s">
        <v>2087</v>
      </c>
      <c r="C1478" s="507" t="s">
        <v>2927</v>
      </c>
      <c r="D1478" s="3131">
        <f>'Part IX A-Scoring Criteria'!D105</f>
        <v>0.1</v>
      </c>
      <c r="E1478" s="507" t="s">
        <v>2928</v>
      </c>
      <c r="G1478" s="507" t="s">
        <v>2506</v>
      </c>
      <c r="I1478" s="524" t="s">
        <v>2926</v>
      </c>
      <c r="J1478" s="3132">
        <f>'Part IX A-Scoring Criteria'!J105</f>
        <v>7.7600000000000002E-2</v>
      </c>
      <c r="K1478" s="526" t="str">
        <f>IF(J1478&gt;D1478,"CHECK ACTUAL PERCENT!!!","")</f>
        <v/>
      </c>
      <c r="M1478" s="2891"/>
      <c r="N1478" s="3046"/>
      <c r="O1478" s="2879"/>
      <c r="P1478" s="2879"/>
    </row>
    <row r="1479" spans="1:17">
      <c r="B1479" s="3119" t="s">
        <v>2661</v>
      </c>
      <c r="C1479" s="507" t="s">
        <v>2507</v>
      </c>
      <c r="G1479" s="507" t="s">
        <v>2508</v>
      </c>
      <c r="I1479" s="3118" t="s">
        <v>2917</v>
      </c>
      <c r="J1479" s="3118" t="str">
        <f>'Part IX A-Scoring Criteria'!J106</f>
        <v>Middle</v>
      </c>
      <c r="M1479" s="2891"/>
      <c r="N1479" s="2877"/>
      <c r="O1479" s="2879"/>
      <c r="P1479" s="2879"/>
    </row>
    <row r="1480" spans="1:17">
      <c r="B1480" s="3119" t="s">
        <v>1283</v>
      </c>
      <c r="C1480" s="507" t="s">
        <v>4063</v>
      </c>
      <c r="E1480" s="507" t="s">
        <v>4066</v>
      </c>
      <c r="H1480" s="507"/>
      <c r="I1480" s="524"/>
      <c r="J1480" s="3133">
        <f>'Part IX A-Scoring Criteria'!J107</f>
        <v>73241</v>
      </c>
      <c r="K1480" s="3056" t="s">
        <v>4067</v>
      </c>
      <c r="M1480" s="2891"/>
      <c r="N1480" s="2877"/>
      <c r="O1480" s="2879"/>
      <c r="P1480" s="2879"/>
    </row>
    <row r="1481" spans="1:17">
      <c r="B1481" s="3119"/>
      <c r="C1481" s="507"/>
      <c r="E1481" s="507" t="s">
        <v>4064</v>
      </c>
      <c r="H1481" s="507"/>
      <c r="I1481" s="524"/>
      <c r="J1481" s="3133">
        <f>'Part IX A-Scoring Criteria'!J108</f>
        <v>65900</v>
      </c>
      <c r="K1481" s="3056" t="str">
        <f>IF($J$108&gt;J1481,"Yes", "No")</f>
        <v>No</v>
      </c>
      <c r="M1481" s="2891"/>
      <c r="N1481" s="2877"/>
      <c r="O1481" s="2879"/>
      <c r="P1481" s="2879"/>
    </row>
    <row r="1482" spans="1:17">
      <c r="B1482" s="3119"/>
      <c r="C1482" s="507"/>
      <c r="E1482" s="507" t="s">
        <v>4065</v>
      </c>
      <c r="H1482" s="507"/>
      <c r="I1482" s="524"/>
      <c r="J1482" s="3133">
        <f>'Part IX A-Scoring Criteria'!J109</f>
        <v>0</v>
      </c>
      <c r="K1482" s="3056" t="str">
        <f>IF($J$108&gt;J1482,"Yes", "No")</f>
        <v>No</v>
      </c>
      <c r="M1482" s="2891"/>
      <c r="N1482" s="2877"/>
      <c r="O1482" s="2879"/>
      <c r="P1482" s="2879"/>
    </row>
    <row r="1483" spans="1:17" ht="15">
      <c r="A1483" s="523"/>
      <c r="B1483" s="2958" t="s">
        <v>267</v>
      </c>
      <c r="C1483" s="523"/>
      <c r="D1483" s="527"/>
      <c r="E1483" s="527"/>
      <c r="F1483" s="527"/>
      <c r="G1483" s="527"/>
      <c r="H1483" s="524"/>
      <c r="I1483" s="524"/>
      <c r="J1483" s="524"/>
      <c r="K1483" s="524"/>
      <c r="L1483" s="3081"/>
      <c r="M1483" s="2883"/>
      <c r="N1483" s="2877"/>
      <c r="O1483" s="3077"/>
      <c r="P1483" s="2879"/>
      <c r="Q1483" s="3081"/>
    </row>
    <row r="1484" spans="1:17" ht="15.75">
      <c r="A1484" s="2933" t="str">
        <f>'Part IX A-Scoring Criteria'!A111</f>
        <v>Proposed site is situated in a stable community as outlined by above criteria.  There is not a tract 9999.99 listed for Houston County on the FFIEC website.</v>
      </c>
      <c r="B1484" s="2933"/>
      <c r="C1484" s="2933"/>
      <c r="D1484" s="2933"/>
      <c r="E1484" s="2933"/>
      <c r="F1484" s="2933"/>
      <c r="G1484" s="2933"/>
      <c r="H1484" s="2933"/>
      <c r="I1484" s="2933"/>
      <c r="J1484" s="2933"/>
      <c r="K1484" s="2933"/>
      <c r="L1484" s="2933"/>
      <c r="M1484" s="2933"/>
      <c r="N1484" s="2933"/>
      <c r="O1484" s="2933"/>
      <c r="P1484" s="2933"/>
      <c r="Q1484" s="3082" t="s">
        <v>1314</v>
      </c>
    </row>
    <row r="1485" spans="1:17" ht="15">
      <c r="A1485" s="523"/>
      <c r="B1485" s="2958" t="s">
        <v>1960</v>
      </c>
      <c r="C1485" s="523"/>
      <c r="D1485" s="2998"/>
      <c r="E1485" s="3000"/>
      <c r="F1485" s="3000"/>
      <c r="G1485" s="3000"/>
      <c r="H1485" s="3000"/>
      <c r="I1485" s="3000"/>
      <c r="J1485" s="3000"/>
      <c r="K1485" s="3000"/>
      <c r="L1485" s="3000"/>
      <c r="M1485" s="3000"/>
      <c r="N1485" s="3100"/>
      <c r="O1485" s="3101"/>
      <c r="P1485" s="2891"/>
      <c r="Q1485" s="3089"/>
    </row>
    <row r="1486" spans="1:17" ht="15.75">
      <c r="A1486" s="2933">
        <f>'Part IX A-Scoring Criteria'!A113</f>
        <v>0</v>
      </c>
      <c r="B1486" s="2933"/>
      <c r="C1486" s="2933"/>
      <c r="D1486" s="2933"/>
      <c r="E1486" s="2933"/>
      <c r="F1486" s="2933"/>
      <c r="G1486" s="2933"/>
      <c r="H1486" s="2933"/>
      <c r="I1486" s="2933"/>
      <c r="J1486" s="2933"/>
      <c r="K1486" s="2933"/>
      <c r="L1486" s="2933"/>
      <c r="M1486" s="2933"/>
      <c r="N1486" s="2933"/>
      <c r="O1486" s="2933"/>
      <c r="P1486" s="2933"/>
      <c r="Q1486" s="3082" t="s">
        <v>1314</v>
      </c>
    </row>
    <row r="1487" spans="1:17" ht="15">
      <c r="A1487" s="523"/>
      <c r="B1487" s="3081"/>
      <c r="C1487" s="3081"/>
      <c r="D1487" s="524"/>
      <c r="E1487" s="524"/>
      <c r="F1487" s="2891"/>
      <c r="G1487" s="2891"/>
      <c r="H1487" s="2891"/>
      <c r="I1487" s="2891"/>
      <c r="J1487" s="2995"/>
      <c r="K1487" s="2995"/>
      <c r="L1487" s="2995"/>
      <c r="M1487" s="2992"/>
      <c r="N1487" s="2891"/>
      <c r="O1487" s="2879"/>
      <c r="P1487" s="3077"/>
      <c r="Q1487" s="3081"/>
    </row>
    <row r="1488" spans="1:17" ht="15">
      <c r="A1488" s="3078" t="s">
        <v>527</v>
      </c>
      <c r="B1488" s="3079" t="s">
        <v>3852</v>
      </c>
      <c r="C1488" s="3115"/>
      <c r="D1488" s="3085"/>
      <c r="E1488" s="3085"/>
      <c r="F1488" s="3115"/>
      <c r="G1488" s="3115"/>
      <c r="H1488" s="2992"/>
      <c r="I1488" s="3115"/>
      <c r="J1488" s="2780" t="str">
        <f>'Part IX A-Scoring Criteria'!J115</f>
        <v>None</v>
      </c>
      <c r="K1488" s="2780"/>
      <c r="L1488" s="2780"/>
      <c r="M1488" s="2891">
        <v>3</v>
      </c>
      <c r="N1488" s="2883"/>
      <c r="O1488" s="3077">
        <f>'Part IX A-Scoring Criteria'!O115</f>
        <v>0</v>
      </c>
      <c r="P1488" s="2891">
        <f>'Part IX A-Scoring Criteria'!P115</f>
        <v>0</v>
      </c>
      <c r="Q1488" s="2891" t="s">
        <v>458</v>
      </c>
    </row>
    <row r="1489" spans="1:17">
      <c r="A1489" s="2997"/>
      <c r="B1489" s="3118"/>
      <c r="D1489" s="3056"/>
      <c r="E1489" s="3118"/>
      <c r="G1489" s="3134"/>
      <c r="H1489" s="3118"/>
      <c r="I1489" s="2995"/>
      <c r="K1489" s="2995"/>
    </row>
    <row r="1490" spans="1:17">
      <c r="B1490" s="3028" t="s">
        <v>4047</v>
      </c>
      <c r="E1490" s="523"/>
      <c r="G1490" s="2915">
        <f>'Part IX A-Scoring Criteria'!G117</f>
        <v>0</v>
      </c>
      <c r="H1490" s="2915"/>
      <c r="I1490" s="2915"/>
      <c r="J1490" s="2915"/>
      <c r="K1490" s="2915"/>
      <c r="L1490" s="2915"/>
      <c r="M1490" s="2915"/>
      <c r="N1490" s="2915"/>
      <c r="O1490" s="2915"/>
      <c r="P1490" s="2915"/>
    </row>
    <row r="1491" spans="1:17">
      <c r="A1491" s="2997"/>
      <c r="B1491" s="3118"/>
      <c r="D1491" s="3056"/>
      <c r="E1491" s="3118"/>
      <c r="G1491" s="3134"/>
      <c r="H1491" s="3118"/>
    </row>
    <row r="1492" spans="1:17" ht="15">
      <c r="A1492" s="3045"/>
      <c r="B1492" s="507" t="s">
        <v>3311</v>
      </c>
      <c r="C1492" s="3081"/>
      <c r="D1492" s="523"/>
      <c r="E1492" s="3081"/>
      <c r="F1492" s="3081"/>
      <c r="G1492" s="3081"/>
      <c r="H1492" s="3081"/>
      <c r="I1492" s="3081"/>
      <c r="J1492" s="3081"/>
      <c r="K1492" s="3081"/>
      <c r="L1492" s="3081"/>
      <c r="M1492" s="3081"/>
      <c r="N1492" s="2967"/>
      <c r="O1492" s="3110" t="str">
        <f>'Part IX A-Scoring Criteria'!O119</f>
        <v>N/a</v>
      </c>
      <c r="P1492" s="3110">
        <f>'Part IX A-Scoring Criteria'!P119</f>
        <v>0</v>
      </c>
      <c r="Q1492" s="3081"/>
    </row>
    <row r="1493" spans="1:17">
      <c r="A1493" s="2997"/>
      <c r="B1493" s="3118"/>
      <c r="D1493" s="3056"/>
      <c r="E1493" s="3118"/>
      <c r="G1493" s="3134"/>
      <c r="H1493" s="3118"/>
      <c r="I1493" s="2995"/>
      <c r="K1493" s="2995"/>
    </row>
    <row r="1494" spans="1:17" ht="15">
      <c r="A1494" s="2891"/>
      <c r="B1494" s="3028" t="s">
        <v>4611</v>
      </c>
      <c r="C1494" s="3081"/>
      <c r="D1494" s="3081"/>
      <c r="E1494" s="2995"/>
      <c r="F1494" s="3081"/>
      <c r="G1494" s="3081"/>
      <c r="H1494" s="3081"/>
      <c r="I1494" s="3081"/>
      <c r="J1494" s="3081"/>
      <c r="K1494" s="3081"/>
      <c r="L1494" s="3081"/>
      <c r="M1494" s="3081"/>
      <c r="N1494" s="3081"/>
      <c r="O1494" s="3056" t="s">
        <v>2636</v>
      </c>
      <c r="P1494" s="3056" t="s">
        <v>2636</v>
      </c>
      <c r="Q1494" s="3081"/>
    </row>
    <row r="1495" spans="1:17" ht="15">
      <c r="A1495" s="2879"/>
      <c r="B1495" s="2967" t="s">
        <v>2556</v>
      </c>
      <c r="C1495" s="507" t="s">
        <v>4068</v>
      </c>
      <c r="D1495" s="3115"/>
      <c r="E1495" s="2995"/>
      <c r="F1495" s="3081"/>
      <c r="G1495" s="507" t="s">
        <v>4069</v>
      </c>
      <c r="H1495" s="3081"/>
      <c r="I1495" s="3081"/>
      <c r="J1495" s="3081"/>
      <c r="K1495" s="3081"/>
      <c r="L1495" s="3135">
        <f>'Part IX A-Scoring Criteria'!L122</f>
        <v>0</v>
      </c>
      <c r="M1495" s="2879"/>
      <c r="N1495" s="2967" t="s">
        <v>2556</v>
      </c>
      <c r="O1495" s="3110" t="str">
        <f>'Part IX A-Scoring Criteria'!O122</f>
        <v>N/a</v>
      </c>
      <c r="P1495" s="3110">
        <f>'Part IX A-Scoring Criteria'!P122</f>
        <v>0</v>
      </c>
      <c r="Q1495" s="3081"/>
    </row>
    <row r="1496" spans="1:17" ht="15">
      <c r="A1496" s="2879"/>
      <c r="B1496" s="2967" t="s">
        <v>2557</v>
      </c>
      <c r="C1496" s="3118" t="s">
        <v>3144</v>
      </c>
      <c r="D1496" s="3115"/>
      <c r="E1496" s="2995"/>
      <c r="F1496" s="3081"/>
      <c r="G1496" s="507" t="s">
        <v>3861</v>
      </c>
      <c r="H1496" s="3081"/>
      <c r="I1496" s="3081"/>
      <c r="J1496" s="3081"/>
      <c r="K1496" s="3081"/>
      <c r="L1496" s="3135">
        <f>'Part IX A-Scoring Criteria'!L123</f>
        <v>0</v>
      </c>
      <c r="M1496" s="3081"/>
      <c r="N1496" s="2967" t="s">
        <v>2557</v>
      </c>
      <c r="O1496" s="3110" t="str">
        <f>'Part IX A-Scoring Criteria'!O123</f>
        <v>N/a</v>
      </c>
      <c r="P1496" s="3110">
        <f>'Part IX A-Scoring Criteria'!P123</f>
        <v>0</v>
      </c>
      <c r="Q1496" s="3081"/>
    </row>
    <row r="1497" spans="1:17" ht="15">
      <c r="A1497" s="2879"/>
      <c r="B1497" s="2967"/>
      <c r="C1497" s="3118"/>
      <c r="D1497" s="3115"/>
      <c r="E1497" s="2995"/>
      <c r="F1497" s="3081"/>
      <c r="G1497" s="507" t="s">
        <v>3309</v>
      </c>
      <c r="H1497" s="3081"/>
      <c r="I1497" s="3081"/>
      <c r="J1497" s="3081"/>
      <c r="K1497" s="3081"/>
      <c r="L1497" s="3136">
        <f>'Part IX A-Scoring Criteria'!L124</f>
        <v>0</v>
      </c>
      <c r="M1497" s="3136"/>
      <c r="N1497" s="3081"/>
      <c r="O1497" s="3081"/>
      <c r="P1497" s="3081"/>
      <c r="Q1497" s="3081"/>
    </row>
    <row r="1498" spans="1:17" ht="15">
      <c r="A1498" s="2879"/>
      <c r="B1498" s="2967"/>
      <c r="C1498" s="3118"/>
      <c r="D1498" s="3115"/>
      <c r="E1498" s="2995"/>
      <c r="F1498" s="3081"/>
      <c r="G1498" s="507" t="s">
        <v>3141</v>
      </c>
      <c r="H1498" s="3081"/>
      <c r="I1498" s="3081"/>
      <c r="J1498" s="3081"/>
      <c r="K1498" s="2936"/>
      <c r="L1498" s="3136" t="str">
        <f>'Part IX A-Scoring Criteria'!L125</f>
        <v>&lt;&lt;Select event type&gt;&gt;</v>
      </c>
      <c r="M1498" s="3136"/>
      <c r="N1498" s="3081"/>
      <c r="O1498" s="3081"/>
      <c r="P1498" s="3081"/>
      <c r="Q1498" s="3081"/>
    </row>
    <row r="1499" spans="1:17" ht="15">
      <c r="A1499" s="2879"/>
      <c r="B1499" s="2967"/>
      <c r="C1499" s="3118"/>
      <c r="D1499" s="3115"/>
      <c r="E1499" s="2995"/>
      <c r="F1499" s="3081"/>
      <c r="G1499" s="507" t="s">
        <v>3142</v>
      </c>
      <c r="H1499" s="3081"/>
      <c r="I1499" s="3081"/>
      <c r="J1499" s="3081"/>
      <c r="K1499" s="2936"/>
      <c r="L1499" s="3137">
        <f>'Part IX A-Scoring Criteria'!L126</f>
        <v>0</v>
      </c>
      <c r="M1499" s="3137"/>
      <c r="N1499" s="3081"/>
      <c r="O1499" s="3081"/>
      <c r="P1499" s="3081"/>
      <c r="Q1499" s="3081"/>
    </row>
    <row r="1500" spans="1:17" ht="15">
      <c r="A1500" s="2879"/>
      <c r="B1500" s="2967"/>
      <c r="C1500" s="3118"/>
      <c r="D1500" s="3115"/>
      <c r="E1500" s="2995"/>
      <c r="F1500" s="3081"/>
      <c r="G1500" s="507" t="s">
        <v>3141</v>
      </c>
      <c r="H1500" s="3081"/>
      <c r="I1500" s="3081"/>
      <c r="J1500" s="3081"/>
      <c r="K1500" s="2936"/>
      <c r="L1500" s="3136" t="str">
        <f>'Part IX A-Scoring Criteria'!L127</f>
        <v>&lt;&lt;Select event type&gt;&gt;</v>
      </c>
      <c r="M1500" s="3136"/>
      <c r="N1500" s="3081"/>
      <c r="O1500" s="3081"/>
      <c r="P1500" s="3081"/>
      <c r="Q1500" s="3081"/>
    </row>
    <row r="1501" spans="1:17" ht="15">
      <c r="A1501" s="2879"/>
      <c r="B1501" s="2967"/>
      <c r="C1501" s="3118"/>
      <c r="D1501" s="3115"/>
      <c r="E1501" s="2995"/>
      <c r="F1501" s="3081"/>
      <c r="G1501" s="507" t="s">
        <v>3142</v>
      </c>
      <c r="H1501" s="3081"/>
      <c r="I1501" s="3081"/>
      <c r="J1501" s="3081"/>
      <c r="K1501" s="2936"/>
      <c r="L1501" s="3137">
        <f>'Part IX A-Scoring Criteria'!L128</f>
        <v>0</v>
      </c>
      <c r="M1501" s="3137"/>
      <c r="N1501" s="3081"/>
      <c r="O1501" s="3081"/>
      <c r="P1501" s="3081"/>
      <c r="Q1501" s="3081"/>
    </row>
    <row r="1502" spans="1:17" ht="13.5">
      <c r="B1502" s="2967" t="s">
        <v>2558</v>
      </c>
      <c r="C1502" s="3118" t="s">
        <v>3145</v>
      </c>
      <c r="D1502" s="507"/>
      <c r="G1502" s="507" t="s">
        <v>3310</v>
      </c>
      <c r="L1502" s="3137">
        <f>'Part IX A-Scoring Criteria'!L129</f>
        <v>0</v>
      </c>
      <c r="M1502" s="3137"/>
      <c r="N1502" s="2967" t="s">
        <v>2558</v>
      </c>
      <c r="O1502" s="3110" t="str">
        <f>'Part IX A-Scoring Criteria'!O129</f>
        <v>N/a</v>
      </c>
      <c r="P1502" s="3110">
        <f>'Part IX A-Scoring Criteria'!P129</f>
        <v>0</v>
      </c>
    </row>
    <row r="1503" spans="1:17" ht="13.5">
      <c r="B1503" s="2967"/>
      <c r="C1503" s="3118"/>
      <c r="D1503" s="507"/>
      <c r="G1503" s="507" t="s">
        <v>4612</v>
      </c>
      <c r="L1503" s="3137">
        <f>'Part IX A-Scoring Criteria'!L130</f>
        <v>0</v>
      </c>
      <c r="M1503" s="3137"/>
    </row>
    <row r="1504" spans="1:17" ht="13.5">
      <c r="B1504" s="2967" t="s">
        <v>2559</v>
      </c>
      <c r="C1504" s="524" t="s">
        <v>3146</v>
      </c>
      <c r="D1504" s="507"/>
      <c r="G1504" s="2936"/>
      <c r="K1504" s="2995"/>
      <c r="L1504" s="3138" t="str">
        <f>'Part IX A-Scoring Criteria'!L131</f>
        <v>Enter page nbr(s) here</v>
      </c>
      <c r="M1504" s="2879"/>
      <c r="N1504" s="2967" t="s">
        <v>2559</v>
      </c>
      <c r="O1504" s="3110" t="str">
        <f>'Part IX A-Scoring Criteria'!O131</f>
        <v>N/a</v>
      </c>
      <c r="P1504" s="3110">
        <f>'Part IX A-Scoring Criteria'!P131</f>
        <v>0</v>
      </c>
    </row>
    <row r="1505" spans="1:17">
      <c r="B1505" s="2967" t="s">
        <v>2560</v>
      </c>
      <c r="C1505" s="524" t="s">
        <v>3147</v>
      </c>
      <c r="K1505" s="2995"/>
      <c r="L1505" s="3138" t="str">
        <f>'Part IX A-Scoring Criteria'!L132</f>
        <v>Enter page nbr(s) here</v>
      </c>
      <c r="M1505" s="2879"/>
      <c r="N1505" s="2967" t="s">
        <v>2560</v>
      </c>
      <c r="O1505" s="3110" t="str">
        <f>'Part IX A-Scoring Criteria'!O132</f>
        <v>N/a</v>
      </c>
      <c r="P1505" s="3110">
        <f>'Part IX A-Scoring Criteria'!P132</f>
        <v>0</v>
      </c>
    </row>
    <row r="1506" spans="1:17">
      <c r="B1506" s="2967" t="s">
        <v>3867</v>
      </c>
      <c r="C1506" s="524" t="s">
        <v>3855</v>
      </c>
      <c r="K1506" s="2995"/>
      <c r="L1506" s="3138" t="str">
        <f>'Part IX A-Scoring Criteria'!L133</f>
        <v>Enter page nbr(s) here</v>
      </c>
      <c r="M1506" s="2879"/>
      <c r="N1506" s="2967" t="s">
        <v>3867</v>
      </c>
      <c r="O1506" s="3110" t="str">
        <f>'Part IX A-Scoring Criteria'!O133</f>
        <v>N/a</v>
      </c>
      <c r="P1506" s="3110">
        <f>'Part IX A-Scoring Criteria'!P133</f>
        <v>0</v>
      </c>
    </row>
    <row r="1507" spans="1:17">
      <c r="B1507" s="2967" t="s">
        <v>3868</v>
      </c>
      <c r="C1507" s="524" t="s">
        <v>3853</v>
      </c>
      <c r="K1507" s="2995"/>
      <c r="L1507" s="3138" t="str">
        <f>'Part IX A-Scoring Criteria'!L134</f>
        <v>Enter page nbr(s) here</v>
      </c>
      <c r="M1507" s="2879"/>
      <c r="N1507" s="2967" t="s">
        <v>3868</v>
      </c>
      <c r="O1507" s="3110" t="str">
        <f>'Part IX A-Scoring Criteria'!O134</f>
        <v>N/a</v>
      </c>
      <c r="P1507" s="3110">
        <f>'Part IX A-Scoring Criteria'!P134</f>
        <v>0</v>
      </c>
    </row>
    <row r="1508" spans="1:17">
      <c r="B1508" s="2967" t="s">
        <v>2577</v>
      </c>
      <c r="C1508" s="524" t="s">
        <v>3148</v>
      </c>
      <c r="K1508" s="2995"/>
      <c r="L1508" s="3138" t="str">
        <f>'Part IX A-Scoring Criteria'!L135</f>
        <v>Enter page nbr(s) here</v>
      </c>
      <c r="M1508" s="2879"/>
      <c r="N1508" s="2967" t="s">
        <v>2577</v>
      </c>
      <c r="O1508" s="3110" t="str">
        <f>'Part IX A-Scoring Criteria'!O135</f>
        <v>N/a</v>
      </c>
      <c r="P1508" s="3110">
        <f>'Part IX A-Scoring Criteria'!P135</f>
        <v>0</v>
      </c>
    </row>
    <row r="1509" spans="1:17">
      <c r="B1509" s="2967" t="s">
        <v>2578</v>
      </c>
      <c r="C1509" s="524" t="s">
        <v>3149</v>
      </c>
      <c r="D1509" s="507"/>
      <c r="K1509" s="2995"/>
      <c r="L1509" s="3138" t="str">
        <f>'Part IX A-Scoring Criteria'!L136</f>
        <v>Enter page nbr(s) here</v>
      </c>
      <c r="M1509" s="2879"/>
      <c r="N1509" s="2967" t="s">
        <v>2578</v>
      </c>
      <c r="O1509" s="3110" t="str">
        <f>'Part IX A-Scoring Criteria'!O136</f>
        <v>N/a</v>
      </c>
      <c r="P1509" s="3110">
        <f>'Part IX A-Scoring Criteria'!P136</f>
        <v>0</v>
      </c>
    </row>
    <row r="1510" spans="1:17">
      <c r="B1510" s="2967" t="s">
        <v>2579</v>
      </c>
      <c r="C1510" s="524" t="s">
        <v>3869</v>
      </c>
      <c r="K1510" s="2995"/>
      <c r="M1510" s="2879"/>
      <c r="N1510" s="2967" t="s">
        <v>2579</v>
      </c>
      <c r="O1510" s="3110" t="str">
        <f>'Part IX A-Scoring Criteria'!O137</f>
        <v>N/a</v>
      </c>
      <c r="P1510" s="3110">
        <f>'Part IX A-Scoring Criteria'!P137</f>
        <v>0</v>
      </c>
    </row>
    <row r="1511" spans="1:17">
      <c r="B1511" s="2967"/>
      <c r="C1511" s="524"/>
      <c r="K1511" s="2995"/>
      <c r="M1511" s="2879"/>
      <c r="N1511" s="2879"/>
      <c r="O1511" s="2879"/>
      <c r="P1511" s="2879"/>
    </row>
    <row r="1512" spans="1:17">
      <c r="A1512" s="3045" t="s">
        <v>2081</v>
      </c>
      <c r="B1512" s="2898" t="s">
        <v>3854</v>
      </c>
      <c r="G1512" s="3118" t="s">
        <v>4046</v>
      </c>
      <c r="K1512" s="2995"/>
      <c r="L1512" s="3138" t="str">
        <f>'Part IX A-Scoring Criteria'!L139</f>
        <v>Enter page nbr(s) here</v>
      </c>
      <c r="M1512" s="2883">
        <v>2</v>
      </c>
      <c r="N1512" s="2967" t="s">
        <v>2081</v>
      </c>
      <c r="O1512" s="3110" t="str">
        <f>'Part IX A-Scoring Criteria'!O139</f>
        <v>N/a</v>
      </c>
      <c r="P1512" s="3110">
        <f>'Part IX A-Scoring Criteria'!P139</f>
        <v>0</v>
      </c>
    </row>
    <row r="1513" spans="1:17">
      <c r="A1513" s="2997"/>
      <c r="G1513" s="3118" t="s">
        <v>3858</v>
      </c>
      <c r="L1513" s="3139" t="str">
        <f>'Part IX A-Scoring Criteria'!L140</f>
        <v>201.09</v>
      </c>
    </row>
    <row r="1514" spans="1:17">
      <c r="A1514" s="2997"/>
      <c r="B1514" s="3118"/>
      <c r="D1514" s="3056"/>
      <c r="G1514" s="3118" t="s">
        <v>3863</v>
      </c>
      <c r="K1514" s="2995"/>
      <c r="L1514" s="3140" t="str">
        <f>'Part IX A-Scoring Criteria'!L141</f>
        <v>No</v>
      </c>
    </row>
    <row r="1515" spans="1:17">
      <c r="A1515" s="2997"/>
      <c r="B1515" s="3118"/>
      <c r="D1515" s="3056"/>
      <c r="E1515" s="3118"/>
      <c r="G1515" s="2995" t="s">
        <v>3856</v>
      </c>
      <c r="K1515" s="2995"/>
      <c r="L1515" s="3141">
        <f>'Part IV-Uses of Funds'!H1523</f>
        <v>0</v>
      </c>
    </row>
    <row r="1516" spans="1:17">
      <c r="A1516" s="3045" t="s">
        <v>2084</v>
      </c>
      <c r="B1516" s="2898" t="s">
        <v>3857</v>
      </c>
      <c r="D1516" s="523"/>
      <c r="M1516" s="2877">
        <v>1</v>
      </c>
      <c r="N1516" s="2967" t="s">
        <v>2084</v>
      </c>
      <c r="O1516" s="3110" t="str">
        <f>'Part IX A-Scoring Criteria'!O143</f>
        <v>N/a</v>
      </c>
      <c r="P1516" s="3110">
        <f>'Part IX A-Scoring Criteria'!P143</f>
        <v>0</v>
      </c>
    </row>
    <row r="1517" spans="1:17" ht="13.5">
      <c r="A1517" s="2997"/>
      <c r="B1517" s="507" t="s">
        <v>3862</v>
      </c>
      <c r="Q1517" s="2936"/>
    </row>
    <row r="1518" spans="1:17">
      <c r="A1518" s="3045" t="s">
        <v>789</v>
      </c>
      <c r="B1518" s="2898" t="s">
        <v>3106</v>
      </c>
      <c r="C1518" s="2898"/>
      <c r="D1518" s="523"/>
      <c r="M1518" s="2883"/>
      <c r="N1518" s="2967" t="s">
        <v>789</v>
      </c>
      <c r="O1518" s="2992"/>
      <c r="P1518" s="2992"/>
    </row>
    <row r="1519" spans="1:17">
      <c r="B1519" s="3142" t="s">
        <v>2085</v>
      </c>
      <c r="C1519" s="2933" t="s">
        <v>4613</v>
      </c>
      <c r="D1519" s="2933"/>
      <c r="E1519" s="2933"/>
      <c r="F1519" s="2933"/>
      <c r="G1519" s="2933"/>
      <c r="H1519" s="2933"/>
      <c r="I1519" s="2933"/>
      <c r="J1519" s="2933"/>
      <c r="K1519" s="2933"/>
      <c r="L1519" s="2933"/>
      <c r="M1519" s="3108">
        <v>1</v>
      </c>
      <c r="N1519" s="3109" t="s">
        <v>2085</v>
      </c>
      <c r="O1519" s="3110" t="str">
        <f>'Part IX A-Scoring Criteria'!O146</f>
        <v>N/a</v>
      </c>
      <c r="P1519" s="3110">
        <f>'Part IX A-Scoring Criteria'!P146</f>
        <v>0</v>
      </c>
    </row>
    <row r="1520" spans="1:17">
      <c r="B1520" s="3142" t="s">
        <v>2087</v>
      </c>
      <c r="C1520" s="2933" t="s">
        <v>4614</v>
      </c>
      <c r="D1520" s="2933"/>
      <c r="E1520" s="2933"/>
      <c r="F1520" s="2933"/>
      <c r="G1520" s="2933"/>
      <c r="H1520" s="2933"/>
      <c r="I1520" s="2933"/>
      <c r="J1520" s="2933"/>
      <c r="K1520" s="2933"/>
      <c r="L1520" s="2933"/>
      <c r="M1520" s="2883">
        <v>2</v>
      </c>
      <c r="N1520" s="3103" t="s">
        <v>2087</v>
      </c>
      <c r="O1520" s="3110" t="str">
        <f>'Part IX A-Scoring Criteria'!O147</f>
        <v>N/a</v>
      </c>
      <c r="P1520" s="3110">
        <f>'Part IX A-Scoring Criteria'!P147</f>
        <v>0</v>
      </c>
    </row>
    <row r="1521" spans="1:17" ht="13.5">
      <c r="A1521" s="3045" t="s">
        <v>2216</v>
      </c>
      <c r="B1521" s="2898" t="s">
        <v>3105</v>
      </c>
      <c r="D1521" s="523"/>
      <c r="G1521" s="3143" t="s">
        <v>4242</v>
      </c>
      <c r="H1521" s="3143"/>
      <c r="I1521" s="3143"/>
      <c r="J1521" s="3143"/>
      <c r="K1521" s="3143"/>
      <c r="M1521" s="2877">
        <v>1</v>
      </c>
      <c r="O1521" s="3056"/>
      <c r="P1521" s="3056"/>
    </row>
    <row r="1522" spans="1:17" ht="13.5">
      <c r="B1522" s="507" t="s">
        <v>3107</v>
      </c>
      <c r="I1522" s="524" t="s">
        <v>4232</v>
      </c>
      <c r="J1522" s="2949" t="str">
        <f>'Part I-Project Information'!$J$29</f>
        <v>Houston</v>
      </c>
      <c r="K1522" s="2949"/>
      <c r="N1522" s="2967" t="s">
        <v>2216</v>
      </c>
      <c r="O1522" s="3110" t="str">
        <f>'Part IX A-Scoring Criteria'!O149</f>
        <v>N/a</v>
      </c>
      <c r="P1522" s="3110">
        <f>'Part IX A-Scoring Criteria'!P149</f>
        <v>0</v>
      </c>
      <c r="Q1522" s="2936"/>
    </row>
    <row r="1523" spans="1:17" ht="15">
      <c r="A1523" s="523"/>
      <c r="B1523" s="2958" t="s">
        <v>267</v>
      </c>
      <c r="C1523" s="523"/>
      <c r="D1523" s="527"/>
      <c r="E1523" s="527"/>
      <c r="F1523" s="527"/>
      <c r="G1523" s="527"/>
      <c r="H1523" s="524"/>
      <c r="I1523" s="524" t="s">
        <v>4233</v>
      </c>
      <c r="J1523" s="3144" t="str">
        <f>'Part I-Project Information'!$O$28</f>
        <v>201.09</v>
      </c>
      <c r="K1523" s="3144"/>
      <c r="L1523" s="3081"/>
      <c r="M1523" s="2883"/>
      <c r="N1523" s="2877"/>
      <c r="O1523" s="3077"/>
      <c r="P1523" s="2879"/>
      <c r="Q1523" s="3081"/>
    </row>
    <row r="1524" spans="1:17" ht="15.75">
      <c r="A1524" s="2933">
        <f>'Part IX A-Scoring Criteria'!A151</f>
        <v>0</v>
      </c>
      <c r="B1524" s="2933"/>
      <c r="C1524" s="2933"/>
      <c r="D1524" s="2933"/>
      <c r="E1524" s="2933"/>
      <c r="F1524" s="2933"/>
      <c r="G1524" s="2933"/>
      <c r="H1524" s="2933"/>
      <c r="I1524" s="2933"/>
      <c r="J1524" s="2933"/>
      <c r="K1524" s="2933"/>
      <c r="L1524" s="2933"/>
      <c r="M1524" s="2933"/>
      <c r="N1524" s="2933"/>
      <c r="O1524" s="2933"/>
      <c r="P1524" s="2933"/>
      <c r="Q1524" s="3082" t="s">
        <v>1314</v>
      </c>
    </row>
    <row r="1525" spans="1:17" ht="15">
      <c r="A1525" s="523"/>
      <c r="B1525" s="2958" t="s">
        <v>1960</v>
      </c>
      <c r="C1525" s="523"/>
      <c r="D1525" s="2998"/>
      <c r="E1525" s="3000"/>
      <c r="F1525" s="3000"/>
      <c r="G1525" s="3000"/>
      <c r="H1525" s="3000"/>
      <c r="I1525" s="3000"/>
      <c r="J1525" s="3000"/>
      <c r="K1525" s="3000"/>
      <c r="L1525" s="3000"/>
      <c r="M1525" s="3000"/>
      <c r="N1525" s="3100"/>
      <c r="O1525" s="3101"/>
      <c r="P1525" s="2891"/>
      <c r="Q1525" s="3089"/>
    </row>
    <row r="1526" spans="1:17" ht="15.75">
      <c r="A1526" s="2933">
        <f>'Part IX A-Scoring Criteria'!A153</f>
        <v>0</v>
      </c>
      <c r="B1526" s="2933"/>
      <c r="C1526" s="2933"/>
      <c r="D1526" s="2933"/>
      <c r="E1526" s="2933"/>
      <c r="F1526" s="2933"/>
      <c r="G1526" s="2933"/>
      <c r="H1526" s="2933"/>
      <c r="I1526" s="2933"/>
      <c r="J1526" s="2933"/>
      <c r="K1526" s="2933"/>
      <c r="L1526" s="2933"/>
      <c r="M1526" s="2933"/>
      <c r="N1526" s="2933"/>
      <c r="O1526" s="2933"/>
      <c r="P1526" s="2933"/>
      <c r="Q1526" s="3082" t="s">
        <v>1314</v>
      </c>
    </row>
    <row r="1527" spans="1:17">
      <c r="N1527" s="2877"/>
      <c r="O1527" s="2879"/>
      <c r="P1527" s="2879"/>
    </row>
    <row r="1528" spans="1:17" ht="15">
      <c r="A1528" s="3078" t="s">
        <v>225</v>
      </c>
      <c r="B1528" s="3079" t="s">
        <v>2580</v>
      </c>
      <c r="C1528" s="3081"/>
      <c r="D1528" s="3102"/>
      <c r="E1528" s="3102"/>
      <c r="F1528" s="3102"/>
      <c r="G1528" s="3081"/>
      <c r="H1528" s="3145" t="s">
        <v>3900</v>
      </c>
      <c r="I1528" s="3081"/>
      <c r="J1528" s="3081"/>
      <c r="K1528" s="527"/>
      <c r="L1528" s="3081"/>
      <c r="M1528" s="2891">
        <v>4</v>
      </c>
      <c r="N1528" s="2883"/>
      <c r="O1528" s="3077">
        <f>'Part IX A-Scoring Criteria'!O155</f>
        <v>3</v>
      </c>
      <c r="P1528" s="3077">
        <f>'Part IX A-Scoring Criteria'!P155</f>
        <v>0</v>
      </c>
      <c r="Q1528" s="2891" t="s">
        <v>458</v>
      </c>
    </row>
    <row r="1529" spans="1:17">
      <c r="A1529" s="2997"/>
      <c r="B1529" s="3118"/>
      <c r="D1529" s="3056"/>
      <c r="E1529" s="3118"/>
      <c r="G1529" s="3134"/>
      <c r="H1529" s="2898" t="s">
        <v>3102</v>
      </c>
      <c r="I1529" s="2884"/>
      <c r="J1529" s="3146" t="str">
        <f>'Part I-Project Information'!$H$90</f>
        <v>Flexible</v>
      </c>
      <c r="K1529" s="3146"/>
    </row>
    <row r="1530" spans="1:17" ht="13.5">
      <c r="A1530" s="2894" t="s">
        <v>2081</v>
      </c>
      <c r="B1530" s="2898" t="s">
        <v>2340</v>
      </c>
      <c r="D1530" s="523"/>
      <c r="E1530" s="523"/>
      <c r="F1530" s="523"/>
      <c r="G1530" s="1247" t="str">
        <f>IF(AND(O1530&lt;0,L1540&lt;0),"Select either A or B but not both!&gt;","")</f>
        <v/>
      </c>
      <c r="M1530" s="2883">
        <v>4</v>
      </c>
      <c r="N1530" s="2967" t="s">
        <v>2081</v>
      </c>
      <c r="O1530" s="2891">
        <f>'Part IX A-Scoring Criteria'!O157</f>
        <v>0</v>
      </c>
      <c r="P1530" s="2891">
        <f>'Part IX A-Scoring Criteria'!P157</f>
        <v>0</v>
      </c>
      <c r="Q1530" s="2936" t="s">
        <v>2877</v>
      </c>
    </row>
    <row r="1531" spans="1:17">
      <c r="A1531" s="507"/>
      <c r="B1531" s="3109" t="s">
        <v>2085</v>
      </c>
      <c r="C1531" s="2933" t="s">
        <v>4615</v>
      </c>
      <c r="D1531" s="2810"/>
      <c r="E1531" s="2810"/>
      <c r="F1531" s="2810"/>
      <c r="G1531" s="2810"/>
      <c r="H1531" s="2810"/>
      <c r="I1531" s="2810"/>
      <c r="J1531" s="2810"/>
      <c r="K1531" s="2810"/>
      <c r="L1531" s="2810"/>
      <c r="M1531" s="3108"/>
      <c r="N1531" s="3109" t="s">
        <v>2085</v>
      </c>
      <c r="O1531" s="3110" t="str">
        <f>'Part IX A-Scoring Criteria'!O158</f>
        <v>N/a</v>
      </c>
      <c r="P1531" s="3110">
        <f>'Part IX A-Scoring Criteria'!P158</f>
        <v>0</v>
      </c>
      <c r="Q1531" s="507"/>
    </row>
    <row r="1532" spans="1:17">
      <c r="A1532" s="507"/>
      <c r="B1532" s="3103"/>
      <c r="C1532" s="524" t="s">
        <v>1008</v>
      </c>
      <c r="D1532" s="507"/>
      <c r="E1532" s="507"/>
      <c r="F1532" s="507"/>
      <c r="G1532" s="507"/>
      <c r="H1532" s="3118" t="s">
        <v>2711</v>
      </c>
      <c r="I1532" s="507"/>
      <c r="J1532" s="3070">
        <f>'Part IX A-Scoring Criteria'!J159</f>
        <v>0</v>
      </c>
      <c r="K1532" s="3070"/>
      <c r="L1532" s="507"/>
      <c r="M1532" s="507"/>
      <c r="N1532" s="507"/>
      <c r="O1532" s="507"/>
      <c r="P1532" s="507"/>
      <c r="Q1532" s="507"/>
    </row>
    <row r="1533" spans="1:17">
      <c r="A1533" s="507"/>
      <c r="B1533" s="3103"/>
      <c r="C1533" s="524"/>
      <c r="D1533" s="507"/>
      <c r="E1533" s="507"/>
      <c r="F1533" s="507"/>
      <c r="G1533" s="507"/>
      <c r="H1533" s="3118" t="s">
        <v>2410</v>
      </c>
      <c r="I1533" s="507"/>
      <c r="J1533" s="3147">
        <f>'Part IX A-Scoring Criteria'!J160</f>
        <v>0</v>
      </c>
      <c r="K1533" s="3147"/>
      <c r="L1533" s="3147"/>
      <c r="M1533" s="507"/>
      <c r="N1533" s="507"/>
      <c r="O1533" s="507"/>
      <c r="P1533" s="507"/>
      <c r="Q1533" s="507"/>
    </row>
    <row r="1534" spans="1:17">
      <c r="A1534" s="524"/>
      <c r="B1534" s="3103" t="s">
        <v>2087</v>
      </c>
      <c r="C1534" s="524" t="s">
        <v>1009</v>
      </c>
      <c r="D1534" s="524"/>
      <c r="E1534" s="524"/>
      <c r="F1534" s="524"/>
      <c r="G1534" s="524"/>
      <c r="H1534" s="524"/>
      <c r="I1534" s="524"/>
      <c r="J1534" s="524"/>
      <c r="K1534" s="524"/>
      <c r="L1534" s="524"/>
      <c r="M1534" s="2883"/>
      <c r="N1534" s="3103" t="s">
        <v>2087</v>
      </c>
      <c r="O1534" s="3110">
        <f>'Part IX A-Scoring Criteria'!O161</f>
        <v>0</v>
      </c>
      <c r="P1534" s="3110">
        <f>'Part IX A-Scoring Criteria'!P161</f>
        <v>0</v>
      </c>
      <c r="Q1534" s="524"/>
    </row>
    <row r="1535" spans="1:17">
      <c r="A1535" s="524"/>
      <c r="B1535" s="3103" t="s">
        <v>2661</v>
      </c>
      <c r="C1535" s="524" t="s">
        <v>1010</v>
      </c>
      <c r="D1535" s="524"/>
      <c r="E1535" s="524"/>
      <c r="F1535" s="524"/>
      <c r="G1535" s="524"/>
      <c r="H1535" s="524"/>
      <c r="I1535" s="524"/>
      <c r="J1535" s="524"/>
      <c r="K1535" s="524"/>
      <c r="L1535" s="524"/>
      <c r="M1535" s="2883"/>
      <c r="N1535" s="3103" t="s">
        <v>2661</v>
      </c>
      <c r="O1535" s="3110">
        <f>'Part IX A-Scoring Criteria'!O162</f>
        <v>0</v>
      </c>
      <c r="P1535" s="3110">
        <f>'Part IX A-Scoring Criteria'!P162</f>
        <v>0</v>
      </c>
      <c r="Q1535" s="524"/>
    </row>
    <row r="1536" spans="1:17">
      <c r="A1536" s="2997"/>
      <c r="B1536" s="3103" t="s">
        <v>1283</v>
      </c>
      <c r="C1536" s="524" t="s">
        <v>1011</v>
      </c>
      <c r="D1536" s="524"/>
      <c r="E1536" s="524"/>
      <c r="F1536" s="524"/>
      <c r="G1536" s="524"/>
      <c r="H1536" s="524"/>
      <c r="I1536" s="524"/>
      <c r="J1536" s="524"/>
      <c r="K1536" s="524"/>
      <c r="L1536" s="524"/>
      <c r="M1536" s="2883"/>
      <c r="N1536" s="3103" t="s">
        <v>1283</v>
      </c>
      <c r="O1536" s="3110">
        <f>'Part IX A-Scoring Criteria'!O163</f>
        <v>0</v>
      </c>
      <c r="P1536" s="3110">
        <f>'Part IX A-Scoring Criteria'!P163</f>
        <v>0</v>
      </c>
      <c r="Q1536" s="524"/>
    </row>
    <row r="1537" spans="1:17">
      <c r="A1537" s="2894" t="s">
        <v>2084</v>
      </c>
      <c r="B1537" s="2898" t="s">
        <v>2341</v>
      </c>
      <c r="C1537" s="523"/>
      <c r="D1537" s="523"/>
      <c r="E1537" s="523"/>
      <c r="F1537" s="523"/>
      <c r="G1537" s="523"/>
      <c r="H1537" s="3145" t="s">
        <v>3915</v>
      </c>
      <c r="I1537" s="523"/>
      <c r="J1537" s="523"/>
      <c r="K1537" s="523"/>
      <c r="L1537" s="523"/>
      <c r="M1537" s="2883">
        <v>4</v>
      </c>
      <c r="N1537" s="2967" t="s">
        <v>2084</v>
      </c>
      <c r="O1537" s="3077">
        <f>'Part IX A-Scoring Criteria'!O164</f>
        <v>3</v>
      </c>
      <c r="P1537" s="3077">
        <f>'Part IX A-Scoring Criteria'!P164</f>
        <v>0</v>
      </c>
      <c r="Q1537" s="523"/>
    </row>
    <row r="1538" spans="1:17">
      <c r="A1538" s="523"/>
      <c r="B1538" s="3119" t="s">
        <v>2085</v>
      </c>
      <c r="C1538" s="2991" t="s">
        <v>4616</v>
      </c>
      <c r="D1538" s="523"/>
      <c r="E1538" s="523"/>
      <c r="F1538" s="523"/>
      <c r="G1538" s="523"/>
      <c r="H1538" s="523"/>
      <c r="I1538" s="523"/>
      <c r="J1538" s="523"/>
      <c r="K1538" s="523"/>
      <c r="L1538" s="523"/>
      <c r="M1538" s="2883">
        <v>4</v>
      </c>
      <c r="N1538" s="2992">
        <v>1</v>
      </c>
      <c r="O1538" s="3077">
        <f>'Part IX A-Scoring Criteria'!O165</f>
        <v>3</v>
      </c>
      <c r="P1538" s="3077">
        <f>'Part IX A-Scoring Criteria'!P165</f>
        <v>0</v>
      </c>
      <c r="Q1538" s="523"/>
    </row>
    <row r="1539" spans="1:17">
      <c r="A1539" s="523"/>
      <c r="B1539" s="3119"/>
      <c r="C1539" s="524" t="s">
        <v>3904</v>
      </c>
      <c r="D1539" s="524" t="s">
        <v>3903</v>
      </c>
      <c r="E1539" s="523"/>
      <c r="F1539" s="523"/>
      <c r="G1539" s="523"/>
      <c r="H1539" s="523"/>
      <c r="I1539" s="523"/>
      <c r="J1539" s="523"/>
      <c r="K1539" s="523"/>
      <c r="L1539" s="523"/>
      <c r="M1539" s="2883"/>
      <c r="N1539" s="2883"/>
      <c r="O1539" s="2891"/>
      <c r="P1539" s="2891"/>
      <c r="Q1539" s="523"/>
    </row>
    <row r="1540" spans="1:17">
      <c r="A1540" s="523"/>
      <c r="B1540" s="523"/>
      <c r="C1540" s="3103" t="s">
        <v>3907</v>
      </c>
      <c r="D1540" s="2995" t="s">
        <v>3901</v>
      </c>
      <c r="E1540" s="523"/>
      <c r="F1540" s="523"/>
      <c r="G1540" s="2995"/>
      <c r="H1540" s="2995"/>
      <c r="I1540" s="2995"/>
      <c r="J1540" s="2995"/>
      <c r="K1540" s="523"/>
      <c r="L1540" s="523"/>
      <c r="M1540" s="2883">
        <v>3</v>
      </c>
      <c r="N1540" s="2992" t="s">
        <v>3908</v>
      </c>
      <c r="O1540" s="2891">
        <f>'Part IX A-Scoring Criteria'!O167</f>
        <v>0</v>
      </c>
      <c r="P1540" s="2891">
        <f>'Part IX A-Scoring Criteria'!P167</f>
        <v>0</v>
      </c>
      <c r="Q1540" s="2686" t="s">
        <v>2877</v>
      </c>
    </row>
    <row r="1541" spans="1:17">
      <c r="A1541" s="523"/>
      <c r="B1541" s="523"/>
      <c r="C1541" s="2967" t="s">
        <v>235</v>
      </c>
      <c r="D1541" s="2995" t="s">
        <v>3902</v>
      </c>
      <c r="E1541" s="523"/>
      <c r="F1541" s="523"/>
      <c r="G1541" s="2995"/>
      <c r="H1541" s="2995"/>
      <c r="I1541" s="523"/>
      <c r="J1541" s="523"/>
      <c r="K1541" s="523"/>
      <c r="L1541" s="523"/>
      <c r="M1541" s="2883">
        <v>1</v>
      </c>
      <c r="N1541" s="524" t="s">
        <v>3909</v>
      </c>
      <c r="O1541" s="2891">
        <f>'Part IX A-Scoring Criteria'!O168</f>
        <v>0</v>
      </c>
      <c r="P1541" s="2891">
        <f>'Part IX A-Scoring Criteria'!P168</f>
        <v>0</v>
      </c>
      <c r="Q1541" s="2686" t="s">
        <v>2877</v>
      </c>
    </row>
    <row r="1542" spans="1:17">
      <c r="A1542" s="2997"/>
      <c r="B1542" s="3118"/>
      <c r="D1542" s="3056"/>
      <c r="E1542" s="3118"/>
      <c r="G1542" s="3134"/>
      <c r="H1542" s="2995" t="s">
        <v>3876</v>
      </c>
      <c r="J1542" s="2949" t="str">
        <f>'Part I-Project Information'!$F$28</f>
        <v>Centerville</v>
      </c>
      <c r="K1542" s="2949"/>
    </row>
    <row r="1543" spans="1:17">
      <c r="C1543" s="3055" t="s">
        <v>3905</v>
      </c>
      <c r="D1543" s="2933" t="s">
        <v>3906</v>
      </c>
      <c r="E1543" s="2933"/>
      <c r="F1543" s="2933"/>
      <c r="G1543" s="2933"/>
      <c r="H1543" s="2933"/>
      <c r="I1543" s="2933"/>
      <c r="J1543" s="2933"/>
      <c r="K1543" s="2933"/>
      <c r="L1543" s="2933"/>
      <c r="M1543" s="2883">
        <v>3</v>
      </c>
      <c r="N1543" s="2967" t="s">
        <v>2557</v>
      </c>
      <c r="O1543" s="2891">
        <f>'Part IX A-Scoring Criteria'!O170</f>
        <v>3</v>
      </c>
      <c r="P1543" s="2891">
        <f>'Part IX A-Scoring Criteria'!P170</f>
        <v>0</v>
      </c>
      <c r="Q1543" s="2686" t="s">
        <v>2877</v>
      </c>
    </row>
    <row r="1544" spans="1:17" ht="15">
      <c r="C1544" s="2995"/>
      <c r="D1544" s="2933"/>
      <c r="E1544" s="2933"/>
      <c r="F1544" s="2933"/>
      <c r="G1544" s="2933"/>
      <c r="H1544" s="2933"/>
      <c r="I1544" s="2933"/>
      <c r="J1544" s="2933"/>
      <c r="K1544" s="2933"/>
      <c r="L1544" s="2933"/>
      <c r="N1544" s="524"/>
      <c r="O1544" s="3115"/>
      <c r="P1544" s="3115"/>
    </row>
    <row r="1545" spans="1:17">
      <c r="A1545" s="2996" t="s">
        <v>1419</v>
      </c>
      <c r="B1545" s="3142" t="s">
        <v>2087</v>
      </c>
      <c r="C1545" s="3048" t="s">
        <v>4617</v>
      </c>
      <c r="D1545" s="523"/>
      <c r="E1545" s="523"/>
      <c r="F1545" s="523"/>
      <c r="G1545" s="2995"/>
      <c r="H1545" s="3145" t="s">
        <v>3914</v>
      </c>
      <c r="I1545" s="2995"/>
      <c r="M1545" s="2877">
        <v>2</v>
      </c>
      <c r="N1545" s="3056">
        <v>2</v>
      </c>
      <c r="O1545" s="3077">
        <f>'Part IX A-Scoring Criteria'!O172</f>
        <v>2</v>
      </c>
      <c r="P1545" s="3077">
        <f>'Part IX A-Scoring Criteria'!P172</f>
        <v>0</v>
      </c>
    </row>
    <row r="1546" spans="1:17">
      <c r="A1546" s="2996"/>
      <c r="B1546" s="3142"/>
      <c r="C1546" s="3032" t="s">
        <v>3916</v>
      </c>
      <c r="D1546" s="2933" t="s">
        <v>3910</v>
      </c>
      <c r="E1546" s="2933"/>
      <c r="F1546" s="2933"/>
      <c r="G1546" s="2933"/>
      <c r="H1546" s="2933"/>
      <c r="I1546" s="2933"/>
      <c r="J1546" s="2933"/>
      <c r="K1546" s="2933"/>
      <c r="L1546" s="2933"/>
      <c r="M1546" s="2877"/>
      <c r="N1546" s="3042" t="s">
        <v>2556</v>
      </c>
      <c r="O1546" s="2891">
        <f>'Part IX A-Scoring Criteria'!O173</f>
        <v>0</v>
      </c>
      <c r="P1546" s="2891">
        <f>'Part IX A-Scoring Criteria'!P173</f>
        <v>0</v>
      </c>
      <c r="Q1546" s="2686" t="s">
        <v>2877</v>
      </c>
    </row>
    <row r="1547" spans="1:17">
      <c r="B1547" s="3142"/>
      <c r="C1547" s="3118" t="s">
        <v>3917</v>
      </c>
      <c r="D1547" s="2933"/>
      <c r="E1547" s="2933"/>
      <c r="F1547" s="2933"/>
      <c r="G1547" s="2933"/>
      <c r="H1547" s="2933"/>
      <c r="I1547" s="2933"/>
      <c r="J1547" s="2933"/>
      <c r="K1547" s="2933"/>
      <c r="L1547" s="2933"/>
      <c r="N1547" s="2877"/>
      <c r="O1547" s="2879"/>
      <c r="P1547" s="2879"/>
    </row>
    <row r="1548" spans="1:17">
      <c r="B1548" s="2875" t="s">
        <v>3798</v>
      </c>
      <c r="C1548" s="2995" t="s">
        <v>3905</v>
      </c>
      <c r="D1548" s="507" t="s">
        <v>3911</v>
      </c>
      <c r="E1548" s="523"/>
      <c r="H1548" s="2995"/>
      <c r="I1548" s="2995"/>
      <c r="J1548" s="2995"/>
      <c r="N1548" s="3042" t="s">
        <v>2557</v>
      </c>
      <c r="O1548" s="2891">
        <f>'Part IX A-Scoring Criteria'!O175</f>
        <v>2</v>
      </c>
      <c r="P1548" s="2891">
        <f>'Part IX A-Scoring Criteria'!P175</f>
        <v>0</v>
      </c>
      <c r="Q1548" s="2686" t="s">
        <v>2877</v>
      </c>
    </row>
    <row r="1549" spans="1:17" ht="15">
      <c r="A1549" s="523"/>
      <c r="B1549" s="2958" t="s">
        <v>267</v>
      </c>
      <c r="C1549" s="523"/>
      <c r="D1549" s="527"/>
      <c r="E1549" s="527"/>
      <c r="F1549" s="527"/>
      <c r="G1549" s="527"/>
      <c r="H1549" s="524"/>
      <c r="I1549" s="524"/>
      <c r="J1549" s="524"/>
      <c r="K1549" s="524"/>
      <c r="L1549" s="3081"/>
      <c r="M1549" s="2883"/>
      <c r="N1549" s="2877"/>
      <c r="O1549" s="3077"/>
      <c r="P1549" s="2879"/>
      <c r="Q1549" s="3081"/>
    </row>
    <row r="1550" spans="1:17" ht="15.75">
      <c r="A1550" s="2933" t="str">
        <f>'Part IX A-Scoring Criteria'!A177</f>
        <v xml:space="preserve">Please note that the City of Centerville has never received an allocation/award of tax credits. </v>
      </c>
      <c r="B1550" s="2933"/>
      <c r="C1550" s="2933"/>
      <c r="D1550" s="2933"/>
      <c r="E1550" s="2933"/>
      <c r="F1550" s="2933"/>
      <c r="G1550" s="2933"/>
      <c r="H1550" s="2933"/>
      <c r="I1550" s="2933"/>
      <c r="J1550" s="2933"/>
      <c r="K1550" s="2933"/>
      <c r="L1550" s="2933"/>
      <c r="M1550" s="2933"/>
      <c r="N1550" s="2933"/>
      <c r="O1550" s="2933"/>
      <c r="P1550" s="2933"/>
      <c r="Q1550" s="3082" t="s">
        <v>1314</v>
      </c>
    </row>
    <row r="1551" spans="1:17" ht="15">
      <c r="A1551" s="523"/>
      <c r="B1551" s="2958" t="s">
        <v>1960</v>
      </c>
      <c r="C1551" s="523"/>
      <c r="D1551" s="2998"/>
      <c r="E1551" s="3000"/>
      <c r="F1551" s="3000"/>
      <c r="G1551" s="3000"/>
      <c r="H1551" s="3000"/>
      <c r="I1551" s="3000"/>
      <c r="J1551" s="3000"/>
      <c r="K1551" s="3000"/>
      <c r="L1551" s="3000"/>
      <c r="M1551" s="3000"/>
      <c r="N1551" s="3100"/>
      <c r="O1551" s="3101"/>
      <c r="P1551" s="2891"/>
      <c r="Q1551" s="3089"/>
    </row>
    <row r="1552" spans="1:17" ht="15.75">
      <c r="A1552" s="2933">
        <f>'Part IX A-Scoring Criteria'!A179</f>
        <v>0</v>
      </c>
      <c r="B1552" s="2933"/>
      <c r="C1552" s="2933"/>
      <c r="D1552" s="2933"/>
      <c r="E1552" s="2933"/>
      <c r="F1552" s="2933"/>
      <c r="G1552" s="2933"/>
      <c r="H1552" s="2933"/>
      <c r="I1552" s="2933"/>
      <c r="J1552" s="2933"/>
      <c r="K1552" s="2933"/>
      <c r="L1552" s="2933"/>
      <c r="M1552" s="2933"/>
      <c r="N1552" s="2933"/>
      <c r="O1552" s="2933"/>
      <c r="P1552" s="2933"/>
      <c r="Q1552" s="3082" t="s">
        <v>1314</v>
      </c>
    </row>
    <row r="1553" spans="1:17">
      <c r="N1553" s="2877"/>
      <c r="O1553" s="2879"/>
      <c r="P1553" s="2879"/>
    </row>
    <row r="1554" spans="1:17" ht="15">
      <c r="A1554" s="3078" t="s">
        <v>226</v>
      </c>
      <c r="B1554" s="3079" t="s">
        <v>3888</v>
      </c>
      <c r="C1554" s="3081"/>
      <c r="D1554" s="3081"/>
      <c r="E1554" s="3102"/>
      <c r="F1554" s="3102"/>
      <c r="G1554" s="3081"/>
      <c r="H1554" s="3145"/>
      <c r="I1554" s="3081"/>
      <c r="J1554" s="3081"/>
      <c r="K1554" s="527"/>
      <c r="L1554" s="3114" t="str">
        <f>IF(OR($O1554=$M1554,$O1554=0,$O1554=""),"","* * Check Score! * *")</f>
        <v/>
      </c>
      <c r="M1554" s="2891">
        <v>2</v>
      </c>
      <c r="N1554" s="3117" t="str">
        <f>IF(OR($O1554=$M1554,$O1554=0,$O1554=""),"","***")</f>
        <v/>
      </c>
      <c r="O1554" s="3077">
        <f>'Part IX A-Scoring Criteria'!O181</f>
        <v>2</v>
      </c>
      <c r="P1554" s="3077">
        <f>'Part IX A-Scoring Criteria'!P181</f>
        <v>2</v>
      </c>
      <c r="Q1554" s="2891" t="s">
        <v>458</v>
      </c>
    </row>
    <row r="1555" spans="1:17">
      <c r="B1555" s="507" t="s">
        <v>1750</v>
      </c>
      <c r="M1555" s="2912"/>
      <c r="P1555" s="3056" t="s">
        <v>2636</v>
      </c>
    </row>
    <row r="1556" spans="1:17">
      <c r="A1556" s="3035" t="s">
        <v>2081</v>
      </c>
      <c r="B1556" s="2933" t="s">
        <v>2766</v>
      </c>
      <c r="C1556" s="2933"/>
      <c r="D1556" s="2933"/>
      <c r="E1556" s="2933"/>
      <c r="F1556" s="2933"/>
      <c r="G1556" s="2933"/>
      <c r="H1556" s="2933"/>
      <c r="I1556" s="2933"/>
      <c r="J1556" s="2933"/>
      <c r="K1556" s="2933"/>
      <c r="L1556" s="2933"/>
      <c r="M1556" s="2908"/>
      <c r="N1556" s="3042" t="s">
        <v>2081</v>
      </c>
      <c r="O1556" s="3110" t="str">
        <f>'Part IX A-Scoring Criteria'!O183</f>
        <v>No</v>
      </c>
      <c r="P1556" s="3110">
        <f>'Part IX A-Scoring Criteria'!P183</f>
        <v>0</v>
      </c>
      <c r="Q1556" s="3041"/>
    </row>
    <row r="1557" spans="1:17">
      <c r="A1557" s="3035" t="s">
        <v>2084</v>
      </c>
      <c r="B1557" s="2933" t="s">
        <v>2913</v>
      </c>
      <c r="C1557" s="2933"/>
      <c r="D1557" s="2933"/>
      <c r="E1557" s="2933"/>
      <c r="F1557" s="2933"/>
      <c r="G1557" s="2933"/>
      <c r="H1557" s="2933"/>
      <c r="I1557" s="2933"/>
      <c r="J1557" s="2933"/>
      <c r="K1557" s="2933"/>
      <c r="L1557" s="2933"/>
      <c r="M1557" s="2908"/>
      <c r="N1557" s="3042" t="s">
        <v>2084</v>
      </c>
      <c r="O1557" s="3110" t="str">
        <f>'Part IX A-Scoring Criteria'!O184</f>
        <v>No</v>
      </c>
      <c r="P1557" s="3110">
        <f>'Part IX A-Scoring Criteria'!P184</f>
        <v>0</v>
      </c>
      <c r="Q1557" s="3041"/>
    </row>
    <row r="1558" spans="1:17">
      <c r="A1558" s="3035" t="s">
        <v>789</v>
      </c>
      <c r="B1558" s="3032" t="s">
        <v>1751</v>
      </c>
      <c r="C1558" s="3041"/>
      <c r="D1558" s="3041"/>
      <c r="E1558" s="3041"/>
      <c r="F1558" s="3041"/>
      <c r="G1558" s="3041"/>
      <c r="H1558" s="3041"/>
      <c r="I1558" s="3041"/>
      <c r="J1558" s="3041"/>
      <c r="K1558" s="3041"/>
      <c r="L1558" s="3041"/>
      <c r="M1558" s="3148"/>
      <c r="N1558" s="2967" t="s">
        <v>789</v>
      </c>
      <c r="O1558" s="3110" t="str">
        <f>'Part IX A-Scoring Criteria'!O185</f>
        <v>No</v>
      </c>
      <c r="P1558" s="3110">
        <f>'Part IX A-Scoring Criteria'!P185</f>
        <v>0</v>
      </c>
      <c r="Q1558" s="3041"/>
    </row>
    <row r="1559" spans="1:17" ht="15">
      <c r="A1559" s="3042"/>
      <c r="B1559" s="2958" t="s">
        <v>267</v>
      </c>
      <c r="C1559" s="523"/>
      <c r="D1559" s="527"/>
      <c r="E1559" s="527"/>
      <c r="F1559" s="527"/>
      <c r="G1559" s="527"/>
      <c r="H1559" s="524"/>
      <c r="I1559" s="524"/>
      <c r="J1559" s="524"/>
      <c r="K1559" s="524"/>
      <c r="L1559" s="3081"/>
      <c r="M1559" s="2883"/>
      <c r="N1559" s="2877"/>
      <c r="O1559" s="3077"/>
      <c r="P1559" s="2879"/>
      <c r="Q1559" s="3081"/>
    </row>
    <row r="1560" spans="1:17" ht="15.75">
      <c r="A1560" s="2933" t="str">
        <f>'Part IX A-Scoring Criteria'!A187</f>
        <v xml:space="preserve">The market analyst points out in the study (included in Tab 05) that the demand for the project is strong, the rents and bedroom mix is good and the proposed development's value should be perceived as very good.  The affordability is good. Please note that the City of Centerville has never received an allocation/award of tax credits. </v>
      </c>
      <c r="B1560" s="2933"/>
      <c r="C1560" s="2933"/>
      <c r="D1560" s="2933"/>
      <c r="E1560" s="2933"/>
      <c r="F1560" s="2933"/>
      <c r="G1560" s="2933"/>
      <c r="H1560" s="2933"/>
      <c r="I1560" s="2933"/>
      <c r="J1560" s="2933"/>
      <c r="K1560" s="2933"/>
      <c r="L1560" s="2933"/>
      <c r="M1560" s="2933"/>
      <c r="N1560" s="2933"/>
      <c r="O1560" s="2933"/>
      <c r="P1560" s="2933"/>
      <c r="Q1560" s="3082" t="s">
        <v>1314</v>
      </c>
    </row>
    <row r="1561" spans="1:17" ht="15">
      <c r="A1561" s="523"/>
      <c r="B1561" s="2958" t="s">
        <v>1960</v>
      </c>
      <c r="C1561" s="523"/>
      <c r="D1561" s="2998"/>
      <c r="E1561" s="3000"/>
      <c r="F1561" s="3000"/>
      <c r="G1561" s="3000"/>
      <c r="H1561" s="3000"/>
      <c r="I1561" s="3000"/>
      <c r="J1561" s="3000"/>
      <c r="K1561" s="3000"/>
      <c r="L1561" s="3000"/>
      <c r="M1561" s="3000"/>
      <c r="N1561" s="3100"/>
      <c r="O1561" s="3101"/>
      <c r="P1561" s="2891"/>
      <c r="Q1561" s="3089"/>
    </row>
    <row r="1562" spans="1:17" ht="15.75">
      <c r="A1562" s="2933">
        <f>'Part IX A-Scoring Criteria'!A189</f>
        <v>0</v>
      </c>
      <c r="B1562" s="2933"/>
      <c r="C1562" s="2933"/>
      <c r="D1562" s="2933"/>
      <c r="E1562" s="2933"/>
      <c r="F1562" s="2933"/>
      <c r="G1562" s="2933"/>
      <c r="H1562" s="2933"/>
      <c r="I1562" s="2933"/>
      <c r="J1562" s="2933"/>
      <c r="K1562" s="2933"/>
      <c r="L1562" s="2933"/>
      <c r="M1562" s="2933"/>
      <c r="N1562" s="2933"/>
      <c r="O1562" s="2933"/>
      <c r="P1562" s="2933"/>
      <c r="Q1562" s="3082" t="s">
        <v>1314</v>
      </c>
    </row>
    <row r="1563" spans="1:17">
      <c r="N1563" s="2877"/>
      <c r="O1563" s="2879"/>
      <c r="P1563" s="2879"/>
    </row>
    <row r="1564" spans="1:17" ht="15">
      <c r="A1564" s="3149" t="s">
        <v>227</v>
      </c>
      <c r="B1564" s="3079" t="s">
        <v>3150</v>
      </c>
      <c r="C1564" s="3081"/>
      <c r="D1564" s="3102"/>
      <c r="E1564" s="3102"/>
      <c r="F1564" s="3102"/>
      <c r="G1564" s="3081"/>
      <c r="H1564" s="524"/>
      <c r="I1564" s="3145" t="s">
        <v>414</v>
      </c>
      <c r="J1564" s="3081"/>
      <c r="K1564" s="527"/>
      <c r="L1564" s="3081"/>
      <c r="M1564" s="2891">
        <v>1</v>
      </c>
      <c r="N1564" s="2883"/>
      <c r="O1564" s="3077">
        <f>'Part IX A-Scoring Criteria'!O191</f>
        <v>1</v>
      </c>
      <c r="P1564" s="3077">
        <f>'Part IX A-Scoring Criteria'!P191</f>
        <v>0</v>
      </c>
      <c r="Q1564" s="2891" t="s">
        <v>458</v>
      </c>
    </row>
    <row r="1565" spans="1:17" ht="15">
      <c r="A1565" s="3045" t="s">
        <v>2081</v>
      </c>
      <c r="B1565" s="2898" t="s">
        <v>2342</v>
      </c>
      <c r="C1565" s="3115"/>
      <c r="D1565" s="3145"/>
      <c r="E1565" s="3145"/>
      <c r="F1565" s="3075"/>
      <c r="H1565" s="3115"/>
      <c r="I1565" s="3115"/>
      <c r="J1565" s="3115"/>
      <c r="K1565" s="3115"/>
      <c r="L1565" s="3115"/>
      <c r="M1565" s="2883">
        <v>1</v>
      </c>
      <c r="N1565" s="2967" t="s">
        <v>2081</v>
      </c>
      <c r="O1565" s="2891">
        <f>'Part IX A-Scoring Criteria'!O192</f>
        <v>1</v>
      </c>
      <c r="P1565" s="2891">
        <f>'Part IX A-Scoring Criteria'!P192</f>
        <v>0</v>
      </c>
      <c r="Q1565" s="2936" t="s">
        <v>2877</v>
      </c>
    </row>
    <row r="1566" spans="1:17" ht="15">
      <c r="A1566" s="3045"/>
      <c r="B1566" s="2995" t="s">
        <v>2852</v>
      </c>
      <c r="C1566" s="3115"/>
      <c r="D1566" s="3145"/>
      <c r="E1566" s="3145"/>
      <c r="F1566" s="3075"/>
      <c r="H1566" s="3115"/>
      <c r="I1566" s="3115"/>
      <c r="J1566" s="3115"/>
      <c r="K1566" s="2967"/>
      <c r="L1566" s="3115"/>
      <c r="M1566" s="2883"/>
      <c r="N1566" s="2967"/>
      <c r="O1566" s="3110" t="str">
        <f>'Part IX A-Scoring Criteria'!O193</f>
        <v>Yes</v>
      </c>
      <c r="P1566" s="3110">
        <f>'Part IX A-Scoring Criteria'!P193</f>
        <v>0</v>
      </c>
      <c r="Q1566" s="2936"/>
    </row>
    <row r="1567" spans="1:17" ht="15">
      <c r="A1567" s="3045" t="s">
        <v>2084</v>
      </c>
      <c r="B1567" s="2898" t="s">
        <v>2343</v>
      </c>
      <c r="C1567" s="3081"/>
      <c r="D1567" s="524"/>
      <c r="E1567" s="3081"/>
      <c r="F1567" s="3081"/>
      <c r="G1567" s="3081"/>
      <c r="H1567" s="3081"/>
      <c r="I1567" s="3081"/>
      <c r="J1567" s="3081"/>
      <c r="K1567" s="524"/>
      <c r="L1567" s="3115"/>
      <c r="M1567" s="2883">
        <v>1</v>
      </c>
      <c r="N1567" s="2967" t="s">
        <v>2084</v>
      </c>
      <c r="O1567" s="2891">
        <f>'Part IX A-Scoring Criteria'!O194</f>
        <v>0</v>
      </c>
      <c r="P1567" s="2891">
        <f>'Part IX A-Scoring Criteria'!P194</f>
        <v>0</v>
      </c>
      <c r="Q1567" s="2936" t="s">
        <v>2877</v>
      </c>
    </row>
    <row r="1568" spans="1:17" ht="15">
      <c r="A1568" s="3045"/>
      <c r="B1568" s="2995" t="s">
        <v>2840</v>
      </c>
      <c r="C1568" s="3081"/>
      <c r="D1568" s="524"/>
      <c r="E1568" s="3081"/>
      <c r="F1568" s="3081"/>
      <c r="G1568" s="3081"/>
      <c r="H1568" s="2992"/>
      <c r="I1568" s="3081"/>
      <c r="J1568" s="3081"/>
      <c r="K1568" s="524"/>
      <c r="L1568" s="3115"/>
      <c r="M1568" s="2883"/>
      <c r="N1568" s="2967"/>
      <c r="O1568" s="3110" t="str">
        <f>'Part IX A-Scoring Criteria'!O195</f>
        <v>No</v>
      </c>
      <c r="P1568" s="3110">
        <f>'Part IX A-Scoring Criteria'!P195</f>
        <v>0</v>
      </c>
      <c r="Q1568" s="2936"/>
    </row>
    <row r="1569" spans="1:17" ht="15">
      <c r="A1569" s="523"/>
      <c r="B1569" s="2958" t="s">
        <v>267</v>
      </c>
      <c r="C1569" s="523"/>
      <c r="D1569" s="527"/>
      <c r="E1569" s="527"/>
      <c r="F1569" s="527"/>
      <c r="G1569" s="527"/>
      <c r="H1569" s="524"/>
      <c r="I1569" s="524"/>
      <c r="J1569" s="524"/>
      <c r="K1569" s="524"/>
      <c r="L1569" s="3081"/>
      <c r="M1569" s="2883"/>
      <c r="N1569" s="2877"/>
      <c r="O1569" s="3077"/>
      <c r="P1569" s="2879"/>
      <c r="Q1569" s="3081"/>
    </row>
    <row r="1570" spans="1:17" ht="15.75">
      <c r="A1570" s="2933" t="str">
        <f>'Part IX A-Scoring Criteria'!A197</f>
        <v>The applicant agrees to extend the compliance period at least 5 years.</v>
      </c>
      <c r="B1570" s="2933"/>
      <c r="C1570" s="2933"/>
      <c r="D1570" s="2933"/>
      <c r="E1570" s="2933"/>
      <c r="F1570" s="2933"/>
      <c r="G1570" s="2933"/>
      <c r="H1570" s="2933"/>
      <c r="I1570" s="2933"/>
      <c r="J1570" s="2933"/>
      <c r="K1570" s="2933"/>
      <c r="L1570" s="2933"/>
      <c r="M1570" s="2933"/>
      <c r="N1570" s="2933"/>
      <c r="O1570" s="2933"/>
      <c r="P1570" s="2933"/>
      <c r="Q1570" s="3082" t="s">
        <v>1314</v>
      </c>
    </row>
    <row r="1571" spans="1:17" ht="15">
      <c r="A1571" s="523"/>
      <c r="B1571" s="2958" t="s">
        <v>1960</v>
      </c>
      <c r="C1571" s="523"/>
      <c r="D1571" s="2998"/>
      <c r="E1571" s="3000"/>
      <c r="F1571" s="3000"/>
      <c r="G1571" s="3000"/>
      <c r="H1571" s="3000"/>
      <c r="I1571" s="3000"/>
      <c r="J1571" s="3000"/>
      <c r="K1571" s="3000"/>
      <c r="L1571" s="3000"/>
      <c r="M1571" s="3000"/>
      <c r="N1571" s="3100"/>
      <c r="O1571" s="3101"/>
      <c r="P1571" s="2891"/>
      <c r="Q1571" s="3089"/>
    </row>
    <row r="1572" spans="1:17" ht="15.75">
      <c r="A1572" s="2933">
        <f>'Part IX A-Scoring Criteria'!A199</f>
        <v>0</v>
      </c>
      <c r="B1572" s="2933"/>
      <c r="C1572" s="2933"/>
      <c r="D1572" s="2933"/>
      <c r="E1572" s="2933"/>
      <c r="F1572" s="2933"/>
      <c r="G1572" s="2933"/>
      <c r="H1572" s="2933"/>
      <c r="I1572" s="2933"/>
      <c r="J1572" s="2933"/>
      <c r="K1572" s="2933"/>
      <c r="L1572" s="2933"/>
      <c r="M1572" s="2933"/>
      <c r="N1572" s="2933"/>
      <c r="O1572" s="2933"/>
      <c r="P1572" s="2933"/>
      <c r="Q1572" s="3082" t="s">
        <v>1314</v>
      </c>
    </row>
    <row r="1573" spans="1:17" ht="15">
      <c r="A1573" s="523"/>
      <c r="B1573" s="523"/>
      <c r="C1573" s="3000"/>
      <c r="D1573" s="3000"/>
      <c r="E1573" s="3000"/>
      <c r="F1573" s="3000"/>
      <c r="G1573" s="3000"/>
      <c r="H1573" s="3000"/>
      <c r="I1573" s="3000"/>
      <c r="J1573" s="3000"/>
      <c r="K1573" s="3000"/>
      <c r="L1573" s="3000"/>
      <c r="M1573" s="3000"/>
      <c r="N1573" s="3100"/>
      <c r="O1573" s="3101"/>
      <c r="P1573" s="2891"/>
      <c r="Q1573" s="3081"/>
    </row>
    <row r="1574" spans="1:17" ht="15">
      <c r="A1574" s="3149" t="s">
        <v>245</v>
      </c>
      <c r="B1574" s="3084" t="s">
        <v>3889</v>
      </c>
      <c r="C1574" s="2951"/>
      <c r="D1574" s="3057"/>
      <c r="E1574" s="524"/>
      <c r="F1574" s="3081"/>
      <c r="G1574" s="3081"/>
      <c r="H1574" s="3081"/>
      <c r="I1574" s="3081"/>
      <c r="J1574" s="3081"/>
      <c r="K1574" s="3081"/>
      <c r="L1574" s="3081"/>
      <c r="M1574" s="2891">
        <v>3</v>
      </c>
      <c r="N1574" s="2883"/>
      <c r="O1574" s="2883"/>
      <c r="P1574" s="2891">
        <f>'Part IX A-Scoring Criteria'!P201</f>
        <v>0</v>
      </c>
      <c r="Q1574" s="2891" t="s">
        <v>458</v>
      </c>
    </row>
    <row r="1575" spans="1:17" ht="15">
      <c r="A1575" s="3149"/>
      <c r="B1575" s="2995" t="s">
        <v>2843</v>
      </c>
      <c r="C1575" s="2951"/>
      <c r="D1575" s="3057"/>
      <c r="E1575" s="524"/>
      <c r="F1575" s="3081"/>
      <c r="G1575" s="3081"/>
      <c r="H1575" s="3081"/>
      <c r="I1575" s="2886" t="str">
        <f>'Part I-Project Information'!$H$86</f>
        <v>Yes</v>
      </c>
      <c r="J1575" s="3081"/>
      <c r="K1575" s="3081"/>
      <c r="L1575" s="3081"/>
      <c r="M1575" s="2891"/>
      <c r="N1575" s="2891"/>
      <c r="O1575" s="3056" t="s">
        <v>2636</v>
      </c>
      <c r="P1575" s="3056" t="s">
        <v>2636</v>
      </c>
      <c r="Q1575" s="2891"/>
    </row>
    <row r="1576" spans="1:17" ht="15">
      <c r="A1576" s="3045"/>
      <c r="B1576" s="507" t="s">
        <v>4071</v>
      </c>
      <c r="C1576" s="3081"/>
      <c r="D1576" s="523"/>
      <c r="E1576" s="3081"/>
      <c r="F1576" s="3081"/>
      <c r="G1576" s="3081"/>
      <c r="H1576" s="3081"/>
      <c r="I1576" s="3081"/>
      <c r="J1576" s="3081"/>
      <c r="K1576" s="3081"/>
      <c r="L1576" s="3081"/>
      <c r="M1576" s="3081"/>
      <c r="N1576" s="2967"/>
      <c r="O1576" s="3110">
        <f>'Part IX A-Scoring Criteria'!O203</f>
        <v>0</v>
      </c>
      <c r="P1576" s="3110">
        <f>'Part IX A-Scoring Criteria'!P203</f>
        <v>0</v>
      </c>
      <c r="Q1576" s="3081"/>
    </row>
    <row r="1577" spans="1:17" ht="15">
      <c r="A1577" s="3045"/>
      <c r="B1577" s="507" t="s">
        <v>4072</v>
      </c>
      <c r="C1577" s="3081"/>
      <c r="D1577" s="523"/>
      <c r="E1577" s="3081"/>
      <c r="F1577" s="3081"/>
      <c r="G1577" s="3081"/>
      <c r="H1577" s="3081"/>
      <c r="I1577" s="3081"/>
      <c r="J1577" s="3081"/>
      <c r="K1577" s="3081"/>
      <c r="L1577" s="3081"/>
      <c r="M1577" s="3081"/>
      <c r="N1577" s="2967"/>
      <c r="O1577" s="3110">
        <f>'Part IX A-Scoring Criteria'!O204</f>
        <v>0</v>
      </c>
      <c r="P1577" s="3110">
        <f>'Part IX A-Scoring Criteria'!P204</f>
        <v>0</v>
      </c>
      <c r="Q1577" s="3081"/>
    </row>
    <row r="1578" spans="1:17" ht="15">
      <c r="A1578" s="3045"/>
      <c r="B1578" s="507" t="s">
        <v>3890</v>
      </c>
      <c r="C1578" s="3081"/>
      <c r="D1578" s="523"/>
      <c r="E1578" s="3081"/>
      <c r="F1578" s="3081"/>
      <c r="G1578" s="3081"/>
      <c r="H1578" s="3081"/>
      <c r="I1578" s="3081"/>
      <c r="J1578" s="3081"/>
      <c r="K1578" s="3081"/>
      <c r="L1578" s="3081"/>
      <c r="M1578" s="3081"/>
      <c r="N1578" s="2967"/>
      <c r="O1578" s="3110">
        <f>'Part IX A-Scoring Criteria'!O205</f>
        <v>0</v>
      </c>
      <c r="P1578" s="3110">
        <f>'Part IX A-Scoring Criteria'!P205</f>
        <v>0</v>
      </c>
      <c r="Q1578" s="3081"/>
    </row>
    <row r="1579" spans="1:17" ht="15">
      <c r="A1579" s="523"/>
      <c r="B1579" s="2958" t="s">
        <v>267</v>
      </c>
      <c r="C1579" s="523"/>
      <c r="D1579" s="527"/>
      <c r="E1579" s="527"/>
      <c r="F1579" s="527"/>
      <c r="G1579" s="527"/>
      <c r="H1579" s="524"/>
      <c r="I1579" s="524"/>
      <c r="J1579" s="524"/>
      <c r="K1579" s="524"/>
      <c r="L1579" s="3081"/>
      <c r="M1579" s="2883"/>
      <c r="N1579" s="2877"/>
      <c r="O1579" s="3077"/>
      <c r="P1579" s="2879"/>
      <c r="Q1579" s="3081"/>
    </row>
    <row r="1580" spans="1:17" ht="15.75">
      <c r="A1580" s="2933">
        <f>'Part IX A-Scoring Criteria'!A207</f>
        <v>0</v>
      </c>
      <c r="B1580" s="2933"/>
      <c r="C1580" s="2933"/>
      <c r="D1580" s="2933"/>
      <c r="E1580" s="2933"/>
      <c r="F1580" s="2933"/>
      <c r="G1580" s="2933"/>
      <c r="H1580" s="2933"/>
      <c r="I1580" s="2933"/>
      <c r="J1580" s="2933"/>
      <c r="K1580" s="2933"/>
      <c r="L1580" s="2933"/>
      <c r="M1580" s="2933"/>
      <c r="N1580" s="2933"/>
      <c r="O1580" s="2933"/>
      <c r="P1580" s="2933"/>
      <c r="Q1580" s="3082" t="s">
        <v>1314</v>
      </c>
    </row>
    <row r="1581" spans="1:17" ht="15">
      <c r="A1581" s="523"/>
      <c r="B1581" s="2958" t="s">
        <v>1960</v>
      </c>
      <c r="C1581" s="523"/>
      <c r="D1581" s="2998"/>
      <c r="E1581" s="3000"/>
      <c r="F1581" s="3000"/>
      <c r="G1581" s="3000"/>
      <c r="H1581" s="3000"/>
      <c r="I1581" s="3000"/>
      <c r="J1581" s="3000"/>
      <c r="K1581" s="3000"/>
      <c r="L1581" s="3000"/>
      <c r="M1581" s="3000"/>
      <c r="N1581" s="3100"/>
      <c r="O1581" s="3101"/>
      <c r="P1581" s="2891"/>
      <c r="Q1581" s="3089"/>
    </row>
    <row r="1582" spans="1:17" ht="15.75">
      <c r="A1582" s="2933">
        <f>'Part IX A-Scoring Criteria'!A209</f>
        <v>0</v>
      </c>
      <c r="B1582" s="2933"/>
      <c r="C1582" s="2933"/>
      <c r="D1582" s="2933"/>
      <c r="E1582" s="2933"/>
      <c r="F1582" s="2933"/>
      <c r="G1582" s="2933"/>
      <c r="H1582" s="2933"/>
      <c r="I1582" s="2933"/>
      <c r="J1582" s="2933"/>
      <c r="K1582" s="2933"/>
      <c r="L1582" s="2933"/>
      <c r="M1582" s="2933"/>
      <c r="N1582" s="2933"/>
      <c r="O1582" s="2933"/>
      <c r="P1582" s="2933"/>
      <c r="Q1582" s="3082" t="s">
        <v>1314</v>
      </c>
    </row>
    <row r="1583" spans="1:17">
      <c r="N1583" s="2877"/>
      <c r="O1583" s="2879"/>
      <c r="P1583" s="2879"/>
    </row>
    <row r="1584" spans="1:17" ht="15">
      <c r="A1584" s="3078" t="s">
        <v>246</v>
      </c>
      <c r="B1584" s="3079" t="s">
        <v>3151</v>
      </c>
      <c r="C1584" s="3150"/>
      <c r="D1584" s="3150"/>
      <c r="E1584" s="3150"/>
      <c r="F1584" s="3150"/>
      <c r="G1584" s="524" t="s">
        <v>3102</v>
      </c>
      <c r="H1584" s="507"/>
      <c r="I1584" s="3055" t="str">
        <f>'Part I-Project Information'!$H$90</f>
        <v>Flexible</v>
      </c>
      <c r="J1584" s="3150"/>
      <c r="K1584" s="3150"/>
      <c r="L1584" s="3150"/>
      <c r="M1584" s="2891">
        <v>3</v>
      </c>
      <c r="N1584" s="3117" t="str">
        <f>IF(OR($O1584=$M1584,$O1584=0,$O1584=""),"","***")</f>
        <v/>
      </c>
      <c r="O1584" s="3077">
        <f>'Part IX A-Scoring Criteria'!O211</f>
        <v>0</v>
      </c>
      <c r="P1584" s="3077">
        <f>'Part IX A-Scoring Criteria'!P211</f>
        <v>0</v>
      </c>
      <c r="Q1584" s="2891" t="s">
        <v>458</v>
      </c>
    </row>
    <row r="1585" spans="1:17" ht="15">
      <c r="A1585" s="3078"/>
      <c r="B1585" s="3150"/>
      <c r="C1585" s="3150"/>
      <c r="D1585" s="3150"/>
      <c r="E1585" s="3150"/>
      <c r="F1585" s="3150"/>
      <c r="G1585" s="3118" t="s">
        <v>3892</v>
      </c>
      <c r="H1585" s="3102"/>
      <c r="I1585" s="2995" t="str">
        <f>'Part I-Project Information'!$K$30</f>
        <v>Urban</v>
      </c>
      <c r="J1585" s="3150"/>
      <c r="K1585" s="2995" t="str">
        <f>IF(I1584="Flexible","(NOTE: Only Rural pool applicants are eligible for this section.)","")</f>
        <v>(NOTE: Only Rural pool applicants are eligible for this section.)</v>
      </c>
      <c r="L1585" s="3150"/>
      <c r="M1585" s="2891"/>
      <c r="N1585" s="3117"/>
      <c r="O1585" s="3117"/>
      <c r="P1585" s="3117"/>
      <c r="Q1585" s="3150"/>
    </row>
    <row r="1586" spans="1:17">
      <c r="A1586" s="3035" t="s">
        <v>2081</v>
      </c>
      <c r="B1586" s="2933" t="s">
        <v>4618</v>
      </c>
      <c r="C1586" s="2933"/>
      <c r="D1586" s="2933"/>
      <c r="E1586" s="2933"/>
      <c r="F1586" s="2933"/>
      <c r="G1586" s="2933"/>
      <c r="H1586" s="2933"/>
      <c r="I1586" s="2933"/>
      <c r="J1586" s="2933"/>
      <c r="K1586" s="2933"/>
      <c r="L1586" s="2933"/>
      <c r="M1586" s="3108">
        <v>2</v>
      </c>
      <c r="N1586" s="3042" t="s">
        <v>2081</v>
      </c>
      <c r="O1586" s="2891">
        <f>'Part IX A-Scoring Criteria'!O213</f>
        <v>0</v>
      </c>
      <c r="P1586" s="2891">
        <f>'Part IX A-Scoring Criteria'!P213</f>
        <v>0</v>
      </c>
      <c r="Q1586" s="3090" t="s">
        <v>2877</v>
      </c>
    </row>
    <row r="1587" spans="1:17" ht="15">
      <c r="A1587" s="3078"/>
      <c r="B1587" s="3150"/>
      <c r="C1587" s="2884"/>
      <c r="D1587" s="3150"/>
      <c r="E1587" s="3151"/>
      <c r="F1587" s="3150"/>
      <c r="G1587" s="3118" t="s">
        <v>1881</v>
      </c>
      <c r="H1587" s="3150"/>
      <c r="I1587" s="2995">
        <f>'Part VI-Revenues &amp; Expenses'!$M$62</f>
        <v>96</v>
      </c>
      <c r="J1587" s="2995" t="s">
        <v>4050</v>
      </c>
      <c r="K1587" s="3152"/>
      <c r="L1587" s="573"/>
      <c r="M1587" s="2891"/>
      <c r="N1587" s="3117"/>
      <c r="O1587" s="3117"/>
      <c r="P1587" s="3117"/>
      <c r="Q1587" s="2891"/>
    </row>
    <row r="1588" spans="1:17" ht="15">
      <c r="A1588" s="3078"/>
      <c r="B1588" s="2995"/>
      <c r="C1588" s="2884"/>
      <c r="D1588" s="3150"/>
      <c r="E1588" s="3151"/>
      <c r="F1588" s="3150"/>
      <c r="G1588" s="3118" t="s">
        <v>4049</v>
      </c>
      <c r="H1588" s="3150"/>
      <c r="I1588" s="3153">
        <f>'Part VI-Revenues &amp; Expenses'!$M$74</f>
        <v>96</v>
      </c>
      <c r="J1588" s="3154"/>
      <c r="K1588" s="3152"/>
      <c r="L1588" s="573"/>
      <c r="M1588" s="2891"/>
      <c r="N1588" s="3117"/>
      <c r="O1588" s="3117"/>
      <c r="P1588" s="3117"/>
      <c r="Q1588" s="2891"/>
    </row>
    <row r="1589" spans="1:17" ht="15">
      <c r="A1589" s="3078"/>
      <c r="B1589" s="2898"/>
      <c r="C1589" s="2884"/>
      <c r="D1589" s="3150"/>
      <c r="E1589" s="3151"/>
      <c r="F1589" s="3150"/>
      <c r="G1589" s="3118" t="s">
        <v>3064</v>
      </c>
      <c r="H1589" s="3150"/>
      <c r="I1589" s="3155">
        <f>'Part VI-Revenues &amp; Expenses'!$M$74/'Part VI-Revenues &amp; Expenses'!$M$62</f>
        <v>1</v>
      </c>
      <c r="J1589" s="3154"/>
      <c r="K1589" s="3152"/>
      <c r="L1589" s="573"/>
      <c r="M1589" s="2891"/>
      <c r="N1589" s="3117"/>
      <c r="O1589" s="3117"/>
      <c r="P1589" s="3117"/>
      <c r="Q1589" s="2891"/>
    </row>
    <row r="1590" spans="1:17" ht="13.5">
      <c r="A1590" s="3035" t="s">
        <v>2084</v>
      </c>
      <c r="B1590" s="3032" t="s">
        <v>4619</v>
      </c>
      <c r="C1590" s="3032"/>
      <c r="D1590" s="3032"/>
      <c r="E1590" s="3032"/>
      <c r="F1590" s="3032"/>
      <c r="G1590" s="3032"/>
      <c r="H1590" s="3032"/>
      <c r="I1590" s="3055"/>
      <c r="J1590" s="3032"/>
      <c r="K1590" s="3032"/>
      <c r="L1590" s="3032"/>
      <c r="M1590" s="2883">
        <v>1</v>
      </c>
      <c r="N1590" s="2967" t="s">
        <v>2084</v>
      </c>
      <c r="O1590" s="2891">
        <f>'Part IX A-Scoring Criteria'!O217</f>
        <v>0</v>
      </c>
      <c r="P1590" s="2891">
        <f>'Part IX A-Scoring Criteria'!P217</f>
        <v>0</v>
      </c>
      <c r="Q1590" s="2936" t="s">
        <v>2877</v>
      </c>
    </row>
    <row r="1591" spans="1:17" ht="15">
      <c r="A1591" s="3078"/>
      <c r="B1591" s="2898"/>
      <c r="C1591" s="2884"/>
      <c r="D1591" s="3150"/>
      <c r="E1591" s="3151"/>
      <c r="F1591" s="3150"/>
      <c r="G1591" s="3118" t="s">
        <v>3891</v>
      </c>
      <c r="H1591" s="3150"/>
      <c r="I1591" s="3118" t="str">
        <f>'Part I-Project Information'!$H$67</f>
        <v>Family</v>
      </c>
      <c r="J1591" s="3154"/>
      <c r="K1591" s="3152"/>
      <c r="L1591" s="573"/>
      <c r="M1591" s="2891"/>
      <c r="N1591" s="3117"/>
      <c r="O1591" s="3117"/>
      <c r="P1591" s="3117"/>
      <c r="Q1591" s="2891"/>
    </row>
    <row r="1592" spans="1:17" ht="15">
      <c r="A1592" s="523"/>
      <c r="B1592" s="2958" t="s">
        <v>267</v>
      </c>
      <c r="C1592" s="523"/>
      <c r="D1592" s="527"/>
      <c r="E1592" s="527"/>
      <c r="F1592" s="527"/>
      <c r="G1592" s="527"/>
      <c r="H1592" s="524"/>
      <c r="I1592" s="524"/>
      <c r="J1592" s="2998" t="s">
        <v>1960</v>
      </c>
      <c r="K1592" s="3081"/>
      <c r="L1592" s="3081"/>
      <c r="M1592" s="2883"/>
      <c r="N1592" s="2877"/>
      <c r="O1592" s="3077"/>
      <c r="P1592" s="2879"/>
      <c r="Q1592" s="3081"/>
    </row>
    <row r="1593" spans="1:17" ht="15.75">
      <c r="A1593" s="2933">
        <f>'Part IX A-Scoring Criteria'!A220</f>
        <v>0</v>
      </c>
      <c r="B1593" s="2933"/>
      <c r="C1593" s="2933"/>
      <c r="D1593" s="2933"/>
      <c r="E1593" s="2933"/>
      <c r="F1593" s="2933"/>
      <c r="G1593" s="2933"/>
      <c r="H1593" s="2933"/>
      <c r="I1593" s="2933"/>
      <c r="J1593" s="2933">
        <f>'Part IX A-Scoring Criteria'!J220</f>
        <v>0</v>
      </c>
      <c r="K1593" s="2933"/>
      <c r="L1593" s="2933"/>
      <c r="M1593" s="2933"/>
      <c r="N1593" s="2933"/>
      <c r="O1593" s="2933"/>
      <c r="P1593" s="2933"/>
      <c r="Q1593" s="3082" t="s">
        <v>1314</v>
      </c>
    </row>
    <row r="1594" spans="1:17" ht="15">
      <c r="A1594" s="523"/>
      <c r="B1594" s="3081"/>
      <c r="C1594" s="3000"/>
      <c r="D1594" s="3000"/>
      <c r="E1594" s="3000"/>
      <c r="F1594" s="3000"/>
      <c r="G1594" s="3000"/>
      <c r="H1594" s="3000"/>
      <c r="I1594" s="3000"/>
      <c r="J1594" s="3000"/>
      <c r="K1594" s="3000"/>
      <c r="L1594" s="3000"/>
      <c r="M1594" s="3000"/>
      <c r="N1594" s="3100"/>
      <c r="O1594" s="3101"/>
      <c r="P1594" s="2891"/>
      <c r="Q1594" s="3081"/>
    </row>
    <row r="1595" spans="1:17" ht="15">
      <c r="A1595" s="3078" t="s">
        <v>1473</v>
      </c>
      <c r="B1595" s="3084" t="s">
        <v>1753</v>
      </c>
      <c r="C1595" s="3081"/>
      <c r="D1595" s="2951"/>
      <c r="E1595" s="2951"/>
      <c r="F1595" s="3081"/>
      <c r="G1595" s="524"/>
      <c r="H1595" s="524"/>
      <c r="I1595" s="524"/>
      <c r="J1595" s="3081"/>
      <c r="K1595" s="2992"/>
      <c r="L1595" s="3114" t="str">
        <f>IF(OR($O1595=$M1595,$O1595=0,$O1595=""),"","* * Check Score! * *")</f>
        <v/>
      </c>
      <c r="M1595" s="2891">
        <v>1</v>
      </c>
      <c r="N1595" s="3117" t="str">
        <f>IF(OR($O1595=$M1595,$O1595=0,$O1595=""),"","***")</f>
        <v/>
      </c>
      <c r="O1595" s="2891">
        <f>'Part IX A-Scoring Criteria'!O222</f>
        <v>0</v>
      </c>
      <c r="P1595" s="2891">
        <f>'Part IX A-Scoring Criteria'!P222</f>
        <v>0</v>
      </c>
      <c r="Q1595" s="2891" t="s">
        <v>458</v>
      </c>
    </row>
    <row r="1596" spans="1:17" ht="15">
      <c r="A1596" s="3081"/>
      <c r="B1596" s="3028" t="s">
        <v>3152</v>
      </c>
      <c r="C1596" s="3081"/>
      <c r="D1596" s="3115"/>
      <c r="E1596" s="2951"/>
      <c r="F1596" s="524"/>
      <c r="G1596" s="524"/>
      <c r="H1596" s="524"/>
      <c r="I1596" s="2996"/>
      <c r="J1596" s="3081"/>
      <c r="K1596" s="3081"/>
      <c r="L1596" s="3081"/>
      <c r="M1596" s="3081"/>
      <c r="N1596" s="3081"/>
      <c r="O1596" s="3056" t="s">
        <v>2636</v>
      </c>
      <c r="P1596" s="3056" t="s">
        <v>2636</v>
      </c>
      <c r="Q1596" s="3081"/>
    </row>
    <row r="1597" spans="1:17">
      <c r="A1597" s="3045" t="s">
        <v>2081</v>
      </c>
      <c r="B1597" s="524" t="s">
        <v>3270</v>
      </c>
      <c r="C1597" s="507"/>
      <c r="D1597" s="524"/>
      <c r="E1597" s="524"/>
      <c r="F1597" s="524"/>
      <c r="G1597" s="507"/>
      <c r="H1597" s="507"/>
      <c r="I1597" s="3004" t="str">
        <f>'Part IX A-Scoring Criteria'!I224</f>
        <v>&lt; Select applicable GICH &gt;</v>
      </c>
      <c r="J1597" s="3004"/>
      <c r="K1597" s="3004"/>
      <c r="L1597" s="507"/>
      <c r="M1597" s="507"/>
      <c r="N1597" s="2967" t="s">
        <v>2081</v>
      </c>
      <c r="O1597" s="3110">
        <f>'Part IX A-Scoring Criteria'!O224</f>
        <v>0</v>
      </c>
      <c r="P1597" s="3110">
        <f>'Part IX A-Scoring Criteria'!P224</f>
        <v>0</v>
      </c>
      <c r="Q1597" s="507"/>
    </row>
    <row r="1598" spans="1:17">
      <c r="A1598" s="3045" t="s">
        <v>2084</v>
      </c>
      <c r="B1598" s="524" t="s">
        <v>3271</v>
      </c>
      <c r="C1598" s="507"/>
      <c r="D1598" s="524"/>
      <c r="E1598" s="524"/>
      <c r="F1598" s="524"/>
      <c r="G1598" s="524"/>
      <c r="H1598" s="507"/>
      <c r="I1598" s="507"/>
      <c r="J1598" s="507"/>
      <c r="K1598" s="507"/>
      <c r="L1598" s="507"/>
      <c r="M1598" s="524"/>
      <c r="N1598" s="2967" t="s">
        <v>2084</v>
      </c>
      <c r="O1598" s="3110">
        <f>'Part IX A-Scoring Criteria'!O225</f>
        <v>0</v>
      </c>
      <c r="P1598" s="3110">
        <f>'Part IX A-Scoring Criteria'!P225</f>
        <v>0</v>
      </c>
      <c r="Q1598" s="507"/>
    </row>
    <row r="1599" spans="1:17">
      <c r="A1599" s="3045" t="s">
        <v>789</v>
      </c>
      <c r="B1599" s="524" t="s">
        <v>4199</v>
      </c>
      <c r="C1599" s="507"/>
      <c r="D1599" s="524"/>
      <c r="E1599" s="524"/>
      <c r="F1599" s="524"/>
      <c r="G1599" s="524"/>
      <c r="H1599" s="524"/>
      <c r="I1599" s="507"/>
      <c r="J1599" s="507"/>
      <c r="K1599" s="507"/>
      <c r="L1599" s="524"/>
      <c r="M1599" s="524"/>
      <c r="N1599" s="2967" t="s">
        <v>789</v>
      </c>
      <c r="O1599" s="3110">
        <f>'Part IX A-Scoring Criteria'!O226</f>
        <v>0</v>
      </c>
      <c r="P1599" s="3110">
        <f>'Part IX A-Scoring Criteria'!P226</f>
        <v>0</v>
      </c>
      <c r="Q1599" s="507"/>
    </row>
    <row r="1600" spans="1:17">
      <c r="A1600" s="3045" t="s">
        <v>2216</v>
      </c>
      <c r="B1600" s="524" t="s">
        <v>4073</v>
      </c>
      <c r="C1600" s="507"/>
      <c r="D1600" s="524"/>
      <c r="E1600" s="524"/>
      <c r="F1600" s="524"/>
      <c r="G1600" s="524"/>
      <c r="H1600" s="524"/>
      <c r="I1600" s="524"/>
      <c r="J1600" s="524"/>
      <c r="K1600" s="524"/>
      <c r="L1600" s="524"/>
      <c r="M1600" s="524"/>
      <c r="N1600" s="2967" t="s">
        <v>2216</v>
      </c>
      <c r="O1600" s="3110">
        <f>'Part IX A-Scoring Criteria'!O227</f>
        <v>0</v>
      </c>
      <c r="P1600" s="3110">
        <f>'Part IX A-Scoring Criteria'!P227</f>
        <v>0</v>
      </c>
      <c r="Q1600" s="507"/>
    </row>
    <row r="1601" spans="1:17">
      <c r="A1601" s="3156" t="s">
        <v>3272</v>
      </c>
      <c r="B1601" s="524"/>
      <c r="C1601" s="507"/>
      <c r="D1601" s="524"/>
      <c r="E1601" s="524"/>
      <c r="F1601" s="524"/>
      <c r="G1601" s="524"/>
      <c r="H1601" s="524"/>
      <c r="I1601" s="524"/>
      <c r="J1601" s="524"/>
      <c r="K1601" s="524"/>
      <c r="L1601" s="524"/>
      <c r="M1601" s="524"/>
      <c r="N1601" s="2967"/>
      <c r="O1601" s="2967"/>
      <c r="P1601" s="2967"/>
      <c r="Q1601" s="507"/>
    </row>
    <row r="1602" spans="1:17" ht="15">
      <c r="A1602" s="523"/>
      <c r="B1602" s="2958" t="s">
        <v>267</v>
      </c>
      <c r="C1602" s="523"/>
      <c r="D1602" s="527"/>
      <c r="E1602" s="527"/>
      <c r="F1602" s="527"/>
      <c r="G1602" s="527"/>
      <c r="H1602" s="524"/>
      <c r="I1602" s="524"/>
      <c r="J1602" s="2998" t="s">
        <v>1960</v>
      </c>
      <c r="K1602" s="3081"/>
      <c r="L1602" s="3081"/>
      <c r="M1602" s="2883"/>
      <c r="N1602" s="2877"/>
      <c r="O1602" s="3077"/>
      <c r="P1602" s="2879"/>
      <c r="Q1602" s="3081"/>
    </row>
    <row r="1603" spans="1:17" ht="15.75">
      <c r="A1603" s="2933">
        <f>'Part IX A-Scoring Criteria'!A230</f>
        <v>0</v>
      </c>
      <c r="B1603" s="2933"/>
      <c r="C1603" s="2933"/>
      <c r="D1603" s="2933"/>
      <c r="E1603" s="2933"/>
      <c r="F1603" s="2933"/>
      <c r="G1603" s="2933"/>
      <c r="H1603" s="2933"/>
      <c r="I1603" s="2933"/>
      <c r="J1603" s="2933">
        <f>'Part IX A-Scoring Criteria'!J230</f>
        <v>0</v>
      </c>
      <c r="K1603" s="2933"/>
      <c r="L1603" s="2933"/>
      <c r="M1603" s="2933"/>
      <c r="N1603" s="2933"/>
      <c r="O1603" s="2933"/>
      <c r="P1603" s="2933"/>
      <c r="Q1603" s="3082" t="s">
        <v>1314</v>
      </c>
    </row>
    <row r="1604" spans="1:17">
      <c r="N1604" s="2877"/>
      <c r="O1604" s="2879"/>
      <c r="P1604" s="2879"/>
    </row>
    <row r="1605" spans="1:17" ht="15">
      <c r="A1605" s="3078" t="s">
        <v>1752</v>
      </c>
      <c r="B1605" s="3084" t="s">
        <v>3154</v>
      </c>
      <c r="C1605" s="3081"/>
      <c r="D1605" s="2951"/>
      <c r="E1605" s="2951"/>
      <c r="F1605" s="524"/>
      <c r="G1605" s="524"/>
      <c r="H1605" s="524"/>
      <c r="I1605" s="2898" t="s">
        <v>3102</v>
      </c>
      <c r="J1605" s="2884"/>
      <c r="K1605" s="3150"/>
      <c r="L1605" s="2898" t="str">
        <f>'Part I-Project Information'!$H$90</f>
        <v>Flexible</v>
      </c>
      <c r="M1605" s="3077">
        <v>8</v>
      </c>
      <c r="N1605" s="2883"/>
      <c r="O1605" s="3077">
        <f>'Part IX A-Scoring Criteria'!O232</f>
        <v>0</v>
      </c>
      <c r="P1605" s="3077">
        <f>'Part IX A-Scoring Criteria'!P232</f>
        <v>0</v>
      </c>
      <c r="Q1605" s="2891" t="s">
        <v>458</v>
      </c>
    </row>
    <row r="1606" spans="1:17" ht="15">
      <c r="A1606" s="523"/>
      <c r="B1606" s="3028" t="s">
        <v>3277</v>
      </c>
      <c r="C1606" s="3081"/>
      <c r="D1606" s="3081"/>
      <c r="E1606" s="2951"/>
      <c r="F1606" s="524"/>
      <c r="G1606" s="524"/>
      <c r="H1606" s="524"/>
      <c r="I1606" s="524"/>
      <c r="J1606" s="3081"/>
      <c r="K1606" s="2992"/>
      <c r="L1606" s="3157"/>
      <c r="M1606" s="3081"/>
      <c r="N1606" s="3081"/>
      <c r="O1606" s="3056" t="s">
        <v>2636</v>
      </c>
      <c r="P1606" s="3056" t="s">
        <v>2636</v>
      </c>
      <c r="Q1606" s="3081"/>
    </row>
    <row r="1607" spans="1:17" ht="15">
      <c r="A1607" s="507"/>
      <c r="B1607" s="3158" t="s">
        <v>2085</v>
      </c>
      <c r="C1607" s="507" t="s">
        <v>3153</v>
      </c>
      <c r="D1607" s="507"/>
      <c r="E1607" s="2951"/>
      <c r="F1607" s="524"/>
      <c r="G1607" s="524"/>
      <c r="H1607" s="524"/>
      <c r="I1607" s="524"/>
      <c r="J1607" s="3081"/>
      <c r="K1607" s="2992"/>
      <c r="L1607" s="3157" t="str">
        <f>IF(M1607&gt;14,"Over limit!","")</f>
        <v/>
      </c>
      <c r="M1607" s="507"/>
      <c r="N1607" s="3103" t="s">
        <v>2085</v>
      </c>
      <c r="O1607" s="3110">
        <f>'Part IX A-Scoring Criteria'!O234</f>
        <v>0</v>
      </c>
      <c r="P1607" s="3110">
        <f>'Part IX A-Scoring Criteria'!P234</f>
        <v>0</v>
      </c>
      <c r="Q1607" s="507"/>
    </row>
    <row r="1608" spans="1:17">
      <c r="A1608" s="507"/>
      <c r="B1608" s="3158" t="s">
        <v>2087</v>
      </c>
      <c r="C1608" s="507" t="s">
        <v>593</v>
      </c>
      <c r="D1608" s="507"/>
      <c r="E1608" s="507"/>
      <c r="F1608" s="507"/>
      <c r="G1608" s="507"/>
      <c r="H1608" s="507"/>
      <c r="I1608" s="507"/>
      <c r="J1608" s="507"/>
      <c r="K1608" s="507"/>
      <c r="L1608" s="507"/>
      <c r="M1608" s="507"/>
      <c r="N1608" s="3103" t="s">
        <v>2087</v>
      </c>
      <c r="O1608" s="3110">
        <f>'Part IX A-Scoring Criteria'!O235</f>
        <v>0</v>
      </c>
      <c r="P1608" s="3110">
        <f>'Part IX A-Scoring Criteria'!P235</f>
        <v>0</v>
      </c>
      <c r="Q1608" s="507"/>
    </row>
    <row r="1609" spans="1:17">
      <c r="A1609" s="507"/>
      <c r="B1609" s="3158" t="s">
        <v>2661</v>
      </c>
      <c r="C1609" s="507" t="s">
        <v>594</v>
      </c>
      <c r="D1609" s="507"/>
      <c r="E1609" s="507"/>
      <c r="F1609" s="507"/>
      <c r="G1609" s="507"/>
      <c r="H1609" s="507"/>
      <c r="I1609" s="507"/>
      <c r="J1609" s="507"/>
      <c r="K1609" s="507"/>
      <c r="L1609" s="507"/>
      <c r="M1609" s="507"/>
      <c r="N1609" s="3103" t="s">
        <v>2661</v>
      </c>
      <c r="O1609" s="3110">
        <f>'Part IX A-Scoring Criteria'!O236</f>
        <v>0</v>
      </c>
      <c r="P1609" s="3110">
        <f>'Part IX A-Scoring Criteria'!P236</f>
        <v>0</v>
      </c>
      <c r="Q1609" s="507"/>
    </row>
    <row r="1610" spans="1:17">
      <c r="A1610" s="507"/>
      <c r="B1610" s="3158" t="s">
        <v>1283</v>
      </c>
      <c r="C1610" s="507" t="s">
        <v>595</v>
      </c>
      <c r="D1610" s="507"/>
      <c r="E1610" s="507"/>
      <c r="F1610" s="507"/>
      <c r="G1610" s="507"/>
      <c r="H1610" s="507"/>
      <c r="I1610" s="507"/>
      <c r="J1610" s="507"/>
      <c r="K1610" s="507"/>
      <c r="L1610" s="507"/>
      <c r="M1610" s="507"/>
      <c r="N1610" s="3103" t="s">
        <v>1283</v>
      </c>
      <c r="O1610" s="3110">
        <f>'Part IX A-Scoring Criteria'!O237</f>
        <v>0</v>
      </c>
      <c r="P1610" s="3110">
        <f>'Part IX A-Scoring Criteria'!P237</f>
        <v>0</v>
      </c>
      <c r="Q1610" s="507"/>
    </row>
    <row r="1611" spans="1:17">
      <c r="A1611" s="507"/>
      <c r="B1611" s="3158" t="s">
        <v>1284</v>
      </c>
      <c r="C1611" s="507" t="s">
        <v>603</v>
      </c>
      <c r="D1611" s="507"/>
      <c r="E1611" s="507"/>
      <c r="F1611" s="507"/>
      <c r="G1611" s="507"/>
      <c r="H1611" s="507"/>
      <c r="I1611" s="507"/>
      <c r="J1611" s="507"/>
      <c r="K1611" s="507"/>
      <c r="L1611" s="507"/>
      <c r="M1611" s="507"/>
      <c r="N1611" s="3103" t="s">
        <v>1284</v>
      </c>
      <c r="O1611" s="3110">
        <f>'Part IX A-Scoring Criteria'!O238</f>
        <v>0</v>
      </c>
      <c r="P1611" s="3110">
        <f>'Part IX A-Scoring Criteria'!P238</f>
        <v>0</v>
      </c>
      <c r="Q1611" s="507"/>
    </row>
    <row r="1612" spans="1:17" ht="15">
      <c r="A1612" s="3045" t="s">
        <v>2081</v>
      </c>
      <c r="B1612" s="3156" t="s">
        <v>1937</v>
      </c>
      <c r="C1612" s="3081"/>
      <c r="D1612" s="2995"/>
      <c r="E1612" s="2995"/>
      <c r="F1612" s="523"/>
      <c r="G1612" s="3115"/>
      <c r="H1612" s="3115"/>
      <c r="I1612" s="3115"/>
      <c r="J1612" s="2995"/>
      <c r="K1612" s="3115"/>
      <c r="L1612" s="523"/>
      <c r="M1612" s="2883">
        <v>4</v>
      </c>
      <c r="N1612" s="2967" t="s">
        <v>2081</v>
      </c>
      <c r="O1612" s="3077">
        <f>'Part IX A-Scoring Criteria'!O239</f>
        <v>0</v>
      </c>
      <c r="P1612" s="3077">
        <f>'Part IX A-Scoring Criteria'!P239</f>
        <v>0</v>
      </c>
      <c r="Q1612" s="3081"/>
    </row>
    <row r="1613" spans="1:17">
      <c r="B1613" s="3119" t="s">
        <v>2085</v>
      </c>
      <c r="C1613" s="3048" t="s">
        <v>2760</v>
      </c>
      <c r="I1613" s="3159" t="s">
        <v>2089</v>
      </c>
      <c r="J1613" s="3159"/>
      <c r="L1613" s="3159" t="s">
        <v>2089</v>
      </c>
      <c r="M1613" s="3159"/>
      <c r="N1613" s="3103"/>
      <c r="O1613" s="2879"/>
      <c r="P1613" s="2879"/>
    </row>
    <row r="1614" spans="1:17" ht="15">
      <c r="A1614" s="2912"/>
      <c r="B1614" s="2967" t="s">
        <v>2556</v>
      </c>
      <c r="C1614" s="524" t="s">
        <v>1557</v>
      </c>
      <c r="D1614" s="3081"/>
      <c r="E1614" s="3081"/>
      <c r="F1614" s="3081"/>
      <c r="G1614" s="3081"/>
      <c r="H1614" s="2967" t="s">
        <v>2556</v>
      </c>
      <c r="I1614" s="3160">
        <f>'Part IX A-Scoring Criteria'!I241</f>
        <v>0</v>
      </c>
      <c r="J1614" s="3160"/>
      <c r="K1614" s="2967" t="s">
        <v>2556</v>
      </c>
      <c r="L1614" s="3160">
        <f>'Part IX A-Scoring Criteria'!L241</f>
        <v>0</v>
      </c>
      <c r="M1614" s="3160"/>
      <c r="N1614" s="3103"/>
      <c r="O1614" s="2879"/>
      <c r="P1614" s="2879"/>
      <c r="Q1614" s="3081"/>
    </row>
    <row r="1615" spans="1:17">
      <c r="A1615" s="2973"/>
      <c r="B1615" s="3042" t="s">
        <v>2557</v>
      </c>
      <c r="C1615" s="524" t="s">
        <v>1558</v>
      </c>
      <c r="H1615" s="3042" t="s">
        <v>2557</v>
      </c>
      <c r="I1615" s="3160">
        <f>'Part IX A-Scoring Criteria'!I242</f>
        <v>0</v>
      </c>
      <c r="J1615" s="3160"/>
      <c r="K1615" s="3042" t="s">
        <v>2557</v>
      </c>
      <c r="L1615" s="3160">
        <f>'Part IX A-Scoring Criteria'!L242</f>
        <v>0</v>
      </c>
      <c r="M1615" s="3160"/>
      <c r="N1615" s="3103"/>
      <c r="O1615" s="2879"/>
      <c r="P1615" s="2879"/>
    </row>
    <row r="1616" spans="1:17">
      <c r="B1616" s="2967" t="s">
        <v>2558</v>
      </c>
      <c r="C1616" s="524" t="s">
        <v>2759</v>
      </c>
      <c r="H1616" s="2967" t="s">
        <v>2558</v>
      </c>
      <c r="I1616" s="3160">
        <f>'Part IX A-Scoring Criteria'!I243</f>
        <v>0</v>
      </c>
      <c r="J1616" s="3160"/>
      <c r="K1616" s="2967" t="s">
        <v>2558</v>
      </c>
      <c r="L1616" s="3160">
        <f>'Part IX A-Scoring Criteria'!L243</f>
        <v>0</v>
      </c>
      <c r="M1616" s="3160"/>
      <c r="N1616" s="3103"/>
      <c r="O1616" s="2879"/>
      <c r="P1616" s="2879"/>
    </row>
    <row r="1617" spans="1:17">
      <c r="A1617" s="2973"/>
      <c r="B1617" s="2967" t="s">
        <v>2559</v>
      </c>
      <c r="C1617" s="524" t="s">
        <v>4074</v>
      </c>
      <c r="H1617" s="2967" t="s">
        <v>2559</v>
      </c>
      <c r="I1617" s="3160">
        <f>'Part IX A-Scoring Criteria'!I244</f>
        <v>0</v>
      </c>
      <c r="J1617" s="3160"/>
      <c r="K1617" s="2967" t="s">
        <v>2559</v>
      </c>
      <c r="L1617" s="3160">
        <f>'Part IX A-Scoring Criteria'!L244</f>
        <v>0</v>
      </c>
      <c r="M1617" s="3160"/>
      <c r="N1617" s="3103"/>
      <c r="O1617" s="2879"/>
      <c r="P1617" s="2879"/>
    </row>
    <row r="1618" spans="1:17" ht="15">
      <c r="A1618" s="2912"/>
      <c r="B1618" s="3042" t="s">
        <v>2560</v>
      </c>
      <c r="C1618" s="524" t="s">
        <v>2914</v>
      </c>
      <c r="D1618" s="3081"/>
      <c r="E1618" s="3081"/>
      <c r="F1618" s="3081"/>
      <c r="G1618" s="3081"/>
      <c r="H1618" s="3042" t="s">
        <v>2560</v>
      </c>
      <c r="I1618" s="3160">
        <f>'Part IX A-Scoring Criteria'!I245</f>
        <v>0</v>
      </c>
      <c r="J1618" s="3160"/>
      <c r="K1618" s="3042" t="s">
        <v>2560</v>
      </c>
      <c r="L1618" s="3160">
        <f>'Part IX A-Scoring Criteria'!L245</f>
        <v>0</v>
      </c>
      <c r="M1618" s="3160"/>
      <c r="N1618" s="3103"/>
      <c r="O1618" s="2879"/>
      <c r="P1618" s="2879"/>
      <c r="Q1618" s="3081"/>
    </row>
    <row r="1619" spans="1:17">
      <c r="B1619" s="2967" t="s">
        <v>2576</v>
      </c>
      <c r="C1619" s="524" t="s">
        <v>3273</v>
      </c>
      <c r="H1619" s="2967" t="s">
        <v>2576</v>
      </c>
      <c r="I1619" s="3160">
        <f>'Part IX A-Scoring Criteria'!I246</f>
        <v>0</v>
      </c>
      <c r="J1619" s="3160"/>
      <c r="K1619" s="2967" t="s">
        <v>2576</v>
      </c>
      <c r="L1619" s="3160">
        <f>'Part IX A-Scoring Criteria'!L246</f>
        <v>0</v>
      </c>
      <c r="M1619" s="3160"/>
      <c r="N1619" s="3103"/>
      <c r="O1619" s="2879"/>
      <c r="P1619" s="2879"/>
    </row>
    <row r="1620" spans="1:17">
      <c r="A1620" s="2973"/>
      <c r="B1620" s="2967" t="s">
        <v>2577</v>
      </c>
      <c r="C1620" s="524" t="s">
        <v>3919</v>
      </c>
      <c r="H1620" s="2967" t="s">
        <v>2577</v>
      </c>
      <c r="I1620" s="3160">
        <f>'Part IX A-Scoring Criteria'!I247</f>
        <v>0</v>
      </c>
      <c r="J1620" s="3160"/>
      <c r="K1620" s="2967" t="s">
        <v>2577</v>
      </c>
      <c r="L1620" s="3160">
        <f>'Part IX A-Scoring Criteria'!L247</f>
        <v>0</v>
      </c>
      <c r="M1620" s="3160"/>
      <c r="N1620" s="3103"/>
      <c r="O1620" s="2879"/>
      <c r="P1620" s="2879"/>
    </row>
    <row r="1621" spans="1:17">
      <c r="B1621" s="2967" t="s">
        <v>2578</v>
      </c>
      <c r="C1621" s="524" t="s">
        <v>3920</v>
      </c>
      <c r="H1621" s="2967" t="s">
        <v>2578</v>
      </c>
      <c r="I1621" s="3160">
        <f>'Part IX A-Scoring Criteria'!I248</f>
        <v>0</v>
      </c>
      <c r="J1621" s="3160"/>
      <c r="K1621" s="2967" t="s">
        <v>2578</v>
      </c>
      <c r="L1621" s="3160">
        <f>'Part IX A-Scoring Criteria'!L248</f>
        <v>0</v>
      </c>
      <c r="M1621" s="3160"/>
      <c r="N1621" s="3103"/>
      <c r="O1621" s="2879"/>
      <c r="P1621" s="2879"/>
    </row>
    <row r="1622" spans="1:17">
      <c r="A1622" s="2973"/>
      <c r="B1622" s="2967" t="s">
        <v>2579</v>
      </c>
      <c r="C1622" s="524" t="s">
        <v>3921</v>
      </c>
      <c r="H1622" s="2967" t="s">
        <v>2579</v>
      </c>
      <c r="I1622" s="3160">
        <f>'Part IX A-Scoring Criteria'!I249</f>
        <v>0</v>
      </c>
      <c r="J1622" s="3160"/>
      <c r="K1622" s="2967" t="s">
        <v>2579</v>
      </c>
      <c r="L1622" s="3160">
        <f>'Part IX A-Scoring Criteria'!L249</f>
        <v>0</v>
      </c>
      <c r="M1622" s="3160"/>
      <c r="N1622" s="3103"/>
      <c r="O1622" s="2879"/>
      <c r="P1622" s="2879"/>
    </row>
    <row r="1623" spans="1:17">
      <c r="A1623" s="2973"/>
      <c r="B1623" s="3158"/>
      <c r="C1623" s="2995" t="s">
        <v>2762</v>
      </c>
      <c r="H1623" s="507"/>
      <c r="I1623" s="3160">
        <f>SUM(I1614:J1622)</f>
        <v>0</v>
      </c>
      <c r="J1623" s="3160"/>
      <c r="L1623" s="3160">
        <f>SUM($L1614:$L1622)</f>
        <v>0</v>
      </c>
      <c r="M1623" s="3160"/>
      <c r="N1623" s="3103"/>
      <c r="O1623" s="2879"/>
      <c r="P1623" s="2879"/>
    </row>
    <row r="1624" spans="1:17" ht="15">
      <c r="A1624" s="523"/>
      <c r="B1624" s="3161"/>
      <c r="C1624" s="3081"/>
      <c r="D1624" s="524"/>
      <c r="E1624" s="524"/>
      <c r="F1624" s="2891"/>
      <c r="G1624" s="2891"/>
      <c r="H1624" s="2891"/>
      <c r="I1624" s="2891"/>
      <c r="J1624" s="2995"/>
      <c r="K1624" s="2995"/>
      <c r="L1624" s="2995"/>
      <c r="M1624" s="2992"/>
      <c r="N1624" s="2891"/>
      <c r="O1624" s="2879"/>
      <c r="P1624" s="3077"/>
      <c r="Q1624" s="3081"/>
    </row>
    <row r="1625" spans="1:17">
      <c r="B1625" s="3119" t="s">
        <v>2087</v>
      </c>
      <c r="C1625" s="3048" t="s">
        <v>2761</v>
      </c>
      <c r="D1625" s="2995" t="s">
        <v>2763</v>
      </c>
      <c r="I1625" s="3160">
        <f>'Part IV-Uses of Funds'!$G$130</f>
        <v>14368613</v>
      </c>
      <c r="J1625" s="3160"/>
    </row>
    <row r="1626" spans="1:17">
      <c r="B1626" s="3103"/>
      <c r="C1626" s="3162"/>
      <c r="D1626" s="3118" t="s">
        <v>2764</v>
      </c>
      <c r="G1626" s="2965"/>
      <c r="H1626" s="2965"/>
      <c r="I1626" s="3163">
        <f>IF($I1625=0,0,$I1623/$I1625)</f>
        <v>0</v>
      </c>
      <c r="J1626" s="3163"/>
      <c r="L1626" s="3163">
        <f>IF($I1625=0,0,$L1623/$I1625)</f>
        <v>0</v>
      </c>
      <c r="M1626" s="3163"/>
    </row>
    <row r="1627" spans="1:17" ht="15">
      <c r="A1627" s="3045" t="s">
        <v>2084</v>
      </c>
      <c r="B1627" s="3156" t="s">
        <v>3922</v>
      </c>
      <c r="C1627" s="3081"/>
      <c r="D1627" s="524"/>
      <c r="E1627" s="524"/>
      <c r="F1627" s="2891"/>
      <c r="G1627" s="3081"/>
      <c r="H1627" s="524"/>
      <c r="I1627" s="2891"/>
      <c r="J1627" s="2995"/>
      <c r="K1627" s="2995"/>
      <c r="L1627" s="2995"/>
      <c r="M1627" s="2883">
        <v>2</v>
      </c>
      <c r="N1627" s="2967" t="s">
        <v>2084</v>
      </c>
      <c r="O1627" s="2891">
        <f>'Part IX A-Scoring Criteria'!O254</f>
        <v>0</v>
      </c>
      <c r="P1627" s="2891">
        <f>'Part IX A-Scoring Criteria'!P254</f>
        <v>0</v>
      </c>
      <c r="Q1627" s="2936" t="s">
        <v>2877</v>
      </c>
    </row>
    <row r="1628" spans="1:17" ht="15">
      <c r="A1628" s="3045"/>
      <c r="B1628" s="524" t="s">
        <v>3155</v>
      </c>
      <c r="C1628" s="524"/>
      <c r="D1628" s="524"/>
      <c r="E1628" s="524"/>
      <c r="F1628" s="524"/>
      <c r="G1628" s="524"/>
      <c r="H1628" s="524"/>
      <c r="I1628" s="524"/>
      <c r="J1628" s="524"/>
      <c r="K1628" s="524"/>
      <c r="L1628" s="524"/>
      <c r="M1628" s="524"/>
      <c r="N1628" s="524"/>
      <c r="O1628" s="2891" t="str">
        <f>'Part IX A-Scoring Criteria'!O255</f>
        <v>No</v>
      </c>
      <c r="P1628" s="2891">
        <f>'Part IX A-Scoring Criteria'!P255</f>
        <v>0</v>
      </c>
      <c r="Q1628" s="3081"/>
    </row>
    <row r="1629" spans="1:17" ht="15">
      <c r="A1629" s="3045" t="s">
        <v>789</v>
      </c>
      <c r="B1629" s="3156" t="s">
        <v>676</v>
      </c>
      <c r="C1629" s="3081"/>
      <c r="D1629" s="524"/>
      <c r="E1629" s="524"/>
      <c r="F1629" s="2891"/>
      <c r="G1629" s="2891"/>
      <c r="H1629" s="2891"/>
      <c r="I1629" s="2891"/>
      <c r="J1629" s="2995"/>
      <c r="K1629" s="2995"/>
      <c r="L1629" s="2995"/>
      <c r="M1629" s="2883">
        <v>2</v>
      </c>
      <c r="N1629" s="2967" t="s">
        <v>789</v>
      </c>
      <c r="O1629" s="3077">
        <f>'Part IX A-Scoring Criteria'!O256</f>
        <v>0</v>
      </c>
      <c r="P1629" s="3077">
        <f>'Part IX A-Scoring Criteria'!P256</f>
        <v>0</v>
      </c>
      <c r="Q1629" s="3081"/>
    </row>
    <row r="1630" spans="1:17">
      <c r="B1630" s="524" t="s">
        <v>4051</v>
      </c>
      <c r="E1630" s="3056"/>
      <c r="I1630" s="3164">
        <f>'Part IX A-Scoring Criteria'!I257</f>
        <v>0</v>
      </c>
      <c r="J1630" s="3164"/>
      <c r="L1630" s="3160">
        <f>'Part IX A-Scoring Criteria'!L257</f>
        <v>0</v>
      </c>
      <c r="M1630" s="3160"/>
      <c r="P1630" s="2879"/>
    </row>
    <row r="1631" spans="1:17" ht="15">
      <c r="A1631" s="523"/>
      <c r="B1631" s="3081"/>
      <c r="C1631" s="524" t="s">
        <v>4380</v>
      </c>
      <c r="D1631" s="3000"/>
      <c r="E1631" s="3000"/>
      <c r="F1631" s="3000"/>
      <c r="G1631" s="3000"/>
      <c r="H1631" s="3000"/>
      <c r="I1631" s="3163">
        <f>IF($I1630=0,0,$I1630/$I1625)</f>
        <v>0</v>
      </c>
      <c r="J1631" s="3163"/>
      <c r="K1631" s="3000"/>
      <c r="L1631" s="3163">
        <f>IF($L1630=0,0,$L1630/$I1625)</f>
        <v>0</v>
      </c>
      <c r="M1631" s="3163"/>
      <c r="N1631" s="3100"/>
      <c r="O1631" s="3101"/>
      <c r="P1631" s="2891"/>
      <c r="Q1631" s="3081"/>
    </row>
    <row r="1632" spans="1:17" ht="15">
      <c r="A1632" s="2912"/>
      <c r="B1632" s="524" t="s">
        <v>3176</v>
      </c>
      <c r="C1632" s="3081"/>
      <c r="D1632" s="3081"/>
      <c r="E1632" s="3081"/>
      <c r="F1632" s="3081"/>
      <c r="G1632" s="3081"/>
      <c r="H1632" s="3081"/>
      <c r="I1632" s="2921">
        <f>'Part IX A-Scoring Criteria'!I259</f>
        <v>0</v>
      </c>
      <c r="J1632" s="2921"/>
      <c r="K1632" s="2921"/>
      <c r="L1632" s="2921"/>
      <c r="M1632" s="2921"/>
      <c r="N1632" s="2921"/>
      <c r="O1632" s="3081"/>
      <c r="P1632" s="3081"/>
      <c r="Q1632" s="3081"/>
    </row>
    <row r="1633" spans="1:17" ht="15">
      <c r="A1633" s="2912"/>
      <c r="B1633" s="524"/>
      <c r="C1633" s="3118" t="s">
        <v>1361</v>
      </c>
      <c r="D1633" s="3081"/>
      <c r="E1633" s="3081"/>
      <c r="F1633" s="3081"/>
      <c r="G1633" s="3081"/>
      <c r="H1633" s="3081"/>
      <c r="I1633" s="3147" t="str">
        <f>'Part IX A-Scoring Criteria'!I260</f>
        <v>&lt;Select unrelated 3rd party type&gt;</v>
      </c>
      <c r="J1633" s="3147"/>
      <c r="K1633" s="3147"/>
      <c r="L1633" s="3081"/>
      <c r="M1633" s="3081"/>
      <c r="N1633" s="3081"/>
      <c r="O1633" s="3081"/>
      <c r="P1633" s="3081"/>
      <c r="Q1633" s="3081"/>
    </row>
    <row r="1634" spans="1:17">
      <c r="A1634" s="2973"/>
      <c r="B1634" s="3032" t="s">
        <v>2467</v>
      </c>
      <c r="D1634" s="3041"/>
      <c r="E1634" s="2861">
        <f>'Part IX A-Scoring Criteria'!E261</f>
        <v>0</v>
      </c>
      <c r="F1634" s="3165"/>
      <c r="G1634" s="3165"/>
      <c r="H1634" s="3165"/>
      <c r="I1634" s="3165"/>
      <c r="J1634" s="3165"/>
      <c r="K1634" s="3165"/>
      <c r="L1634" s="3165"/>
      <c r="M1634" s="3165"/>
      <c r="N1634" s="3165"/>
      <c r="O1634" s="3165"/>
      <c r="P1634" s="3165"/>
    </row>
    <row r="1635" spans="1:17" ht="15">
      <c r="A1635" s="523"/>
      <c r="B1635" s="2958" t="s">
        <v>267</v>
      </c>
      <c r="C1635" s="523"/>
      <c r="D1635" s="527"/>
      <c r="E1635" s="527"/>
      <c r="F1635" s="527"/>
      <c r="G1635" s="527"/>
      <c r="H1635" s="524"/>
      <c r="I1635" s="524"/>
      <c r="J1635" s="524"/>
      <c r="K1635" s="524"/>
      <c r="L1635" s="3081"/>
      <c r="M1635" s="2883"/>
      <c r="N1635" s="2877"/>
      <c r="O1635" s="3077"/>
      <c r="P1635" s="2879"/>
      <c r="Q1635" s="3081"/>
    </row>
    <row r="1636" spans="1:17" ht="15.75">
      <c r="A1636" s="2933">
        <f>'Part IX A-Scoring Criteria'!A263</f>
        <v>0</v>
      </c>
      <c r="B1636" s="2933"/>
      <c r="C1636" s="2933"/>
      <c r="D1636" s="2933"/>
      <c r="E1636" s="2933"/>
      <c r="F1636" s="2933"/>
      <c r="G1636" s="2933"/>
      <c r="H1636" s="2933"/>
      <c r="I1636" s="2933"/>
      <c r="J1636" s="2933"/>
      <c r="K1636" s="2933"/>
      <c r="L1636" s="2933"/>
      <c r="M1636" s="2933"/>
      <c r="N1636" s="2933"/>
      <c r="O1636" s="2933"/>
      <c r="P1636" s="2933"/>
      <c r="Q1636" s="3082" t="s">
        <v>1314</v>
      </c>
    </row>
    <row r="1637" spans="1:17" ht="15">
      <c r="A1637" s="523"/>
      <c r="B1637" s="2958" t="s">
        <v>1960</v>
      </c>
      <c r="C1637" s="523"/>
      <c r="D1637" s="2998"/>
      <c r="E1637" s="3000"/>
      <c r="F1637" s="3000"/>
      <c r="G1637" s="3000"/>
      <c r="H1637" s="3000"/>
      <c r="I1637" s="3000"/>
      <c r="J1637" s="3000"/>
      <c r="K1637" s="3000"/>
      <c r="L1637" s="3000"/>
      <c r="M1637" s="3000"/>
      <c r="N1637" s="3100"/>
      <c r="O1637" s="3101"/>
      <c r="P1637" s="2891"/>
      <c r="Q1637" s="3089"/>
    </row>
    <row r="1638" spans="1:17" ht="15.75">
      <c r="A1638" s="2933">
        <f>'Part IX A-Scoring Criteria'!A265</f>
        <v>0</v>
      </c>
      <c r="B1638" s="2933"/>
      <c r="C1638" s="2933"/>
      <c r="D1638" s="2933"/>
      <c r="E1638" s="2933"/>
      <c r="F1638" s="2933"/>
      <c r="G1638" s="2933"/>
      <c r="H1638" s="2933"/>
      <c r="I1638" s="2933"/>
      <c r="J1638" s="2933"/>
      <c r="K1638" s="2933"/>
      <c r="L1638" s="2933"/>
      <c r="M1638" s="2933"/>
      <c r="N1638" s="2933"/>
      <c r="O1638" s="2933"/>
      <c r="P1638" s="2933"/>
      <c r="Q1638" s="3082" t="s">
        <v>1314</v>
      </c>
    </row>
    <row r="1639" spans="1:17">
      <c r="N1639" s="2877"/>
      <c r="O1639" s="2879"/>
      <c r="P1639" s="2879"/>
    </row>
    <row r="1640" spans="1:17" ht="15">
      <c r="A1640" s="3078" t="s">
        <v>1754</v>
      </c>
      <c r="B1640" s="3079" t="s">
        <v>3923</v>
      </c>
      <c r="C1640" s="2967"/>
      <c r="D1640" s="3081"/>
      <c r="E1640" s="3102"/>
      <c r="F1640" s="3081"/>
      <c r="G1640" s="2898" t="s">
        <v>3102</v>
      </c>
      <c r="H1640" s="3081"/>
      <c r="I1640" s="2894" t="str">
        <f>'Part I-Project Information'!$H$90</f>
        <v>Flexible</v>
      </c>
      <c r="J1640" s="527"/>
      <c r="K1640" s="527"/>
      <c r="L1640" s="3114" t="str">
        <f>IF(OR($O1640=$M1640,$O1640=0,$O1640=""),"","* * Check Score! * *")</f>
        <v/>
      </c>
      <c r="M1640" s="2891">
        <v>3</v>
      </c>
      <c r="N1640" s="3115"/>
      <c r="O1640" s="2883"/>
      <c r="P1640" s="2891">
        <f>'Part IX A-Scoring Criteria'!P267</f>
        <v>0</v>
      </c>
      <c r="Q1640" s="2891" t="s">
        <v>458</v>
      </c>
    </row>
    <row r="1641" spans="1:17" ht="15">
      <c r="A1641" s="3045" t="s">
        <v>2081</v>
      </c>
      <c r="B1641" s="2898" t="s">
        <v>2916</v>
      </c>
      <c r="C1641" s="3081"/>
      <c r="D1641" s="523"/>
      <c r="E1641" s="3081"/>
      <c r="F1641" s="3081"/>
      <c r="G1641" s="507" t="s">
        <v>2462</v>
      </c>
      <c r="H1641" s="3081"/>
      <c r="I1641" s="3081"/>
      <c r="J1641" s="3081"/>
      <c r="K1641" s="3081"/>
      <c r="L1641" s="3081"/>
      <c r="M1641" s="2883">
        <v>3</v>
      </c>
      <c r="N1641" s="2967" t="s">
        <v>2081</v>
      </c>
      <c r="O1641" s="2891" t="str">
        <f>'Part IX A-Scoring Criteria'!O268</f>
        <v>No</v>
      </c>
      <c r="P1641" s="2891">
        <f>'Part IX A-Scoring Criteria'!P268</f>
        <v>0</v>
      </c>
      <c r="Q1641" s="3081"/>
    </row>
    <row r="1642" spans="1:17" ht="15">
      <c r="A1642" s="3045" t="s">
        <v>2084</v>
      </c>
      <c r="B1642" s="2898" t="s">
        <v>3924</v>
      </c>
      <c r="C1642" s="3081"/>
      <c r="D1642" s="523"/>
      <c r="E1642" s="3081"/>
      <c r="F1642" s="523"/>
      <c r="G1642" s="3081"/>
      <c r="H1642" s="2991" t="s">
        <v>3928</v>
      </c>
      <c r="I1642" s="3081"/>
      <c r="J1642" s="3081"/>
      <c r="K1642" s="3081"/>
      <c r="L1642" s="3081"/>
      <c r="M1642" s="3081"/>
      <c r="N1642" s="2967" t="s">
        <v>2084</v>
      </c>
      <c r="O1642" s="3056" t="s">
        <v>2636</v>
      </c>
      <c r="P1642" s="3056" t="s">
        <v>2636</v>
      </c>
      <c r="Q1642" s="3081"/>
    </row>
    <row r="1643" spans="1:17" ht="15">
      <c r="A1643" s="3045"/>
      <c r="B1643" s="3158" t="s">
        <v>2085</v>
      </c>
      <c r="C1643" s="524" t="s">
        <v>3925</v>
      </c>
      <c r="D1643" s="523"/>
      <c r="E1643" s="3115"/>
      <c r="F1643" s="523"/>
      <c r="G1643" s="3115"/>
      <c r="H1643" s="524"/>
      <c r="I1643" s="3115"/>
      <c r="J1643" s="3115"/>
      <c r="K1643" s="3115"/>
      <c r="L1643" s="3115"/>
      <c r="M1643" s="3115"/>
      <c r="N1643" s="3158" t="s">
        <v>2085</v>
      </c>
      <c r="O1643" s="2891">
        <f>'Part IX A-Scoring Criteria'!O270</f>
        <v>0</v>
      </c>
      <c r="P1643" s="2891">
        <f>'Part IX A-Scoring Criteria'!P270</f>
        <v>0</v>
      </c>
      <c r="Q1643" s="3115"/>
    </row>
    <row r="1644" spans="1:17" ht="15">
      <c r="A1644" s="3045"/>
      <c r="B1644" s="3158" t="s">
        <v>2087</v>
      </c>
      <c r="C1644" s="524" t="s">
        <v>3926</v>
      </c>
      <c r="D1644" s="523"/>
      <c r="E1644" s="3115"/>
      <c r="F1644" s="523"/>
      <c r="G1644" s="3115"/>
      <c r="H1644" s="524"/>
      <c r="I1644" s="3115"/>
      <c r="J1644" s="3115"/>
      <c r="K1644" s="3115"/>
      <c r="L1644" s="3115"/>
      <c r="M1644" s="3115"/>
      <c r="N1644" s="3158" t="s">
        <v>2087</v>
      </c>
      <c r="O1644" s="2891">
        <f>'Part IX A-Scoring Criteria'!O271</f>
        <v>0</v>
      </c>
      <c r="P1644" s="2891">
        <f>'Part IX A-Scoring Criteria'!P271</f>
        <v>0</v>
      </c>
      <c r="Q1644" s="3115"/>
    </row>
    <row r="1645" spans="1:17" ht="15">
      <c r="A1645" s="3045"/>
      <c r="B1645" s="3158" t="s">
        <v>2661</v>
      </c>
      <c r="C1645" s="524" t="s">
        <v>3927</v>
      </c>
      <c r="D1645" s="523"/>
      <c r="E1645" s="3115"/>
      <c r="F1645" s="523"/>
      <c r="G1645" s="3115"/>
      <c r="H1645" s="524"/>
      <c r="I1645" s="3115"/>
      <c r="J1645" s="3115"/>
      <c r="K1645" s="3115"/>
      <c r="L1645" s="3115"/>
      <c r="M1645" s="3115"/>
      <c r="N1645" s="3158" t="s">
        <v>2661</v>
      </c>
      <c r="O1645" s="2891">
        <f>'Part IX A-Scoring Criteria'!O272</f>
        <v>0</v>
      </c>
      <c r="P1645" s="2891">
        <f>'Part IX A-Scoring Criteria'!P272</f>
        <v>0</v>
      </c>
      <c r="Q1645" s="3115"/>
    </row>
    <row r="1646" spans="1:17" ht="15">
      <c r="A1646" s="3045"/>
      <c r="B1646" s="3158" t="s">
        <v>1283</v>
      </c>
      <c r="C1646" s="524" t="s">
        <v>2915</v>
      </c>
      <c r="D1646" s="523"/>
      <c r="E1646" s="3115"/>
      <c r="F1646" s="523"/>
      <c r="G1646" s="3115"/>
      <c r="H1646" s="524"/>
      <c r="I1646" s="3115"/>
      <c r="J1646" s="3115"/>
      <c r="K1646" s="3115"/>
      <c r="L1646" s="3115"/>
      <c r="M1646" s="3115"/>
      <c r="N1646" s="3158" t="s">
        <v>1283</v>
      </c>
      <c r="O1646" s="2891">
        <f>'Part IX A-Scoring Criteria'!O273</f>
        <v>0</v>
      </c>
      <c r="P1646" s="2891">
        <f>'Part IX A-Scoring Criteria'!P273</f>
        <v>0</v>
      </c>
      <c r="Q1646" s="3115"/>
    </row>
    <row r="1647" spans="1:17" ht="15">
      <c r="A1647" s="3086" t="s">
        <v>789</v>
      </c>
      <c r="B1647" s="3166" t="s">
        <v>3929</v>
      </c>
      <c r="C1647" s="3089"/>
      <c r="D1647" s="2943"/>
      <c r="E1647" s="2943"/>
      <c r="F1647" s="523"/>
      <c r="G1647" s="523"/>
      <c r="H1647" s="523"/>
      <c r="I1647" s="523"/>
      <c r="J1647" s="3081"/>
      <c r="K1647" s="3081"/>
      <c r="L1647" s="3081"/>
      <c r="M1647" s="3081"/>
      <c r="N1647" s="3081"/>
      <c r="O1647" s="3167" t="s">
        <v>4620</v>
      </c>
      <c r="P1647" s="3167"/>
      <c r="Q1647" s="3081"/>
    </row>
    <row r="1648" spans="1:17" ht="15">
      <c r="A1648" s="3045"/>
      <c r="B1648" s="3158" t="s">
        <v>2085</v>
      </c>
      <c r="C1648" s="524" t="s">
        <v>3930</v>
      </c>
      <c r="D1648" s="523"/>
      <c r="E1648" s="3115"/>
      <c r="F1648" s="523"/>
      <c r="G1648" s="3115"/>
      <c r="H1648" s="524"/>
      <c r="I1648" s="3115"/>
      <c r="J1648" s="3115"/>
      <c r="K1648" s="3115"/>
      <c r="L1648" s="3115"/>
      <c r="M1648" s="3115"/>
      <c r="N1648" s="2967" t="s">
        <v>789</v>
      </c>
      <c r="O1648" s="3103" t="s">
        <v>2085</v>
      </c>
      <c r="P1648" s="2996">
        <f>'Part IX A-Scoring Criteria'!P275</f>
        <v>0</v>
      </c>
      <c r="Q1648" s="3115"/>
    </row>
    <row r="1649" spans="1:17" ht="15">
      <c r="A1649" s="3045"/>
      <c r="B1649" s="3158" t="s">
        <v>2087</v>
      </c>
      <c r="C1649" s="524" t="s">
        <v>3931</v>
      </c>
      <c r="D1649" s="523"/>
      <c r="E1649" s="3115"/>
      <c r="F1649" s="523"/>
      <c r="G1649" s="3115"/>
      <c r="H1649" s="524"/>
      <c r="I1649" s="3115"/>
      <c r="J1649" s="3115"/>
      <c r="K1649" s="3115"/>
      <c r="L1649" s="3115"/>
      <c r="M1649" s="3115"/>
      <c r="N1649" s="3115"/>
      <c r="O1649" s="3103" t="s">
        <v>2087</v>
      </c>
      <c r="P1649" s="2996">
        <f>'Part IX A-Scoring Criteria'!P276</f>
        <v>0</v>
      </c>
      <c r="Q1649" s="3115"/>
    </row>
    <row r="1650" spans="1:17" ht="15">
      <c r="A1650" s="3045"/>
      <c r="B1650" s="3158" t="s">
        <v>2661</v>
      </c>
      <c r="C1650" s="524" t="s">
        <v>3932</v>
      </c>
      <c r="D1650" s="523"/>
      <c r="E1650" s="3115"/>
      <c r="F1650" s="523"/>
      <c r="G1650" s="3115"/>
      <c r="H1650" s="524"/>
      <c r="I1650" s="3115"/>
      <c r="J1650" s="3115"/>
      <c r="K1650" s="3115"/>
      <c r="L1650" s="3115"/>
      <c r="M1650" s="3115"/>
      <c r="N1650" s="3115"/>
      <c r="O1650" s="3103" t="s">
        <v>2661</v>
      </c>
      <c r="P1650" s="2996">
        <f>'Part IX A-Scoring Criteria'!P277</f>
        <v>0</v>
      </c>
      <c r="Q1650" s="3115"/>
    </row>
    <row r="1651" spans="1:17" ht="15">
      <c r="A1651" s="3045"/>
      <c r="B1651" s="3158" t="s">
        <v>1283</v>
      </c>
      <c r="C1651" s="524" t="s">
        <v>3933</v>
      </c>
      <c r="D1651" s="523"/>
      <c r="E1651" s="3115"/>
      <c r="F1651" s="523"/>
      <c r="G1651" s="3115"/>
      <c r="H1651" s="524"/>
      <c r="I1651" s="3115"/>
      <c r="J1651" s="3115"/>
      <c r="K1651" s="3115"/>
      <c r="L1651" s="3115"/>
      <c r="M1651" s="3115"/>
      <c r="N1651" s="3115"/>
      <c r="O1651" s="3103" t="s">
        <v>1283</v>
      </c>
      <c r="P1651" s="2996">
        <f>'Part IX A-Scoring Criteria'!P278</f>
        <v>0</v>
      </c>
      <c r="Q1651" s="3115"/>
    </row>
    <row r="1652" spans="1:17" ht="15">
      <c r="A1652" s="3045"/>
      <c r="B1652" s="3158" t="s">
        <v>1284</v>
      </c>
      <c r="C1652" s="524" t="s">
        <v>3934</v>
      </c>
      <c r="D1652" s="523"/>
      <c r="E1652" s="3115"/>
      <c r="F1652" s="523"/>
      <c r="G1652" s="3115"/>
      <c r="H1652" s="524"/>
      <c r="I1652" s="3115"/>
      <c r="J1652" s="3115"/>
      <c r="K1652" s="3115"/>
      <c r="L1652" s="3115"/>
      <c r="M1652" s="3115"/>
      <c r="N1652" s="3115"/>
      <c r="O1652" s="3103" t="s">
        <v>1284</v>
      </c>
      <c r="P1652" s="2996">
        <f>'Part IX A-Scoring Criteria'!P279</f>
        <v>0</v>
      </c>
      <c r="Q1652" s="3115"/>
    </row>
    <row r="1653" spans="1:17" ht="15">
      <c r="A1653" s="3035"/>
      <c r="B1653" s="3121" t="s">
        <v>1978</v>
      </c>
      <c r="C1653" s="2933" t="s">
        <v>3935</v>
      </c>
      <c r="D1653" s="2933"/>
      <c r="E1653" s="2933"/>
      <c r="F1653" s="2933"/>
      <c r="G1653" s="2933"/>
      <c r="H1653" s="2933"/>
      <c r="I1653" s="2933"/>
      <c r="J1653" s="2933"/>
      <c r="K1653" s="2933"/>
      <c r="L1653" s="2933"/>
      <c r="M1653" s="3168"/>
      <c r="N1653" s="3168"/>
      <c r="O1653" s="3109" t="s">
        <v>1978</v>
      </c>
      <c r="P1653" s="2996">
        <f>'Part IX A-Scoring Criteria'!P280</f>
        <v>0</v>
      </c>
      <c r="Q1653" s="3168"/>
    </row>
    <row r="1654" spans="1:17" ht="15">
      <c r="A1654" s="3045"/>
      <c r="B1654" s="3158" t="s">
        <v>526</v>
      </c>
      <c r="C1654" s="524" t="s">
        <v>3936</v>
      </c>
      <c r="D1654" s="523"/>
      <c r="E1654" s="3115"/>
      <c r="F1654" s="523"/>
      <c r="G1654" s="3115"/>
      <c r="H1654" s="524"/>
      <c r="I1654" s="3115"/>
      <c r="J1654" s="3115"/>
      <c r="K1654" s="3115"/>
      <c r="L1654" s="3115"/>
      <c r="M1654" s="3115"/>
      <c r="N1654" s="3115"/>
      <c r="O1654" s="3103" t="s">
        <v>526</v>
      </c>
      <c r="P1654" s="2996">
        <f>'Part IX A-Scoring Criteria'!P281</f>
        <v>0</v>
      </c>
      <c r="Q1654" s="3115"/>
    </row>
    <row r="1655" spans="1:17" ht="15">
      <c r="A1655" s="3045"/>
      <c r="B1655" s="2958" t="s">
        <v>267</v>
      </c>
      <c r="C1655" s="507"/>
      <c r="D1655" s="523"/>
      <c r="E1655" s="3081"/>
      <c r="F1655" s="523"/>
      <c r="G1655" s="3081"/>
      <c r="H1655" s="507"/>
      <c r="I1655" s="3081"/>
      <c r="J1655" s="3081"/>
      <c r="K1655" s="3081"/>
      <c r="L1655" s="3081"/>
      <c r="M1655" s="3081"/>
      <c r="N1655" s="3081"/>
      <c r="O1655" s="3169" t="s">
        <v>3937</v>
      </c>
      <c r="P1655" s="2894">
        <f>SUM(P1648:P1654)</f>
        <v>0</v>
      </c>
      <c r="Q1655" s="3081"/>
    </row>
    <row r="1656" spans="1:17" ht="15.75">
      <c r="A1656" s="2933">
        <f>'Part IX A-Scoring Criteria'!A283</f>
        <v>0</v>
      </c>
      <c r="B1656" s="2933"/>
      <c r="C1656" s="2933"/>
      <c r="D1656" s="2933"/>
      <c r="E1656" s="2933"/>
      <c r="F1656" s="2933"/>
      <c r="G1656" s="2933"/>
      <c r="H1656" s="2933"/>
      <c r="I1656" s="2933"/>
      <c r="J1656" s="2933"/>
      <c r="K1656" s="2933"/>
      <c r="L1656" s="2933"/>
      <c r="M1656" s="2933"/>
      <c r="N1656" s="2933"/>
      <c r="O1656" s="2933"/>
      <c r="P1656" s="2933"/>
      <c r="Q1656" s="3082" t="s">
        <v>1314</v>
      </c>
    </row>
    <row r="1657" spans="1:17" ht="15">
      <c r="A1657" s="523"/>
      <c r="B1657" s="2958" t="s">
        <v>1960</v>
      </c>
      <c r="C1657" s="523"/>
      <c r="D1657" s="2998"/>
      <c r="E1657" s="3000"/>
      <c r="F1657" s="3000"/>
      <c r="G1657" s="3000"/>
      <c r="H1657" s="3000"/>
      <c r="I1657" s="3000"/>
      <c r="J1657" s="3000"/>
      <c r="K1657" s="3000"/>
      <c r="L1657" s="3000"/>
      <c r="M1657" s="3000"/>
      <c r="N1657" s="3100"/>
      <c r="O1657" s="3101"/>
      <c r="P1657" s="2891"/>
      <c r="Q1657" s="3089"/>
    </row>
    <row r="1658" spans="1:17" ht="15.75">
      <c r="A1658" s="2933">
        <f>'Part IX A-Scoring Criteria'!A285</f>
        <v>0</v>
      </c>
      <c r="B1658" s="2933"/>
      <c r="C1658" s="2933"/>
      <c r="D1658" s="2933"/>
      <c r="E1658" s="2933"/>
      <c r="F1658" s="2933"/>
      <c r="G1658" s="2933"/>
      <c r="H1658" s="2933"/>
      <c r="I1658" s="2933"/>
      <c r="J1658" s="2933"/>
      <c r="K1658" s="2933"/>
      <c r="L1658" s="2933"/>
      <c r="M1658" s="2933"/>
      <c r="N1658" s="2933"/>
      <c r="O1658" s="2933"/>
      <c r="P1658" s="2933"/>
      <c r="Q1658" s="3082" t="s">
        <v>1314</v>
      </c>
    </row>
    <row r="1659" spans="1:17" ht="15">
      <c r="A1659" s="523"/>
      <c r="B1659" s="523"/>
      <c r="C1659" s="3000"/>
      <c r="D1659" s="3000"/>
      <c r="E1659" s="3000"/>
      <c r="F1659" s="3000"/>
      <c r="G1659" s="3000"/>
      <c r="H1659" s="3000"/>
      <c r="I1659" s="3000"/>
      <c r="J1659" s="3000"/>
      <c r="K1659" s="3000"/>
      <c r="L1659" s="3000"/>
      <c r="M1659" s="3000"/>
      <c r="N1659" s="3100"/>
      <c r="O1659" s="3101"/>
      <c r="P1659" s="2891"/>
      <c r="Q1659" s="3081"/>
    </row>
    <row r="1660" spans="1:17" ht="15">
      <c r="A1660" s="3149" t="s">
        <v>1755</v>
      </c>
      <c r="B1660" s="3084" t="s">
        <v>2892</v>
      </c>
      <c r="C1660" s="2951"/>
      <c r="D1660" s="3057"/>
      <c r="E1660" s="524"/>
      <c r="F1660" s="3081"/>
      <c r="G1660" s="3081"/>
      <c r="H1660" s="3081"/>
      <c r="I1660" s="3081"/>
      <c r="J1660" s="3145"/>
      <c r="K1660" s="3081"/>
      <c r="L1660" s="3081"/>
      <c r="M1660" s="2891">
        <v>3</v>
      </c>
      <c r="N1660" s="2883"/>
      <c r="O1660" s="3077">
        <f>'Part IX A-Scoring Criteria'!O287</f>
        <v>2</v>
      </c>
      <c r="P1660" s="3077">
        <f>'Part IX A-Scoring Criteria'!P287</f>
        <v>0</v>
      </c>
      <c r="Q1660" s="2891" t="s">
        <v>458</v>
      </c>
    </row>
    <row r="1661" spans="1:17" ht="15">
      <c r="A1661" s="3045" t="s">
        <v>2081</v>
      </c>
      <c r="B1661" s="2898" t="s">
        <v>3157</v>
      </c>
      <c r="C1661" s="3081"/>
      <c r="D1661" s="523"/>
      <c r="E1661" s="523"/>
      <c r="F1661" s="523"/>
      <c r="G1661" s="3081"/>
      <c r="H1661" s="3005" t="s">
        <v>4231</v>
      </c>
      <c r="I1661" s="3170">
        <f>'Part VI-Revenues &amp; Expenses'!$M$66/'Part VI-Revenues &amp; Expenses'!$M$62</f>
        <v>0</v>
      </c>
      <c r="J1661" s="3081"/>
      <c r="K1661" s="3046" t="s">
        <v>4200</v>
      </c>
      <c r="L1661" s="3171">
        <f>'Part VI-Revenues &amp; Expenses'!$I$58/'Part VI-Revenues &amp; Expenses'!$M$58</f>
        <v>0.1875</v>
      </c>
      <c r="M1661" s="2883">
        <v>2</v>
      </c>
      <c r="N1661" s="2967" t="s">
        <v>2081</v>
      </c>
      <c r="O1661" s="2891">
        <f>'Part IX A-Scoring Criteria'!O288</f>
        <v>2</v>
      </c>
      <c r="P1661" s="2891">
        <f>'Part IX A-Scoring Criteria'!P288</f>
        <v>0</v>
      </c>
      <c r="Q1661" s="2936" t="s">
        <v>2877</v>
      </c>
    </row>
    <row r="1662" spans="1:17">
      <c r="A1662" s="3035"/>
      <c r="B1662" s="3121" t="s">
        <v>2085</v>
      </c>
      <c r="C1662" s="2933" t="s">
        <v>3938</v>
      </c>
      <c r="D1662" s="2933"/>
      <c r="E1662" s="2933"/>
      <c r="F1662" s="2933"/>
      <c r="G1662" s="2933"/>
      <c r="H1662" s="2933"/>
      <c r="I1662" s="2933"/>
      <c r="J1662" s="2933"/>
      <c r="K1662" s="2933"/>
      <c r="L1662" s="2933"/>
      <c r="M1662" s="3034"/>
      <c r="N1662" s="3109" t="s">
        <v>2085</v>
      </c>
      <c r="O1662" s="2891" t="str">
        <f>'Part IX A-Scoring Criteria'!O289</f>
        <v>Agree</v>
      </c>
      <c r="P1662" s="2891">
        <f>'Part IX A-Scoring Criteria'!P289</f>
        <v>0</v>
      </c>
      <c r="Q1662" s="3120"/>
    </row>
    <row r="1663" spans="1:17">
      <c r="A1663" s="2951"/>
      <c r="B1663" s="3121" t="s">
        <v>2087</v>
      </c>
      <c r="C1663" s="3062" t="s">
        <v>3939</v>
      </c>
      <c r="D1663" s="3062"/>
      <c r="E1663" s="3062"/>
      <c r="F1663" s="3062"/>
      <c r="G1663" s="3062"/>
      <c r="H1663" s="3062"/>
      <c r="I1663" s="3062"/>
      <c r="J1663" s="3062"/>
      <c r="K1663" s="3062"/>
      <c r="L1663" s="3062"/>
      <c r="M1663" s="3062"/>
      <c r="N1663" s="3109" t="s">
        <v>2087</v>
      </c>
      <c r="O1663" s="2891" t="str">
        <f>'Part IX A-Scoring Criteria'!O290</f>
        <v>Yes</v>
      </c>
      <c r="P1663" s="2891">
        <f>'Part IX A-Scoring Criteria'!P290</f>
        <v>0</v>
      </c>
      <c r="Q1663" s="3032"/>
    </row>
    <row r="1664" spans="1:17">
      <c r="A1664" s="3032"/>
      <c r="B1664" s="3121"/>
      <c r="C1664" s="3172"/>
      <c r="D1664" s="3172"/>
      <c r="E1664" s="3172"/>
      <c r="F1664" s="3172"/>
      <c r="G1664" s="3172"/>
      <c r="H1664" s="3172"/>
      <c r="I1664" s="3032"/>
      <c r="J1664" s="3032"/>
      <c r="K1664" s="3032"/>
      <c r="L1664" s="3032"/>
      <c r="M1664" s="3172"/>
      <c r="N1664" s="3172"/>
      <c r="O1664" s="3172"/>
      <c r="P1664" s="3172"/>
      <c r="Q1664" s="3032"/>
    </row>
    <row r="1665" spans="1:17" ht="15">
      <c r="A1665" s="3045" t="s">
        <v>2084</v>
      </c>
      <c r="B1665" s="2898" t="s">
        <v>2893</v>
      </c>
      <c r="C1665" s="3081"/>
      <c r="D1665" s="2995"/>
      <c r="E1665" s="3081"/>
      <c r="F1665" s="3081"/>
      <c r="G1665" s="524"/>
      <c r="H1665" s="3081"/>
      <c r="I1665" s="3081"/>
      <c r="J1665" s="3081"/>
      <c r="K1665" s="3081"/>
      <c r="L1665" s="3081"/>
      <c r="M1665" s="2883">
        <v>3</v>
      </c>
      <c r="N1665" s="2967" t="s">
        <v>2084</v>
      </c>
      <c r="O1665" s="2891">
        <f>'Part IX A-Scoring Criteria'!O292</f>
        <v>0</v>
      </c>
      <c r="P1665" s="2891">
        <f>'Part IX A-Scoring Criteria'!P292</f>
        <v>0</v>
      </c>
      <c r="Q1665" s="2936" t="s">
        <v>2877</v>
      </c>
    </row>
    <row r="1666" spans="1:17">
      <c r="A1666" s="3035"/>
      <c r="B1666" s="3121" t="s">
        <v>2085</v>
      </c>
      <c r="C1666" s="2933" t="s">
        <v>4075</v>
      </c>
      <c r="D1666" s="2933"/>
      <c r="E1666" s="2933"/>
      <c r="F1666" s="2933"/>
      <c r="G1666" s="2933"/>
      <c r="H1666" s="2933"/>
      <c r="I1666" s="2933"/>
      <c r="J1666" s="2933"/>
      <c r="K1666" s="2933"/>
      <c r="L1666" s="2933"/>
      <c r="M1666" s="3034"/>
      <c r="N1666" s="3109" t="s">
        <v>2085</v>
      </c>
      <c r="O1666" s="2891">
        <f>'Part IX A-Scoring Criteria'!O293</f>
        <v>0</v>
      </c>
      <c r="P1666" s="2891">
        <f>'Part IX A-Scoring Criteria'!P293</f>
        <v>0</v>
      </c>
      <c r="Q1666" s="3120"/>
    </row>
    <row r="1667" spans="1:17">
      <c r="A1667" s="2951"/>
      <c r="B1667" s="3121" t="s">
        <v>2087</v>
      </c>
      <c r="C1667" s="3032" t="s">
        <v>3940</v>
      </c>
      <c r="D1667" s="3032"/>
      <c r="E1667" s="3032"/>
      <c r="F1667" s="3032"/>
      <c r="G1667" s="3032"/>
      <c r="H1667" s="3032"/>
      <c r="I1667" s="3032"/>
      <c r="J1667" s="3032" t="s">
        <v>3941</v>
      </c>
      <c r="K1667" s="3032"/>
      <c r="L1667" s="3171">
        <f>'Part IX A-Scoring Criteria'!L294</f>
        <v>0</v>
      </c>
      <c r="M1667" s="3032"/>
      <c r="N1667" s="3109" t="s">
        <v>2087</v>
      </c>
      <c r="O1667" s="2891">
        <f>'Part IX A-Scoring Criteria'!O294</f>
        <v>0</v>
      </c>
      <c r="P1667" s="2891">
        <f>'Part IX A-Scoring Criteria'!P294</f>
        <v>0</v>
      </c>
      <c r="Q1667" s="3032"/>
    </row>
    <row r="1668" spans="1:17" ht="15">
      <c r="A1668" s="523"/>
      <c r="B1668" s="2958" t="s">
        <v>267</v>
      </c>
      <c r="C1668" s="523"/>
      <c r="D1668" s="527"/>
      <c r="E1668" s="527"/>
      <c r="F1668" s="527"/>
      <c r="G1668" s="527"/>
      <c r="H1668" s="524"/>
      <c r="I1668" s="524"/>
      <c r="J1668" s="524"/>
      <c r="K1668" s="524"/>
      <c r="L1668" s="3081"/>
      <c r="M1668" s="2883"/>
      <c r="N1668" s="2877"/>
      <c r="O1668" s="3077"/>
      <c r="P1668" s="2879"/>
      <c r="Q1668" s="3081"/>
    </row>
    <row r="1669" spans="1:17" ht="15.75">
      <c r="A1669" s="2933" t="str">
        <f>'Part IX A-Scoring Criteria'!A296</f>
        <v>The applicant agrees to accept Section 811 Rental Assistance should it become available.</v>
      </c>
      <c r="B1669" s="2933"/>
      <c r="C1669" s="2933"/>
      <c r="D1669" s="2933"/>
      <c r="E1669" s="2933"/>
      <c r="F1669" s="2933"/>
      <c r="G1669" s="2933"/>
      <c r="H1669" s="2933"/>
      <c r="I1669" s="2933"/>
      <c r="J1669" s="2933"/>
      <c r="K1669" s="2933"/>
      <c r="L1669" s="2933"/>
      <c r="M1669" s="2933"/>
      <c r="N1669" s="2933"/>
      <c r="O1669" s="2933"/>
      <c r="P1669" s="2933"/>
      <c r="Q1669" s="3082" t="s">
        <v>1314</v>
      </c>
    </row>
    <row r="1670" spans="1:17" ht="15">
      <c r="A1670" s="523"/>
      <c r="B1670" s="2958" t="s">
        <v>1960</v>
      </c>
      <c r="C1670" s="523"/>
      <c r="D1670" s="2998"/>
      <c r="E1670" s="3000"/>
      <c r="F1670" s="3000"/>
      <c r="G1670" s="3000"/>
      <c r="H1670" s="3000"/>
      <c r="I1670" s="3000"/>
      <c r="J1670" s="3000"/>
      <c r="K1670" s="3000"/>
      <c r="L1670" s="3000"/>
      <c r="M1670" s="3000"/>
      <c r="N1670" s="3100"/>
      <c r="O1670" s="3101"/>
      <c r="P1670" s="2891"/>
      <c r="Q1670" s="3089"/>
    </row>
    <row r="1671" spans="1:17" ht="15.75">
      <c r="A1671" s="2933">
        <f>'Part IX A-Scoring Criteria'!A298</f>
        <v>0</v>
      </c>
      <c r="B1671" s="2933"/>
      <c r="C1671" s="2933"/>
      <c r="D1671" s="2933"/>
      <c r="E1671" s="2933"/>
      <c r="F1671" s="2933"/>
      <c r="G1671" s="2933"/>
      <c r="H1671" s="2933"/>
      <c r="I1671" s="2933"/>
      <c r="J1671" s="2933"/>
      <c r="K1671" s="2933"/>
      <c r="L1671" s="2933"/>
      <c r="M1671" s="2933"/>
      <c r="N1671" s="2933"/>
      <c r="O1671" s="2933"/>
      <c r="P1671" s="2933"/>
      <c r="Q1671" s="3082" t="s">
        <v>1314</v>
      </c>
    </row>
    <row r="1672" spans="1:17" ht="15">
      <c r="A1672" s="523"/>
      <c r="B1672" s="523"/>
      <c r="C1672" s="3000"/>
      <c r="D1672" s="3000"/>
      <c r="E1672" s="3000"/>
      <c r="F1672" s="3000"/>
      <c r="G1672" s="3000"/>
      <c r="H1672" s="3000"/>
      <c r="I1672" s="3000"/>
      <c r="J1672" s="3000"/>
      <c r="K1672" s="3000"/>
      <c r="L1672" s="3000"/>
      <c r="M1672" s="3000"/>
      <c r="N1672" s="3100"/>
      <c r="O1672" s="3101"/>
      <c r="P1672" s="2891"/>
      <c r="Q1672" s="3081"/>
    </row>
    <row r="1673" spans="1:17" ht="15">
      <c r="A1673" s="3078" t="s">
        <v>1756</v>
      </c>
      <c r="B1673" s="3079" t="s">
        <v>2894</v>
      </c>
      <c r="C1673" s="3081"/>
      <c r="D1673" s="2995"/>
      <c r="E1673" s="3081"/>
      <c r="F1673" s="3081"/>
      <c r="G1673" s="3145" t="s">
        <v>3900</v>
      </c>
      <c r="H1673" s="3081"/>
      <c r="I1673" s="3081"/>
      <c r="J1673" s="3081"/>
      <c r="K1673" s="3081"/>
      <c r="L1673" s="3081"/>
      <c r="M1673" s="2891">
        <v>2</v>
      </c>
      <c r="N1673" s="2967"/>
      <c r="O1673" s="3077">
        <f>'Part IX A-Scoring Criteria'!O300</f>
        <v>0</v>
      </c>
      <c r="P1673" s="3077">
        <f>'Part IX A-Scoring Criteria'!P300</f>
        <v>0</v>
      </c>
      <c r="Q1673" s="2891" t="s">
        <v>458</v>
      </c>
    </row>
    <row r="1674" spans="1:17" ht="15">
      <c r="A1674" s="3168"/>
      <c r="B1674" s="3142"/>
      <c r="C1674" s="3168"/>
      <c r="D1674" s="3168"/>
      <c r="E1674" s="3168"/>
      <c r="F1674" s="3044"/>
      <c r="G1674" s="2894"/>
      <c r="H1674" s="3168"/>
      <c r="I1674" s="3168"/>
      <c r="J1674" s="3168"/>
      <c r="K1674" s="3168"/>
      <c r="L1674" s="3168"/>
      <c r="M1674" s="3108"/>
      <c r="N1674" s="3108"/>
      <c r="O1674" s="3108"/>
      <c r="P1674" s="3108"/>
      <c r="Q1674" s="2686"/>
    </row>
    <row r="1675" spans="1:17" ht="15">
      <c r="A1675" s="3173" t="s">
        <v>2081</v>
      </c>
      <c r="B1675" s="2933" t="s">
        <v>4076</v>
      </c>
      <c r="C1675" s="2933"/>
      <c r="D1675" s="2933"/>
      <c r="E1675" s="2933"/>
      <c r="F1675" s="2933"/>
      <c r="G1675" s="2933"/>
      <c r="H1675" s="3168"/>
      <c r="I1675" s="3032" t="s">
        <v>3944</v>
      </c>
      <c r="J1675" s="3168"/>
      <c r="K1675" s="3168"/>
      <c r="L1675" s="3174">
        <f>'Part VI-Revenues &amp; Expenses'!$M$82</f>
        <v>0</v>
      </c>
      <c r="M1675" s="3108">
        <v>2</v>
      </c>
      <c r="N1675" s="3042" t="s">
        <v>2081</v>
      </c>
      <c r="O1675" s="2891">
        <f>'Part IX A-Scoring Criteria'!O302</f>
        <v>0</v>
      </c>
      <c r="P1675" s="2891">
        <f>'Part IX A-Scoring Criteria'!P302</f>
        <v>0</v>
      </c>
      <c r="Q1675" s="2686" t="s">
        <v>2877</v>
      </c>
    </row>
    <row r="1676" spans="1:17" ht="15">
      <c r="A1676" s="3120"/>
      <c r="B1676" s="2933"/>
      <c r="C1676" s="2933"/>
      <c r="D1676" s="2933"/>
      <c r="E1676" s="2933"/>
      <c r="F1676" s="2933"/>
      <c r="G1676" s="2933"/>
      <c r="H1676" s="3168"/>
      <c r="I1676" s="3055" t="s">
        <v>3158</v>
      </c>
      <c r="J1676" s="3168"/>
      <c r="K1676" s="3168"/>
      <c r="L1676" s="3174">
        <f>'Part VI-Revenues &amp; Expenses'!$M$62</f>
        <v>96</v>
      </c>
      <c r="M1676" s="3108"/>
      <c r="N1676" s="3108"/>
      <c r="O1676" s="3108"/>
      <c r="P1676" s="3108"/>
      <c r="Q1676" s="2686"/>
    </row>
    <row r="1677" spans="1:17" ht="15">
      <c r="A1677" s="2990" t="s">
        <v>1419</v>
      </c>
      <c r="B1677" s="3168"/>
      <c r="C1677" s="3168"/>
      <c r="D1677" s="3032" t="s">
        <v>3160</v>
      </c>
      <c r="E1677" s="3168"/>
      <c r="F1677" s="3168"/>
      <c r="G1677" s="3174">
        <f>'Part III-Sources of Funds'!$I$46</f>
        <v>0</v>
      </c>
      <c r="H1677" s="3168"/>
      <c r="I1677" s="2995" t="s">
        <v>3159</v>
      </c>
      <c r="J1677" s="3168"/>
      <c r="K1677" s="3168"/>
      <c r="L1677" s="3175">
        <f>L1675/L1676</f>
        <v>0</v>
      </c>
      <c r="M1677" s="3108"/>
      <c r="N1677" s="3108"/>
      <c r="O1677" s="3108"/>
      <c r="P1677" s="3108"/>
      <c r="Q1677" s="2686"/>
    </row>
    <row r="1678" spans="1:17" ht="15">
      <c r="A1678" s="3168"/>
      <c r="B1678" s="3142"/>
      <c r="C1678" s="3168"/>
      <c r="D1678" s="3168"/>
      <c r="E1678" s="3168"/>
      <c r="F1678" s="3044"/>
      <c r="G1678" s="2894"/>
      <c r="H1678" s="3168"/>
      <c r="I1678" s="3168"/>
      <c r="J1678" s="3168"/>
      <c r="K1678" s="3168"/>
      <c r="L1678" s="3168"/>
      <c r="M1678" s="3108"/>
      <c r="N1678" s="3108"/>
      <c r="O1678" s="3108"/>
      <c r="P1678" s="3108"/>
      <c r="Q1678" s="2686"/>
    </row>
    <row r="1679" spans="1:17" ht="15">
      <c r="A1679" s="3173" t="s">
        <v>2084</v>
      </c>
      <c r="B1679" s="3032" t="s">
        <v>4077</v>
      </c>
      <c r="C1679" s="3168"/>
      <c r="D1679" s="3176" t="str">
        <f>'Part IX A-Scoring Criteria'!D306</f>
        <v>&lt;&lt;Select applicable status&gt;&gt;</v>
      </c>
      <c r="E1679" s="3176"/>
      <c r="F1679" s="3176"/>
      <c r="G1679" s="3176"/>
      <c r="H1679" s="3032"/>
      <c r="I1679" s="3032" t="s">
        <v>3945</v>
      </c>
      <c r="J1679" s="3168"/>
      <c r="K1679" s="3168"/>
      <c r="L1679" s="3174">
        <f>'Part IX A-Scoring Criteria'!L306</f>
        <v>0</v>
      </c>
      <c r="M1679" s="3108">
        <v>1</v>
      </c>
      <c r="N1679" s="3042" t="s">
        <v>2084</v>
      </c>
      <c r="O1679" s="2891">
        <f>'Part IX A-Scoring Criteria'!O306</f>
        <v>0</v>
      </c>
      <c r="P1679" s="2891">
        <f>'Part IX A-Scoring Criteria'!P306</f>
        <v>0</v>
      </c>
      <c r="Q1679" s="2686" t="s">
        <v>2877</v>
      </c>
    </row>
    <row r="1680" spans="1:17" ht="15">
      <c r="A1680" s="3173"/>
      <c r="B1680" s="3032"/>
      <c r="C1680" s="3032"/>
      <c r="D1680" s="3168"/>
      <c r="E1680" s="3168"/>
      <c r="F1680" s="3168"/>
      <c r="G1680" s="3168"/>
      <c r="H1680" s="3032"/>
      <c r="I1680" s="3055" t="s">
        <v>3158</v>
      </c>
      <c r="J1680" s="3168"/>
      <c r="K1680" s="3168"/>
      <c r="L1680" s="3174">
        <f>'Part VI-Revenues &amp; Expenses'!$M$62</f>
        <v>96</v>
      </c>
      <c r="M1680" s="3108"/>
      <c r="N1680" s="3108"/>
      <c r="O1680" s="3108"/>
      <c r="P1680" s="3108"/>
      <c r="Q1680" s="2686"/>
    </row>
    <row r="1681" spans="1:17" ht="15">
      <c r="A1681" s="3173"/>
      <c r="B1681" s="3032"/>
      <c r="C1681" s="3032"/>
      <c r="D1681" s="3032"/>
      <c r="E1681" s="3032"/>
      <c r="F1681" s="3032"/>
      <c r="G1681" s="3032"/>
      <c r="H1681" s="3032"/>
      <c r="I1681" s="2995" t="s">
        <v>3159</v>
      </c>
      <c r="J1681" s="3168"/>
      <c r="K1681" s="3168"/>
      <c r="L1681" s="3175">
        <f>L1679/L1680</f>
        <v>0</v>
      </c>
      <c r="M1681" s="3108"/>
      <c r="N1681" s="3108"/>
      <c r="O1681" s="3108"/>
      <c r="P1681" s="3108"/>
      <c r="Q1681" s="2686"/>
    </row>
    <row r="1682" spans="1:17" ht="15">
      <c r="A1682" s="523"/>
      <c r="B1682" s="2958" t="s">
        <v>267</v>
      </c>
      <c r="C1682" s="523"/>
      <c r="D1682" s="527"/>
      <c r="E1682" s="527"/>
      <c r="F1682" s="527"/>
      <c r="G1682" s="527"/>
      <c r="H1682" s="524"/>
      <c r="I1682" s="524"/>
      <c r="J1682" s="524"/>
      <c r="K1682" s="524"/>
      <c r="L1682" s="3081"/>
      <c r="M1682" s="2883"/>
      <c r="N1682" s="2877"/>
      <c r="O1682" s="3077"/>
      <c r="P1682" s="2879"/>
      <c r="Q1682" s="3081"/>
    </row>
    <row r="1683" spans="1:17" ht="15.75">
      <c r="A1683" s="2933">
        <f>'Part IX A-Scoring Criteria'!A310</f>
        <v>0</v>
      </c>
      <c r="B1683" s="2933"/>
      <c r="C1683" s="2933"/>
      <c r="D1683" s="2933"/>
      <c r="E1683" s="2933"/>
      <c r="F1683" s="2933"/>
      <c r="G1683" s="2933"/>
      <c r="H1683" s="2933"/>
      <c r="I1683" s="2933"/>
      <c r="J1683" s="2933"/>
      <c r="K1683" s="2933"/>
      <c r="L1683" s="2933"/>
      <c r="M1683" s="2933"/>
      <c r="N1683" s="2933"/>
      <c r="O1683" s="2933"/>
      <c r="P1683" s="2933"/>
      <c r="Q1683" s="3082" t="s">
        <v>1314</v>
      </c>
    </row>
    <row r="1684" spans="1:17" ht="15">
      <c r="A1684" s="523"/>
      <c r="B1684" s="2958" t="s">
        <v>1960</v>
      </c>
      <c r="C1684" s="523"/>
      <c r="D1684" s="2998"/>
      <c r="E1684" s="3000"/>
      <c r="F1684" s="3000"/>
      <c r="G1684" s="3000"/>
      <c r="H1684" s="3000"/>
      <c r="I1684" s="3000"/>
      <c r="J1684" s="3000"/>
      <c r="K1684" s="3000"/>
      <c r="L1684" s="3000"/>
      <c r="M1684" s="3000"/>
      <c r="N1684" s="3100"/>
      <c r="O1684" s="3101"/>
      <c r="P1684" s="2891"/>
      <c r="Q1684" s="3089"/>
    </row>
    <row r="1685" spans="1:17" ht="15.75">
      <c r="A1685" s="2933">
        <f>'Part IX A-Scoring Criteria'!A312</f>
        <v>0</v>
      </c>
      <c r="B1685" s="2933"/>
      <c r="C1685" s="2933"/>
      <c r="D1685" s="2933"/>
      <c r="E1685" s="2933"/>
      <c r="F1685" s="2933"/>
      <c r="G1685" s="2933"/>
      <c r="H1685" s="2933"/>
      <c r="I1685" s="2933"/>
      <c r="J1685" s="2933"/>
      <c r="K1685" s="2933"/>
      <c r="L1685" s="2933"/>
      <c r="M1685" s="2933"/>
      <c r="N1685" s="2933"/>
      <c r="O1685" s="2933"/>
      <c r="P1685" s="2933"/>
      <c r="Q1685" s="3082" t="s">
        <v>1314</v>
      </c>
    </row>
    <row r="1686" spans="1:17" ht="15">
      <c r="A1686" s="523"/>
      <c r="B1686" s="523"/>
      <c r="C1686" s="3000"/>
      <c r="D1686" s="3000"/>
      <c r="E1686" s="3000"/>
      <c r="F1686" s="3000"/>
      <c r="G1686" s="3000"/>
      <c r="H1686" s="3000"/>
      <c r="I1686" s="3000"/>
      <c r="J1686" s="3000"/>
      <c r="K1686" s="3000"/>
      <c r="L1686" s="3000"/>
      <c r="M1686" s="3000"/>
      <c r="N1686" s="3100"/>
      <c r="O1686" s="3101"/>
      <c r="P1686" s="2891"/>
      <c r="Q1686" s="3081"/>
    </row>
    <row r="1687" spans="1:17" ht="15">
      <c r="A1687" s="3149" t="s">
        <v>1757</v>
      </c>
      <c r="B1687" s="3079" t="s">
        <v>2765</v>
      </c>
      <c r="C1687" s="3081"/>
      <c r="D1687" s="3102"/>
      <c r="E1687" s="3102"/>
      <c r="F1687" s="3081"/>
      <c r="G1687" s="3081"/>
      <c r="H1687" s="3081"/>
      <c r="I1687" s="3087" t="s">
        <v>4621</v>
      </c>
      <c r="J1687" s="3102"/>
      <c r="K1687" s="3102"/>
      <c r="L1687" s="3081"/>
      <c r="M1687" s="2879">
        <v>5</v>
      </c>
      <c r="N1687" s="3081"/>
      <c r="O1687" s="3081"/>
      <c r="P1687" s="2891">
        <f>'Part IX A-Scoring Criteria'!P314</f>
        <v>0</v>
      </c>
      <c r="Q1687" s="2891" t="s">
        <v>458</v>
      </c>
    </row>
    <row r="1688" spans="1:17" ht="15">
      <c r="A1688" s="3149"/>
      <c r="B1688" s="3081"/>
      <c r="C1688" s="3081"/>
      <c r="D1688" s="3081"/>
      <c r="E1688" s="3081"/>
      <c r="F1688" s="3081"/>
      <c r="G1688" s="3081"/>
      <c r="H1688" s="3081"/>
      <c r="I1688" s="3081"/>
      <c r="J1688" s="3081"/>
      <c r="K1688" s="3081"/>
      <c r="L1688" s="3081"/>
      <c r="M1688" s="3177"/>
      <c r="N1688" s="3081"/>
      <c r="O1688" s="3081"/>
      <c r="P1688" s="3081"/>
      <c r="Q1688" s="2891"/>
    </row>
    <row r="1689" spans="1:17" ht="15">
      <c r="A1689" s="3149"/>
      <c r="B1689" s="3081"/>
      <c r="C1689" s="3081"/>
      <c r="D1689" s="3004" t="s">
        <v>3174</v>
      </c>
      <c r="E1689" s="3004"/>
      <c r="F1689" s="3178">
        <f>'Part IX A-Scoring Criteria'!F316</f>
        <v>956416.5</v>
      </c>
      <c r="G1689" s="2713"/>
      <c r="H1689" s="3102"/>
      <c r="I1689" s="3087" t="s">
        <v>4622</v>
      </c>
      <c r="J1689" s="3102"/>
      <c r="K1689" s="3102"/>
      <c r="L1689" s="3081"/>
      <c r="M1689" s="2883">
        <v>20</v>
      </c>
      <c r="N1689" s="2883"/>
      <c r="O1689" s="3077">
        <f>'Part IX A-Scoring Criteria'!O316</f>
        <v>0</v>
      </c>
      <c r="P1689" s="3077">
        <f>'Part IX A-Scoring Criteria'!P316</f>
        <v>0</v>
      </c>
      <c r="Q1689" s="2891"/>
    </row>
    <row r="1690" spans="1:17">
      <c r="A1690" s="3149"/>
      <c r="B1690" s="3045" t="s">
        <v>2081</v>
      </c>
      <c r="C1690" s="3179" t="s">
        <v>3161</v>
      </c>
      <c r="D1690" s="3179"/>
      <c r="E1690" s="3179"/>
      <c r="F1690" s="3179"/>
      <c r="G1690" s="3179"/>
      <c r="H1690" s="3179"/>
      <c r="I1690" s="3179"/>
      <c r="J1690" s="3179"/>
      <c r="K1690" s="3179"/>
      <c r="L1690" s="3179"/>
      <c r="M1690" s="3108">
        <v>6</v>
      </c>
      <c r="N1690" s="3102"/>
      <c r="O1690" s="2891">
        <f>'Part IX A-Scoring Criteria'!O317</f>
        <v>0</v>
      </c>
      <c r="P1690" s="2891">
        <f>'Part IX A-Scoring Criteria'!P317</f>
        <v>0</v>
      </c>
      <c r="Q1690" s="2686" t="s">
        <v>2877</v>
      </c>
    </row>
    <row r="1691" spans="1:17">
      <c r="A1691" s="2990" t="s">
        <v>1419</v>
      </c>
      <c r="B1691" s="3035" t="s">
        <v>2084</v>
      </c>
      <c r="C1691" s="3062" t="s">
        <v>3946</v>
      </c>
      <c r="D1691" s="3062"/>
      <c r="E1691" s="3062"/>
      <c r="F1691" s="3062"/>
      <c r="G1691" s="3062"/>
      <c r="H1691" s="3062"/>
      <c r="I1691" s="3062"/>
      <c r="J1691" s="3062"/>
      <c r="K1691" s="3062"/>
      <c r="L1691" s="3062"/>
      <c r="M1691" s="3108">
        <v>5</v>
      </c>
      <c r="N1691" s="3180"/>
      <c r="O1691" s="2891">
        <f>'Part IX A-Scoring Criteria'!O318</f>
        <v>0</v>
      </c>
      <c r="P1691" s="2891">
        <f>'Part IX A-Scoring Criteria'!P318</f>
        <v>0</v>
      </c>
      <c r="Q1691" s="2686"/>
    </row>
    <row r="1692" spans="1:17">
      <c r="A1692" s="3181"/>
      <c r="B1692" s="3035" t="s">
        <v>789</v>
      </c>
      <c r="C1692" s="3062" t="s">
        <v>3947</v>
      </c>
      <c r="D1692" s="3062"/>
      <c r="E1692" s="3062"/>
      <c r="F1692" s="3062"/>
      <c r="G1692" s="3062"/>
      <c r="H1692" s="3062"/>
      <c r="I1692" s="3062"/>
      <c r="J1692" s="3062"/>
      <c r="K1692" s="3062"/>
      <c r="L1692" s="3062"/>
      <c r="M1692" s="3108">
        <v>2</v>
      </c>
      <c r="N1692" s="3180"/>
      <c r="O1692" s="2891">
        <f>'Part IX A-Scoring Criteria'!O319</f>
        <v>0</v>
      </c>
      <c r="P1692" s="2891">
        <f>'Part IX A-Scoring Criteria'!P319</f>
        <v>0</v>
      </c>
      <c r="Q1692" s="3090" t="s">
        <v>2877</v>
      </c>
    </row>
    <row r="1693" spans="1:17">
      <c r="A1693" s="3181"/>
      <c r="B1693" s="3035" t="s">
        <v>2216</v>
      </c>
      <c r="C1693" s="3062" t="s">
        <v>4201</v>
      </c>
      <c r="D1693" s="3062"/>
      <c r="E1693" s="3062"/>
      <c r="F1693" s="3062"/>
      <c r="G1693" s="3062"/>
      <c r="H1693" s="3062"/>
      <c r="I1693" s="3062"/>
      <c r="J1693" s="3062"/>
      <c r="K1693" s="3062"/>
      <c r="L1693" s="3062"/>
      <c r="M1693" s="3108">
        <v>1</v>
      </c>
      <c r="N1693" s="3180"/>
      <c r="O1693" s="2891">
        <f>'Part IX A-Scoring Criteria'!O320</f>
        <v>0</v>
      </c>
      <c r="P1693" s="2891">
        <f>'Part IX A-Scoring Criteria'!P320</f>
        <v>0</v>
      </c>
      <c r="Q1693" s="2686" t="s">
        <v>2877</v>
      </c>
    </row>
    <row r="1694" spans="1:17">
      <c r="A1694" s="3149"/>
      <c r="B1694" s="3035" t="s">
        <v>1823</v>
      </c>
      <c r="C1694" s="3062" t="s">
        <v>4054</v>
      </c>
      <c r="D1694" s="3062"/>
      <c r="E1694" s="3062"/>
      <c r="F1694" s="3062"/>
      <c r="G1694" s="3062"/>
      <c r="H1694" s="3062"/>
      <c r="I1694" s="3062"/>
      <c r="J1694" s="3062"/>
      <c r="K1694" s="3062"/>
      <c r="L1694" s="3062"/>
      <c r="M1694" s="3108">
        <v>2</v>
      </c>
      <c r="N1694" s="3102"/>
      <c r="O1694" s="2891">
        <f>'Part IX A-Scoring Criteria'!O321</f>
        <v>0</v>
      </c>
      <c r="P1694" s="2891">
        <f>'Part IX A-Scoring Criteria'!P321</f>
        <v>0</v>
      </c>
      <c r="Q1694" s="2686" t="s">
        <v>2877</v>
      </c>
    </row>
    <row r="1695" spans="1:17" ht="15">
      <c r="A1695" s="3081"/>
      <c r="B1695" s="2990" t="s">
        <v>1419</v>
      </c>
      <c r="C1695" s="3179" t="s">
        <v>4053</v>
      </c>
      <c r="D1695" s="3179"/>
      <c r="E1695" s="3179"/>
      <c r="F1695" s="3179"/>
      <c r="G1695" s="3179"/>
      <c r="H1695" s="3179"/>
      <c r="I1695" s="3179"/>
      <c r="J1695" s="3179"/>
      <c r="K1695" s="3179"/>
      <c r="L1695" s="3179"/>
      <c r="M1695" s="2877">
        <v>1</v>
      </c>
      <c r="N1695" s="3102"/>
      <c r="O1695" s="2891">
        <f>'Part IX A-Scoring Criteria'!O322</f>
        <v>0</v>
      </c>
      <c r="P1695" s="2891">
        <f>'Part IX A-Scoring Criteria'!P322</f>
        <v>0</v>
      </c>
      <c r="Q1695" s="507"/>
    </row>
    <row r="1696" spans="1:17">
      <c r="A1696" s="3181"/>
      <c r="B1696" s="3035" t="s">
        <v>1824</v>
      </c>
      <c r="C1696" s="3062" t="s">
        <v>3948</v>
      </c>
      <c r="D1696" s="3062"/>
      <c r="E1696" s="3062"/>
      <c r="F1696" s="3062"/>
      <c r="G1696" s="3062"/>
      <c r="H1696" s="3062"/>
      <c r="I1696" s="3062"/>
      <c r="J1696" s="3062"/>
      <c r="K1696" s="3062"/>
      <c r="L1696" s="3062"/>
      <c r="M1696" s="3108">
        <v>2</v>
      </c>
      <c r="N1696" s="3180"/>
      <c r="O1696" s="2891">
        <f>'Part IX A-Scoring Criteria'!O323</f>
        <v>0</v>
      </c>
      <c r="P1696" s="2891">
        <f>'Part IX A-Scoring Criteria'!P323</f>
        <v>0</v>
      </c>
      <c r="Q1696" s="2686" t="s">
        <v>2877</v>
      </c>
    </row>
    <row r="1697" spans="1:17" ht="15">
      <c r="A1697" s="3168"/>
      <c r="B1697" s="2990" t="s">
        <v>1419</v>
      </c>
      <c r="C1697" s="3062" t="s">
        <v>3949</v>
      </c>
      <c r="D1697" s="3062"/>
      <c r="E1697" s="3062"/>
      <c r="F1697" s="3062"/>
      <c r="G1697" s="3062"/>
      <c r="H1697" s="3062"/>
      <c r="I1697" s="3062"/>
      <c r="J1697" s="3062"/>
      <c r="K1697" s="3062"/>
      <c r="L1697" s="3062"/>
      <c r="M1697" s="3108">
        <v>1</v>
      </c>
      <c r="N1697" s="3180"/>
      <c r="O1697" s="2891">
        <f>'Part IX A-Scoring Criteria'!O324</f>
        <v>0</v>
      </c>
      <c r="P1697" s="2891">
        <f>'Part IX A-Scoring Criteria'!P324</f>
        <v>0</v>
      </c>
      <c r="Q1697" s="2686"/>
    </row>
    <row r="1698" spans="1:17">
      <c r="A1698" s="3149"/>
      <c r="B1698" s="3045" t="s">
        <v>2044</v>
      </c>
      <c r="C1698" s="3179" t="s">
        <v>3950</v>
      </c>
      <c r="D1698" s="3179"/>
      <c r="E1698" s="3179"/>
      <c r="F1698" s="3179"/>
      <c r="G1698" s="3179"/>
      <c r="H1698" s="3179"/>
      <c r="I1698" s="3179"/>
      <c r="J1698" s="3179"/>
      <c r="K1698" s="3179"/>
      <c r="L1698" s="3179"/>
      <c r="M1698" s="2885">
        <v>2</v>
      </c>
      <c r="N1698" s="3102"/>
      <c r="O1698" s="2891">
        <f>'Part IX A-Scoring Criteria'!O325</f>
        <v>0</v>
      </c>
      <c r="P1698" s="2891">
        <f>'Part IX A-Scoring Criteria'!P325</f>
        <v>0</v>
      </c>
      <c r="Q1698" s="2686" t="s">
        <v>2877</v>
      </c>
    </row>
    <row r="1699" spans="1:17">
      <c r="A1699" s="3149"/>
      <c r="B1699" s="3045"/>
      <c r="C1699" s="3182"/>
      <c r="D1699" s="3182"/>
      <c r="E1699" s="3182"/>
      <c r="F1699" s="3182"/>
      <c r="G1699" s="2934" t="s">
        <v>3614</v>
      </c>
      <c r="H1699" s="3183">
        <f>'Part IX A-Scoring Criteria'!H326</f>
        <v>9912630</v>
      </c>
      <c r="I1699" s="2934" t="s">
        <v>563</v>
      </c>
      <c r="J1699" s="3183">
        <f>'Part IX A-Scoring Criteria'!J326</f>
        <v>14368613</v>
      </c>
      <c r="K1699" s="2934" t="s">
        <v>4202</v>
      </c>
      <c r="L1699" s="3184">
        <f>H1699/J1699</f>
        <v>0.68988078390029717</v>
      </c>
      <c r="M1699" s="2885"/>
      <c r="N1699" s="3102"/>
      <c r="O1699" s="3102"/>
      <c r="P1699" s="3102"/>
      <c r="Q1699" s="2686"/>
    </row>
    <row r="1700" spans="1:17">
      <c r="A1700" s="3181"/>
      <c r="B1700" s="3035" t="s">
        <v>3838</v>
      </c>
      <c r="C1700" s="3062" t="s">
        <v>3951</v>
      </c>
      <c r="D1700" s="3062"/>
      <c r="E1700" s="3062"/>
      <c r="F1700" s="3062"/>
      <c r="G1700" s="3062"/>
      <c r="H1700" s="3062"/>
      <c r="I1700" s="3062"/>
      <c r="J1700" s="3062"/>
      <c r="K1700" s="3062"/>
      <c r="L1700" s="3062"/>
      <c r="M1700" s="3185">
        <v>2</v>
      </c>
      <c r="N1700" s="3180"/>
      <c r="O1700" s="2891">
        <f>'Part IX A-Scoring Criteria'!O327</f>
        <v>0</v>
      </c>
      <c r="P1700" s="2891">
        <f>'Part IX A-Scoring Criteria'!P327</f>
        <v>0</v>
      </c>
      <c r="Q1700" s="3090" t="s">
        <v>2877</v>
      </c>
    </row>
    <row r="1701" spans="1:17">
      <c r="A1701" s="3181"/>
      <c r="B1701" s="3035" t="s">
        <v>647</v>
      </c>
      <c r="C1701" s="3062" t="s">
        <v>4055</v>
      </c>
      <c r="D1701" s="3062"/>
      <c r="E1701" s="3062"/>
      <c r="F1701" s="3062"/>
      <c r="G1701" s="3062"/>
      <c r="H1701" s="3062"/>
      <c r="I1701" s="3062"/>
      <c r="J1701" s="3062"/>
      <c r="K1701" s="3062"/>
      <c r="L1701" s="3062"/>
      <c r="M1701" s="3185">
        <v>2</v>
      </c>
      <c r="N1701" s="3180"/>
      <c r="O1701" s="2891">
        <f>'Part IX A-Scoring Criteria'!O328</f>
        <v>0</v>
      </c>
      <c r="P1701" s="2891">
        <f>'Part IX A-Scoring Criteria'!P328</f>
        <v>0</v>
      </c>
      <c r="Q1701" s="3090" t="s">
        <v>2877</v>
      </c>
    </row>
    <row r="1702" spans="1:17">
      <c r="A1702" s="3181"/>
      <c r="B1702" s="3035" t="s">
        <v>3839</v>
      </c>
      <c r="C1702" s="3062" t="s">
        <v>3952</v>
      </c>
      <c r="D1702" s="3062"/>
      <c r="E1702" s="3062"/>
      <c r="F1702" s="3062"/>
      <c r="G1702" s="3062"/>
      <c r="H1702" s="3062"/>
      <c r="I1702" s="3062"/>
      <c r="J1702" s="3062"/>
      <c r="K1702" s="3062"/>
      <c r="L1702" s="3062"/>
      <c r="M1702" s="3185">
        <v>1</v>
      </c>
      <c r="N1702" s="3180"/>
      <c r="O1702" s="2891">
        <f>'Part IX A-Scoring Criteria'!O329</f>
        <v>0</v>
      </c>
      <c r="P1702" s="2891">
        <f>'Part IX A-Scoring Criteria'!P329</f>
        <v>0</v>
      </c>
      <c r="Q1702" s="3090" t="s">
        <v>2877</v>
      </c>
    </row>
    <row r="1703" spans="1:17" ht="15">
      <c r="A1703" s="523"/>
      <c r="B1703" s="2958" t="s">
        <v>267</v>
      </c>
      <c r="C1703" s="523"/>
      <c r="D1703" s="527"/>
      <c r="E1703" s="527"/>
      <c r="F1703" s="527"/>
      <c r="G1703" s="527"/>
      <c r="H1703" s="524"/>
      <c r="I1703" s="524"/>
      <c r="J1703" s="524"/>
      <c r="K1703" s="524"/>
      <c r="L1703" s="3081"/>
      <c r="M1703" s="2883"/>
      <c r="N1703" s="2877"/>
      <c r="O1703" s="3077"/>
      <c r="P1703" s="2879"/>
      <c r="Q1703" s="3081"/>
    </row>
    <row r="1704" spans="1:17" ht="15.75">
      <c r="A1704" s="2933">
        <f>'Part IX A-Scoring Criteria'!A331</f>
        <v>0</v>
      </c>
      <c r="B1704" s="2933"/>
      <c r="C1704" s="2933"/>
      <c r="D1704" s="2933"/>
      <c r="E1704" s="2933"/>
      <c r="F1704" s="2933"/>
      <c r="G1704" s="2933"/>
      <c r="H1704" s="2933"/>
      <c r="I1704" s="2933"/>
      <c r="J1704" s="2933"/>
      <c r="K1704" s="2933"/>
      <c r="L1704" s="2933"/>
      <c r="M1704" s="2933"/>
      <c r="N1704" s="2933"/>
      <c r="O1704" s="2933"/>
      <c r="P1704" s="2933"/>
      <c r="Q1704" s="3082" t="s">
        <v>1314</v>
      </c>
    </row>
    <row r="1705" spans="1:17" ht="15">
      <c r="A1705" s="523"/>
      <c r="B1705" s="2958" t="s">
        <v>1960</v>
      </c>
      <c r="C1705" s="523"/>
      <c r="D1705" s="2998"/>
      <c r="E1705" s="3000"/>
      <c r="F1705" s="3000"/>
      <c r="G1705" s="3000"/>
      <c r="H1705" s="3000"/>
      <c r="I1705" s="3000"/>
      <c r="J1705" s="3000"/>
      <c r="K1705" s="3000"/>
      <c r="L1705" s="3000"/>
      <c r="M1705" s="3000"/>
      <c r="N1705" s="3100"/>
      <c r="O1705" s="3101"/>
      <c r="P1705" s="2891"/>
      <c r="Q1705" s="3089"/>
    </row>
    <row r="1706" spans="1:17" ht="15.75">
      <c r="A1706" s="2933">
        <f>'Part IX A-Scoring Criteria'!A333</f>
        <v>0</v>
      </c>
      <c r="B1706" s="2933"/>
      <c r="C1706" s="2933"/>
      <c r="D1706" s="2933"/>
      <c r="E1706" s="2933"/>
      <c r="F1706" s="2933"/>
      <c r="G1706" s="2933"/>
      <c r="H1706" s="2933"/>
      <c r="I1706" s="2933"/>
      <c r="J1706" s="2933"/>
      <c r="K1706" s="2933"/>
      <c r="L1706" s="2933"/>
      <c r="M1706" s="2933"/>
      <c r="N1706" s="2933"/>
      <c r="O1706" s="2933"/>
      <c r="P1706" s="2933"/>
      <c r="Q1706" s="3082" t="s">
        <v>1314</v>
      </c>
    </row>
    <row r="1707" spans="1:17" ht="15">
      <c r="A1707" s="523"/>
      <c r="B1707" s="3081"/>
      <c r="C1707" s="3000"/>
      <c r="D1707" s="3000"/>
      <c r="E1707" s="3000"/>
      <c r="F1707" s="3000"/>
      <c r="G1707" s="3000"/>
      <c r="H1707" s="3000"/>
      <c r="I1707" s="3000"/>
      <c r="J1707" s="3000"/>
      <c r="K1707" s="3000"/>
      <c r="L1707" s="3000"/>
      <c r="M1707" s="3000"/>
      <c r="N1707" s="3100"/>
      <c r="O1707" s="3101"/>
      <c r="P1707" s="2891"/>
      <c r="Q1707" s="3081"/>
    </row>
    <row r="1708" spans="1:17" ht="15">
      <c r="A1708" s="3149" t="s">
        <v>3162</v>
      </c>
      <c r="B1708" s="3079" t="s">
        <v>3963</v>
      </c>
      <c r="C1708" s="3081"/>
      <c r="D1708" s="3102"/>
      <c r="E1708" s="3102"/>
      <c r="F1708" s="3102"/>
      <c r="G1708" s="3102"/>
      <c r="H1708" s="3102"/>
      <c r="I1708" s="3102"/>
      <c r="J1708" s="3102"/>
      <c r="K1708" s="3102"/>
      <c r="L1708" s="3102"/>
      <c r="M1708" s="2891">
        <v>2</v>
      </c>
      <c r="N1708" s="3103"/>
      <c r="O1708" s="3077">
        <f>'Part IX A-Scoring Criteria'!O335</f>
        <v>1</v>
      </c>
      <c r="P1708" s="3077">
        <f>'Part IX A-Scoring Criteria'!P335</f>
        <v>0</v>
      </c>
      <c r="Q1708" s="2891" t="s">
        <v>458</v>
      </c>
    </row>
    <row r="1709" spans="1:17" ht="15">
      <c r="A1709" s="3081"/>
      <c r="B1709" s="3186" t="s">
        <v>3965</v>
      </c>
      <c r="C1709" s="3186"/>
      <c r="D1709" s="3186"/>
      <c r="E1709" s="3186"/>
      <c r="F1709" s="3186"/>
      <c r="G1709" s="3186"/>
      <c r="H1709" s="3186"/>
      <c r="I1709" s="3186"/>
      <c r="J1709" s="3186"/>
      <c r="K1709" s="3186"/>
      <c r="L1709" s="3186"/>
      <c r="M1709" s="3186"/>
      <c r="N1709" s="3186"/>
      <c r="O1709" s="2891" t="str">
        <f>'Part IX A-Scoring Criteria'!O336</f>
        <v>Yes</v>
      </c>
      <c r="P1709" s="2891">
        <f>'Part IX A-Scoring Criteria'!P336</f>
        <v>0</v>
      </c>
      <c r="Q1709" s="3081"/>
    </row>
    <row r="1710" spans="1:17" ht="15">
      <c r="A1710" s="3045"/>
      <c r="B1710" s="3007"/>
      <c r="C1710" s="3007"/>
      <c r="D1710" s="3007"/>
      <c r="E1710" s="3007"/>
      <c r="F1710" s="3007"/>
      <c r="G1710" s="3007"/>
      <c r="H1710" s="3007"/>
      <c r="I1710" s="3007"/>
      <c r="J1710" s="3007"/>
      <c r="K1710" s="3007"/>
      <c r="L1710" s="3007"/>
      <c r="M1710" s="3007"/>
      <c r="N1710" s="3081"/>
      <c r="O1710" s="3081"/>
      <c r="P1710" s="3081"/>
      <c r="Q1710" s="3081"/>
    </row>
    <row r="1711" spans="1:17" ht="15">
      <c r="A1711" s="3045"/>
      <c r="B1711" s="2995" t="s">
        <v>4203</v>
      </c>
      <c r="C1711" s="3081"/>
      <c r="D1711" s="3081"/>
      <c r="E1711" s="3081"/>
      <c r="F1711" s="524" t="s">
        <v>3960</v>
      </c>
      <c r="G1711" s="524"/>
      <c r="H1711" s="3081"/>
      <c r="I1711" s="3081"/>
      <c r="J1711" s="2921" t="str">
        <f>'Part IX A-Scoring Criteria'!J338</f>
        <v>Houston County - 676</v>
      </c>
      <c r="K1711" s="2921"/>
      <c r="L1711" s="2921"/>
      <c r="M1711" s="2921"/>
      <c r="N1711" s="2921"/>
      <c r="O1711" s="2774" t="s">
        <v>4086</v>
      </c>
      <c r="P1711" s="3081"/>
      <c r="Q1711" s="3081"/>
    </row>
    <row r="1712" spans="1:17" ht="15">
      <c r="A1712" s="3045"/>
      <c r="B1712" s="3081"/>
      <c r="C1712" s="3187"/>
      <c r="D1712" s="3187"/>
      <c r="E1712" s="3187"/>
      <c r="F1712" s="3114"/>
      <c r="G1712" s="3081"/>
      <c r="H1712" s="3187"/>
      <c r="I1712" s="3187"/>
      <c r="J1712" s="3187"/>
      <c r="K1712" s="3187"/>
      <c r="L1712" s="3187"/>
      <c r="M1712" s="3081"/>
      <c r="N1712" s="3007"/>
      <c r="O1712" s="2774"/>
      <c r="P1712" s="3007"/>
      <c r="Q1712" s="3081"/>
    </row>
    <row r="1713" spans="1:17" ht="15">
      <c r="A1713" s="3045"/>
      <c r="B1713" s="3081"/>
      <c r="C1713" s="3187"/>
      <c r="D1713" s="3187"/>
      <c r="E1713" s="3187"/>
      <c r="F1713" s="507" t="s">
        <v>3306</v>
      </c>
      <c r="G1713" s="507"/>
      <c r="H1713" s="3081"/>
      <c r="I1713" s="3081"/>
      <c r="J1713" s="3147" t="str">
        <f>'Part I-Project Information'!$H$67</f>
        <v>Family</v>
      </c>
      <c r="K1713" s="3147"/>
      <c r="L1713" s="3187"/>
      <c r="M1713" s="2774" t="s">
        <v>4085</v>
      </c>
      <c r="N1713" s="3007"/>
      <c r="O1713" s="2774"/>
      <c r="P1713" s="3007"/>
      <c r="Q1713" s="3081"/>
    </row>
    <row r="1714" spans="1:17" ht="15">
      <c r="A1714" s="3045"/>
      <c r="B1714" s="2966" t="s">
        <v>3961</v>
      </c>
      <c r="C1714" s="2964"/>
      <c r="D1714" s="2964"/>
      <c r="E1714" s="3187"/>
      <c r="F1714" s="3114"/>
      <c r="G1714" s="3081"/>
      <c r="H1714" s="3187"/>
      <c r="I1714" s="3187"/>
      <c r="J1714" s="3187"/>
      <c r="K1714" s="3187"/>
      <c r="L1714" s="3187"/>
      <c r="M1714" s="2774"/>
      <c r="N1714" s="3007"/>
      <c r="O1714" s="2774"/>
      <c r="P1714" s="3059" t="s">
        <v>3957</v>
      </c>
      <c r="Q1714" s="3081"/>
    </row>
    <row r="1715" spans="1:17" ht="23.25">
      <c r="A1715" s="3045"/>
      <c r="B1715" s="3081"/>
      <c r="C1715" s="2922"/>
      <c r="D1715" s="3081"/>
      <c r="E1715" s="3081"/>
      <c r="F1715" s="2995" t="s">
        <v>3962</v>
      </c>
      <c r="G1715" s="3081"/>
      <c r="H1715" s="3187"/>
      <c r="I1715" s="3188" t="s">
        <v>3956</v>
      </c>
      <c r="J1715" s="3056" t="s">
        <v>3958</v>
      </c>
      <c r="K1715" s="2992" t="s">
        <v>3957</v>
      </c>
      <c r="L1715" s="2886" t="s">
        <v>3959</v>
      </c>
      <c r="M1715" s="2774"/>
      <c r="N1715" s="2885"/>
      <c r="O1715" s="2774"/>
      <c r="P1715" s="3059"/>
      <c r="Q1715" s="3081"/>
    </row>
    <row r="1716" spans="1:17" ht="15">
      <c r="A1716" s="3045"/>
      <c r="B1716" s="2967" t="s">
        <v>2556</v>
      </c>
      <c r="C1716" s="2964" t="s">
        <v>3955</v>
      </c>
      <c r="D1716" s="2964"/>
      <c r="E1716" s="3187"/>
      <c r="F1716" s="2921" t="e">
        <f>-'Part IX A-Scoring Criteria'!F343</f>
        <v>#VALUE!</v>
      </c>
      <c r="G1716" s="2921"/>
      <c r="H1716" s="2921"/>
      <c r="I1716" s="2934" t="str">
        <f>'Part IX A-Scoring Criteria'!I343</f>
        <v>PK-05</v>
      </c>
      <c r="J1716" s="2934" t="str">
        <f>'Part IX A-Scoring Criteria'!J343</f>
        <v>No</v>
      </c>
      <c r="K1716" s="3189">
        <f>'Part IX A-Scoring Criteria'!K343</f>
        <v>89.1</v>
      </c>
      <c r="L1716" s="2885">
        <v>78</v>
      </c>
      <c r="M1716" s="2886" t="str">
        <f>IF(K1716="","",IF(K1716&gt;=L1716,"Yes",IF(K1716&lt;L1716,"No","")))</f>
        <v>Yes</v>
      </c>
      <c r="N1716" s="2885"/>
      <c r="O1716" s="2886" t="str">
        <f>IF(P1716="","",IF(P1716&gt;=L1716,"Yes",IF(P1716&lt;L1716,"No","")))</f>
        <v>No</v>
      </c>
      <c r="P1716" s="3189">
        <f>'Part IX A-Scoring Criteria'!P343</f>
        <v>0</v>
      </c>
      <c r="Q1716" s="3081"/>
    </row>
    <row r="1717" spans="1:17" ht="15">
      <c r="A1717" s="3045"/>
      <c r="B1717" s="3042" t="s">
        <v>2557</v>
      </c>
      <c r="C1717" s="2964" t="s">
        <v>3953</v>
      </c>
      <c r="D1717" s="2964"/>
      <c r="E1717" s="3187"/>
      <c r="F1717" s="2921" t="e">
        <f>-'Part IX A-Scoring Criteria'!F344</f>
        <v>#VALUE!</v>
      </c>
      <c r="G1717" s="2921"/>
      <c r="H1717" s="2921"/>
      <c r="I1717" s="2934" t="str">
        <f>'Part IX A-Scoring Criteria'!I344</f>
        <v>06, 07, 08</v>
      </c>
      <c r="J1717" s="2934" t="str">
        <f>'Part IX A-Scoring Criteria'!J344</f>
        <v>No</v>
      </c>
      <c r="K1717" s="3189">
        <f>'Part IX A-Scoring Criteria'!K344</f>
        <v>81.900000000000006</v>
      </c>
      <c r="L1717" s="2885">
        <v>75</v>
      </c>
      <c r="M1717" s="2886" t="str">
        <f>IF(K1717="","",IF(K1717&gt;=L1717,"Yes",IF(K1717&lt;L1717,"No","")))</f>
        <v>Yes</v>
      </c>
      <c r="N1717" s="2885"/>
      <c r="O1717" s="2886" t="str">
        <f>IF(P1717="","",IF(P1717&gt;=L1717,"Yes",IF(P1717&lt;L1717,"No","")))</f>
        <v>No</v>
      </c>
      <c r="P1717" s="3189">
        <f>'Part IX A-Scoring Criteria'!P344</f>
        <v>0</v>
      </c>
      <c r="Q1717" s="3081"/>
    </row>
    <row r="1718" spans="1:17" ht="22.5">
      <c r="A1718" s="3045"/>
      <c r="B1718" s="2967" t="s">
        <v>2558</v>
      </c>
      <c r="C1718" s="2964" t="s">
        <v>3954</v>
      </c>
      <c r="D1718" s="2964"/>
      <c r="E1718" s="3187"/>
      <c r="F1718" s="2921" t="e">
        <f>-'Part IX A-Scoring Criteria'!F345</f>
        <v>#VALUE!</v>
      </c>
      <c r="G1718" s="2921"/>
      <c r="H1718" s="2921"/>
      <c r="I1718" s="2934" t="str">
        <f>'Part IX A-Scoring Criteria'!I345</f>
        <v>09, 10, 11, 12</v>
      </c>
      <c r="J1718" s="2934" t="str">
        <f>'Part IX A-Scoring Criteria'!J345</f>
        <v>No</v>
      </c>
      <c r="K1718" s="3189">
        <f>'Part IX A-Scoring Criteria'!K345</f>
        <v>67.7</v>
      </c>
      <c r="L1718" s="2885">
        <v>72</v>
      </c>
      <c r="M1718" s="2886" t="str">
        <f>IF(K1718="","",IF(K1718&gt;=L1718,"Yes",IF(K1718&lt;L1718,"No","")))</f>
        <v>No</v>
      </c>
      <c r="N1718" s="2885"/>
      <c r="O1718" s="2886" t="str">
        <f>IF(P1718="","",IF(P1718&gt;=L1718,"Yes",IF(P1718&lt;L1718,"No","")))</f>
        <v>No</v>
      </c>
      <c r="P1718" s="3189">
        <f>'Part IX A-Scoring Criteria'!P345</f>
        <v>0</v>
      </c>
      <c r="Q1718" s="3081"/>
    </row>
    <row r="1719" spans="1:17" ht="15">
      <c r="A1719" s="523"/>
      <c r="B1719" s="2958" t="s">
        <v>267</v>
      </c>
      <c r="C1719" s="523"/>
      <c r="D1719" s="527"/>
      <c r="E1719" s="527"/>
      <c r="F1719" s="527"/>
      <c r="G1719" s="527"/>
      <c r="H1719" s="524"/>
      <c r="I1719" s="524"/>
      <c r="J1719" s="524"/>
      <c r="K1719" s="524"/>
      <c r="L1719" s="3081"/>
      <c r="M1719" s="2883"/>
      <c r="N1719" s="2877"/>
      <c r="O1719" s="3077"/>
      <c r="P1719" s="2879"/>
      <c r="Q1719" s="3081"/>
    </row>
    <row r="1720" spans="1:17" ht="15.75">
      <c r="A1720" s="2933" t="str">
        <f>'Part IX A-Scoring Criteria'!A347</f>
        <v>Schools in the area are above the state average.</v>
      </c>
      <c r="B1720" s="2933"/>
      <c r="C1720" s="2933"/>
      <c r="D1720" s="2933"/>
      <c r="E1720" s="2933"/>
      <c r="F1720" s="2933"/>
      <c r="G1720" s="2933"/>
      <c r="H1720" s="2933"/>
      <c r="I1720" s="2933"/>
      <c r="J1720" s="2933"/>
      <c r="K1720" s="2933"/>
      <c r="L1720" s="2933"/>
      <c r="M1720" s="2933"/>
      <c r="N1720" s="2933"/>
      <c r="O1720" s="2933"/>
      <c r="P1720" s="2933"/>
      <c r="Q1720" s="3082" t="s">
        <v>1314</v>
      </c>
    </row>
    <row r="1721" spans="1:17" ht="15">
      <c r="A1721" s="523"/>
      <c r="B1721" s="2958" t="s">
        <v>1960</v>
      </c>
      <c r="C1721" s="523"/>
      <c r="D1721" s="2998"/>
      <c r="E1721" s="3000"/>
      <c r="F1721" s="3000"/>
      <c r="G1721" s="3000"/>
      <c r="H1721" s="3000"/>
      <c r="I1721" s="3000"/>
      <c r="J1721" s="3000"/>
      <c r="K1721" s="3000"/>
      <c r="L1721" s="3000"/>
      <c r="M1721" s="3000"/>
      <c r="N1721" s="3100"/>
      <c r="O1721" s="3101"/>
      <c r="P1721" s="2891"/>
      <c r="Q1721" s="3089"/>
    </row>
    <row r="1722" spans="1:17" ht="15.75">
      <c r="A1722" s="2933">
        <f>'Part IX A-Scoring Criteria'!A349</f>
        <v>0</v>
      </c>
      <c r="B1722" s="2933"/>
      <c r="C1722" s="2933"/>
      <c r="D1722" s="2933"/>
      <c r="E1722" s="2933"/>
      <c r="F1722" s="2933"/>
      <c r="G1722" s="2933"/>
      <c r="H1722" s="2933"/>
      <c r="I1722" s="2933"/>
      <c r="J1722" s="2933"/>
      <c r="K1722" s="2933"/>
      <c r="L1722" s="2933"/>
      <c r="M1722" s="2933"/>
      <c r="N1722" s="2933"/>
      <c r="O1722" s="2933"/>
      <c r="P1722" s="2933"/>
      <c r="Q1722" s="3082" t="s">
        <v>1314</v>
      </c>
    </row>
    <row r="1723" spans="1:17" ht="15">
      <c r="A1723" s="523"/>
      <c r="B1723" s="3081"/>
      <c r="C1723" s="3000"/>
      <c r="D1723" s="3000"/>
      <c r="E1723" s="3000"/>
      <c r="F1723" s="3000"/>
      <c r="G1723" s="3000"/>
      <c r="H1723" s="3000"/>
      <c r="I1723" s="3000"/>
      <c r="J1723" s="3000"/>
      <c r="K1723" s="3000"/>
      <c r="L1723" s="3000"/>
      <c r="M1723" s="3000"/>
      <c r="N1723" s="3100"/>
      <c r="O1723" s="3101"/>
      <c r="P1723" s="2891"/>
      <c r="Q1723" s="3081"/>
    </row>
    <row r="1724" spans="1:17" ht="15">
      <c r="A1724" s="3149" t="s">
        <v>3165</v>
      </c>
      <c r="B1724" s="3079" t="s">
        <v>3164</v>
      </c>
      <c r="C1724" s="3081"/>
      <c r="D1724" s="3102"/>
      <c r="E1724" s="3102"/>
      <c r="F1724" s="3102"/>
      <c r="G1724" s="2992" t="s">
        <v>4372</v>
      </c>
      <c r="H1724" s="3102"/>
      <c r="I1724" s="507" t="s">
        <v>3169</v>
      </c>
      <c r="J1724" s="507"/>
      <c r="K1724" s="3147" t="str">
        <f>'Part IX A-Scoring Criteria'!K351</f>
        <v>Centerville</v>
      </c>
      <c r="L1724" s="3147"/>
      <c r="M1724" s="2891">
        <v>2</v>
      </c>
      <c r="N1724" s="3103"/>
      <c r="O1724" s="2891">
        <f>'Part IX A-Scoring Criteria'!O351</f>
        <v>2</v>
      </c>
      <c r="P1724" s="2891">
        <f>'Part IX A-Scoring Criteria'!P351</f>
        <v>0</v>
      </c>
      <c r="Q1724" s="2891" t="s">
        <v>458</v>
      </c>
    </row>
    <row r="1725" spans="1:17">
      <c r="A1725" s="3045" t="s">
        <v>2081</v>
      </c>
      <c r="B1725" s="507"/>
      <c r="C1725" s="3056" t="s">
        <v>3173</v>
      </c>
      <c r="D1725" s="507"/>
      <c r="E1725" s="507"/>
      <c r="F1725" s="507"/>
      <c r="G1725" s="3183">
        <f>'Part IX A-Scoring Criteria'!G352</f>
        <v>6056</v>
      </c>
      <c r="H1725" s="507"/>
      <c r="I1725" s="3147" t="s">
        <v>3170</v>
      </c>
      <c r="J1725" s="3147"/>
      <c r="K1725" s="3147" t="str">
        <f>'Part IX A-Scoring Criteria'!K352</f>
        <v>Houston</v>
      </c>
      <c r="L1725" s="3147"/>
      <c r="M1725" s="507"/>
      <c r="N1725" s="507"/>
      <c r="O1725" s="507"/>
      <c r="P1725" s="507"/>
      <c r="Q1725" s="507"/>
    </row>
    <row r="1726" spans="1:17">
      <c r="A1726" s="3045"/>
      <c r="B1726" s="507"/>
      <c r="C1726" s="3056"/>
      <c r="D1726" s="507"/>
      <c r="E1726" s="507"/>
      <c r="F1726" s="507"/>
      <c r="G1726" s="507"/>
      <c r="H1726" s="507"/>
      <c r="I1726" s="3118" t="s">
        <v>3171</v>
      </c>
      <c r="J1726" s="507"/>
      <c r="K1726" s="3147" t="str">
        <f>'Part IX A-Scoring Criteria'!K353</f>
        <v>Warner Robins</v>
      </c>
      <c r="L1726" s="3147"/>
      <c r="M1726" s="507"/>
      <c r="N1726" s="507"/>
      <c r="O1726" s="507"/>
      <c r="P1726" s="507"/>
      <c r="Q1726" s="507"/>
    </row>
    <row r="1727" spans="1:17">
      <c r="A1727" s="3035" t="s">
        <v>2084</v>
      </c>
      <c r="B1727" s="3118" t="s">
        <v>3168</v>
      </c>
      <c r="C1727" s="3118"/>
      <c r="D1727" s="3056"/>
      <c r="E1727" s="3056"/>
      <c r="F1727" s="507"/>
      <c r="G1727" s="3131">
        <f>'Part IX A-Scoring Criteria'!G354</f>
        <v>0.6</v>
      </c>
      <c r="H1727" s="507"/>
      <c r="I1727" s="3118" t="s">
        <v>3307</v>
      </c>
      <c r="J1727" s="507"/>
      <c r="K1727" s="3147" t="str">
        <f>'Part IX A-Scoring Criteria'!K354</f>
        <v>MSA</v>
      </c>
      <c r="L1727" s="3147"/>
      <c r="M1727" s="507"/>
      <c r="N1727" s="507"/>
      <c r="O1727" s="507"/>
      <c r="P1727" s="507"/>
      <c r="Q1727" s="507"/>
    </row>
    <row r="1728" spans="1:17">
      <c r="A1728" s="2997"/>
      <c r="B1728" s="3118" t="s">
        <v>3167</v>
      </c>
      <c r="C1728" s="3118"/>
      <c r="D1728" s="3056"/>
      <c r="E1728" s="3056"/>
      <c r="F1728" s="2997"/>
      <c r="G1728" s="2997"/>
      <c r="H1728" s="507"/>
      <c r="I1728" s="507" t="s">
        <v>3308</v>
      </c>
      <c r="J1728" s="507"/>
      <c r="K1728" s="3147" t="str">
        <f>'Part IX A-Scoring Criteria'!K355</f>
        <v>Urban</v>
      </c>
      <c r="L1728" s="3147"/>
      <c r="M1728" s="507"/>
      <c r="N1728" s="507"/>
      <c r="O1728" s="507"/>
      <c r="P1728" s="507"/>
      <c r="Q1728" s="507"/>
    </row>
    <row r="1729" spans="1:17">
      <c r="A1729" s="507"/>
      <c r="B1729" s="507"/>
      <c r="C1729" s="507"/>
      <c r="D1729" s="507"/>
      <c r="E1729" s="507"/>
      <c r="F1729" s="507"/>
      <c r="G1729" s="507"/>
      <c r="H1729" s="2997"/>
      <c r="I1729" s="2997"/>
      <c r="J1729" s="2997"/>
      <c r="K1729" s="2997"/>
      <c r="L1729" s="2997"/>
      <c r="M1729" s="507"/>
      <c r="N1729" s="507"/>
      <c r="O1729" s="507"/>
      <c r="P1729" s="507"/>
      <c r="Q1729" s="507"/>
    </row>
    <row r="1730" spans="1:17">
      <c r="A1730" s="2997"/>
      <c r="B1730" s="2997"/>
      <c r="C1730" s="3190" t="s">
        <v>3166</v>
      </c>
      <c r="D1730" s="3191" t="s">
        <v>3964</v>
      </c>
      <c r="E1730" s="3191"/>
      <c r="F1730" s="3191"/>
      <c r="G1730" s="3191"/>
      <c r="H1730" s="3191"/>
      <c r="I1730" s="3191"/>
      <c r="J1730" s="3191"/>
      <c r="K1730" s="3191"/>
      <c r="L1730" s="3190" t="s">
        <v>1679</v>
      </c>
      <c r="M1730" s="3190" t="s">
        <v>2727</v>
      </c>
      <c r="N1730" s="507"/>
      <c r="O1730" s="507"/>
      <c r="P1730" s="507"/>
      <c r="Q1730" s="507"/>
    </row>
    <row r="1731" spans="1:17">
      <c r="A1731" s="2997"/>
      <c r="B1731" s="2997"/>
      <c r="C1731" s="3190" t="s">
        <v>1264</v>
      </c>
      <c r="D1731" s="3023" t="s">
        <v>3172</v>
      </c>
      <c r="E1731" s="3023"/>
      <c r="F1731" s="3023"/>
      <c r="G1731" s="3023"/>
      <c r="H1731" s="3023"/>
      <c r="I1731" s="3023"/>
      <c r="J1731" s="3023"/>
      <c r="K1731" s="3023"/>
      <c r="L1731" s="3190" t="s">
        <v>2741</v>
      </c>
      <c r="M1731" s="3190" t="s">
        <v>1339</v>
      </c>
      <c r="N1731" s="507"/>
      <c r="O1731" s="507"/>
      <c r="P1731" s="507"/>
      <c r="Q1731" s="507"/>
    </row>
    <row r="1732" spans="1:17">
      <c r="A1732" s="2997"/>
      <c r="B1732" s="2997"/>
      <c r="C1732" s="3183">
        <v>20000</v>
      </c>
      <c r="D1732" s="3192">
        <v>15000</v>
      </c>
      <c r="E1732" s="3192"/>
      <c r="F1732" s="3192"/>
      <c r="G1732" s="3192"/>
      <c r="H1732" s="3192"/>
      <c r="I1732" s="3192"/>
      <c r="J1732" s="3192"/>
      <c r="K1732" s="3192"/>
      <c r="L1732" s="3183">
        <v>6000</v>
      </c>
      <c r="M1732" s="3183">
        <v>3000</v>
      </c>
      <c r="N1732" s="507"/>
      <c r="O1732" s="507"/>
      <c r="P1732" s="507"/>
      <c r="Q1732" s="507"/>
    </row>
    <row r="1733" spans="1:17" ht="15">
      <c r="A1733" s="523"/>
      <c r="B1733" s="2958" t="s">
        <v>267</v>
      </c>
      <c r="C1733" s="523"/>
      <c r="D1733" s="527"/>
      <c r="E1733" s="527"/>
      <c r="F1733" s="527"/>
      <c r="G1733" s="527"/>
      <c r="H1733" s="524"/>
      <c r="I1733" s="524"/>
      <c r="J1733" s="524"/>
      <c r="K1733" s="524"/>
      <c r="L1733" s="3081"/>
      <c r="M1733" s="2883"/>
      <c r="N1733" s="2877"/>
      <c r="O1733" s="3077"/>
      <c r="P1733" s="2879"/>
      <c r="Q1733" s="3081"/>
    </row>
    <row r="1734" spans="1:17" ht="15.75">
      <c r="A1734" s="2933" t="str">
        <f>'Part IX A-Scoring Criteria'!A361</f>
        <v>The number of jobs for this area is 6056; meanwhile, the total percentage of workers whom have to travel over 10 miles to their place of work is 65.5%</v>
      </c>
      <c r="B1734" s="2933"/>
      <c r="C1734" s="2933"/>
      <c r="D1734" s="2933"/>
      <c r="E1734" s="2933"/>
      <c r="F1734" s="2933"/>
      <c r="G1734" s="2933"/>
      <c r="H1734" s="2933"/>
      <c r="I1734" s="2933"/>
      <c r="J1734" s="2933"/>
      <c r="K1734" s="2933"/>
      <c r="L1734" s="2933"/>
      <c r="M1734" s="2933"/>
      <c r="N1734" s="2933"/>
      <c r="O1734" s="2933"/>
      <c r="P1734" s="2933"/>
      <c r="Q1734" s="3082" t="s">
        <v>1314</v>
      </c>
    </row>
    <row r="1735" spans="1:17" ht="15">
      <c r="A1735" s="523"/>
      <c r="B1735" s="2958" t="s">
        <v>1960</v>
      </c>
      <c r="C1735" s="523"/>
      <c r="D1735" s="2998"/>
      <c r="E1735" s="3000"/>
      <c r="F1735" s="3000"/>
      <c r="G1735" s="3000"/>
      <c r="H1735" s="3000"/>
      <c r="I1735" s="3000"/>
      <c r="J1735" s="3000"/>
      <c r="K1735" s="3000"/>
      <c r="L1735" s="3000"/>
      <c r="M1735" s="3000"/>
      <c r="N1735" s="3100"/>
      <c r="O1735" s="3101"/>
      <c r="P1735" s="2891"/>
      <c r="Q1735" s="3089"/>
    </row>
    <row r="1736" spans="1:17" ht="15.75">
      <c r="A1736" s="2933">
        <f>'Part IX A-Scoring Criteria'!A363</f>
        <v>0</v>
      </c>
      <c r="B1736" s="2933"/>
      <c r="C1736" s="2933"/>
      <c r="D1736" s="2933"/>
      <c r="E1736" s="2933"/>
      <c r="F1736" s="2933"/>
      <c r="G1736" s="2933"/>
      <c r="H1736" s="2933"/>
      <c r="I1736" s="2933"/>
      <c r="J1736" s="2933"/>
      <c r="K1736" s="2933"/>
      <c r="L1736" s="2933"/>
      <c r="M1736" s="2933"/>
      <c r="N1736" s="2933"/>
      <c r="O1736" s="2933"/>
      <c r="P1736" s="2933"/>
      <c r="Q1736" s="3082" t="s">
        <v>1314</v>
      </c>
    </row>
    <row r="1737" spans="1:17" ht="15">
      <c r="A1737" s="523"/>
      <c r="B1737" s="3081"/>
      <c r="C1737" s="3000"/>
      <c r="D1737" s="3000"/>
      <c r="E1737" s="3000"/>
      <c r="F1737" s="3000"/>
      <c r="G1737" s="3000"/>
      <c r="H1737" s="3000"/>
      <c r="I1737" s="3000"/>
      <c r="J1737" s="3000"/>
      <c r="K1737" s="3000"/>
      <c r="L1737" s="3000"/>
      <c r="M1737" s="3000"/>
      <c r="N1737" s="3100"/>
      <c r="O1737" s="3101"/>
      <c r="P1737" s="2891"/>
      <c r="Q1737" s="3081"/>
    </row>
    <row r="1738" spans="1:17" ht="15">
      <c r="A1738" s="3149" t="s">
        <v>3163</v>
      </c>
      <c r="B1738" s="3079" t="s">
        <v>1758</v>
      </c>
      <c r="C1738" s="3115"/>
      <c r="D1738" s="3085"/>
      <c r="E1738" s="3085"/>
      <c r="F1738" s="524"/>
      <c r="G1738" s="524"/>
      <c r="H1738" s="3115"/>
      <c r="I1738" s="524"/>
      <c r="J1738" s="524"/>
      <c r="K1738" s="524"/>
      <c r="L1738" s="3114" t="str">
        <f>IF(OR($O1738=$M1738,$O1738&lt;=0,$O1738=""),"","* * Check Score! * *")</f>
        <v/>
      </c>
      <c r="M1738" s="2891">
        <v>10</v>
      </c>
      <c r="N1738" s="2883"/>
      <c r="O1738" s="3077">
        <f>'Part IX A-Scoring Criteria'!O365</f>
        <v>10</v>
      </c>
      <c r="P1738" s="3077">
        <f>'Part IX A-Scoring Criteria'!P365</f>
        <v>0</v>
      </c>
      <c r="Q1738" s="2891" t="s">
        <v>458</v>
      </c>
    </row>
    <row r="1739" spans="1:17">
      <c r="B1739" s="507" t="s">
        <v>2666</v>
      </c>
      <c r="M1739" s="523"/>
      <c r="N1739" s="523"/>
      <c r="O1739" s="2891" t="str">
        <f>'Part IX A-Scoring Criteria'!O366</f>
        <v>No</v>
      </c>
      <c r="P1739" s="2891">
        <f>'Part IX A-Scoring Criteria'!P366</f>
        <v>0</v>
      </c>
    </row>
    <row r="1740" spans="1:17">
      <c r="A1740" s="3045" t="s">
        <v>2081</v>
      </c>
      <c r="B1740" s="2898" t="s">
        <v>1510</v>
      </c>
      <c r="D1740" s="523"/>
      <c r="E1740" s="523"/>
      <c r="F1740" s="523"/>
      <c r="G1740" s="523"/>
      <c r="H1740" s="523"/>
      <c r="I1740" s="523"/>
      <c r="J1740" s="523"/>
      <c r="K1740" s="523"/>
      <c r="L1740" s="523"/>
      <c r="M1740" s="2883"/>
      <c r="N1740" s="2967" t="s">
        <v>2081</v>
      </c>
      <c r="O1740" s="2891">
        <f>'Part IX A-Scoring Criteria'!O367</f>
        <v>10</v>
      </c>
      <c r="P1740" s="2891">
        <f>'Part IX A-Scoring Criteria'!P367</f>
        <v>0</v>
      </c>
      <c r="Q1740" s="2686" t="s">
        <v>2877</v>
      </c>
    </row>
    <row r="1741" spans="1:17" ht="15">
      <c r="A1741" s="523"/>
      <c r="B1741" s="2958" t="s">
        <v>267</v>
      </c>
      <c r="C1741" s="523"/>
      <c r="D1741" s="527"/>
      <c r="E1741" s="527"/>
      <c r="F1741" s="527"/>
      <c r="G1741" s="527"/>
      <c r="H1741" s="524"/>
      <c r="I1741" s="524"/>
      <c r="J1741" s="524"/>
      <c r="K1741" s="524"/>
      <c r="L1741" s="3081"/>
      <c r="M1741" s="2883"/>
      <c r="N1741" s="2877"/>
      <c r="O1741" s="3077"/>
      <c r="P1741" s="2879"/>
      <c r="Q1741" s="3081"/>
    </row>
    <row r="1742" spans="1:17" ht="15.75">
      <c r="A1742" s="2933" t="str">
        <f>'Part IX A-Scoring Criteria'!A369</f>
        <v>There was not a pre-application determination for this development; however, the General Partner and Developer entities were deemed to be qualified without conditions on a separate development (The Vinings at Oxford) submitted in March.</v>
      </c>
      <c r="B1742" s="2933"/>
      <c r="C1742" s="2933"/>
      <c r="D1742" s="2933"/>
      <c r="E1742" s="2933"/>
      <c r="F1742" s="2933"/>
      <c r="G1742" s="2933"/>
      <c r="H1742" s="2933"/>
      <c r="I1742" s="2933"/>
      <c r="J1742" s="2933"/>
      <c r="K1742" s="2933"/>
      <c r="L1742" s="2933"/>
      <c r="M1742" s="2933"/>
      <c r="N1742" s="2933"/>
      <c r="O1742" s="2933"/>
      <c r="P1742" s="2933"/>
      <c r="Q1742" s="3082" t="s">
        <v>1314</v>
      </c>
    </row>
    <row r="1743" spans="1:17" ht="15">
      <c r="A1743" s="523"/>
      <c r="B1743" s="2958" t="s">
        <v>1960</v>
      </c>
      <c r="C1743" s="523"/>
      <c r="D1743" s="2998"/>
      <c r="E1743" s="3000"/>
      <c r="F1743" s="3000"/>
      <c r="G1743" s="3000"/>
      <c r="H1743" s="3000"/>
      <c r="I1743" s="3000"/>
      <c r="J1743" s="3000"/>
      <c r="K1743" s="3000"/>
      <c r="L1743" s="3000"/>
      <c r="M1743" s="3000"/>
      <c r="N1743" s="3100"/>
      <c r="O1743" s="3101"/>
      <c r="P1743" s="2891"/>
      <c r="Q1743" s="3115"/>
    </row>
    <row r="1744" spans="1:17" ht="15.75">
      <c r="A1744" s="2933">
        <f>'Part IX A-Scoring Criteria'!A371</f>
        <v>0</v>
      </c>
      <c r="B1744" s="2933"/>
      <c r="C1744" s="2933"/>
      <c r="D1744" s="2933"/>
      <c r="E1744" s="2933"/>
      <c r="F1744" s="2933"/>
      <c r="G1744" s="2933"/>
      <c r="H1744" s="2933"/>
      <c r="I1744" s="2933"/>
      <c r="J1744" s="2933"/>
      <c r="K1744" s="2933"/>
      <c r="L1744" s="2933"/>
      <c r="M1744" s="2933"/>
      <c r="N1744" s="2933"/>
      <c r="O1744" s="2933"/>
      <c r="P1744" s="2933"/>
      <c r="Q1744" s="3082" t="s">
        <v>1314</v>
      </c>
    </row>
    <row r="1745" spans="1:17" ht="15">
      <c r="A1745" s="523"/>
      <c r="B1745" s="523"/>
      <c r="C1745" s="3000"/>
      <c r="D1745" s="3000"/>
      <c r="E1745" s="3000"/>
      <c r="F1745" s="3000"/>
      <c r="G1745" s="3000"/>
      <c r="H1745" s="3000"/>
      <c r="I1745" s="3000"/>
      <c r="J1745" s="3000"/>
      <c r="K1745" s="3000"/>
      <c r="L1745" s="3000"/>
      <c r="M1745" s="3000"/>
      <c r="N1745" s="3100"/>
      <c r="O1745" s="3101"/>
      <c r="P1745" s="2891"/>
      <c r="Q1745" s="3081"/>
    </row>
    <row r="1746" spans="1:17" ht="15">
      <c r="A1746" s="2727"/>
      <c r="B1746" s="3193"/>
      <c r="C1746" s="523"/>
      <c r="F1746" s="3081"/>
      <c r="G1746" s="3081"/>
      <c r="H1746" s="3194" t="s">
        <v>441</v>
      </c>
      <c r="I1746" s="3075"/>
      <c r="J1746" s="3075"/>
      <c r="K1746" s="3075"/>
      <c r="L1746" s="3115"/>
      <c r="M1746" s="3195">
        <f>M1381+M1403+M1414+M1427+M1442+M1451+M1475+M1488+M1528+M1554+M1564+M1574+M1584+M1595+M1605+M1640+M1660+M1673+M1687+M1708+M1724+M1738</f>
        <v>92</v>
      </c>
      <c r="N1746" s="3196"/>
      <c r="O1746" s="3195">
        <f>O1381+O1403+O1414+O1427+O1442+O1451+O1475+O1488+O1528+O1554+O1564+O1584+O1595+O1605+O1660+O1673+O1708+O1724+O1738</f>
        <v>52</v>
      </c>
      <c r="P1746" s="3195">
        <f>P1381+P1403+P1414+P1427+P1442+P1451+P1475+P1488+P1528+P1554+P1564+P1574+P1584+P1595+P1605+P1640+P1660+P1673+P1687+P1708+P1724+P1738</f>
        <v>12</v>
      </c>
      <c r="Q1746" s="523"/>
    </row>
    <row r="1747" spans="1:17" ht="15.75">
      <c r="A1747" s="3081"/>
      <c r="B1747" s="3193"/>
      <c r="C1747" s="3081"/>
      <c r="F1747" s="3076"/>
      <c r="G1747" s="3076"/>
      <c r="H1747" s="2898"/>
      <c r="I1747" s="2898" t="s">
        <v>3313</v>
      </c>
      <c r="J1747" s="2943"/>
      <c r="K1747" s="2943"/>
      <c r="L1747" s="3081"/>
      <c r="N1747" s="2891"/>
      <c r="O1747" s="3197"/>
      <c r="P1747" s="3197">
        <f>P1574</f>
        <v>0</v>
      </c>
      <c r="Q1747" s="523"/>
    </row>
    <row r="1748" spans="1:17" ht="15.75">
      <c r="A1748" s="3081"/>
      <c r="B1748" s="3193"/>
      <c r="C1748" s="3081"/>
      <c r="F1748" s="3076"/>
      <c r="G1748" s="3076"/>
      <c r="H1748" s="523"/>
      <c r="I1748" s="2898" t="s">
        <v>3314</v>
      </c>
      <c r="J1748" s="2943"/>
      <c r="K1748" s="2943"/>
      <c r="L1748" s="3081"/>
      <c r="N1748" s="2891"/>
      <c r="O1748" s="2891"/>
      <c r="P1748" s="3197">
        <f>P1640</f>
        <v>0</v>
      </c>
      <c r="Q1748" s="523"/>
    </row>
    <row r="1749" spans="1:17" ht="15">
      <c r="A1749" s="523"/>
      <c r="B1749" s="523"/>
      <c r="C1749" s="3000"/>
      <c r="D1749" s="3000"/>
      <c r="E1749" s="3000"/>
      <c r="F1749" s="3000"/>
      <c r="G1749" s="3000"/>
      <c r="H1749" s="3081"/>
      <c r="I1749" s="2898" t="s">
        <v>3315</v>
      </c>
      <c r="J1749" s="3000"/>
      <c r="K1749" s="3000"/>
      <c r="L1749" s="3000"/>
      <c r="M1749" s="3000"/>
      <c r="N1749" s="3100"/>
      <c r="O1749" s="3101"/>
      <c r="P1749" s="3197">
        <f>P1687</f>
        <v>0</v>
      </c>
      <c r="Q1749" s="3081"/>
    </row>
    <row r="1750" spans="1:17" ht="15">
      <c r="A1750" s="523"/>
      <c r="B1750" s="3081"/>
      <c r="C1750" s="3081"/>
      <c r="D1750" s="524"/>
      <c r="E1750" s="524"/>
      <c r="F1750" s="2891"/>
      <c r="G1750" s="2891"/>
      <c r="H1750" s="526" t="s">
        <v>3316</v>
      </c>
      <c r="I1750" s="2891"/>
      <c r="J1750" s="2995"/>
      <c r="K1750" s="2995"/>
      <c r="L1750" s="2995"/>
      <c r="M1750" s="2992"/>
      <c r="N1750" s="2891"/>
      <c r="O1750" s="2879"/>
      <c r="P1750" s="3197">
        <f>P1746-P1747-P1748-P1749</f>
        <v>12</v>
      </c>
      <c r="Q1750" s="3081"/>
    </row>
    <row r="1751" spans="1:17" ht="15.75">
      <c r="A1751" s="3081"/>
      <c r="B1751" s="3193"/>
      <c r="C1751" s="3081"/>
      <c r="F1751" s="2995"/>
      <c r="G1751" s="2995"/>
      <c r="H1751" s="3076"/>
      <c r="I1751" s="3076"/>
      <c r="J1751" s="2943"/>
      <c r="K1751" s="2943"/>
      <c r="L1751" s="3081"/>
      <c r="N1751" s="2891"/>
      <c r="O1751" s="2891"/>
      <c r="P1751" s="3077"/>
    </row>
    <row r="1753" spans="1:17" ht="15.75">
      <c r="A1753" s="3198" t="s">
        <v>4248</v>
      </c>
    </row>
    <row r="1754" spans="1:17" ht="16.5">
      <c r="A1754" s="3199" t="str">
        <f>'Pt IX B-Innovative Project Narr'!$A$2</f>
        <v>The Cove at York</v>
      </c>
    </row>
    <row r="1755" spans="1:17" ht="16.5">
      <c r="A1755" s="3199" t="str">
        <f>'Pt IX B-Innovative Project Narr'!$A$3</f>
        <v>Centerville, Houston County</v>
      </c>
    </row>
    <row r="1756" spans="1:17" ht="16.5">
      <c r="A1756" s="3200" t="str">
        <f>'Pt IX B-Innovative Project Narr'!A4</f>
        <v/>
      </c>
    </row>
    <row r="1758" spans="1:17">
      <c r="A1758" s="3201" t="str">
        <f>'Pt IX B-Innovative Project Narr'!A6</f>
        <v>&lt;&lt; Enter paragraph(s) here. Press and hold Alt-Enter to start new paragraphs. &gt;&gt;</v>
      </c>
    </row>
    <row r="1759" spans="1:17">
      <c r="A1759" s="3201"/>
    </row>
    <row r="1760" spans="1:17">
      <c r="A1760" s="3201"/>
    </row>
    <row r="1761" spans="1:1">
      <c r="A1761" s="3201"/>
    </row>
    <row r="1762" spans="1:1">
      <c r="A1762" s="3201"/>
    </row>
    <row r="1763" spans="1:1">
      <c r="A1763" s="3201"/>
    </row>
    <row r="1764" spans="1:1">
      <c r="A1764" s="3201"/>
    </row>
    <row r="1765" spans="1:1">
      <c r="A1765" s="3201"/>
    </row>
    <row r="1766" spans="1:1">
      <c r="A1766" s="3201"/>
    </row>
    <row r="1767" spans="1:1">
      <c r="A1767" s="3201"/>
    </row>
    <row r="1768" spans="1:1">
      <c r="A1768" s="3201"/>
    </row>
    <row r="1769" spans="1:1">
      <c r="A1769" s="3201"/>
    </row>
    <row r="1770" spans="1:1">
      <c r="A1770" s="3201"/>
    </row>
    <row r="1771" spans="1:1">
      <c r="A1771" s="3201"/>
    </row>
    <row r="1772" spans="1:1">
      <c r="A1772" s="3201"/>
    </row>
    <row r="1773" spans="1:1">
      <c r="A1773" s="3201"/>
    </row>
    <row r="1774" spans="1:1">
      <c r="A1774" s="3201"/>
    </row>
    <row r="1775" spans="1:1">
      <c r="A1775" s="3201"/>
    </row>
    <row r="1776" spans="1:1">
      <c r="A1776" s="3201"/>
    </row>
  </sheetData>
  <sheetProtection algorithmName="SHA-512" hashValue="ckvYxPU8vyWwv9yR5Ek7Q66XcXOvkfH33C1JiDv9tHCgv9L4cdY7s/SB1H/YOZGJY3AcTc6ZLBSEbWpeu1/UsA==" saltValue="izDOq6IpU1kfHffW+eL3lA=="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activeCell="F3" sqref="F3"/>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8" t="str">
        <f>CONCATENATE("PART ONE - PROJECT INFORMATION"," - ",$O$4," ",$F$24,", ",'Part I-Project Information'!F28,", ",'Part I-Project Information'!J29," County")</f>
        <v>PART ONE - PROJECT INFORMATION - 2015-009 The Cove at York, Centerville, Houston County</v>
      </c>
      <c r="B1" s="1339"/>
      <c r="C1" s="1339"/>
      <c r="D1" s="1339"/>
      <c r="E1" s="1339"/>
      <c r="F1" s="1339"/>
      <c r="G1" s="1339"/>
      <c r="H1" s="1339"/>
      <c r="I1" s="1339"/>
      <c r="J1" s="1339"/>
      <c r="K1" s="1339"/>
      <c r="L1" s="1339"/>
      <c r="M1" s="1339"/>
      <c r="N1" s="1339"/>
      <c r="O1" s="1339"/>
      <c r="P1" s="1340"/>
    </row>
    <row r="2" spans="1:16" s="332" customFormat="1" ht="9" customHeight="1">
      <c r="A2" s="1320"/>
      <c r="B2" s="1320"/>
      <c r="C2" s="1320"/>
      <c r="D2" s="1320"/>
      <c r="E2" s="1320"/>
      <c r="F2" s="1320"/>
      <c r="G2" s="1320"/>
      <c r="H2" s="2049" t="s">
        <v>4387</v>
      </c>
      <c r="I2" s="2050"/>
      <c r="J2" s="2051"/>
      <c r="K2" s="1320"/>
      <c r="L2" s="1320"/>
      <c r="M2" s="1320"/>
      <c r="N2" s="1320"/>
      <c r="O2" s="1320"/>
      <c r="P2" s="1320"/>
    </row>
    <row r="3" spans="1:16" s="332" customFormat="1" ht="12" customHeight="1" thickBot="1">
      <c r="B3" s="300" t="s">
        <v>2476</v>
      </c>
      <c r="F3" s="333"/>
      <c r="G3" s="1325" t="s">
        <v>460</v>
      </c>
      <c r="L3" s="1320"/>
      <c r="O3" s="1337" t="s">
        <v>2827</v>
      </c>
      <c r="P3" s="1337"/>
    </row>
    <row r="4" spans="1:16" s="332" customFormat="1" ht="12" customHeight="1" thickBot="1">
      <c r="A4" s="555"/>
      <c r="B4" s="334"/>
      <c r="F4" s="335"/>
      <c r="G4" s="1325" t="s">
        <v>461</v>
      </c>
      <c r="H4" s="1265"/>
      <c r="I4" s="1265"/>
      <c r="J4" s="1265"/>
      <c r="O4" s="2052" t="s">
        <v>4546</v>
      </c>
      <c r="P4" s="2053"/>
    </row>
    <row r="5" spans="1:16" s="332" customFormat="1" ht="12" customHeight="1">
      <c r="A5" s="555"/>
      <c r="B5" s="334"/>
      <c r="C5" s="334"/>
      <c r="D5" s="192"/>
      <c r="F5" s="625"/>
      <c r="G5" s="192" t="s">
        <v>3771</v>
      </c>
      <c r="H5" s="1265"/>
      <c r="I5" s="1265"/>
      <c r="J5" s="1265"/>
    </row>
    <row r="6" spans="1:16" s="332" customFormat="1" ht="9" customHeight="1">
      <c r="A6" s="555"/>
      <c r="B6" s="334"/>
      <c r="C6" s="334"/>
      <c r="D6" s="334"/>
      <c r="E6" s="1265"/>
      <c r="H6" s="1265"/>
      <c r="I6" s="1265"/>
      <c r="J6" s="1265"/>
      <c r="K6" s="300"/>
      <c r="M6" s="1265"/>
    </row>
    <row r="7" spans="1:16" s="332" customFormat="1" ht="13.15" customHeight="1">
      <c r="A7" s="334" t="s">
        <v>647</v>
      </c>
      <c r="B7" s="334" t="s">
        <v>2489</v>
      </c>
      <c r="D7" s="302"/>
      <c r="E7" s="336"/>
      <c r="F7" s="337" t="s">
        <v>1802</v>
      </c>
      <c r="J7" s="1343">
        <f>'Part IV-Uses of Funds'!J173</f>
        <v>956416.5</v>
      </c>
      <c r="K7" s="1344"/>
      <c r="M7" s="1265"/>
    </row>
    <row r="8" spans="1:16" s="1" customFormat="1" ht="13.15" customHeight="1">
      <c r="A8" s="4"/>
      <c r="B8" s="4"/>
      <c r="D8" s="28"/>
      <c r="E8" s="410"/>
      <c r="F8" s="332" t="s">
        <v>1348</v>
      </c>
      <c r="J8" s="1345">
        <f>'Part III-Sources of Funds'!H10</f>
        <v>0</v>
      </c>
      <c r="K8" s="1346"/>
      <c r="L8" s="332"/>
      <c r="M8" s="1265"/>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054" t="s">
        <v>4392</v>
      </c>
      <c r="G10" s="2055"/>
      <c r="H10" s="2056"/>
      <c r="I10" s="367"/>
      <c r="J10" s="592" t="s">
        <v>4017</v>
      </c>
      <c r="K10" s="342"/>
      <c r="L10" s="1265"/>
      <c r="O10" s="2057" t="s">
        <v>2855</v>
      </c>
      <c r="P10" s="2058"/>
    </row>
    <row r="11" spans="1:16" s="332" customFormat="1" ht="12.75" customHeight="1">
      <c r="A11" s="555"/>
      <c r="H11" s="1265"/>
      <c r="J11" s="593" t="s">
        <v>2918</v>
      </c>
      <c r="K11" s="300"/>
      <c r="M11" s="1265"/>
      <c r="O11" s="2059" t="s">
        <v>3425</v>
      </c>
      <c r="P11" s="206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320"/>
    </row>
    <row r="15" spans="1:16" s="332" customFormat="1" ht="13.15" customHeight="1">
      <c r="B15" s="332" t="s">
        <v>2410</v>
      </c>
      <c r="F15" s="2061" t="s">
        <v>4389</v>
      </c>
      <c r="G15" s="2062"/>
      <c r="H15" s="2062"/>
      <c r="I15" s="2062"/>
      <c r="J15" s="2062"/>
      <c r="K15" s="2062"/>
      <c r="L15" s="2063"/>
      <c r="M15" s="1254" t="s">
        <v>2078</v>
      </c>
      <c r="N15" s="2061" t="s">
        <v>4537</v>
      </c>
      <c r="O15" s="2062"/>
      <c r="P15" s="2063"/>
    </row>
    <row r="16" spans="1:16" s="332" customFormat="1" ht="13.15" customHeight="1">
      <c r="B16" s="337" t="s">
        <v>2079</v>
      </c>
      <c r="F16" s="2061" t="s">
        <v>4394</v>
      </c>
      <c r="G16" s="2062"/>
      <c r="H16" s="2062"/>
      <c r="I16" s="2062"/>
      <c r="J16" s="2062"/>
      <c r="K16" s="2062"/>
      <c r="L16" s="2063"/>
      <c r="M16" s="1254" t="s">
        <v>1808</v>
      </c>
      <c r="O16" s="2064">
        <v>2057229331</v>
      </c>
      <c r="P16" s="2065"/>
    </row>
    <row r="17" spans="1:16" s="332" customFormat="1" ht="13.15" customHeight="1">
      <c r="B17" s="337" t="s">
        <v>649</v>
      </c>
      <c r="F17" s="2066" t="s">
        <v>4395</v>
      </c>
      <c r="G17" s="2067"/>
      <c r="H17" s="2068"/>
      <c r="M17" s="1254" t="s">
        <v>1890</v>
      </c>
      <c r="O17" s="2069">
        <v>2053453813</v>
      </c>
      <c r="P17" s="2070"/>
    </row>
    <row r="18" spans="1:16" s="332" customFormat="1" ht="13.15" customHeight="1">
      <c r="B18" s="337" t="s">
        <v>1887</v>
      </c>
      <c r="F18" s="2071" t="s">
        <v>880</v>
      </c>
      <c r="I18" s="1265" t="s">
        <v>2336</v>
      </c>
      <c r="J18" s="2072">
        <v>354071330</v>
      </c>
      <c r="K18" s="2073"/>
      <c r="M18" s="1254" t="s">
        <v>2077</v>
      </c>
      <c r="O18" s="2069">
        <v>2053948000</v>
      </c>
      <c r="P18" s="2070"/>
    </row>
    <row r="19" spans="1:16" s="332" customFormat="1" ht="13.15" customHeight="1">
      <c r="B19" s="337" t="s">
        <v>1807</v>
      </c>
      <c r="F19" s="2069">
        <v>2057229331</v>
      </c>
      <c r="G19" s="2074"/>
      <c r="H19" s="2070"/>
      <c r="I19" s="1257" t="s">
        <v>1806</v>
      </c>
      <c r="J19" s="2075" t="s">
        <v>1017</v>
      </c>
      <c r="K19" s="1265" t="s">
        <v>2082</v>
      </c>
      <c r="L19" s="2061" t="s">
        <v>4396</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21"/>
      <c r="D21" s="1262"/>
      <c r="E21" s="1262"/>
      <c r="F21" s="1262"/>
      <c r="H21" s="1265"/>
      <c r="I21" s="1262"/>
      <c r="J21" s="1321"/>
      <c r="K21" s="1262"/>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6" t="s">
        <v>4397</v>
      </c>
      <c r="G24" s="2077"/>
      <c r="H24" s="2077"/>
      <c r="I24" s="2077"/>
      <c r="J24" s="2077"/>
      <c r="K24" s="2077"/>
      <c r="L24" s="2078"/>
      <c r="M24" s="1254" t="s">
        <v>2295</v>
      </c>
      <c r="O24" s="2061" t="s">
        <v>3425</v>
      </c>
      <c r="P24" s="2063"/>
    </row>
    <row r="25" spans="1:16" s="332" customFormat="1" ht="13.15" customHeight="1">
      <c r="A25" s="343"/>
      <c r="B25" s="332" t="s">
        <v>2862</v>
      </c>
      <c r="D25" s="344"/>
      <c r="F25" s="2061" t="s">
        <v>4398</v>
      </c>
      <c r="G25" s="2062"/>
      <c r="H25" s="2062"/>
      <c r="I25" s="2062"/>
      <c r="J25" s="2062"/>
      <c r="K25" s="2062"/>
      <c r="L25" s="2063"/>
      <c r="M25" s="1254" t="s">
        <v>2151</v>
      </c>
      <c r="O25" s="2061" t="s">
        <v>3425</v>
      </c>
      <c r="P25" s="2063"/>
    </row>
    <row r="26" spans="1:16" s="332" customFormat="1" ht="13.15" customHeight="1">
      <c r="A26" s="343"/>
      <c r="B26" s="332" t="s">
        <v>2921</v>
      </c>
      <c r="D26" s="344"/>
      <c r="F26" s="2061" t="s">
        <v>4399</v>
      </c>
      <c r="G26" s="2062"/>
      <c r="H26" s="2062"/>
      <c r="I26" s="2062"/>
      <c r="J26" s="2062"/>
      <c r="K26" s="2062"/>
      <c r="L26" s="2063"/>
      <c r="M26" s="1254" t="s">
        <v>2922</v>
      </c>
      <c r="O26" s="2079" t="s">
        <v>1017</v>
      </c>
      <c r="P26" s="2080"/>
    </row>
    <row r="27" spans="1:16" s="332" customFormat="1" ht="13.15" customHeight="1">
      <c r="A27" s="343"/>
      <c r="B27" s="332" t="s">
        <v>3088</v>
      </c>
      <c r="D27" s="344"/>
      <c r="F27" s="2061" t="s">
        <v>4400</v>
      </c>
      <c r="G27" s="2062"/>
      <c r="H27" s="2062"/>
      <c r="I27" s="2062"/>
      <c r="J27" s="2062"/>
      <c r="K27" s="2062"/>
      <c r="L27" s="2063"/>
      <c r="M27" s="1254" t="s">
        <v>2392</v>
      </c>
      <c r="O27" s="2081">
        <v>17.699000000000002</v>
      </c>
      <c r="P27" s="2082"/>
    </row>
    <row r="28" spans="1:16" s="332" customFormat="1" ht="13.15" customHeight="1">
      <c r="A28" s="555"/>
      <c r="B28" s="332" t="s">
        <v>649</v>
      </c>
      <c r="F28" s="2061" t="s">
        <v>2161</v>
      </c>
      <c r="G28" s="2062"/>
      <c r="H28" s="2063"/>
      <c r="I28" s="1322" t="s">
        <v>2863</v>
      </c>
      <c r="J28" s="2072">
        <v>310281043</v>
      </c>
      <c r="K28" s="2073"/>
      <c r="L28" s="402" t="str">
        <f>IF(AND(NOT(F24=""),NOT(F28="Select from list"),J28=""),"Enter Zip!","")</f>
        <v/>
      </c>
      <c r="M28" s="1323" t="s">
        <v>3329</v>
      </c>
      <c r="O28" s="2083" t="s">
        <v>4401</v>
      </c>
      <c r="P28" s="2084"/>
    </row>
    <row r="29" spans="1:16" s="332" customFormat="1" ht="13.15" customHeight="1">
      <c r="A29" s="555"/>
      <c r="B29" s="1262" t="s">
        <v>4383</v>
      </c>
      <c r="D29" s="1262"/>
      <c r="F29" s="2085" t="s">
        <v>4402</v>
      </c>
      <c r="G29" s="2086"/>
      <c r="H29" s="2087"/>
      <c r="I29" s="345" t="s">
        <v>650</v>
      </c>
      <c r="J29" s="2088" t="str">
        <f>IF($F$28="","",VLOOKUP($F$28,'DCA Underwriting Assumptions'!$R$127:$S$757,2,FALSE))</f>
        <v>Houston</v>
      </c>
      <c r="K29" s="2089"/>
      <c r="M29" s="1254" t="s">
        <v>470</v>
      </c>
      <c r="N29" s="2090" t="s">
        <v>3425</v>
      </c>
      <c r="O29" s="339" t="s">
        <v>471</v>
      </c>
      <c r="P29" s="2090" t="s">
        <v>3425</v>
      </c>
    </row>
    <row r="30" spans="1:16" s="332" customFormat="1" ht="13.15" customHeight="1">
      <c r="A30" s="555"/>
      <c r="B30" s="334"/>
      <c r="C30" s="332" t="s">
        <v>1635</v>
      </c>
      <c r="F30" s="2091" t="s">
        <v>3425</v>
      </c>
      <c r="G30" s="1347" t="s">
        <v>3089</v>
      </c>
      <c r="H30" s="1348"/>
      <c r="I30" s="600" t="str">
        <f>IF($J$29="","",IF(VLOOKUP($J$29,'DCA Underwriting Assumptions'!G127:M286,7,FALSE)="Rural","Yes",IF(VLOOKUP($J$29,'DCA Underwriting Assumptions'!G127:M286,7,FALSE)="Urban","No","")))</f>
        <v>No</v>
      </c>
      <c r="J30" s="1257" t="s">
        <v>3110</v>
      </c>
      <c r="K30" s="1257" t="str">
        <f>IF(OR(F30="Yes",I30="Yes"),"Rural","Urban")</f>
        <v>Urban</v>
      </c>
      <c r="M30" s="1254" t="s">
        <v>2739</v>
      </c>
      <c r="N30" s="474" t="str">
        <f>VLOOKUP($J$29,'DCA Underwriting Assumptions'!$G$127:$J$286,4)</f>
        <v>MSA</v>
      </c>
      <c r="O30" s="2092" t="str">
        <f>IF($F$28="","",VLOOKUP($J$29,'DCA Underwriting Assumptions'!$G$127:$L$286,3,FALSE))</f>
        <v>Warner Robins</v>
      </c>
      <c r="P30" s="2093"/>
    </row>
    <row r="31" spans="1:16" s="332" customFormat="1" ht="3" customHeight="1">
      <c r="A31" s="555"/>
      <c r="B31" s="334"/>
      <c r="C31" s="334"/>
      <c r="I31" s="337"/>
      <c r="J31" s="1262"/>
      <c r="L31" s="1270"/>
      <c r="M31" s="1270"/>
      <c r="N31" s="1270"/>
      <c r="O31" s="1270"/>
      <c r="P31" s="1270"/>
    </row>
    <row r="32" spans="1:16" s="332" customFormat="1" ht="13.15" customHeight="1">
      <c r="A32" s="555"/>
      <c r="C32" s="332" t="s">
        <v>2932</v>
      </c>
      <c r="F32" s="1342" t="s">
        <v>3034</v>
      </c>
      <c r="G32" s="1342"/>
      <c r="H32" s="1341" t="s">
        <v>776</v>
      </c>
      <c r="I32" s="1341"/>
      <c r="J32" s="1341" t="s">
        <v>777</v>
      </c>
      <c r="K32" s="1341"/>
      <c r="L32" s="586" t="s">
        <v>2864</v>
      </c>
    </row>
    <row r="33" spans="1:17" s="332" customFormat="1" ht="13.15" customHeight="1">
      <c r="A33" s="555"/>
      <c r="B33" s="332" t="s">
        <v>3033</v>
      </c>
      <c r="D33" s="334"/>
      <c r="F33" s="2094">
        <v>8</v>
      </c>
      <c r="G33" s="2095"/>
      <c r="H33" s="2094">
        <v>18</v>
      </c>
      <c r="I33" s="2095"/>
      <c r="J33" s="2094">
        <v>147</v>
      </c>
      <c r="K33" s="2095"/>
      <c r="L33" s="582" t="s">
        <v>1344</v>
      </c>
      <c r="N33" s="1351" t="s">
        <v>1345</v>
      </c>
      <c r="O33" s="1351"/>
      <c r="P33" s="1351"/>
    </row>
    <row r="34" spans="1:17" s="332" customFormat="1" ht="12.75" customHeight="1">
      <c r="A34" s="555"/>
      <c r="B34" s="337" t="s">
        <v>778</v>
      </c>
      <c r="F34" s="2094"/>
      <c r="G34" s="2095"/>
      <c r="H34" s="2094"/>
      <c r="I34" s="2095"/>
      <c r="J34" s="2094"/>
      <c r="K34" s="2095"/>
      <c r="L34" s="582" t="s">
        <v>3032</v>
      </c>
      <c r="N34" s="1352" t="s">
        <v>3031</v>
      </c>
      <c r="O34" s="1352"/>
    </row>
    <row r="35" spans="1:17" s="332" customFormat="1" ht="3" customHeight="1">
      <c r="A35" s="555"/>
      <c r="I35" s="1270"/>
      <c r="J35" s="1270"/>
      <c r="K35" s="1270"/>
      <c r="L35" s="1262"/>
      <c r="M35" s="1262"/>
      <c r="N35" s="1262"/>
      <c r="O35" s="1262"/>
      <c r="P35" s="1262"/>
    </row>
    <row r="36" spans="1:17" s="332" customFormat="1" ht="13.15" customHeight="1">
      <c r="A36" s="555"/>
      <c r="B36" s="334" t="s">
        <v>668</v>
      </c>
      <c r="F36" s="2096" t="s">
        <v>4407</v>
      </c>
      <c r="G36" s="2097"/>
      <c r="H36" s="2097"/>
      <c r="I36" s="2097"/>
      <c r="J36" s="2098"/>
      <c r="K36" s="2099"/>
      <c r="M36" s="1324" t="s">
        <v>2875</v>
      </c>
      <c r="N36" s="2085" t="s">
        <v>4405</v>
      </c>
      <c r="O36" s="2086"/>
      <c r="P36" s="2087"/>
    </row>
    <row r="37" spans="1:17" s="332" customFormat="1" ht="13.15" customHeight="1">
      <c r="A37" s="555"/>
      <c r="B37" s="332" t="s">
        <v>669</v>
      </c>
      <c r="F37" s="2100" t="s">
        <v>4403</v>
      </c>
      <c r="G37" s="2101"/>
      <c r="H37" s="2102"/>
      <c r="I37" s="1258" t="s">
        <v>2078</v>
      </c>
      <c r="J37" s="2085" t="s">
        <v>4404</v>
      </c>
      <c r="K37" s="2086"/>
      <c r="L37" s="2087"/>
      <c r="M37" s="337" t="s">
        <v>1888</v>
      </c>
      <c r="N37" s="2100" t="s">
        <v>4408</v>
      </c>
      <c r="O37" s="2101"/>
      <c r="P37" s="2102"/>
    </row>
    <row r="38" spans="1:17" s="332" customFormat="1" ht="13.15" customHeight="1">
      <c r="A38" s="555"/>
      <c r="B38" s="332" t="s">
        <v>2079</v>
      </c>
      <c r="F38" s="2100" t="s">
        <v>4406</v>
      </c>
      <c r="G38" s="2101"/>
      <c r="H38" s="2101"/>
      <c r="I38" s="2101"/>
      <c r="J38" s="2103"/>
      <c r="K38" s="2104"/>
      <c r="M38" s="366" t="s">
        <v>649</v>
      </c>
      <c r="N38" s="2085" t="s">
        <v>2161</v>
      </c>
      <c r="O38" s="2086"/>
      <c r="P38" s="2087"/>
    </row>
    <row r="39" spans="1:17" s="332" customFormat="1" ht="13.15" customHeight="1">
      <c r="A39" s="555"/>
      <c r="B39" s="1254" t="s">
        <v>2336</v>
      </c>
      <c r="F39" s="2105">
        <v>310281043</v>
      </c>
      <c r="G39" s="2106"/>
      <c r="H39" s="1257" t="s">
        <v>2080</v>
      </c>
      <c r="I39" s="2107">
        <v>4789534734</v>
      </c>
      <c r="J39" s="2108"/>
      <c r="K39" s="2109"/>
      <c r="M39" s="337" t="s">
        <v>1890</v>
      </c>
      <c r="N39" s="2110">
        <v>4789534797</v>
      </c>
      <c r="O39" s="2111"/>
    </row>
    <row r="40" spans="1:17" s="332" customFormat="1" ht="4.5" customHeight="1">
      <c r="A40" s="555"/>
      <c r="B40" s="555"/>
      <c r="C40" s="346"/>
      <c r="D40" s="1322"/>
      <c r="E40" s="1322"/>
      <c r="F40" s="1265"/>
      <c r="G40" s="1265"/>
      <c r="H40" s="1265"/>
      <c r="I40" s="1265"/>
      <c r="J40" s="1322"/>
      <c r="K40" s="1265"/>
      <c r="L40" s="1265"/>
      <c r="N40" s="1262"/>
      <c r="O40" s="1262"/>
      <c r="P40" s="341"/>
    </row>
    <row r="41" spans="1:17" s="332" customFormat="1" ht="12" customHeight="1">
      <c r="A41" s="338" t="s">
        <v>1882</v>
      </c>
      <c r="B41" s="334" t="s">
        <v>1550</v>
      </c>
      <c r="F41" s="347"/>
      <c r="I41" s="1254"/>
      <c r="J41" s="1262"/>
      <c r="K41" s="1262"/>
      <c r="L41" s="1262"/>
      <c r="M41" s="1262"/>
      <c r="N41" s="1262"/>
      <c r="O41" s="1262"/>
      <c r="P41" s="1262"/>
    </row>
    <row r="42" spans="1:17" s="332" customFormat="1" ht="1.5" customHeight="1">
      <c r="A42" s="555"/>
      <c r="B42" s="334"/>
      <c r="C42" s="334"/>
      <c r="I42" s="1254"/>
      <c r="J42" s="1262"/>
      <c r="K42" s="1262"/>
      <c r="L42" s="1262"/>
      <c r="M42" s="1262"/>
      <c r="N42" s="1262"/>
      <c r="O42" s="1262"/>
      <c r="P42" s="1262"/>
      <c r="Q42" s="1262"/>
    </row>
    <row r="43" spans="1:17" s="332" customFormat="1" ht="12.75">
      <c r="A43" s="555"/>
      <c r="B43" s="555" t="s">
        <v>2081</v>
      </c>
      <c r="C43" s="334" t="s">
        <v>757</v>
      </c>
      <c r="I43" s="1262"/>
      <c r="J43" s="1262"/>
      <c r="K43" s="583"/>
      <c r="L43" s="1262"/>
      <c r="M43" s="585"/>
      <c r="N43" s="585"/>
      <c r="O43" s="585"/>
      <c r="P43" s="585"/>
      <c r="Q43" s="1265"/>
    </row>
    <row r="44" spans="1:17" ht="13.15" customHeight="1">
      <c r="B44" s="555"/>
      <c r="C44" s="332" t="s">
        <v>2404</v>
      </c>
      <c r="D44" s="332"/>
      <c r="E44" s="332"/>
      <c r="H44" s="349">
        <f>'Part VI-Revenues &amp; Expenses'!$M$74</f>
        <v>96</v>
      </c>
      <c r="K44" s="337" t="s">
        <v>379</v>
      </c>
      <c r="L44" s="332"/>
      <c r="P44" s="349">
        <f>'Part VI-Revenues &amp; Expenses'!$M$81</f>
        <v>0</v>
      </c>
      <c r="Q44" s="1265"/>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62"/>
      <c r="H46" s="349">
        <f>'Part VI-Revenues &amp; Expenses'!$M$77</f>
        <v>0</v>
      </c>
      <c r="I46" s="557" t="s">
        <v>3336</v>
      </c>
      <c r="K46" s="332" t="s">
        <v>361</v>
      </c>
      <c r="P46" s="2112" t="s">
        <v>1017</v>
      </c>
      <c r="Q46" s="1265"/>
    </row>
    <row r="47" spans="1:17" s="332" customFormat="1" ht="3.6" customHeight="1">
      <c r="A47" s="555"/>
      <c r="P47" s="1262"/>
    </row>
    <row r="48" spans="1:17" s="332" customFormat="1" ht="12.75">
      <c r="A48" s="555"/>
      <c r="B48" s="555" t="s">
        <v>2084</v>
      </c>
      <c r="C48" s="334" t="s">
        <v>2405</v>
      </c>
      <c r="H48" s="2075" t="s">
        <v>3425</v>
      </c>
      <c r="K48" s="1262"/>
      <c r="L48" s="1262"/>
      <c r="M48" s="1262"/>
      <c r="N48" s="1262"/>
      <c r="O48" s="585"/>
      <c r="P48" s="583"/>
      <c r="Q48" s="1262"/>
    </row>
    <row r="49" spans="1:19" s="332" customFormat="1" ht="3" customHeight="1">
      <c r="A49" s="555"/>
      <c r="I49" s="1262"/>
      <c r="J49" s="583"/>
      <c r="K49" s="584"/>
      <c r="L49" s="583"/>
      <c r="M49" s="584"/>
      <c r="N49" s="584"/>
      <c r="O49" s="584"/>
      <c r="P49" s="584"/>
      <c r="Q49" s="1262"/>
    </row>
    <row r="50" spans="1:19" s="332" customFormat="1" ht="13.15" customHeight="1">
      <c r="A50" s="555"/>
      <c r="B50" s="343" t="s">
        <v>789</v>
      </c>
      <c r="C50" s="342" t="s">
        <v>2385</v>
      </c>
      <c r="D50" s="1262"/>
      <c r="I50" s="1259" t="s">
        <v>4363</v>
      </c>
      <c r="J50" s="343" t="s">
        <v>2216</v>
      </c>
      <c r="K50" s="351" t="s">
        <v>2411</v>
      </c>
      <c r="M50" s="1262"/>
      <c r="N50" s="1262"/>
      <c r="O50" s="1262"/>
      <c r="P50" s="1265"/>
      <c r="Q50" s="1265"/>
      <c r="R50" s="1265"/>
      <c r="S50" s="1262"/>
    </row>
    <row r="51" spans="1:19" s="332" customFormat="1" ht="13.15" customHeight="1">
      <c r="A51" s="555"/>
      <c r="B51" s="1253"/>
      <c r="C51" s="1321" t="s">
        <v>2386</v>
      </c>
      <c r="D51" s="1262"/>
      <c r="E51" s="1262"/>
      <c r="H51" s="958">
        <f>SUM(H52:H53)</f>
        <v>96</v>
      </c>
      <c r="I51" s="958">
        <f>SUM(I52:I53)</f>
        <v>0</v>
      </c>
      <c r="J51" s="555"/>
      <c r="K51" s="1321" t="s">
        <v>3080</v>
      </c>
      <c r="M51" s="1262"/>
      <c r="N51" s="1262"/>
      <c r="O51" s="1262"/>
      <c r="P51" s="1216">
        <f>'Part VI-Revenues &amp; Expenses'!$M$116</f>
        <v>103944</v>
      </c>
    </row>
    <row r="52" spans="1:19" s="332" customFormat="1" ht="13.15" customHeight="1">
      <c r="A52" s="555"/>
      <c r="B52" s="348"/>
      <c r="D52" s="353" t="s">
        <v>399</v>
      </c>
      <c r="E52" s="1262"/>
      <c r="H52" s="1216">
        <f>'Part VI-Revenues &amp; Expenses'!$M$57</f>
        <v>20</v>
      </c>
      <c r="I52" s="1216">
        <f>'Part VI-Revenues &amp; Expenses'!$M$65</f>
        <v>0</v>
      </c>
      <c r="K52" s="1321" t="s">
        <v>3081</v>
      </c>
      <c r="M52" s="1262"/>
      <c r="N52" s="1262"/>
      <c r="O52" s="1262"/>
      <c r="P52" s="1217">
        <f>'Part VI-Revenues &amp; Expenses'!$M$117</f>
        <v>0</v>
      </c>
    </row>
    <row r="53" spans="1:19" s="332" customFormat="1" ht="13.15" customHeight="1">
      <c r="A53" s="555"/>
      <c r="D53" s="353" t="s">
        <v>1913</v>
      </c>
      <c r="E53" s="353"/>
      <c r="H53" s="1217">
        <f>'Part VI-Revenues &amp; Expenses'!$M$56</f>
        <v>76</v>
      </c>
      <c r="I53" s="1217">
        <f>'Part VI-Revenues &amp; Expenses'!$M$64</f>
        <v>0</v>
      </c>
      <c r="K53" s="1321" t="s">
        <v>3082</v>
      </c>
      <c r="M53" s="1262"/>
      <c r="N53" s="1262"/>
      <c r="O53" s="1262"/>
      <c r="P53" s="352">
        <f>P51+P52</f>
        <v>103944</v>
      </c>
    </row>
    <row r="54" spans="1:19" s="332" customFormat="1" ht="13.15" customHeight="1">
      <c r="A54" s="555"/>
      <c r="C54" s="1321" t="s">
        <v>264</v>
      </c>
      <c r="D54" s="1262"/>
      <c r="E54" s="1262"/>
      <c r="H54" s="352">
        <f>'Part VI-Revenues &amp; Expenses'!$M$59</f>
        <v>0</v>
      </c>
      <c r="J54" s="555"/>
      <c r="K54" s="1321" t="s">
        <v>3083</v>
      </c>
      <c r="M54" s="1262"/>
      <c r="N54" s="1262"/>
      <c r="O54" s="1262"/>
      <c r="P54" s="352">
        <f>'Part VI-Revenues &amp; Expenses'!$M$119</f>
        <v>0</v>
      </c>
    </row>
    <row r="55" spans="1:19" s="332" customFormat="1" ht="13.15" customHeight="1">
      <c r="A55" s="555"/>
      <c r="C55" s="1321" t="s">
        <v>2527</v>
      </c>
      <c r="D55" s="1262"/>
      <c r="E55" s="1262"/>
      <c r="H55" s="352">
        <f>H51+H54</f>
        <v>96</v>
      </c>
      <c r="J55" s="555"/>
      <c r="K55" s="1321" t="s">
        <v>1491</v>
      </c>
      <c r="M55" s="1262"/>
      <c r="N55" s="1262"/>
      <c r="O55" s="1262"/>
      <c r="P55" s="352">
        <f>+P53+P54</f>
        <v>103944</v>
      </c>
    </row>
    <row r="56" spans="1:19" s="332" customFormat="1" ht="13.15" customHeight="1">
      <c r="A56" s="555"/>
      <c r="C56" s="1321" t="s">
        <v>2528</v>
      </c>
      <c r="D56" s="1262"/>
      <c r="E56" s="1262"/>
      <c r="H56" s="352">
        <f>'Part VI-Revenues &amp; Expenses'!$M$61</f>
        <v>0</v>
      </c>
      <c r="J56" s="555"/>
    </row>
    <row r="57" spans="1:19" s="332" customFormat="1" ht="13.15" customHeight="1">
      <c r="A57" s="555"/>
      <c r="C57" s="1321" t="s">
        <v>1881</v>
      </c>
      <c r="D57" s="1262"/>
      <c r="E57" s="1262"/>
      <c r="H57" s="352">
        <f>+H55+H56</f>
        <v>96</v>
      </c>
      <c r="J57" s="1262"/>
    </row>
    <row r="58" spans="1:19" s="332" customFormat="1" ht="3" customHeight="1">
      <c r="A58" s="555"/>
      <c r="I58" s="1265"/>
      <c r="L58" s="1265"/>
      <c r="M58" s="1265"/>
      <c r="N58" s="1262"/>
      <c r="P58" s="341"/>
    </row>
    <row r="59" spans="1:19" s="332" customFormat="1" ht="13.15" customHeight="1">
      <c r="A59" s="555"/>
      <c r="B59" s="555" t="s">
        <v>1823</v>
      </c>
      <c r="C59" s="342" t="s">
        <v>2406</v>
      </c>
      <c r="D59" s="353" t="s">
        <v>2095</v>
      </c>
      <c r="G59" s="1262"/>
      <c r="H59" s="2113">
        <v>3</v>
      </c>
      <c r="K59" s="1321" t="s">
        <v>1178</v>
      </c>
      <c r="O59" s="1262"/>
      <c r="P59" s="2113">
        <v>2499</v>
      </c>
    </row>
    <row r="60" spans="1:19" s="332" customFormat="1" ht="13.15" customHeight="1">
      <c r="A60" s="555"/>
      <c r="B60" s="555"/>
      <c r="D60" s="1253" t="s">
        <v>2096</v>
      </c>
      <c r="H60" s="2113">
        <v>1</v>
      </c>
      <c r="I60" s="1262"/>
      <c r="K60" s="1321" t="s">
        <v>263</v>
      </c>
      <c r="O60" s="1262"/>
      <c r="P60" s="352">
        <f>+P55+P59</f>
        <v>106443</v>
      </c>
    </row>
    <row r="61" spans="1:19" s="332" customFormat="1" ht="13.15" customHeight="1">
      <c r="A61" s="555"/>
      <c r="B61" s="555"/>
      <c r="D61" s="1253" t="s">
        <v>2097</v>
      </c>
      <c r="H61" s="352">
        <f>+H59+H60</f>
        <v>4</v>
      </c>
      <c r="I61" s="1262"/>
    </row>
    <row r="62" spans="1:19" s="332" customFormat="1" ht="3" customHeight="1">
      <c r="A62" s="555"/>
      <c r="B62" s="555"/>
      <c r="C62" s="1262"/>
      <c r="D62" s="1262"/>
      <c r="E62" s="1262"/>
      <c r="F62" s="1262"/>
      <c r="G62" s="1265"/>
      <c r="I62" s="1321"/>
      <c r="J62" s="1262"/>
      <c r="P62" s="341"/>
    </row>
    <row r="63" spans="1:19" s="332" customFormat="1" ht="13.15" customHeight="1">
      <c r="A63" s="555"/>
      <c r="B63" s="555" t="s">
        <v>1824</v>
      </c>
      <c r="C63" s="342" t="s">
        <v>3184</v>
      </c>
      <c r="D63" s="1262"/>
      <c r="E63" s="1262"/>
      <c r="F63" s="1262"/>
      <c r="G63" s="1262"/>
      <c r="H63" s="2113">
        <v>149</v>
      </c>
      <c r="K63" s="332" t="s">
        <v>3187</v>
      </c>
    </row>
    <row r="64" spans="1:19" s="332" customFormat="1" ht="6.75" customHeight="1">
      <c r="A64" s="555"/>
      <c r="B64" s="555"/>
      <c r="C64" s="1321"/>
      <c r="D64" s="1262"/>
      <c r="E64" s="1262"/>
      <c r="F64" s="1262"/>
      <c r="G64" s="1265"/>
      <c r="H64" s="1262"/>
      <c r="I64" s="1321"/>
      <c r="J64" s="1321"/>
      <c r="K64" s="1262"/>
      <c r="P64" s="341"/>
    </row>
    <row r="65" spans="1:16" s="332" customFormat="1" ht="13.15" customHeight="1">
      <c r="A65" s="555" t="s">
        <v>554</v>
      </c>
      <c r="B65" s="354" t="s">
        <v>1247</v>
      </c>
      <c r="D65" s="354"/>
      <c r="E65" s="354"/>
      <c r="F65" s="1262"/>
      <c r="G65" s="1265"/>
      <c r="H65" s="598"/>
      <c r="K65" s="1262"/>
    </row>
    <row r="66" spans="1:16" s="332" customFormat="1" ht="3" customHeight="1">
      <c r="A66" s="555"/>
      <c r="C66" s="1255"/>
      <c r="D66" s="1255"/>
      <c r="E66" s="1255"/>
      <c r="F66" s="1262"/>
      <c r="G66" s="1265"/>
      <c r="K66" s="1262"/>
      <c r="P66" s="341"/>
    </row>
    <row r="67" spans="1:16" s="332" customFormat="1" ht="13.15" customHeight="1">
      <c r="A67" s="555"/>
      <c r="B67" s="555" t="s">
        <v>2081</v>
      </c>
      <c r="C67" s="300" t="s">
        <v>2853</v>
      </c>
      <c r="D67" s="1255"/>
      <c r="E67" s="1255"/>
      <c r="F67" s="1262"/>
      <c r="G67" s="1265"/>
      <c r="H67" s="2114" t="s">
        <v>3337</v>
      </c>
      <c r="I67" s="2115"/>
      <c r="K67" s="1335" t="s">
        <v>1860</v>
      </c>
      <c r="L67" s="1335"/>
      <c r="N67" s="2061"/>
      <c r="O67" s="2062"/>
      <c r="P67" s="2063"/>
    </row>
    <row r="68" spans="1:16" s="332" customFormat="1" ht="3" customHeight="1">
      <c r="A68" s="555"/>
      <c r="B68" s="555"/>
      <c r="D68" s="1253"/>
      <c r="E68" s="1253"/>
      <c r="F68" s="1253"/>
      <c r="G68" s="1253"/>
      <c r="I68" s="1265"/>
      <c r="K68" s="1254"/>
      <c r="L68" s="1254"/>
      <c r="M68" s="1265"/>
      <c r="N68" s="1262"/>
      <c r="P68" s="341"/>
    </row>
    <row r="69" spans="1:16" s="332" customFormat="1" ht="13.15" customHeight="1">
      <c r="A69" s="555"/>
      <c r="B69" s="555"/>
      <c r="E69" s="1255"/>
      <c r="K69" s="1336" t="s">
        <v>3772</v>
      </c>
      <c r="L69" s="1336"/>
      <c r="M69" s="355" t="s">
        <v>3337</v>
      </c>
      <c r="N69" s="2113"/>
      <c r="O69" s="355" t="s">
        <v>3338</v>
      </c>
      <c r="P69" s="2113"/>
    </row>
    <row r="70" spans="1:16" s="332" customFormat="1" ht="3" customHeight="1">
      <c r="A70" s="555"/>
      <c r="B70" s="555"/>
      <c r="D70" s="1253"/>
      <c r="E70" s="1253"/>
      <c r="F70" s="1253"/>
      <c r="G70" s="1253"/>
      <c r="K70" s="1336"/>
      <c r="L70" s="1336"/>
      <c r="M70" s="1265"/>
      <c r="N70" s="1262"/>
      <c r="P70" s="341"/>
    </row>
    <row r="71" spans="1:16" s="332" customFormat="1" ht="13.15" customHeight="1">
      <c r="A71" s="555"/>
      <c r="B71" s="555"/>
      <c r="D71" s="1254"/>
      <c r="E71" s="1255"/>
      <c r="K71" s="1336"/>
      <c r="L71" s="1336"/>
      <c r="M71" s="344" t="s">
        <v>3339</v>
      </c>
      <c r="N71" s="2113"/>
      <c r="O71" s="344" t="s">
        <v>1679</v>
      </c>
      <c r="P71" s="2113"/>
    </row>
    <row r="72" spans="1:16" s="332" customFormat="1" ht="3" customHeight="1">
      <c r="A72" s="555"/>
      <c r="B72" s="555"/>
      <c r="D72" s="1253"/>
      <c r="E72" s="1253"/>
      <c r="F72" s="1253"/>
      <c r="G72" s="1253"/>
      <c r="I72" s="1265"/>
      <c r="K72" s="1254"/>
      <c r="L72" s="1254"/>
      <c r="M72" s="1265"/>
      <c r="N72" s="1262"/>
      <c r="P72" s="341"/>
    </row>
    <row r="73" spans="1:16" s="332" customFormat="1" ht="13.15" customHeight="1">
      <c r="A73" s="555"/>
      <c r="B73" s="555" t="s">
        <v>2084</v>
      </c>
      <c r="C73" s="342" t="s">
        <v>1482</v>
      </c>
      <c r="D73" s="1262"/>
      <c r="E73" s="353"/>
      <c r="F73" s="1253" t="s">
        <v>838</v>
      </c>
      <c r="H73" s="2113">
        <v>5</v>
      </c>
      <c r="K73" s="1335" t="s">
        <v>544</v>
      </c>
      <c r="L73" s="1335"/>
      <c r="P73" s="356">
        <f>IF('Part VI-Revenues &amp; Expenses'!$M$62=0,0,H73/'Part VI-Revenues &amp; Expenses'!$M$62)</f>
        <v>5.2083333333333336E-2</v>
      </c>
    </row>
    <row r="74" spans="1:16" s="332" customFormat="1" ht="12.75" customHeight="1">
      <c r="A74" s="555"/>
      <c r="B74" s="555"/>
      <c r="D74" s="1253" t="s">
        <v>3182</v>
      </c>
      <c r="E74" s="1253"/>
      <c r="F74" s="1253" t="s">
        <v>838</v>
      </c>
      <c r="H74" s="2113">
        <v>2</v>
      </c>
      <c r="K74" s="1262" t="s">
        <v>3183</v>
      </c>
      <c r="L74" s="1262"/>
      <c r="P74" s="356">
        <f>IF(H73=0,0,H74/H73)</f>
        <v>0.4</v>
      </c>
    </row>
    <row r="75" spans="1:16" s="332" customFormat="1" ht="3" customHeight="1">
      <c r="A75" s="555"/>
      <c r="B75" s="555"/>
      <c r="D75" s="1253"/>
      <c r="E75" s="1253"/>
      <c r="F75" s="1253"/>
      <c r="I75" s="1265"/>
      <c r="K75" s="1254"/>
      <c r="L75" s="1254"/>
      <c r="M75" s="1265"/>
      <c r="P75" s="1265"/>
    </row>
    <row r="76" spans="1:16" s="332" customFormat="1" ht="13.15" customHeight="1">
      <c r="A76" s="555"/>
      <c r="B76" s="555" t="s">
        <v>789</v>
      </c>
      <c r="C76" s="342" t="s">
        <v>1936</v>
      </c>
      <c r="D76" s="353"/>
      <c r="E76" s="353"/>
      <c r="F76" s="1253" t="s">
        <v>838</v>
      </c>
      <c r="H76" s="2113">
        <v>2</v>
      </c>
      <c r="K76" s="1335" t="s">
        <v>544</v>
      </c>
      <c r="L76" s="1335"/>
      <c r="P76" s="356">
        <f>IF('Part VI-Revenues &amp; Expenses'!$M$62=0,0,H76/'Part VI-Revenues &amp; Expenses'!$M$62)</f>
        <v>2.0833333333333332E-2</v>
      </c>
    </row>
    <row r="77" spans="1:16" s="332" customFormat="1" ht="6.75" customHeight="1">
      <c r="A77" s="555"/>
      <c r="B77" s="555"/>
      <c r="D77" s="1253"/>
      <c r="E77" s="1253"/>
      <c r="F77" s="1253"/>
      <c r="G77" s="1253"/>
      <c r="I77" s="1265"/>
      <c r="J77" s="1265"/>
      <c r="K77" s="1265"/>
      <c r="L77" s="1265"/>
      <c r="M77" s="1265"/>
      <c r="N77" s="1262"/>
      <c r="P77" s="341"/>
    </row>
    <row r="78" spans="1:16" s="332" customFormat="1" ht="13.15" customHeight="1">
      <c r="A78" s="357" t="s">
        <v>813</v>
      </c>
      <c r="B78" s="1255" t="s">
        <v>2491</v>
      </c>
      <c r="D78" s="1253"/>
      <c r="E78" s="1253"/>
      <c r="F78" s="1253"/>
      <c r="G78" s="1253"/>
      <c r="H78" s="1253"/>
      <c r="I78" s="1265"/>
      <c r="M78" s="1265"/>
      <c r="N78" s="1262"/>
      <c r="P78" s="341"/>
    </row>
    <row r="79" spans="1:16" s="332" customFormat="1" ht="3" customHeight="1">
      <c r="A79" s="555"/>
      <c r="B79" s="555"/>
      <c r="C79" s="1255"/>
      <c r="D79" s="1253"/>
      <c r="E79" s="1253"/>
      <c r="F79" s="1253"/>
      <c r="L79" s="1265"/>
      <c r="M79" s="1265"/>
      <c r="N79" s="1262"/>
      <c r="P79" s="341"/>
    </row>
    <row r="80" spans="1:16" s="332" customFormat="1" ht="13.15" customHeight="1">
      <c r="A80" s="555"/>
      <c r="B80" s="555" t="s">
        <v>2081</v>
      </c>
      <c r="C80" s="300" t="s">
        <v>2490</v>
      </c>
      <c r="D80" s="1253"/>
      <c r="E80" s="1253"/>
      <c r="F80" s="1253"/>
      <c r="H80" s="2116" t="s">
        <v>912</v>
      </c>
      <c r="I80" s="2117"/>
      <c r="J80" s="2118"/>
      <c r="M80" s="1265"/>
      <c r="N80" s="1262"/>
      <c r="P80" s="341"/>
    </row>
    <row r="81" spans="1:16" s="332" customFormat="1" ht="3" customHeight="1">
      <c r="A81" s="555"/>
      <c r="B81" s="555"/>
      <c r="D81" s="1253"/>
      <c r="E81" s="1253"/>
      <c r="F81" s="1253"/>
      <c r="G81" s="1253"/>
      <c r="I81" s="1265"/>
      <c r="J81" s="1265"/>
      <c r="K81" s="1265"/>
      <c r="L81" s="1265"/>
      <c r="M81" s="1265"/>
      <c r="N81" s="1262"/>
      <c r="P81" s="341"/>
    </row>
    <row r="82" spans="1:16" s="332" customFormat="1" ht="13.15" customHeight="1">
      <c r="B82" s="555" t="s">
        <v>2084</v>
      </c>
      <c r="C82" s="334" t="s">
        <v>1610</v>
      </c>
      <c r="K82" s="337" t="s">
        <v>911</v>
      </c>
      <c r="N82" s="358"/>
      <c r="P82" s="2075" t="s">
        <v>3425</v>
      </c>
    </row>
    <row r="83" spans="1:16" s="332" customFormat="1" ht="6.75" customHeight="1">
      <c r="A83" s="555"/>
      <c r="B83" s="555"/>
      <c r="C83" s="334"/>
      <c r="D83" s="1253"/>
      <c r="E83" s="1253"/>
      <c r="F83" s="1253"/>
      <c r="G83" s="1253"/>
      <c r="I83" s="1265"/>
      <c r="J83" s="1265"/>
      <c r="K83" s="1265"/>
      <c r="L83" s="1265"/>
      <c r="M83" s="1265"/>
      <c r="N83" s="1262"/>
      <c r="P83" s="341"/>
    </row>
    <row r="84" spans="1:16" s="332" customFormat="1" ht="13.15" customHeight="1">
      <c r="A84" s="357" t="s">
        <v>305</v>
      </c>
      <c r="B84" s="1255" t="s">
        <v>2142</v>
      </c>
      <c r="D84" s="1253"/>
    </row>
    <row r="85" spans="1:16" s="332" customFormat="1" ht="3" customHeight="1">
      <c r="A85" s="555"/>
      <c r="B85" s="555"/>
      <c r="D85" s="1253"/>
      <c r="N85" s="1262"/>
      <c r="P85" s="341"/>
    </row>
    <row r="86" spans="1:16" s="332" customFormat="1" ht="13.15" customHeight="1">
      <c r="A86" s="357"/>
      <c r="B86" s="555" t="s">
        <v>2081</v>
      </c>
      <c r="C86" s="334" t="s">
        <v>2880</v>
      </c>
      <c r="F86" s="353" t="s">
        <v>2728</v>
      </c>
      <c r="H86" s="2075" t="s">
        <v>3422</v>
      </c>
      <c r="K86" s="353" t="s">
        <v>3991</v>
      </c>
      <c r="M86" s="2075" t="s">
        <v>3422</v>
      </c>
    </row>
    <row r="87" spans="1:16" s="332" customFormat="1" ht="3" customHeight="1">
      <c r="A87" s="555"/>
      <c r="B87" s="555"/>
      <c r="C87" s="1255"/>
      <c r="F87" s="1253"/>
      <c r="H87" s="1253"/>
      <c r="J87" s="1265"/>
      <c r="K87" s="1265"/>
      <c r="L87" s="1265"/>
      <c r="M87" s="1265"/>
      <c r="N87" s="1265"/>
      <c r="P87" s="341"/>
    </row>
    <row r="88" spans="1:16" s="332" customFormat="1" ht="13.15" customHeight="1">
      <c r="A88" s="357"/>
      <c r="B88" s="555" t="s">
        <v>2084</v>
      </c>
      <c r="C88" s="334" t="s">
        <v>2881</v>
      </c>
      <c r="F88" s="1254" t="s">
        <v>2820</v>
      </c>
      <c r="H88" s="2075" t="s">
        <v>3425</v>
      </c>
      <c r="J88" s="1265"/>
      <c r="K88" s="1308" t="s">
        <v>2882</v>
      </c>
      <c r="L88" s="1265"/>
      <c r="M88" s="1265"/>
      <c r="N88" s="1265"/>
      <c r="O88" s="1265"/>
    </row>
    <row r="89" spans="1:16" s="332" customFormat="1" ht="6.75" customHeight="1">
      <c r="A89" s="555"/>
      <c r="B89" s="555"/>
      <c r="C89" s="334"/>
      <c r="D89" s="1253"/>
      <c r="E89" s="1253"/>
      <c r="F89" s="1253"/>
      <c r="G89" s="1253"/>
      <c r="I89" s="1265"/>
      <c r="J89" s="1265"/>
      <c r="K89" s="1265"/>
      <c r="L89" s="1265"/>
      <c r="M89" s="1265"/>
      <c r="N89" s="1262"/>
      <c r="P89" s="341"/>
    </row>
    <row r="90" spans="1:16" s="332" customFormat="1" ht="13.15" customHeight="1">
      <c r="A90" s="357" t="s">
        <v>440</v>
      </c>
      <c r="B90" s="1255" t="s">
        <v>3091</v>
      </c>
      <c r="D90" s="1253"/>
      <c r="H90" s="2085" t="s">
        <v>3135</v>
      </c>
      <c r="I90" s="2087"/>
      <c r="J90" s="1265"/>
    </row>
    <row r="91" spans="1:16" s="332" customFormat="1" ht="6.75" customHeight="1">
      <c r="A91" s="555"/>
      <c r="D91" s="1322"/>
      <c r="E91" s="1262"/>
      <c r="I91" s="1322"/>
      <c r="J91" s="1321"/>
      <c r="K91" s="1262"/>
      <c r="P91" s="341"/>
    </row>
    <row r="92" spans="1:16" s="332" customFormat="1" ht="13.15" customHeight="1">
      <c r="A92" s="357" t="s">
        <v>376</v>
      </c>
      <c r="B92" s="351" t="s">
        <v>1245</v>
      </c>
      <c r="D92" s="1262"/>
      <c r="E92" s="1262"/>
      <c r="F92" s="1262"/>
      <c r="G92" s="1262"/>
      <c r="H92" s="1262"/>
      <c r="I92" s="1322"/>
      <c r="J92" s="1321"/>
      <c r="K92" s="1262"/>
      <c r="P92" s="341"/>
    </row>
    <row r="93" spans="1:16" s="332" customFormat="1" ht="3" customHeight="1">
      <c r="A93" s="357"/>
      <c r="B93" s="555"/>
      <c r="C93" s="351"/>
      <c r="D93" s="1262"/>
      <c r="E93" s="1262"/>
      <c r="F93" s="1262"/>
      <c r="G93" s="1262"/>
      <c r="H93" s="1262"/>
      <c r="I93" s="1322"/>
      <c r="J93" s="1321"/>
      <c r="K93" s="1262"/>
    </row>
    <row r="94" spans="1:16" s="332" customFormat="1" ht="13.15" customHeight="1">
      <c r="A94" s="555"/>
      <c r="B94" s="555"/>
      <c r="C94" s="1321" t="s">
        <v>576</v>
      </c>
      <c r="D94" s="1262"/>
      <c r="E94" s="2061"/>
      <c r="F94" s="2062"/>
      <c r="G94" s="2062"/>
      <c r="H94" s="2062"/>
      <c r="I94" s="2062"/>
      <c r="J94" s="2062"/>
      <c r="K94" s="2062"/>
      <c r="L94" s="2063"/>
      <c r="M94" s="1334" t="s">
        <v>577</v>
      </c>
      <c r="N94" s="1334"/>
      <c r="O94" s="2119"/>
      <c r="P94" s="2120"/>
    </row>
    <row r="95" spans="1:16" s="332" customFormat="1" ht="13.15" customHeight="1">
      <c r="C95" s="337" t="s">
        <v>1071</v>
      </c>
      <c r="D95" s="344"/>
      <c r="E95" s="2061"/>
      <c r="F95" s="2062"/>
      <c r="G95" s="2062"/>
      <c r="H95" s="2062"/>
      <c r="I95" s="2062"/>
      <c r="J95" s="2062"/>
      <c r="K95" s="2062"/>
      <c r="L95" s="2063"/>
      <c r="M95" s="1334" t="s">
        <v>850</v>
      </c>
      <c r="N95" s="1334"/>
      <c r="O95" s="2076"/>
      <c r="P95" s="2078"/>
    </row>
    <row r="96" spans="1:16" s="332" customFormat="1" ht="13.15" customHeight="1">
      <c r="C96" s="337" t="s">
        <v>649</v>
      </c>
      <c r="E96" s="2061"/>
      <c r="F96" s="2121"/>
      <c r="G96" s="2122"/>
      <c r="H96" s="1257" t="s">
        <v>1887</v>
      </c>
      <c r="I96" s="2075"/>
      <c r="J96" s="359" t="s">
        <v>2336</v>
      </c>
      <c r="K96" s="2072"/>
      <c r="L96" s="2122"/>
      <c r="M96" s="302"/>
      <c r="N96" s="302"/>
      <c r="O96" s="302"/>
      <c r="P96" s="302"/>
    </row>
    <row r="97" spans="1:16" s="332" customFormat="1" ht="13.15" customHeight="1">
      <c r="C97" s="332" t="s">
        <v>2297</v>
      </c>
      <c r="E97" s="2061"/>
      <c r="F97" s="2121"/>
      <c r="G97" s="2122"/>
      <c r="H97" s="1265" t="s">
        <v>2078</v>
      </c>
      <c r="I97" s="2061"/>
      <c r="J97" s="2121"/>
      <c r="K97" s="2122"/>
      <c r="L97" s="1273" t="s">
        <v>2082</v>
      </c>
      <c r="M97" s="2061"/>
      <c r="N97" s="2121"/>
      <c r="O97" s="2121"/>
      <c r="P97" s="2122"/>
    </row>
    <row r="98" spans="1:16" s="332" customFormat="1" ht="13.15" customHeight="1">
      <c r="C98" s="337" t="s">
        <v>2296</v>
      </c>
      <c r="E98" s="2069"/>
      <c r="F98" s="2074"/>
      <c r="G98" s="2070"/>
      <c r="H98" s="1265" t="s">
        <v>1890</v>
      </c>
      <c r="I98" s="2107"/>
      <c r="J98" s="2122"/>
      <c r="K98" s="359" t="s">
        <v>1891</v>
      </c>
      <c r="L98" s="2107"/>
      <c r="M98" s="2122"/>
      <c r="N98" s="359" t="s">
        <v>2077</v>
      </c>
      <c r="O98" s="2107"/>
      <c r="P98" s="2122"/>
    </row>
    <row r="99" spans="1:16" s="332" customFormat="1" ht="3" customHeight="1">
      <c r="A99" s="555"/>
      <c r="B99" s="555"/>
      <c r="G99" s="1322"/>
      <c r="H99" s="1265"/>
      <c r="I99" s="1265"/>
      <c r="M99" s="341"/>
    </row>
    <row r="100" spans="1:16" s="332" customFormat="1" ht="13.15" customHeight="1">
      <c r="A100" s="357" t="s">
        <v>377</v>
      </c>
      <c r="B100" s="1255" t="s">
        <v>1749</v>
      </c>
      <c r="D100" s="1322"/>
      <c r="E100" s="1322"/>
      <c r="F100" s="1265"/>
      <c r="G100" s="1265"/>
      <c r="H100" s="1265"/>
      <c r="I100" s="1265"/>
      <c r="J100" s="1322"/>
      <c r="K100" s="1265"/>
      <c r="L100" s="1265"/>
      <c r="N100" s="1262"/>
      <c r="O100" s="1262"/>
      <c r="P100" s="341"/>
    </row>
    <row r="101" spans="1:16" s="332" customFormat="1" ht="3.6" customHeight="1">
      <c r="A101" s="357"/>
      <c r="B101" s="1255"/>
      <c r="D101" s="1322"/>
      <c r="E101" s="1322"/>
      <c r="F101" s="1265"/>
      <c r="G101" s="1265"/>
      <c r="H101" s="1265"/>
      <c r="I101" s="1265"/>
      <c r="J101" s="1322"/>
      <c r="K101" s="1265"/>
      <c r="L101" s="1265"/>
      <c r="N101" s="1262"/>
      <c r="O101" s="1262"/>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2081</v>
      </c>
      <c r="C104" s="1255" t="s">
        <v>1483</v>
      </c>
      <c r="D104" s="1253"/>
      <c r="E104" s="1253"/>
      <c r="F104" s="1265"/>
      <c r="G104" s="1265"/>
      <c r="H104" s="2123">
        <v>2</v>
      </c>
      <c r="N104" s="1262"/>
      <c r="O104" s="1262"/>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2084</v>
      </c>
      <c r="C106" s="1255" t="s">
        <v>430</v>
      </c>
      <c r="D106" s="1253"/>
      <c r="E106" s="1253"/>
      <c r="F106" s="1265"/>
      <c r="G106" s="1265"/>
      <c r="H106" s="2124">
        <v>1598186</v>
      </c>
      <c r="J106" s="1322"/>
      <c r="K106" s="1254"/>
      <c r="N106" s="1262"/>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5" t="s">
        <v>315</v>
      </c>
      <c r="D108" s="1253"/>
      <c r="E108" s="1253"/>
      <c r="F108" s="1265"/>
      <c r="G108" s="1265"/>
      <c r="H108" s="1265"/>
      <c r="I108" s="1265"/>
      <c r="J108" s="1322"/>
      <c r="K108" s="1265"/>
      <c r="L108" s="1265"/>
      <c r="N108" s="1262"/>
      <c r="O108" s="1262"/>
    </row>
    <row r="109" spans="1:16" s="332" customFormat="1" ht="13.15" customHeight="1">
      <c r="B109" s="555"/>
      <c r="C109" s="1253" t="s">
        <v>2236</v>
      </c>
      <c r="D109" s="1253"/>
      <c r="F109" s="1253" t="s">
        <v>1188</v>
      </c>
      <c r="G109" s="1265"/>
      <c r="H109" s="1265"/>
      <c r="I109" s="1265"/>
      <c r="J109" s="1253" t="s">
        <v>2236</v>
      </c>
      <c r="K109" s="1253"/>
      <c r="M109" s="1253" t="s">
        <v>1188</v>
      </c>
      <c r="N109" s="1265"/>
      <c r="O109" s="1265"/>
      <c r="P109" s="1265"/>
    </row>
    <row r="110" spans="1:16" s="332" customFormat="1" ht="13.15" customHeight="1">
      <c r="A110" s="555"/>
      <c r="B110" s="555"/>
      <c r="C110" s="2125" t="s">
        <v>4409</v>
      </c>
      <c r="D110" s="2126"/>
      <c r="E110" s="2126"/>
      <c r="F110" s="2126" t="s">
        <v>4397</v>
      </c>
      <c r="G110" s="2126"/>
      <c r="H110" s="2126"/>
      <c r="I110" s="2127"/>
      <c r="J110" s="2125" t="s">
        <v>4486</v>
      </c>
      <c r="K110" s="2126"/>
      <c r="L110" s="2126"/>
      <c r="M110" s="2126" t="s">
        <v>4485</v>
      </c>
      <c r="N110" s="2126"/>
      <c r="O110" s="2126"/>
      <c r="P110" s="2127"/>
    </row>
    <row r="111" spans="1:16" s="332" customFormat="1" ht="13.15" customHeight="1">
      <c r="A111" s="555"/>
      <c r="B111" s="555"/>
      <c r="C111" s="2128" t="s">
        <v>4410</v>
      </c>
      <c r="D111" s="2129"/>
      <c r="E111" s="2129"/>
      <c r="F111" s="2129" t="s">
        <v>4397</v>
      </c>
      <c r="G111" s="2129"/>
      <c r="H111" s="2129"/>
      <c r="I111" s="2130"/>
      <c r="J111" s="2128" t="s">
        <v>4487</v>
      </c>
      <c r="K111" s="2129"/>
      <c r="L111" s="2129"/>
      <c r="M111" s="2129" t="s">
        <v>4488</v>
      </c>
      <c r="N111" s="2129"/>
      <c r="O111" s="2129"/>
      <c r="P111" s="2130"/>
    </row>
    <row r="112" spans="1:16" s="332" customFormat="1" ht="13.15" customHeight="1">
      <c r="A112" s="555"/>
      <c r="B112" s="555"/>
      <c r="C112" s="2131" t="s">
        <v>4481</v>
      </c>
      <c r="D112" s="2132"/>
      <c r="E112" s="2132"/>
      <c r="F112" s="2132" t="s">
        <v>4480</v>
      </c>
      <c r="G112" s="2132"/>
      <c r="H112" s="2132"/>
      <c r="I112" s="2133"/>
      <c r="J112" s="2128" t="s">
        <v>4489</v>
      </c>
      <c r="K112" s="2129"/>
      <c r="L112" s="2129"/>
      <c r="M112" s="2129" t="s">
        <v>4488</v>
      </c>
      <c r="N112" s="2129"/>
      <c r="O112" s="2129"/>
      <c r="P112" s="2130"/>
    </row>
    <row r="113" spans="1:16" s="332" customFormat="1" ht="13.15" customHeight="1">
      <c r="A113" s="555"/>
      <c r="B113" s="555"/>
      <c r="C113" s="2134" t="s">
        <v>4482</v>
      </c>
      <c r="D113" s="2135"/>
      <c r="E113" s="2135"/>
      <c r="F113" s="2135" t="s">
        <v>4480</v>
      </c>
      <c r="G113" s="2135"/>
      <c r="H113" s="2135"/>
      <c r="I113" s="2136"/>
      <c r="J113" s="2128">
        <v>9</v>
      </c>
      <c r="K113" s="2129"/>
      <c r="L113" s="2129"/>
      <c r="M113" s="2129"/>
      <c r="N113" s="2129"/>
      <c r="O113" s="2129"/>
      <c r="P113" s="2130"/>
    </row>
    <row r="114" spans="1:16" s="332" customFormat="1" ht="13.15" customHeight="1">
      <c r="A114" s="555"/>
      <c r="B114" s="555"/>
      <c r="C114" s="2137" t="s">
        <v>4484</v>
      </c>
      <c r="D114" s="2138"/>
      <c r="E114" s="2138"/>
      <c r="F114" s="2138" t="s">
        <v>4485</v>
      </c>
      <c r="G114" s="2138"/>
      <c r="H114" s="2138"/>
      <c r="I114" s="2139"/>
      <c r="J114" s="2137">
        <v>10</v>
      </c>
      <c r="K114" s="2138"/>
      <c r="L114" s="2138"/>
      <c r="M114" s="2138"/>
      <c r="N114" s="2138"/>
      <c r="O114" s="2138"/>
      <c r="P114" s="2139"/>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2216</v>
      </c>
      <c r="C116" s="1353" t="s">
        <v>1940</v>
      </c>
      <c r="D116" s="1353"/>
      <c r="E116" s="1353"/>
      <c r="F116" s="1353"/>
      <c r="G116" s="1353"/>
      <c r="H116" s="1353"/>
      <c r="I116" s="1353"/>
      <c r="J116" s="1353"/>
      <c r="K116" s="1353"/>
      <c r="L116" s="1353"/>
      <c r="M116" s="1353"/>
      <c r="N116" s="1353"/>
      <c r="O116" s="1353"/>
      <c r="P116" s="1353"/>
    </row>
    <row r="117" spans="1:16" s="332" customFormat="1" ht="13.15" customHeight="1">
      <c r="A117" s="555"/>
      <c r="B117" s="555"/>
      <c r="C117" s="1353"/>
      <c r="D117" s="1353"/>
      <c r="E117" s="1353"/>
      <c r="F117" s="1353"/>
      <c r="G117" s="1353"/>
      <c r="H117" s="1353"/>
      <c r="I117" s="1353"/>
      <c r="J117" s="1353"/>
      <c r="K117" s="1353"/>
      <c r="L117" s="1353"/>
      <c r="M117" s="1353"/>
      <c r="N117" s="1353"/>
      <c r="O117" s="1353"/>
      <c r="P117" s="1353"/>
    </row>
    <row r="118" spans="1:16" s="332" customFormat="1" ht="13.15" customHeight="1">
      <c r="B118" s="555"/>
      <c r="C118" s="1253" t="s">
        <v>2236</v>
      </c>
      <c r="D118" s="1253"/>
      <c r="F118" s="1253" t="s">
        <v>1188</v>
      </c>
      <c r="G118" s="1265"/>
      <c r="H118" s="1265"/>
      <c r="I118" s="1265"/>
      <c r="J118" s="1253" t="s">
        <v>2236</v>
      </c>
      <c r="K118" s="1253"/>
      <c r="M118" s="1253" t="s">
        <v>1188</v>
      </c>
      <c r="N118" s="1265"/>
      <c r="O118" s="1265"/>
      <c r="P118" s="1265"/>
    </row>
    <row r="119" spans="1:16" s="332" customFormat="1" ht="13.15" customHeight="1">
      <c r="A119" s="555"/>
      <c r="B119" s="555"/>
      <c r="C119" s="2125">
        <v>1</v>
      </c>
      <c r="D119" s="2126"/>
      <c r="E119" s="2126"/>
      <c r="F119" s="2126"/>
      <c r="G119" s="2126"/>
      <c r="H119" s="2126"/>
      <c r="I119" s="2127"/>
      <c r="J119" s="2125">
        <v>6</v>
      </c>
      <c r="K119" s="2126"/>
      <c r="L119" s="2126"/>
      <c r="M119" s="2126"/>
      <c r="N119" s="2126"/>
      <c r="O119" s="2126"/>
      <c r="P119" s="2127"/>
    </row>
    <row r="120" spans="1:16" s="332" customFormat="1" ht="13.15" customHeight="1">
      <c r="A120" s="555"/>
      <c r="B120" s="555"/>
      <c r="C120" s="2128">
        <v>2</v>
      </c>
      <c r="D120" s="2129"/>
      <c r="E120" s="2129"/>
      <c r="F120" s="2129"/>
      <c r="G120" s="2129"/>
      <c r="H120" s="2129"/>
      <c r="I120" s="2130"/>
      <c r="J120" s="2128">
        <v>7</v>
      </c>
      <c r="K120" s="2129"/>
      <c r="L120" s="2129"/>
      <c r="M120" s="2129"/>
      <c r="N120" s="2129"/>
      <c r="O120" s="2129"/>
      <c r="P120" s="2130"/>
    </row>
    <row r="121" spans="1:16" s="332" customFormat="1" ht="13.15" customHeight="1">
      <c r="A121" s="555"/>
      <c r="B121" s="555"/>
      <c r="C121" s="2128">
        <v>3</v>
      </c>
      <c r="D121" s="2129"/>
      <c r="E121" s="2129"/>
      <c r="F121" s="2129"/>
      <c r="G121" s="2129"/>
      <c r="H121" s="2129"/>
      <c r="I121" s="2130"/>
      <c r="J121" s="2128">
        <v>8</v>
      </c>
      <c r="K121" s="2129"/>
      <c r="L121" s="2129"/>
      <c r="M121" s="2129"/>
      <c r="N121" s="2129"/>
      <c r="O121" s="2129"/>
      <c r="P121" s="2130"/>
    </row>
    <row r="122" spans="1:16" s="332" customFormat="1" ht="13.15" customHeight="1">
      <c r="A122" s="555"/>
      <c r="B122" s="555"/>
      <c r="C122" s="2128">
        <v>4</v>
      </c>
      <c r="D122" s="2129"/>
      <c r="E122" s="2129"/>
      <c r="F122" s="2129"/>
      <c r="G122" s="2129"/>
      <c r="H122" s="2129"/>
      <c r="I122" s="2130"/>
      <c r="J122" s="2128">
        <v>9</v>
      </c>
      <c r="K122" s="2129"/>
      <c r="L122" s="2129"/>
      <c r="M122" s="2129"/>
      <c r="N122" s="2129"/>
      <c r="O122" s="2129"/>
      <c r="P122" s="2130"/>
    </row>
    <row r="123" spans="1:16" s="332" customFormat="1" ht="13.15" customHeight="1">
      <c r="A123" s="555"/>
      <c r="B123" s="555"/>
      <c r="C123" s="2137">
        <v>5</v>
      </c>
      <c r="D123" s="2138"/>
      <c r="E123" s="2138"/>
      <c r="F123" s="2138"/>
      <c r="G123" s="2138"/>
      <c r="H123" s="2138"/>
      <c r="I123" s="2139"/>
      <c r="J123" s="2137">
        <v>10</v>
      </c>
      <c r="K123" s="2138"/>
      <c r="L123" s="2138"/>
      <c r="M123" s="2138"/>
      <c r="N123" s="2138"/>
      <c r="O123" s="2138"/>
      <c r="P123" s="2139"/>
    </row>
    <row r="124" spans="1:16" s="332" customFormat="1" ht="6.6" customHeight="1">
      <c r="A124" s="555"/>
      <c r="B124" s="555"/>
      <c r="C124" s="1253"/>
      <c r="D124" s="1253"/>
      <c r="E124" s="1253"/>
      <c r="F124" s="1265"/>
      <c r="G124" s="1265"/>
      <c r="H124" s="1265"/>
      <c r="I124" s="1265"/>
      <c r="J124" s="1322"/>
      <c r="K124" s="1265"/>
      <c r="L124" s="1265"/>
      <c r="N124" s="1262"/>
      <c r="O124" s="1262"/>
      <c r="P124" s="341"/>
    </row>
    <row r="125" spans="1:16" s="332" customFormat="1" ht="13.15" customHeight="1">
      <c r="A125" s="357" t="s">
        <v>378</v>
      </c>
      <c r="B125" s="354" t="s">
        <v>2539</v>
      </c>
      <c r="D125" s="354"/>
      <c r="E125" s="354"/>
      <c r="F125" s="354"/>
      <c r="H125" s="2075" t="s">
        <v>3425</v>
      </c>
      <c r="M125" s="1265"/>
      <c r="N125" s="1262"/>
      <c r="O125" s="1262"/>
      <c r="P125" s="341"/>
    </row>
    <row r="126" spans="1:16" s="332" customFormat="1" ht="3" customHeight="1">
      <c r="A126" s="357"/>
      <c r="B126" s="555"/>
      <c r="C126" s="1255"/>
      <c r="D126" s="1255"/>
      <c r="E126" s="1255"/>
      <c r="F126" s="1255"/>
      <c r="G126" s="1265"/>
      <c r="M126" s="1265"/>
      <c r="N126" s="1262"/>
      <c r="O126" s="1262"/>
    </row>
    <row r="127" spans="1:16" s="332" customFormat="1" ht="13.15" customHeight="1">
      <c r="A127" s="555"/>
      <c r="B127" s="555" t="s">
        <v>2081</v>
      </c>
      <c r="C127" s="338" t="s">
        <v>1798</v>
      </c>
      <c r="H127" s="2075" t="s">
        <v>3425</v>
      </c>
      <c r="M127" s="1265"/>
      <c r="N127" s="1262"/>
      <c r="O127" s="1262"/>
      <c r="P127" s="341"/>
    </row>
    <row r="128" spans="1:16" s="332" customFormat="1" ht="13.15" customHeight="1">
      <c r="A128" s="555"/>
      <c r="B128" s="555"/>
      <c r="C128" s="1253" t="s">
        <v>2541</v>
      </c>
      <c r="D128" s="1253"/>
      <c r="E128" s="1253"/>
      <c r="F128" s="1265"/>
      <c r="H128" s="2140"/>
      <c r="N128" s="1262"/>
      <c r="O128" s="1262"/>
      <c r="P128" s="341"/>
    </row>
    <row r="129" spans="1:16" s="332" customFormat="1" ht="13.15" customHeight="1">
      <c r="A129" s="555"/>
      <c r="B129" s="555"/>
      <c r="C129" s="362" t="s">
        <v>1797</v>
      </c>
      <c r="D129" s="337"/>
      <c r="H129" s="2061"/>
      <c r="I129" s="2063"/>
      <c r="P129" s="341"/>
    </row>
    <row r="130" spans="1:16" s="332" customFormat="1" ht="13.15" customHeight="1">
      <c r="A130" s="555"/>
      <c r="B130" s="555"/>
      <c r="C130" s="1253" t="s">
        <v>2542</v>
      </c>
      <c r="D130" s="1253"/>
      <c r="E130" s="1253"/>
      <c r="F130" s="1265"/>
      <c r="H130" s="2140"/>
      <c r="K130" s="302" t="s">
        <v>2354</v>
      </c>
      <c r="O130" s="2061" t="s">
        <v>506</v>
      </c>
      <c r="P130" s="2063"/>
    </row>
    <row r="131" spans="1:16" s="332" customFormat="1" ht="13.15" customHeight="1">
      <c r="A131" s="555"/>
      <c r="B131" s="555"/>
      <c r="C131" s="1253" t="s">
        <v>2540</v>
      </c>
      <c r="F131" s="1265"/>
      <c r="H131" s="2123"/>
      <c r="K131" s="302" t="s">
        <v>2355</v>
      </c>
      <c r="O131" s="2061" t="s">
        <v>506</v>
      </c>
      <c r="P131" s="2063"/>
    </row>
    <row r="132" spans="1:16" s="332" customFormat="1" ht="13.15" customHeight="1">
      <c r="A132" s="555"/>
      <c r="B132" s="555"/>
      <c r="C132" s="1253" t="s">
        <v>2268</v>
      </c>
      <c r="D132" s="1253"/>
      <c r="E132" s="1253"/>
      <c r="F132" s="1265"/>
      <c r="H132" s="2119"/>
      <c r="I132" s="2120"/>
      <c r="N132" s="1262"/>
      <c r="O132" s="1262"/>
      <c r="P132" s="341"/>
    </row>
    <row r="133" spans="1:16" s="332" customFormat="1" ht="3" customHeight="1">
      <c r="A133" s="555"/>
      <c r="B133" s="555"/>
      <c r="C133" s="1253"/>
      <c r="D133" s="1253"/>
      <c r="E133" s="1253"/>
      <c r="F133" s="1265"/>
      <c r="N133" s="1262"/>
      <c r="O133" s="1262"/>
      <c r="P133" s="341"/>
    </row>
    <row r="134" spans="1:16" s="332" customFormat="1" ht="13.15" customHeight="1">
      <c r="A134" s="555"/>
      <c r="B134" s="555" t="s">
        <v>2084</v>
      </c>
      <c r="C134" s="1255" t="s">
        <v>2613</v>
      </c>
      <c r="D134" s="1253"/>
      <c r="E134" s="1253"/>
      <c r="F134" s="1265"/>
      <c r="H134" s="2123" t="s">
        <v>3425</v>
      </c>
      <c r="N134" s="1262"/>
      <c r="O134" s="1262"/>
      <c r="P134" s="341"/>
    </row>
    <row r="135" spans="1:16" s="332" customFormat="1" ht="3" customHeight="1">
      <c r="A135" s="555"/>
      <c r="B135" s="555"/>
      <c r="C135" s="1253"/>
      <c r="D135" s="1253"/>
      <c r="E135" s="1253"/>
      <c r="F135" s="1265"/>
      <c r="G135" s="1265"/>
      <c r="M135" s="1265"/>
      <c r="N135" s="1262"/>
      <c r="O135" s="1262"/>
      <c r="P135" s="341"/>
    </row>
    <row r="136" spans="1:16" s="332" customFormat="1" ht="13.15" customHeight="1">
      <c r="A136" s="555"/>
      <c r="B136" s="555" t="s">
        <v>789</v>
      </c>
      <c r="C136" s="1255" t="s">
        <v>2865</v>
      </c>
      <c r="D136" s="1253"/>
      <c r="E136" s="1253"/>
      <c r="F136" s="1265"/>
      <c r="G136" s="1265"/>
      <c r="N136" s="1262"/>
      <c r="O136" s="1262"/>
      <c r="P136" s="341"/>
    </row>
    <row r="137" spans="1:16" s="332" customFormat="1" ht="13.15" customHeight="1">
      <c r="A137" s="555"/>
      <c r="B137" s="555"/>
      <c r="C137" s="1253" t="s">
        <v>758</v>
      </c>
      <c r="D137" s="1253"/>
      <c r="E137" s="1253"/>
      <c r="F137" s="1265"/>
      <c r="G137" s="1265"/>
      <c r="H137" s="2123" t="s">
        <v>3425</v>
      </c>
      <c r="K137" s="1253" t="s">
        <v>1611</v>
      </c>
      <c r="L137" s="1253"/>
      <c r="M137" s="1265"/>
      <c r="N137" s="1265"/>
      <c r="O137" s="2123" t="s">
        <v>3425</v>
      </c>
      <c r="P137" s="341"/>
    </row>
    <row r="138" spans="1:16" s="332" customFormat="1" ht="6" customHeight="1">
      <c r="A138" s="555"/>
      <c r="B138" s="555"/>
      <c r="C138" s="1253"/>
      <c r="D138" s="1253"/>
      <c r="E138" s="1253"/>
      <c r="F138" s="1265"/>
      <c r="G138" s="1265"/>
      <c r="H138" s="1265"/>
      <c r="I138" s="1265"/>
      <c r="J138" s="1322"/>
      <c r="K138" s="1265"/>
      <c r="L138" s="1265"/>
      <c r="N138" s="1262"/>
      <c r="O138" s="1262"/>
      <c r="P138" s="341"/>
    </row>
    <row r="139" spans="1:16" s="332" customFormat="1" ht="13.15" customHeight="1">
      <c r="A139" s="357" t="s">
        <v>1813</v>
      </c>
      <c r="B139" s="354" t="s">
        <v>1246</v>
      </c>
      <c r="D139" s="354"/>
      <c r="E139" s="354"/>
      <c r="F139" s="354"/>
      <c r="G139" s="1265"/>
      <c r="H139" s="1265"/>
      <c r="I139" s="1265"/>
      <c r="J139" s="1322"/>
      <c r="K139" s="1265"/>
      <c r="L139" s="1265"/>
      <c r="N139" s="1262"/>
      <c r="O139" s="1262"/>
      <c r="P139" s="341"/>
    </row>
    <row r="140" spans="1:16" s="332" customFormat="1" ht="1.9" customHeight="1">
      <c r="A140" s="357"/>
      <c r="B140" s="555"/>
      <c r="C140" s="1255"/>
      <c r="D140" s="1255"/>
      <c r="E140" s="1255"/>
      <c r="F140" s="1255"/>
      <c r="G140" s="1265"/>
      <c r="H140" s="1265"/>
      <c r="I140" s="1265"/>
      <c r="J140" s="1322"/>
      <c r="K140" s="1265"/>
      <c r="L140" s="1265"/>
      <c r="N140" s="1262"/>
      <c r="O140" s="1262"/>
    </row>
    <row r="141" spans="1:16" s="332" customFormat="1" ht="13.15" customHeight="1">
      <c r="A141" s="555"/>
      <c r="B141" s="555" t="s">
        <v>2081</v>
      </c>
      <c r="C141" s="346" t="s">
        <v>1914</v>
      </c>
      <c r="F141" s="1265"/>
      <c r="G141" s="1265"/>
      <c r="H141" s="1265"/>
      <c r="I141" s="1265"/>
      <c r="J141" s="1322"/>
      <c r="K141" s="1265"/>
      <c r="L141" s="1265"/>
      <c r="N141" s="1262"/>
      <c r="O141" s="1262"/>
      <c r="P141" s="341"/>
    </row>
    <row r="142" spans="1:16" s="332" customFormat="1" ht="12.6" customHeight="1">
      <c r="A142" s="555"/>
      <c r="B142" s="555"/>
      <c r="C142" s="353" t="s">
        <v>1603</v>
      </c>
      <c r="D142" s="1322"/>
      <c r="E142" s="1322"/>
      <c r="F142" s="1265"/>
      <c r="G142" s="1265"/>
      <c r="H142" s="1265"/>
      <c r="I142" s="1265"/>
      <c r="K142" s="2123" t="s">
        <v>3425</v>
      </c>
      <c r="N142" s="1262"/>
      <c r="O142" s="1262"/>
      <c r="P142" s="341"/>
    </row>
    <row r="143" spans="1:16" s="332" customFormat="1" ht="12.6" customHeight="1">
      <c r="A143" s="555"/>
      <c r="B143" s="555"/>
      <c r="C143" s="332" t="s">
        <v>646</v>
      </c>
      <c r="K143" s="2113"/>
      <c r="L143" s="337" t="s">
        <v>1883</v>
      </c>
      <c r="P143" s="363">
        <f>IF('Part VI-Revenues &amp; Expenses'!$M$60=0,0,K143/'Part VI-Revenues &amp; Expenses'!$M$60)</f>
        <v>0</v>
      </c>
    </row>
    <row r="144" spans="1:16" s="332" customFormat="1" ht="12.6" customHeight="1">
      <c r="A144" s="555"/>
      <c r="B144" s="555"/>
      <c r="C144" s="332" t="s">
        <v>2269</v>
      </c>
      <c r="K144" s="2113"/>
      <c r="L144" s="337" t="s">
        <v>1883</v>
      </c>
      <c r="P144" s="363">
        <f>IF('Part VI-Revenues &amp; Expenses'!$M$60=0,0,K144/'Part VI-Revenues &amp; Expenses'!$M$60)</f>
        <v>0</v>
      </c>
    </row>
    <row r="145" spans="1:16" s="332" customFormat="1" ht="12.6" customHeight="1">
      <c r="A145" s="555"/>
      <c r="B145" s="555"/>
      <c r="C145" s="332" t="s">
        <v>1884</v>
      </c>
      <c r="E145" s="2061"/>
      <c r="F145" s="2062"/>
      <c r="G145" s="2062"/>
      <c r="H145" s="2062"/>
      <c r="I145" s="2062"/>
      <c r="J145" s="2062"/>
      <c r="K145" s="2063"/>
      <c r="L145" s="364" t="s">
        <v>1885</v>
      </c>
      <c r="M145" s="2061"/>
      <c r="N145" s="2062"/>
      <c r="O145" s="2062"/>
      <c r="P145" s="2063"/>
    </row>
    <row r="146" spans="1:16" s="332" customFormat="1" ht="12.6" customHeight="1">
      <c r="A146" s="555"/>
      <c r="B146" s="555"/>
      <c r="C146" s="337" t="s">
        <v>1886</v>
      </c>
      <c r="D146" s="344"/>
      <c r="E146" s="2061"/>
      <c r="F146" s="2062"/>
      <c r="G146" s="2062"/>
      <c r="H146" s="2062"/>
      <c r="I146" s="2062"/>
      <c r="J146" s="2062"/>
      <c r="K146" s="2141"/>
      <c r="L146" s="1254" t="s">
        <v>1888</v>
      </c>
      <c r="M146" s="2076"/>
      <c r="N146" s="2077"/>
      <c r="O146" s="2077"/>
      <c r="P146" s="2078"/>
    </row>
    <row r="147" spans="1:16" s="332" customFormat="1" ht="12.6" customHeight="1">
      <c r="A147" s="555"/>
      <c r="B147" s="555"/>
      <c r="C147" s="337" t="s">
        <v>649</v>
      </c>
      <c r="E147" s="2061"/>
      <c r="F147" s="2062"/>
      <c r="G147" s="2062"/>
      <c r="H147" s="2063"/>
      <c r="I147" s="359" t="s">
        <v>2336</v>
      </c>
      <c r="J147" s="2072"/>
      <c r="K147" s="2073"/>
      <c r="L147" s="364" t="s">
        <v>1891</v>
      </c>
      <c r="M147" s="2069"/>
      <c r="N147" s="2074"/>
      <c r="O147" s="2070"/>
    </row>
    <row r="148" spans="1:16" s="332" customFormat="1" ht="12.6" customHeight="1">
      <c r="A148" s="555"/>
      <c r="B148" s="555"/>
      <c r="C148" s="337" t="s">
        <v>1889</v>
      </c>
      <c r="E148" s="2069"/>
      <c r="F148" s="2074"/>
      <c r="G148" s="2070"/>
      <c r="H148" s="365" t="s">
        <v>1890</v>
      </c>
      <c r="I148" s="2069"/>
      <c r="J148" s="2074"/>
      <c r="K148" s="2070"/>
      <c r="L148" s="366" t="s">
        <v>2077</v>
      </c>
      <c r="M148" s="2069"/>
      <c r="N148" s="2074"/>
      <c r="O148" s="2070"/>
    </row>
    <row r="149" spans="1:16" s="332" customFormat="1" ht="6" customHeight="1">
      <c r="A149" s="555"/>
      <c r="B149" s="555"/>
      <c r="C149" s="337"/>
      <c r="E149" s="1326"/>
      <c r="F149" s="1326"/>
      <c r="G149" s="1326"/>
      <c r="H149" s="1265"/>
      <c r="I149" s="1326"/>
      <c r="J149" s="1326"/>
      <c r="K149" s="1265"/>
      <c r="L149" s="1326"/>
      <c r="M149" s="1326"/>
      <c r="N149" s="1265"/>
      <c r="O149" s="1326"/>
      <c r="P149" s="1326"/>
    </row>
    <row r="150" spans="1:16" s="332" customFormat="1" ht="12.6" customHeight="1">
      <c r="A150" s="555"/>
      <c r="B150" s="555" t="s">
        <v>2084</v>
      </c>
      <c r="C150" s="1255" t="s">
        <v>2873</v>
      </c>
      <c r="D150" s="1255"/>
      <c r="E150" s="1255"/>
      <c r="F150" s="1255"/>
      <c r="G150" s="1255"/>
      <c r="I150" s="2123" t="s">
        <v>3425</v>
      </c>
      <c r="J150" s="1332" t="s">
        <v>802</v>
      </c>
      <c r="K150" s="1333"/>
      <c r="L150" s="2123"/>
      <c r="M150" s="1329" t="s">
        <v>2435</v>
      </c>
      <c r="N150" s="1330"/>
      <c r="O150" s="1331"/>
      <c r="P150" s="2140"/>
    </row>
    <row r="151" spans="1:16" s="332" customFormat="1" ht="6" customHeight="1">
      <c r="A151" s="555"/>
      <c r="B151" s="555"/>
      <c r="C151" s="1255"/>
      <c r="D151" s="1255"/>
      <c r="E151" s="334"/>
      <c r="F151" s="1255"/>
      <c r="G151" s="1255"/>
      <c r="J151" s="1321"/>
      <c r="K151" s="367"/>
      <c r="M151" s="1262"/>
      <c r="O151" s="1265"/>
      <c r="P151" s="341"/>
    </row>
    <row r="152" spans="1:16" s="332" customFormat="1" ht="12.6" customHeight="1">
      <c r="A152" s="555"/>
      <c r="B152" s="555"/>
      <c r="C152" s="1255" t="s">
        <v>2874</v>
      </c>
      <c r="D152" s="1255"/>
      <c r="E152" s="1255"/>
      <c r="F152" s="1255"/>
      <c r="G152" s="1255"/>
      <c r="I152" s="2123" t="s">
        <v>3422</v>
      </c>
      <c r="J152" s="1332" t="s">
        <v>802</v>
      </c>
      <c r="K152" s="1333"/>
      <c r="L152" s="2123">
        <v>2037</v>
      </c>
      <c r="M152" s="1329" t="s">
        <v>2435</v>
      </c>
      <c r="N152" s="1330"/>
      <c r="O152" s="1331"/>
      <c r="P152" s="2140">
        <v>5</v>
      </c>
    </row>
    <row r="153" spans="1:16" s="332" customFormat="1" ht="6" customHeight="1">
      <c r="A153" s="555"/>
      <c r="B153" s="555"/>
      <c r="C153" s="1255"/>
      <c r="D153" s="1255"/>
      <c r="E153" s="334"/>
      <c r="F153" s="1255"/>
      <c r="G153" s="1255"/>
      <c r="J153" s="1321"/>
      <c r="K153" s="367"/>
      <c r="M153" s="1262"/>
      <c r="O153" s="1265"/>
      <c r="P153" s="341"/>
    </row>
    <row r="154" spans="1:16" s="332" customFormat="1" ht="12.6" customHeight="1">
      <c r="A154" s="555"/>
      <c r="B154" s="555" t="s">
        <v>789</v>
      </c>
      <c r="C154" s="1255" t="s">
        <v>1845</v>
      </c>
      <c r="D154" s="1255"/>
      <c r="E154" s="1255"/>
      <c r="F154" s="1255"/>
      <c r="G154" s="1255"/>
      <c r="I154" s="2123" t="s">
        <v>3425</v>
      </c>
      <c r="L154" s="302"/>
      <c r="M154" s="302"/>
      <c r="P154" s="341"/>
    </row>
    <row r="155" spans="1:16" s="332" customFormat="1" ht="6" customHeight="1">
      <c r="A155" s="555"/>
      <c r="B155" s="555"/>
      <c r="C155" s="337"/>
      <c r="E155" s="1326"/>
      <c r="F155" s="1326"/>
      <c r="G155" s="1326"/>
      <c r="I155" s="1326"/>
      <c r="J155" s="1326"/>
      <c r="K155" s="1265"/>
      <c r="L155" s="1326"/>
      <c r="M155" s="1326"/>
      <c r="N155" s="1265"/>
      <c r="O155" s="1326"/>
      <c r="P155" s="1326"/>
    </row>
    <row r="156" spans="1:16" s="332" customFormat="1" ht="12.6" customHeight="1">
      <c r="A156" s="555"/>
      <c r="B156" s="555" t="s">
        <v>2216</v>
      </c>
      <c r="C156" s="1350" t="s">
        <v>2076</v>
      </c>
      <c r="D156" s="1350"/>
      <c r="E156" s="1350"/>
      <c r="F156" s="1350"/>
      <c r="G156" s="1255"/>
      <c r="I156" s="2123" t="s">
        <v>3425</v>
      </c>
      <c r="J156" s="369" t="s">
        <v>3019</v>
      </c>
      <c r="L156" s="1349" t="s">
        <v>1551</v>
      </c>
      <c r="M156" s="1349"/>
      <c r="N156" s="1255"/>
      <c r="O156" s="1255"/>
      <c r="P156" s="2142"/>
    </row>
    <row r="157" spans="1:16" s="332" customFormat="1" ht="12.6" customHeight="1">
      <c r="B157" s="555"/>
      <c r="L157" s="1335" t="s">
        <v>839</v>
      </c>
      <c r="M157" s="1335"/>
      <c r="N157" s="1255"/>
      <c r="O157" s="1255"/>
      <c r="P157" s="2142"/>
    </row>
    <row r="158" spans="1:16" s="332" customFormat="1" ht="12.6" customHeight="1">
      <c r="A158" s="555"/>
      <c r="B158" s="555"/>
      <c r="L158" s="1335" t="s">
        <v>1879</v>
      </c>
      <c r="M158" s="1335"/>
      <c r="N158" s="1255"/>
      <c r="O158" s="1255"/>
      <c r="P158" s="368" t="str">
        <f>IF(P156="","",P157/P156)</f>
        <v/>
      </c>
    </row>
    <row r="159" spans="1:16" s="332" customFormat="1" ht="13.15" customHeight="1">
      <c r="A159" s="555"/>
      <c r="B159" s="555" t="s">
        <v>1823</v>
      </c>
      <c r="C159" s="300" t="s">
        <v>1687</v>
      </c>
      <c r="D159" s="1253"/>
      <c r="E159" s="1253"/>
      <c r="F159" s="1253"/>
      <c r="G159" s="1253"/>
      <c r="H159" s="1265"/>
      <c r="J159" s="1321"/>
      <c r="K159" s="1322"/>
      <c r="M159" s="1262"/>
      <c r="O159" s="1265"/>
      <c r="P159" s="341"/>
    </row>
    <row r="160" spans="1:16" s="332" customFormat="1" ht="12.6" customHeight="1">
      <c r="A160" s="555"/>
      <c r="B160" s="555"/>
      <c r="C160" s="1262" t="s">
        <v>2317</v>
      </c>
      <c r="D160" s="342"/>
      <c r="E160" s="1262"/>
      <c r="F160" s="1262"/>
      <c r="I160" s="2123" t="s">
        <v>3425</v>
      </c>
      <c r="L160" s="1262" t="s">
        <v>1688</v>
      </c>
      <c r="M160" s="1262"/>
      <c r="N160" s="1262"/>
      <c r="P160" s="2123" t="s">
        <v>3425</v>
      </c>
    </row>
    <row r="161" spans="1:21" s="332" customFormat="1" ht="12.6" customHeight="1">
      <c r="A161" s="555"/>
      <c r="B161" s="555"/>
      <c r="C161" s="1262" t="s">
        <v>2319</v>
      </c>
      <c r="I161" s="2123" t="s">
        <v>3425</v>
      </c>
      <c r="L161" s="1262" t="s">
        <v>3188</v>
      </c>
      <c r="M161" s="1262"/>
      <c r="N161" s="1262"/>
      <c r="P161" s="2123" t="s">
        <v>3425</v>
      </c>
    </row>
    <row r="162" spans="1:21" s="332" customFormat="1" ht="12.6" customHeight="1">
      <c r="A162" s="555"/>
      <c r="C162" s="1262" t="s">
        <v>2897</v>
      </c>
      <c r="I162" s="2123" t="s">
        <v>3425</v>
      </c>
      <c r="L162" s="1262" t="s">
        <v>2849</v>
      </c>
      <c r="N162" s="2143"/>
      <c r="O162" s="2144"/>
      <c r="P162" s="2123" t="s">
        <v>3425</v>
      </c>
    </row>
    <row r="163" spans="1:21" s="332" customFormat="1" ht="12.6" customHeight="1">
      <c r="A163" s="555"/>
      <c r="B163" s="555"/>
      <c r="C163" s="1262" t="s">
        <v>1347</v>
      </c>
      <c r="D163" s="370"/>
      <c r="I163" s="2123" t="s">
        <v>3425</v>
      </c>
      <c r="K163" s="342"/>
      <c r="L163" s="1262" t="s">
        <v>4227</v>
      </c>
      <c r="M163" s="1262"/>
      <c r="N163" s="1262"/>
      <c r="P163" s="2123" t="s">
        <v>3425</v>
      </c>
    </row>
    <row r="164" spans="1:21" s="332" customFormat="1" ht="12.6" customHeight="1">
      <c r="A164" s="555"/>
      <c r="B164" s="334"/>
      <c r="C164" s="1262" t="s">
        <v>1898</v>
      </c>
      <c r="I164" s="2123" t="s">
        <v>3425</v>
      </c>
      <c r="J164" s="369" t="s">
        <v>3020</v>
      </c>
      <c r="O164" s="2145"/>
      <c r="P164" s="2146"/>
    </row>
    <row r="165" spans="1:21" s="332" customFormat="1" ht="12.6" customHeight="1">
      <c r="A165" s="555"/>
      <c r="B165" s="555"/>
      <c r="C165" s="1262" t="s">
        <v>3299</v>
      </c>
      <c r="I165" s="2123" t="s">
        <v>3425</v>
      </c>
      <c r="J165" s="369" t="s">
        <v>3020</v>
      </c>
      <c r="O165" s="2145"/>
      <c r="P165" s="2146"/>
    </row>
    <row r="166" spans="1:21" s="332" customFormat="1" ht="12.6" customHeight="1">
      <c r="A166" s="555"/>
      <c r="B166" s="555"/>
      <c r="C166" s="1262" t="s">
        <v>3300</v>
      </c>
      <c r="I166" s="2123" t="s">
        <v>3425</v>
      </c>
      <c r="J166" s="369" t="s">
        <v>3020</v>
      </c>
      <c r="O166" s="2145"/>
      <c r="P166" s="2146"/>
    </row>
    <row r="167" spans="1:21" s="332" customFormat="1" ht="3" customHeight="1">
      <c r="A167" s="555"/>
      <c r="B167" s="555"/>
      <c r="P167" s="1321"/>
    </row>
    <row r="168" spans="1:21" s="332" customFormat="1" ht="13.15" customHeight="1">
      <c r="B168" s="555" t="s">
        <v>1824</v>
      </c>
      <c r="C168" s="338" t="s">
        <v>779</v>
      </c>
    </row>
    <row r="169" spans="1:21" s="332" customFormat="1" ht="12.6" customHeight="1">
      <c r="A169" s="555"/>
      <c r="B169" s="555"/>
      <c r="C169" s="337" t="s">
        <v>670</v>
      </c>
      <c r="D169" s="1253"/>
      <c r="E169" s="1253"/>
      <c r="F169" s="1265"/>
      <c r="G169" s="1265"/>
      <c r="H169" s="2119"/>
      <c r="I169" s="2120"/>
      <c r="N169" s="1262"/>
      <c r="O169" s="1262"/>
      <c r="P169" s="341"/>
    </row>
    <row r="170" spans="1:21" s="332" customFormat="1" ht="12.6" customHeight="1">
      <c r="A170" s="555"/>
      <c r="B170" s="555"/>
      <c r="C170" s="337" t="s">
        <v>288</v>
      </c>
      <c r="D170" s="1253"/>
      <c r="E170" s="1253"/>
      <c r="F170" s="1265"/>
      <c r="G170" s="1265"/>
      <c r="H170" s="2119"/>
      <c r="I170" s="2120"/>
      <c r="N170" s="1262"/>
      <c r="O170" s="1262"/>
      <c r="P170" s="341"/>
    </row>
    <row r="171" spans="1:21" s="332" customFormat="1" ht="12.6" customHeight="1">
      <c r="A171" s="555"/>
      <c r="B171" s="555"/>
      <c r="C171" s="337" t="s">
        <v>2404</v>
      </c>
      <c r="D171" s="1253"/>
      <c r="E171" s="1253"/>
      <c r="F171" s="1265"/>
      <c r="G171" s="1265"/>
      <c r="H171" s="2119">
        <v>43100</v>
      </c>
      <c r="I171" s="2120"/>
      <c r="N171" s="1262"/>
      <c r="O171" s="1262"/>
      <c r="P171" s="341"/>
    </row>
    <row r="172" spans="1:21" s="332" customFormat="1" ht="6" customHeight="1">
      <c r="B172" s="334"/>
      <c r="C172" s="1262"/>
      <c r="H172" s="1262"/>
      <c r="L172" s="348"/>
      <c r="M172" s="348"/>
      <c r="N172" s="348"/>
      <c r="O172" s="348"/>
      <c r="P172" s="339"/>
    </row>
    <row r="173" spans="1:21" ht="12" customHeight="1">
      <c r="A173" s="357" t="s">
        <v>3090</v>
      </c>
      <c r="C173" s="357" t="s">
        <v>599</v>
      </c>
      <c r="K173" s="357" t="s">
        <v>2360</v>
      </c>
      <c r="L173" s="357" t="s">
        <v>81</v>
      </c>
    </row>
    <row r="174" spans="1:21" ht="106.5" customHeight="1">
      <c r="A174" s="2147" t="s">
        <v>4538</v>
      </c>
      <c r="B174" s="2148"/>
      <c r="C174" s="2148"/>
      <c r="D174" s="2148"/>
      <c r="E174" s="2148"/>
      <c r="F174" s="2148"/>
      <c r="G174" s="2148"/>
      <c r="H174" s="2148"/>
      <c r="I174" s="2148"/>
      <c r="J174" s="2149"/>
      <c r="K174" s="2150"/>
      <c r="L174" s="2151"/>
      <c r="M174" s="2151"/>
      <c r="N174" s="2151"/>
      <c r="O174" s="2151"/>
      <c r="P174" s="2152"/>
      <c r="Q174" s="1328" t="s">
        <v>2854</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53"/>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53"/>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53"/>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53"/>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53"/>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53"/>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53"/>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53"/>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53"/>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53"/>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53"/>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53"/>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53"/>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53"/>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53"/>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53"/>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53"/>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53"/>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53"/>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54"/>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53"/>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53"/>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53"/>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54"/>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53"/>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53"/>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53"/>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53"/>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53"/>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53"/>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53"/>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53"/>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53"/>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53"/>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53"/>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53"/>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53"/>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55"/>
      <c r="Q228" s="2153"/>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53"/>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53"/>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53"/>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5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53"/>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53"/>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55"/>
      <c r="Q236" s="2153"/>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53"/>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53"/>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53"/>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53"/>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53"/>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53"/>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53"/>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55"/>
      <c r="Q244" s="2153"/>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53"/>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53"/>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53"/>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53"/>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53"/>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53"/>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53"/>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53"/>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53"/>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53"/>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53"/>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53"/>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53"/>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53"/>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53"/>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53"/>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53"/>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53"/>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53"/>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53"/>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53"/>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53"/>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53"/>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53"/>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53"/>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53"/>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53"/>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53"/>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53"/>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53"/>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53"/>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53"/>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53"/>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53"/>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53"/>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53"/>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53"/>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53"/>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53"/>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53"/>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53"/>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55"/>
      <c r="Q286" s="2153"/>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53"/>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53"/>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53"/>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53"/>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53"/>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53"/>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53"/>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53"/>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53"/>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53"/>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53"/>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53"/>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53"/>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54"/>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53"/>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53"/>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53"/>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54"/>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53"/>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53"/>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55"/>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53"/>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53"/>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53"/>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54"/>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53"/>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55"/>
      <c r="Q315" s="2153"/>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53"/>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53"/>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53"/>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54"/>
      <c r="Q321" s="2153"/>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53"/>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53"/>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53"/>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53"/>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53"/>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53"/>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53"/>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53"/>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53"/>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53"/>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53"/>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53"/>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53"/>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53"/>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53"/>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53"/>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53"/>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55"/>
      <c r="Q339" s="2153"/>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53"/>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53"/>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53"/>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53"/>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55"/>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55"/>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55"/>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55"/>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55"/>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55"/>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55"/>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55"/>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55"/>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54"/>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55"/>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55"/>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55"/>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55"/>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55"/>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55"/>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55"/>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55"/>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55"/>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55"/>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55"/>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54"/>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54"/>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55"/>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55"/>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54"/>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55"/>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55"/>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55"/>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54"/>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55"/>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55"/>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55"/>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54"/>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55"/>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2689</v>
      </c>
      <c r="S602" s="849" t="s">
        <v>659</v>
      </c>
      <c r="T602" s="2156"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55"/>
      <c r="R603" s="849" t="s">
        <v>2690</v>
      </c>
      <c r="S603" s="849" t="s">
        <v>332</v>
      </c>
      <c r="T603" s="2156"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2691</v>
      </c>
      <c r="S604" s="849" t="s">
        <v>2606</v>
      </c>
      <c r="T604" s="2156"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2692</v>
      </c>
      <c r="S605" s="849"/>
      <c r="T605" s="2156"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2693</v>
      </c>
      <c r="S606" s="849" t="s">
        <v>2106</v>
      </c>
      <c r="T606" s="2156"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2694</v>
      </c>
      <c r="S607" s="849" t="s">
        <v>2606</v>
      </c>
      <c r="T607" s="2156"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2695</v>
      </c>
      <c r="S608" s="849" t="s">
        <v>1392</v>
      </c>
      <c r="T608" s="2156"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2696</v>
      </c>
      <c r="S609" s="849" t="s">
        <v>2108</v>
      </c>
      <c r="T609" s="2156"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2697</v>
      </c>
      <c r="S610" s="849" t="s">
        <v>702</v>
      </c>
      <c r="T610" s="2156"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2698</v>
      </c>
      <c r="S611" s="849" t="s">
        <v>659</v>
      </c>
      <c r="T611" s="2156"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2699</v>
      </c>
      <c r="S612" s="849" t="s">
        <v>2275</v>
      </c>
      <c r="T612" s="2156"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2700</v>
      </c>
      <c r="S613" s="849" t="s">
        <v>2658</v>
      </c>
      <c r="T613" s="2156"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2353</v>
      </c>
      <c r="S614" s="849" t="s">
        <v>2655</v>
      </c>
      <c r="T614" s="2156"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2701</v>
      </c>
      <c r="S615" s="849" t="s">
        <v>2275</v>
      </c>
      <c r="T615" s="2156"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2702</v>
      </c>
      <c r="S616" s="849" t="s">
        <v>2609</v>
      </c>
      <c r="T616" s="2156"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54"/>
      <c r="R617" s="849" t="s">
        <v>2703</v>
      </c>
      <c r="S617" s="849" t="s">
        <v>2106</v>
      </c>
      <c r="T617" s="2156"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6"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55"/>
      <c r="R619" s="849" t="s">
        <v>948</v>
      </c>
      <c r="S619" s="849" t="s">
        <v>1154</v>
      </c>
      <c r="T619" s="2156"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6"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2008</v>
      </c>
      <c r="T621" s="2156"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55"/>
      <c r="R622" s="849" t="s">
        <v>1099</v>
      </c>
      <c r="S622" s="849" t="s">
        <v>2104</v>
      </c>
      <c r="T622" s="2156"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6"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7"/>
      <c r="R624" s="849" t="s">
        <v>1101</v>
      </c>
      <c r="S624" s="849" t="s">
        <v>1596</v>
      </c>
      <c r="T624" s="2156"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2606</v>
      </c>
      <c r="T625" s="2156"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55"/>
      <c r="R626" s="849" t="s">
        <v>1103</v>
      </c>
      <c r="S626" s="849" t="s">
        <v>164</v>
      </c>
      <c r="T626" s="2156"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55"/>
      <c r="R627" s="849" t="s">
        <v>1104</v>
      </c>
      <c r="S627" s="849" t="s">
        <v>1399</v>
      </c>
      <c r="T627" s="2156"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6"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6"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2104</v>
      </c>
      <c r="T630" s="2156"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6"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2609</v>
      </c>
      <c r="T632" s="2156"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2655</v>
      </c>
      <c r="T633" s="2156"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6"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6"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6"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2394</v>
      </c>
      <c r="S637" s="849" t="s">
        <v>1265</v>
      </c>
      <c r="T637" s="2156"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6"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6"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6"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6"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6"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6"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6"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55"/>
      <c r="R645" s="849" t="s">
        <v>1118</v>
      </c>
      <c r="S645" s="849" t="s">
        <v>659</v>
      </c>
      <c r="T645" s="2156"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6"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6"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6"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6"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6"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6"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6"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6"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54"/>
      <c r="R654" s="849" t="s">
        <v>1126</v>
      </c>
      <c r="S654" s="849" t="s">
        <v>2008</v>
      </c>
      <c r="T654" s="2156"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55"/>
      <c r="R655" s="849" t="s">
        <v>1127</v>
      </c>
      <c r="S655" s="849" t="s">
        <v>2104</v>
      </c>
      <c r="T655" s="2156"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6"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6"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55"/>
      <c r="R658" s="849" t="s">
        <v>1130</v>
      </c>
      <c r="S658" s="849" t="s">
        <v>2609</v>
      </c>
      <c r="T658" s="2156"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6"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6"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55"/>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55"/>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55"/>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55"/>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55"/>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55"/>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7"/>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54"/>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55"/>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55"/>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54"/>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55"/>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54"/>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55"/>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55"/>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Xjc0LX3PrjSHdCQlAnl6jwTdGQOrRxNeyLoJnrj2Rm5JHJQILSUEkkae1UZd82MoWcPPLPXlEpweAK3vTI2+Rg==" saltValue="aH8Mvi62RevSXYTn9zbWrw==" spinCount="100000" sheet="1" objects="1" scenarios="1" formatColumns="0" formatRows="0"/>
  <sortState ref="C181:H340">
    <sortCondition ref="C181:C340"/>
    <sortCondition ref="E181:E340"/>
  </sortState>
  <mergeCells count="151">
    <mergeCell ref="N36:P36"/>
    <mergeCell ref="F114:I114"/>
    <mergeCell ref="C116:P117"/>
    <mergeCell ref="M114:P114"/>
    <mergeCell ref="M95:N95"/>
    <mergeCell ref="N67:P67"/>
    <mergeCell ref="O94:P94"/>
    <mergeCell ref="F36:K36"/>
    <mergeCell ref="J114:L114"/>
    <mergeCell ref="C114:E114"/>
    <mergeCell ref="E97:G97"/>
    <mergeCell ref="J110:L110"/>
    <mergeCell ref="M112:P112"/>
    <mergeCell ref="J112:L112"/>
    <mergeCell ref="F110:I110"/>
    <mergeCell ref="F37:H37"/>
    <mergeCell ref="N39:O39"/>
    <mergeCell ref="F38:K38"/>
    <mergeCell ref="I39:K39"/>
    <mergeCell ref="K67:L67"/>
    <mergeCell ref="J37:L37"/>
    <mergeCell ref="I98:J98"/>
    <mergeCell ref="E94:L94"/>
    <mergeCell ref="M113:P113"/>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0:H10"/>
    <mergeCell ref="E96:G96"/>
    <mergeCell ref="H67:I67"/>
    <mergeCell ref="I97:K97"/>
    <mergeCell ref="F39:G39"/>
    <mergeCell ref="M94:N94"/>
    <mergeCell ref="E98:G98"/>
    <mergeCell ref="H80:J80"/>
    <mergeCell ref="K76:L76"/>
    <mergeCell ref="N38:P38"/>
    <mergeCell ref="K73:L73"/>
    <mergeCell ref="J113:L113"/>
    <mergeCell ref="M110:P110"/>
    <mergeCell ref="K69:L71"/>
    <mergeCell ref="F112:I112"/>
    <mergeCell ref="C112:E112"/>
    <mergeCell ref="F113:I113"/>
    <mergeCell ref="C113:E113"/>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9"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93" t="str">
        <f>CONCATENATE("PART TWO - DEVELOPMENT TEAM INFORMATION","  -  ",'Part I-Project Information'!$O$4," ",'Part I-Project Information'!$F$24,", ",'Part I-Project Information'!F28,", ",'Part I-Project Information'!J29," County")</f>
        <v>PART TWO - DEVELOPMENT TEAM INFORMATION  -  2015-009 The Cove at York, Centerville, Houston County</v>
      </c>
      <c r="B1" s="1394"/>
      <c r="C1" s="1394"/>
      <c r="D1" s="1394"/>
      <c r="E1" s="1394"/>
      <c r="F1" s="1394"/>
      <c r="G1" s="1394"/>
      <c r="H1" s="1394"/>
      <c r="I1" s="1394"/>
      <c r="J1" s="1394"/>
      <c r="K1" s="1394"/>
      <c r="L1" s="1394"/>
      <c r="M1" s="1394"/>
      <c r="N1" s="1394"/>
      <c r="O1" s="1394"/>
      <c r="P1" s="1394"/>
      <c r="Q1" s="1394"/>
      <c r="R1" s="1394"/>
      <c r="S1" s="1395"/>
    </row>
    <row r="2" spans="1:26" ht="12" customHeight="1">
      <c r="J2" s="2049" t="s">
        <v>4387</v>
      </c>
      <c r="K2" s="2050"/>
      <c r="L2" s="2051"/>
    </row>
    <row r="3" spans="1:26" s="332" customFormat="1" ht="13.15" customHeight="1">
      <c r="A3" s="334" t="s">
        <v>647</v>
      </c>
      <c r="B3" s="338" t="s">
        <v>1951</v>
      </c>
      <c r="C3" s="338"/>
      <c r="E3" s="338"/>
      <c r="F3" s="338"/>
      <c r="G3" s="338"/>
      <c r="H3" s="672"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061" t="s">
        <v>4411</v>
      </c>
      <c r="I5" s="2121"/>
      <c r="J5" s="2121"/>
      <c r="K5" s="2121"/>
      <c r="L5" s="2121"/>
      <c r="M5" s="2121"/>
      <c r="N5" s="2122"/>
      <c r="O5" s="1254" t="s">
        <v>2088</v>
      </c>
      <c r="P5" s="1254"/>
      <c r="Q5" s="2061" t="s">
        <v>4389</v>
      </c>
      <c r="R5" s="2121"/>
      <c r="S5" s="2122"/>
    </row>
    <row r="6" spans="1:26" s="332" customFormat="1" ht="11.25" customHeight="1">
      <c r="D6" s="372"/>
      <c r="E6" s="337" t="s">
        <v>1071</v>
      </c>
      <c r="F6" s="344"/>
      <c r="H6" s="2061" t="s">
        <v>4412</v>
      </c>
      <c r="I6" s="2121"/>
      <c r="J6" s="2121"/>
      <c r="K6" s="2121"/>
      <c r="L6" s="2121"/>
      <c r="M6" s="2121"/>
      <c r="N6" s="2122"/>
      <c r="O6" s="1254" t="s">
        <v>1835</v>
      </c>
      <c r="Q6" s="2061" t="s">
        <v>4537</v>
      </c>
      <c r="R6" s="2121"/>
      <c r="S6" s="2122"/>
    </row>
    <row r="7" spans="1:26" s="332" customFormat="1" ht="11.25" customHeight="1">
      <c r="D7" s="372"/>
      <c r="E7" s="337" t="s">
        <v>649</v>
      </c>
      <c r="H7" s="2061" t="s">
        <v>4395</v>
      </c>
      <c r="I7" s="2121"/>
      <c r="J7" s="2122"/>
      <c r="K7" s="2158" t="s">
        <v>803</v>
      </c>
      <c r="L7" s="2061"/>
      <c r="M7" s="2121"/>
      <c r="N7" s="2122"/>
      <c r="O7" s="1254" t="s">
        <v>1891</v>
      </c>
      <c r="Q7" s="2069">
        <v>2057229331</v>
      </c>
      <c r="R7" s="2074"/>
      <c r="S7" s="2070"/>
    </row>
    <row r="8" spans="1:26" s="332" customFormat="1" ht="11.25" customHeight="1">
      <c r="D8" s="372"/>
      <c r="E8" s="337" t="s">
        <v>1887</v>
      </c>
      <c r="H8" s="2075" t="s">
        <v>880</v>
      </c>
      <c r="I8" s="1265" t="s">
        <v>1346</v>
      </c>
      <c r="J8" s="2072">
        <v>354054021</v>
      </c>
      <c r="K8" s="2122"/>
      <c r="L8" s="2159"/>
      <c r="M8" s="2159"/>
      <c r="N8" s="2159"/>
      <c r="O8" s="1254" t="s">
        <v>2077</v>
      </c>
      <c r="Q8" s="2069">
        <v>2053948000</v>
      </c>
      <c r="R8" s="2074"/>
      <c r="S8" s="2070"/>
    </row>
    <row r="9" spans="1:26" s="332" customFormat="1" ht="11.25" customHeight="1">
      <c r="D9" s="372"/>
      <c r="E9" s="337" t="s">
        <v>2083</v>
      </c>
      <c r="H9" s="2069">
        <v>2057229331</v>
      </c>
      <c r="I9" s="2070"/>
      <c r="J9" s="2160" t="s">
        <v>1017</v>
      </c>
      <c r="K9" s="1265" t="s">
        <v>1890</v>
      </c>
      <c r="L9" s="2161">
        <v>2053453813</v>
      </c>
      <c r="M9" s="2162"/>
      <c r="N9" s="339" t="s">
        <v>2082</v>
      </c>
      <c r="O9" s="2076" t="s">
        <v>4396</v>
      </c>
      <c r="P9" s="2077"/>
      <c r="Q9" s="2077"/>
      <c r="R9" s="2077"/>
      <c r="S9" s="2078"/>
    </row>
    <row r="10" spans="1:26" s="332" customFormat="1" ht="11.25" customHeight="1">
      <c r="D10" s="372"/>
      <c r="E10" s="325" t="s">
        <v>2920</v>
      </c>
      <c r="H10" s="1326"/>
      <c r="K10" s="301"/>
      <c r="N10" s="402" t="s">
        <v>4364</v>
      </c>
      <c r="Q10" s="1265"/>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163" t="s">
        <v>1345</v>
      </c>
      <c r="W12" s="2163"/>
      <c r="X12" s="2163"/>
      <c r="Y12" s="2163"/>
      <c r="Z12" s="2163"/>
    </row>
    <row r="13" spans="1:26" s="332" customFormat="1" ht="11.25" customHeight="1">
      <c r="C13" s="374" t="s">
        <v>2085</v>
      </c>
      <c r="D13" s="371" t="s">
        <v>2086</v>
      </c>
      <c r="H13" s="1262"/>
      <c r="I13" s="1262"/>
      <c r="J13" s="1262"/>
      <c r="N13" s="1249"/>
      <c r="W13" s="2164"/>
      <c r="X13" s="2164"/>
      <c r="Y13" s="2164"/>
      <c r="Z13" s="2164"/>
    </row>
    <row r="14" spans="1:26" s="332" customFormat="1" ht="11.25" customHeight="1">
      <c r="D14" s="334" t="s">
        <v>2217</v>
      </c>
      <c r="E14" s="332" t="s">
        <v>1949</v>
      </c>
      <c r="H14" s="2061" t="s">
        <v>4413</v>
      </c>
      <c r="I14" s="2121"/>
      <c r="J14" s="2121"/>
      <c r="K14" s="2121"/>
      <c r="L14" s="2121"/>
      <c r="M14" s="2121"/>
      <c r="N14" s="2122"/>
      <c r="O14" s="1254" t="s">
        <v>2088</v>
      </c>
      <c r="P14" s="1254"/>
      <c r="Q14" s="2061" t="s">
        <v>4389</v>
      </c>
      <c r="R14" s="2121"/>
      <c r="S14" s="2122"/>
    </row>
    <row r="15" spans="1:26" s="332" customFormat="1" ht="11.25" customHeight="1">
      <c r="D15" s="372"/>
      <c r="E15" s="337" t="s">
        <v>1071</v>
      </c>
      <c r="F15" s="344"/>
      <c r="H15" s="2061" t="s">
        <v>4412</v>
      </c>
      <c r="I15" s="2121"/>
      <c r="J15" s="2121"/>
      <c r="K15" s="2121"/>
      <c r="L15" s="2121"/>
      <c r="M15" s="2121"/>
      <c r="N15" s="2122"/>
      <c r="O15" s="1254" t="s">
        <v>1835</v>
      </c>
      <c r="Q15" s="2061" t="s">
        <v>4393</v>
      </c>
      <c r="R15" s="2121"/>
      <c r="S15" s="2122"/>
    </row>
    <row r="16" spans="1:26" s="332" customFormat="1" ht="11.25" customHeight="1">
      <c r="D16" s="372"/>
      <c r="E16" s="337" t="s">
        <v>649</v>
      </c>
      <c r="H16" s="2061" t="s">
        <v>4395</v>
      </c>
      <c r="I16" s="2121"/>
      <c r="J16" s="2122"/>
      <c r="K16" s="1257" t="s">
        <v>2875</v>
      </c>
      <c r="L16" s="2061" t="s">
        <v>4490</v>
      </c>
      <c r="M16" s="2121"/>
      <c r="N16" s="2122"/>
      <c r="O16" s="1254" t="s">
        <v>1891</v>
      </c>
      <c r="Q16" s="2069">
        <v>2057229331</v>
      </c>
      <c r="R16" s="2074"/>
      <c r="S16" s="2070"/>
    </row>
    <row r="17" spans="3:19" s="332" customFormat="1" ht="11.25" customHeight="1">
      <c r="D17" s="334"/>
      <c r="E17" s="337" t="s">
        <v>1887</v>
      </c>
      <c r="H17" s="2075" t="s">
        <v>880</v>
      </c>
      <c r="I17" s="1265" t="s">
        <v>1346</v>
      </c>
      <c r="J17" s="2072">
        <v>354054021</v>
      </c>
      <c r="K17" s="2122"/>
      <c r="O17" s="1254" t="s">
        <v>2077</v>
      </c>
      <c r="Q17" s="2069">
        <v>2053948000</v>
      </c>
      <c r="R17" s="2074"/>
      <c r="S17" s="2070"/>
    </row>
    <row r="18" spans="3:19" s="332" customFormat="1" ht="11.25" customHeight="1">
      <c r="D18" s="372"/>
      <c r="E18" s="337" t="s">
        <v>2083</v>
      </c>
      <c r="H18" s="2069">
        <v>2057229331</v>
      </c>
      <c r="I18" s="2070"/>
      <c r="J18" s="2160" t="s">
        <v>1017</v>
      </c>
      <c r="K18" s="1265" t="s">
        <v>1890</v>
      </c>
      <c r="L18" s="2107">
        <v>2053453813</v>
      </c>
      <c r="M18" s="2122"/>
      <c r="N18" s="339" t="s">
        <v>2082</v>
      </c>
      <c r="O18" s="2076" t="s">
        <v>4396</v>
      </c>
      <c r="P18" s="2077"/>
      <c r="Q18" s="2077"/>
      <c r="R18" s="2077"/>
      <c r="S18" s="2078"/>
    </row>
    <row r="19" spans="3:19" ht="4.1500000000000004" customHeight="1">
      <c r="D19" s="357"/>
      <c r="H19" s="2165"/>
      <c r="I19" s="2165"/>
      <c r="J19" s="2165"/>
      <c r="K19" s="1265"/>
      <c r="L19" s="2165"/>
      <c r="M19" s="2165"/>
      <c r="N19" s="1256"/>
      <c r="O19" s="1250"/>
      <c r="P19" s="1250"/>
      <c r="Q19" s="1265"/>
      <c r="R19" s="1250"/>
      <c r="S19" s="1250"/>
    </row>
    <row r="20" spans="3:19" s="332" customFormat="1" ht="11.25" customHeight="1">
      <c r="D20" s="334" t="s">
        <v>2218</v>
      </c>
      <c r="E20" s="332" t="s">
        <v>1950</v>
      </c>
      <c r="F20" s="1262"/>
      <c r="H20" s="2061"/>
      <c r="I20" s="2121"/>
      <c r="J20" s="2121"/>
      <c r="K20" s="2121"/>
      <c r="L20" s="2121"/>
      <c r="M20" s="2121"/>
      <c r="N20" s="2122"/>
      <c r="O20" s="1254" t="s">
        <v>2088</v>
      </c>
      <c r="P20" s="1254"/>
      <c r="Q20" s="2061"/>
      <c r="R20" s="2121"/>
      <c r="S20" s="2122"/>
    </row>
    <row r="21" spans="3:19" s="332" customFormat="1" ht="11.25" customHeight="1">
      <c r="D21" s="372"/>
      <c r="E21" s="337" t="s">
        <v>1071</v>
      </c>
      <c r="F21" s="344"/>
      <c r="H21" s="2061"/>
      <c r="I21" s="2121"/>
      <c r="J21" s="2121"/>
      <c r="K21" s="2121"/>
      <c r="L21" s="2121"/>
      <c r="M21" s="2121"/>
      <c r="N21" s="2122"/>
      <c r="O21" s="1254" t="s">
        <v>1835</v>
      </c>
      <c r="Q21" s="2061"/>
      <c r="R21" s="2121"/>
      <c r="S21" s="2122"/>
    </row>
    <row r="22" spans="3:19" s="332" customFormat="1" ht="11.25" customHeight="1">
      <c r="D22" s="372"/>
      <c r="E22" s="337" t="s">
        <v>649</v>
      </c>
      <c r="H22" s="2061"/>
      <c r="I22" s="2121"/>
      <c r="J22" s="2122"/>
      <c r="K22" s="1257" t="s">
        <v>2875</v>
      </c>
      <c r="L22" s="2061"/>
      <c r="M22" s="2121"/>
      <c r="N22" s="2122"/>
      <c r="O22" s="1254" t="s">
        <v>1891</v>
      </c>
      <c r="Q22" s="2069"/>
      <c r="R22" s="2074"/>
      <c r="S22" s="2070"/>
    </row>
    <row r="23" spans="3:19" s="332" customFormat="1" ht="11.25" customHeight="1">
      <c r="E23" s="337" t="s">
        <v>1887</v>
      </c>
      <c r="H23" s="2075"/>
      <c r="I23" s="359" t="s">
        <v>2336</v>
      </c>
      <c r="J23" s="2072"/>
      <c r="K23" s="2122"/>
      <c r="O23" s="1254" t="s">
        <v>2077</v>
      </c>
      <c r="Q23" s="2069"/>
      <c r="R23" s="2074"/>
      <c r="S23" s="2070"/>
    </row>
    <row r="24" spans="3:19" s="332" customFormat="1" ht="11.25" customHeight="1">
      <c r="D24" s="372"/>
      <c r="E24" s="337" t="s">
        <v>2083</v>
      </c>
      <c r="H24" s="2069"/>
      <c r="I24" s="2070"/>
      <c r="J24" s="2160"/>
      <c r="K24" s="1265" t="s">
        <v>1890</v>
      </c>
      <c r="L24" s="2107"/>
      <c r="M24" s="2122"/>
      <c r="N24" s="339" t="s">
        <v>2082</v>
      </c>
      <c r="O24" s="2076"/>
      <c r="P24" s="2077"/>
      <c r="Q24" s="2077"/>
      <c r="R24" s="2077"/>
      <c r="S24" s="2078"/>
    </row>
    <row r="25" spans="3:19" s="332" customFormat="1" ht="4.1500000000000004" customHeight="1">
      <c r="D25" s="372"/>
      <c r="E25" s="1262"/>
      <c r="F25" s="1262"/>
      <c r="G25" s="1254"/>
      <c r="H25" s="2165"/>
      <c r="I25" s="2165"/>
      <c r="J25" s="2165"/>
      <c r="K25" s="1265"/>
      <c r="L25" s="2165"/>
      <c r="M25" s="2165"/>
      <c r="N25" s="1256"/>
      <c r="O25" s="1250"/>
      <c r="P25" s="1250"/>
      <c r="Q25" s="1265"/>
      <c r="R25" s="1250"/>
      <c r="S25" s="1250"/>
    </row>
    <row r="26" spans="3:19" s="332" customFormat="1" ht="11.25" customHeight="1">
      <c r="D26" s="334" t="s">
        <v>1822</v>
      </c>
      <c r="E26" s="332" t="s">
        <v>1950</v>
      </c>
      <c r="F26" s="1262"/>
      <c r="H26" s="2061"/>
      <c r="I26" s="2121"/>
      <c r="J26" s="2121"/>
      <c r="K26" s="2121"/>
      <c r="L26" s="2121"/>
      <c r="M26" s="2121"/>
      <c r="N26" s="2122"/>
      <c r="O26" s="1254" t="s">
        <v>2088</v>
      </c>
      <c r="P26" s="1254"/>
      <c r="Q26" s="2061"/>
      <c r="R26" s="2121"/>
      <c r="S26" s="2122"/>
    </row>
    <row r="27" spans="3:19" s="332" customFormat="1" ht="11.25" customHeight="1">
      <c r="D27" s="372"/>
      <c r="E27" s="337" t="s">
        <v>1071</v>
      </c>
      <c r="F27" s="344"/>
      <c r="H27" s="2061"/>
      <c r="I27" s="2121"/>
      <c r="J27" s="2121"/>
      <c r="K27" s="2121"/>
      <c r="L27" s="2121"/>
      <c r="M27" s="2121"/>
      <c r="N27" s="2122"/>
      <c r="O27" s="1254" t="s">
        <v>1835</v>
      </c>
      <c r="Q27" s="2061"/>
      <c r="R27" s="2121"/>
      <c r="S27" s="2122"/>
    </row>
    <row r="28" spans="3:19" s="332" customFormat="1" ht="11.25" customHeight="1">
      <c r="D28" s="372"/>
      <c r="E28" s="337" t="s">
        <v>649</v>
      </c>
      <c r="H28" s="2061"/>
      <c r="I28" s="2121"/>
      <c r="J28" s="2122"/>
      <c r="K28" s="1257" t="s">
        <v>2875</v>
      </c>
      <c r="L28" s="2061"/>
      <c r="M28" s="2121"/>
      <c r="N28" s="2122"/>
      <c r="O28" s="1254" t="s">
        <v>1891</v>
      </c>
      <c r="Q28" s="2069"/>
      <c r="R28" s="2074"/>
      <c r="S28" s="2070"/>
    </row>
    <row r="29" spans="3:19" s="332" customFormat="1" ht="11.25" customHeight="1">
      <c r="E29" s="337" t="s">
        <v>1887</v>
      </c>
      <c r="H29" s="2075"/>
      <c r="I29" s="359" t="s">
        <v>2336</v>
      </c>
      <c r="J29" s="2072"/>
      <c r="K29" s="2122"/>
      <c r="O29" s="1254" t="s">
        <v>2077</v>
      </c>
      <c r="Q29" s="2069"/>
      <c r="R29" s="2074"/>
      <c r="S29" s="2070"/>
    </row>
    <row r="30" spans="3:19" s="332" customFormat="1" ht="11.25" customHeight="1">
      <c r="D30" s="372"/>
      <c r="E30" s="337" t="s">
        <v>2083</v>
      </c>
      <c r="H30" s="2069"/>
      <c r="I30" s="2070"/>
      <c r="J30" s="2160"/>
      <c r="K30" s="1265" t="s">
        <v>1890</v>
      </c>
      <c r="L30" s="2107"/>
      <c r="M30" s="2122"/>
      <c r="N30" s="339" t="s">
        <v>2082</v>
      </c>
      <c r="O30" s="2076"/>
      <c r="P30" s="2077"/>
      <c r="Q30" s="2077"/>
      <c r="R30" s="2077"/>
      <c r="S30" s="2078"/>
    </row>
    <row r="31" spans="3:19" ht="4.1500000000000004" customHeight="1"/>
    <row r="32" spans="3:19" s="332" customFormat="1" ht="11.25" customHeight="1">
      <c r="C32" s="374" t="s">
        <v>2087</v>
      </c>
      <c r="D32" s="371" t="s">
        <v>1952</v>
      </c>
      <c r="H32" s="1262"/>
      <c r="I32" s="1262"/>
      <c r="J32" s="1262"/>
      <c r="K32" s="1262"/>
      <c r="L32" s="1262"/>
      <c r="M32" s="1262"/>
    </row>
    <row r="33" spans="3:19" s="332" customFormat="1" ht="11.25" customHeight="1">
      <c r="D33" s="334" t="s">
        <v>2217</v>
      </c>
      <c r="E33" s="332" t="s">
        <v>790</v>
      </c>
      <c r="H33" s="2085" t="s">
        <v>4491</v>
      </c>
      <c r="I33" s="2166"/>
      <c r="J33" s="2166"/>
      <c r="K33" s="2166"/>
      <c r="L33" s="2166"/>
      <c r="M33" s="2166"/>
      <c r="N33" s="2162"/>
      <c r="O33" s="1254" t="s">
        <v>2088</v>
      </c>
      <c r="P33" s="1254"/>
      <c r="Q33" s="2061" t="s">
        <v>4495</v>
      </c>
      <c r="R33" s="2121"/>
      <c r="S33" s="2122"/>
    </row>
    <row r="34" spans="3:19" s="332" customFormat="1" ht="11.25" customHeight="1">
      <c r="D34" s="372"/>
      <c r="E34" s="337" t="s">
        <v>1071</v>
      </c>
      <c r="F34" s="344"/>
      <c r="H34" s="2085" t="s">
        <v>4492</v>
      </c>
      <c r="I34" s="2166"/>
      <c r="J34" s="2166"/>
      <c r="K34" s="2166"/>
      <c r="L34" s="2166"/>
      <c r="M34" s="2166"/>
      <c r="N34" s="2162"/>
      <c r="O34" s="1254" t="s">
        <v>1835</v>
      </c>
      <c r="Q34" s="2061" t="s">
        <v>4496</v>
      </c>
      <c r="R34" s="2121"/>
      <c r="S34" s="2122"/>
    </row>
    <row r="35" spans="3:19" s="332" customFormat="1" ht="11.25" customHeight="1">
      <c r="D35" s="372"/>
      <c r="E35" s="337" t="s">
        <v>649</v>
      </c>
      <c r="H35" s="2061" t="s">
        <v>4493</v>
      </c>
      <c r="I35" s="2121"/>
      <c r="J35" s="2122"/>
      <c r="K35" s="1257" t="s">
        <v>2875</v>
      </c>
      <c r="L35" s="2061" t="s">
        <v>4494</v>
      </c>
      <c r="M35" s="2121"/>
      <c r="N35" s="2122"/>
      <c r="O35" s="1254" t="s">
        <v>1891</v>
      </c>
      <c r="Q35" s="2069">
        <v>6463806657</v>
      </c>
      <c r="R35" s="2074"/>
      <c r="S35" s="2070"/>
    </row>
    <row r="36" spans="3:19" s="332" customFormat="1" ht="11.25" customHeight="1">
      <c r="E36" s="337" t="s">
        <v>1887</v>
      </c>
      <c r="H36" s="2075" t="s">
        <v>1414</v>
      </c>
      <c r="I36" s="359" t="s">
        <v>2336</v>
      </c>
      <c r="J36" s="2072">
        <v>100365803</v>
      </c>
      <c r="K36" s="2122"/>
      <c r="O36" s="1254" t="s">
        <v>2077</v>
      </c>
      <c r="Q36" s="2069">
        <v>5166620267</v>
      </c>
      <c r="R36" s="2074"/>
      <c r="S36" s="2070"/>
    </row>
    <row r="37" spans="3:19" s="332" customFormat="1" ht="11.25" customHeight="1">
      <c r="D37" s="372"/>
      <c r="E37" s="337" t="s">
        <v>2083</v>
      </c>
      <c r="H37" s="2069">
        <v>6463806657</v>
      </c>
      <c r="I37" s="2070"/>
      <c r="J37" s="2160"/>
      <c r="K37" s="1265" t="s">
        <v>1890</v>
      </c>
      <c r="L37" s="2107"/>
      <c r="M37" s="2122"/>
      <c r="N37" s="339" t="s">
        <v>2082</v>
      </c>
      <c r="O37" s="2076" t="s">
        <v>4497</v>
      </c>
      <c r="P37" s="2077"/>
      <c r="Q37" s="2077"/>
      <c r="R37" s="2077"/>
      <c r="S37" s="2078"/>
    </row>
    <row r="38" spans="3:19" ht="4.1500000000000004" customHeight="1">
      <c r="H38" s="2165"/>
      <c r="I38" s="2165"/>
      <c r="J38" s="2165"/>
      <c r="K38" s="1265"/>
      <c r="L38" s="2165"/>
      <c r="M38" s="2165"/>
      <c r="N38" s="1256"/>
      <c r="O38" s="1250"/>
      <c r="P38" s="1250"/>
      <c r="Q38" s="1265"/>
      <c r="R38" s="1250"/>
      <c r="S38" s="1250"/>
    </row>
    <row r="39" spans="3:19" s="332" customFormat="1" ht="11.25" customHeight="1">
      <c r="D39" s="334" t="s">
        <v>2218</v>
      </c>
      <c r="E39" s="332" t="s">
        <v>791</v>
      </c>
      <c r="F39" s="334"/>
      <c r="H39" s="2061" t="s">
        <v>4498</v>
      </c>
      <c r="I39" s="2121"/>
      <c r="J39" s="2121"/>
      <c r="K39" s="2121"/>
      <c r="L39" s="2121"/>
      <c r="M39" s="2121"/>
      <c r="N39" s="2122"/>
      <c r="O39" s="1254" t="s">
        <v>2088</v>
      </c>
      <c r="P39" s="1254"/>
      <c r="Q39" s="2061" t="s">
        <v>4502</v>
      </c>
      <c r="R39" s="2121"/>
      <c r="S39" s="2122"/>
    </row>
    <row r="40" spans="3:19" s="332" customFormat="1" ht="11.25" customHeight="1">
      <c r="D40" s="372"/>
      <c r="E40" s="337" t="s">
        <v>1071</v>
      </c>
      <c r="F40" s="344"/>
      <c r="H40" s="2061" t="s">
        <v>4499</v>
      </c>
      <c r="I40" s="2121"/>
      <c r="J40" s="2121"/>
      <c r="K40" s="2121"/>
      <c r="L40" s="2121"/>
      <c r="M40" s="2121"/>
      <c r="N40" s="2122"/>
      <c r="O40" s="1254" t="s">
        <v>1835</v>
      </c>
      <c r="Q40" s="2061" t="s">
        <v>2597</v>
      </c>
      <c r="R40" s="2121"/>
      <c r="S40" s="2122"/>
    </row>
    <row r="41" spans="3:19" s="332" customFormat="1" ht="11.25" customHeight="1">
      <c r="D41" s="372"/>
      <c r="E41" s="337" t="s">
        <v>649</v>
      </c>
      <c r="H41" s="2061" t="s">
        <v>4500</v>
      </c>
      <c r="I41" s="2121"/>
      <c r="J41" s="2122"/>
      <c r="K41" s="1257" t="s">
        <v>2875</v>
      </c>
      <c r="L41" s="2061" t="s">
        <v>4501</v>
      </c>
      <c r="M41" s="2121"/>
      <c r="N41" s="2122"/>
      <c r="O41" s="1254" t="s">
        <v>1891</v>
      </c>
      <c r="Q41" s="2069">
        <v>3149682205</v>
      </c>
      <c r="R41" s="2074"/>
      <c r="S41" s="2070"/>
    </row>
    <row r="42" spans="3:19" s="332" customFormat="1" ht="11.25" customHeight="1">
      <c r="D42" s="334"/>
      <c r="E42" s="337" t="s">
        <v>1887</v>
      </c>
      <c r="H42" s="2075" t="s">
        <v>1407</v>
      </c>
      <c r="I42" s="359" t="s">
        <v>2336</v>
      </c>
      <c r="J42" s="2072">
        <v>631192931</v>
      </c>
      <c r="K42" s="2122"/>
      <c r="O42" s="1254" t="s">
        <v>2077</v>
      </c>
      <c r="Q42" s="2069">
        <v>3144821700</v>
      </c>
      <c r="R42" s="2074"/>
      <c r="S42" s="2070"/>
    </row>
    <row r="43" spans="3:19" s="332" customFormat="1" ht="11.25" customHeight="1">
      <c r="D43" s="372"/>
      <c r="E43" s="337" t="s">
        <v>2083</v>
      </c>
      <c r="H43" s="2069">
        <v>3149682205</v>
      </c>
      <c r="I43" s="2070"/>
      <c r="J43" s="2160"/>
      <c r="K43" s="1265" t="s">
        <v>1890</v>
      </c>
      <c r="L43" s="2107">
        <v>3149683860</v>
      </c>
      <c r="M43" s="2122"/>
      <c r="N43" s="339" t="s">
        <v>2082</v>
      </c>
      <c r="O43" s="2076" t="s">
        <v>4503</v>
      </c>
      <c r="P43" s="2077"/>
      <c r="Q43" s="2077"/>
      <c r="R43" s="2077"/>
      <c r="S43" s="2078"/>
    </row>
    <row r="44" spans="3:19" s="332" customFormat="1" ht="4.1500000000000004" customHeight="1">
      <c r="D44" s="372"/>
      <c r="E44" s="337"/>
      <c r="F44" s="334"/>
      <c r="H44" s="1326"/>
      <c r="I44" s="1326"/>
      <c r="J44" s="1248"/>
      <c r="K44" s="1265"/>
      <c r="L44" s="1326"/>
      <c r="M44" s="1326"/>
      <c r="N44" s="1265"/>
      <c r="O44" s="1326"/>
      <c r="P44" s="1326"/>
      <c r="Q44" s="1265"/>
      <c r="R44" s="1326"/>
      <c r="S44" s="1326"/>
    </row>
    <row r="45" spans="3:19" s="332" customFormat="1" ht="11.25" customHeight="1">
      <c r="C45" s="375" t="s">
        <v>2661</v>
      </c>
      <c r="D45" s="371" t="s">
        <v>686</v>
      </c>
      <c r="H45" s="1262"/>
      <c r="I45" s="1262"/>
      <c r="J45" s="1262"/>
      <c r="K45" s="1262"/>
      <c r="L45" s="1262"/>
      <c r="M45" s="1262"/>
    </row>
    <row r="46" spans="3:19" s="332" customFormat="1" ht="11.25" customHeight="1">
      <c r="E46" s="332" t="s">
        <v>94</v>
      </c>
      <c r="H46" s="2061" t="s">
        <v>4457</v>
      </c>
      <c r="I46" s="2121"/>
      <c r="J46" s="2121"/>
      <c r="K46" s="2121"/>
      <c r="L46" s="2121"/>
      <c r="M46" s="2121"/>
      <c r="N46" s="2122"/>
      <c r="O46" s="1254" t="s">
        <v>2088</v>
      </c>
      <c r="P46" s="1254"/>
      <c r="Q46" s="2061" t="s">
        <v>4389</v>
      </c>
      <c r="R46" s="2121"/>
      <c r="S46" s="2122"/>
    </row>
    <row r="47" spans="3:19" s="332" customFormat="1" ht="11.25" customHeight="1">
      <c r="D47" s="372"/>
      <c r="E47" s="337" t="s">
        <v>1071</v>
      </c>
      <c r="F47" s="344"/>
      <c r="H47" s="2061" t="s">
        <v>4412</v>
      </c>
      <c r="I47" s="2121"/>
      <c r="J47" s="2121"/>
      <c r="K47" s="2121"/>
      <c r="L47" s="2121"/>
      <c r="M47" s="2121"/>
      <c r="N47" s="2122"/>
      <c r="O47" s="1254" t="s">
        <v>1835</v>
      </c>
      <c r="Q47" s="2061" t="s">
        <v>4393</v>
      </c>
      <c r="R47" s="2121"/>
      <c r="S47" s="2122"/>
    </row>
    <row r="48" spans="3:19" s="332" customFormat="1" ht="11.25" customHeight="1">
      <c r="D48" s="372"/>
      <c r="E48" s="337" t="s">
        <v>649</v>
      </c>
      <c r="H48" s="2061" t="s">
        <v>4395</v>
      </c>
      <c r="I48" s="2121"/>
      <c r="J48" s="2122"/>
      <c r="K48" s="1257" t="s">
        <v>2875</v>
      </c>
      <c r="L48" s="2061" t="s">
        <v>4490</v>
      </c>
      <c r="M48" s="2121"/>
      <c r="N48" s="2122"/>
      <c r="O48" s="1254" t="s">
        <v>1891</v>
      </c>
      <c r="Q48" s="2069">
        <v>2057229331</v>
      </c>
      <c r="R48" s="2074"/>
      <c r="S48" s="2070"/>
    </row>
    <row r="49" spans="1:19" s="332" customFormat="1" ht="11.25" customHeight="1">
      <c r="E49" s="337" t="s">
        <v>1887</v>
      </c>
      <c r="H49" s="2075" t="s">
        <v>880</v>
      </c>
      <c r="I49" s="359" t="s">
        <v>2336</v>
      </c>
      <c r="J49" s="2072">
        <v>354054021</v>
      </c>
      <c r="K49" s="2122"/>
      <c r="O49" s="1254" t="s">
        <v>2077</v>
      </c>
      <c r="Q49" s="2069">
        <v>2053948000</v>
      </c>
      <c r="R49" s="2074"/>
      <c r="S49" s="2070"/>
    </row>
    <row r="50" spans="1:19" s="332" customFormat="1" ht="11.25" customHeight="1">
      <c r="D50" s="372"/>
      <c r="E50" s="337" t="s">
        <v>2083</v>
      </c>
      <c r="H50" s="2069">
        <v>2057229331</v>
      </c>
      <c r="I50" s="2070"/>
      <c r="J50" s="2160"/>
      <c r="K50" s="1265" t="s">
        <v>1890</v>
      </c>
      <c r="L50" s="2107">
        <v>2053453813</v>
      </c>
      <c r="M50" s="2122"/>
      <c r="N50" s="339" t="s">
        <v>2082</v>
      </c>
      <c r="O50" s="2076" t="s">
        <v>4396</v>
      </c>
      <c r="P50" s="2077"/>
      <c r="Q50" s="2077"/>
      <c r="R50" s="2077"/>
      <c r="S50" s="2078"/>
    </row>
    <row r="51" spans="1:19" ht="6.75" customHeight="1"/>
    <row r="52" spans="1:19" s="332" customFormat="1" ht="13.15" customHeight="1">
      <c r="A52" s="334" t="s">
        <v>780</v>
      </c>
      <c r="B52" s="334" t="s">
        <v>687</v>
      </c>
      <c r="F52" s="334"/>
      <c r="G52" s="1265"/>
      <c r="H52" s="1265"/>
      <c r="I52" s="1265"/>
      <c r="J52" s="1262"/>
      <c r="K52" s="1262"/>
      <c r="L52" s="1262"/>
      <c r="M52" s="1262"/>
      <c r="N52" s="1262"/>
      <c r="O52" s="1262"/>
      <c r="P52" s="1262"/>
      <c r="Q52" s="1262"/>
      <c r="R52" s="1262"/>
      <c r="S52" s="1262"/>
    </row>
    <row r="53" spans="1:19" s="332" customFormat="1" ht="3" customHeight="1">
      <c r="A53" s="334"/>
      <c r="B53" s="334"/>
      <c r="F53" s="334"/>
      <c r="G53" s="1265"/>
      <c r="H53" s="2167"/>
      <c r="I53" s="2167"/>
      <c r="J53" s="2167"/>
      <c r="K53" s="1256"/>
      <c r="L53" s="2167"/>
      <c r="M53" s="2167"/>
      <c r="N53" s="1256"/>
      <c r="O53" s="1250"/>
      <c r="P53" s="1250"/>
      <c r="Q53" s="1265"/>
      <c r="R53" s="1250"/>
      <c r="S53" s="1250"/>
    </row>
    <row r="54" spans="1:19" s="332" customFormat="1" ht="11.25" customHeight="1">
      <c r="B54" s="334" t="s">
        <v>2081</v>
      </c>
      <c r="C54" s="334" t="s">
        <v>295</v>
      </c>
      <c r="H54" s="2061" t="s">
        <v>4414</v>
      </c>
      <c r="I54" s="2121"/>
      <c r="J54" s="2121"/>
      <c r="K54" s="2121"/>
      <c r="L54" s="2121"/>
      <c r="M54" s="2121"/>
      <c r="N54" s="2122"/>
      <c r="O54" s="1254" t="s">
        <v>2088</v>
      </c>
      <c r="P54" s="1254"/>
      <c r="Q54" s="2061" t="s">
        <v>4389</v>
      </c>
      <c r="R54" s="2121"/>
      <c r="S54" s="2122"/>
    </row>
    <row r="55" spans="1:19" s="332" customFormat="1" ht="11.25" customHeight="1">
      <c r="D55" s="372"/>
      <c r="E55" s="337" t="s">
        <v>1071</v>
      </c>
      <c r="F55" s="344"/>
      <c r="H55" s="2061" t="s">
        <v>4412</v>
      </c>
      <c r="I55" s="2121"/>
      <c r="J55" s="2121"/>
      <c r="K55" s="2121"/>
      <c r="L55" s="2121"/>
      <c r="M55" s="2121"/>
      <c r="N55" s="2122"/>
      <c r="O55" s="1254" t="s">
        <v>1835</v>
      </c>
      <c r="Q55" s="2061" t="s">
        <v>4393</v>
      </c>
      <c r="R55" s="2121"/>
      <c r="S55" s="2122"/>
    </row>
    <row r="56" spans="1:19" s="332" customFormat="1" ht="11.25" customHeight="1">
      <c r="D56" s="372"/>
      <c r="E56" s="337" t="s">
        <v>649</v>
      </c>
      <c r="H56" s="2061" t="s">
        <v>4395</v>
      </c>
      <c r="I56" s="2121"/>
      <c r="J56" s="2122"/>
      <c r="K56" s="1257" t="s">
        <v>2875</v>
      </c>
      <c r="L56" s="2061" t="s">
        <v>4490</v>
      </c>
      <c r="M56" s="2121"/>
      <c r="N56" s="2122"/>
      <c r="O56" s="1254" t="s">
        <v>1891</v>
      </c>
      <c r="Q56" s="2069">
        <v>2057229331</v>
      </c>
      <c r="R56" s="2074"/>
      <c r="S56" s="2070"/>
    </row>
    <row r="57" spans="1:19" s="332" customFormat="1" ht="11.25" customHeight="1">
      <c r="E57" s="337" t="s">
        <v>1887</v>
      </c>
      <c r="H57" s="2075" t="s">
        <v>880</v>
      </c>
      <c r="I57" s="359" t="s">
        <v>2336</v>
      </c>
      <c r="J57" s="2072">
        <v>354054021</v>
      </c>
      <c r="K57" s="2122"/>
      <c r="O57" s="1254" t="s">
        <v>2077</v>
      </c>
      <c r="Q57" s="2069">
        <v>2053948000</v>
      </c>
      <c r="R57" s="2074"/>
      <c r="S57" s="2070"/>
    </row>
    <row r="58" spans="1:19" s="332" customFormat="1" ht="11.25" customHeight="1">
      <c r="D58" s="372"/>
      <c r="E58" s="337" t="s">
        <v>2083</v>
      </c>
      <c r="H58" s="2069">
        <v>2057229331</v>
      </c>
      <c r="I58" s="2070"/>
      <c r="J58" s="2160"/>
      <c r="K58" s="1265" t="s">
        <v>1890</v>
      </c>
      <c r="L58" s="2107">
        <v>2053453813</v>
      </c>
      <c r="M58" s="2122"/>
      <c r="N58" s="339" t="s">
        <v>2082</v>
      </c>
      <c r="O58" s="2076" t="s">
        <v>4396</v>
      </c>
      <c r="P58" s="2077"/>
      <c r="Q58" s="2077"/>
      <c r="R58" s="2077"/>
      <c r="S58" s="2078"/>
    </row>
    <row r="59" spans="1:19" s="332" customFormat="1" ht="6.6" customHeight="1">
      <c r="D59" s="372"/>
      <c r="E59" s="1262"/>
      <c r="F59" s="1262"/>
      <c r="G59" s="1254"/>
      <c r="H59" s="2165"/>
      <c r="I59" s="2165"/>
      <c r="J59" s="2165"/>
      <c r="K59" s="1265"/>
      <c r="L59" s="2165"/>
      <c r="M59" s="2165"/>
      <c r="N59" s="1256"/>
      <c r="O59" s="1250"/>
      <c r="P59" s="1250"/>
      <c r="Q59" s="1265"/>
      <c r="R59" s="1250"/>
      <c r="S59" s="1250"/>
    </row>
    <row r="60" spans="1:19" s="332" customFormat="1" ht="11.25" customHeight="1">
      <c r="B60" s="334" t="s">
        <v>2084</v>
      </c>
      <c r="C60" s="334" t="s">
        <v>296</v>
      </c>
      <c r="H60" s="2061"/>
      <c r="I60" s="2121"/>
      <c r="J60" s="2121"/>
      <c r="K60" s="2121"/>
      <c r="L60" s="2121"/>
      <c r="M60" s="2121"/>
      <c r="N60" s="2122"/>
      <c r="O60" s="1254" t="s">
        <v>2088</v>
      </c>
      <c r="P60" s="1254"/>
      <c r="Q60" s="2061"/>
      <c r="R60" s="2121"/>
      <c r="S60" s="2122"/>
    </row>
    <row r="61" spans="1:19" s="332" customFormat="1" ht="11.25" customHeight="1">
      <c r="D61" s="372"/>
      <c r="E61" s="337" t="s">
        <v>1071</v>
      </c>
      <c r="F61" s="344"/>
      <c r="H61" s="2061"/>
      <c r="I61" s="2121"/>
      <c r="J61" s="2121"/>
      <c r="K61" s="2121"/>
      <c r="L61" s="2121"/>
      <c r="M61" s="2121"/>
      <c r="N61" s="2122"/>
      <c r="O61" s="1254" t="s">
        <v>1835</v>
      </c>
      <c r="Q61" s="2061"/>
      <c r="R61" s="2121"/>
      <c r="S61" s="2122"/>
    </row>
    <row r="62" spans="1:19" s="332" customFormat="1" ht="11.25" customHeight="1">
      <c r="D62" s="372"/>
      <c r="E62" s="337" t="s">
        <v>649</v>
      </c>
      <c r="H62" s="2061"/>
      <c r="I62" s="2121"/>
      <c r="J62" s="2122"/>
      <c r="K62" s="1257" t="s">
        <v>2875</v>
      </c>
      <c r="L62" s="2061"/>
      <c r="M62" s="2121"/>
      <c r="N62" s="2122"/>
      <c r="O62" s="1254" t="s">
        <v>1891</v>
      </c>
      <c r="Q62" s="2069"/>
      <c r="R62" s="2074"/>
      <c r="S62" s="2070"/>
    </row>
    <row r="63" spans="1:19" s="332" customFormat="1" ht="11.25" customHeight="1">
      <c r="E63" s="337" t="s">
        <v>1887</v>
      </c>
      <c r="H63" s="2075"/>
      <c r="I63" s="359" t="s">
        <v>2336</v>
      </c>
      <c r="J63" s="2072"/>
      <c r="K63" s="2122"/>
      <c r="O63" s="1254" t="s">
        <v>2077</v>
      </c>
      <c r="Q63" s="2069"/>
      <c r="R63" s="2074"/>
      <c r="S63" s="2070"/>
    </row>
    <row r="64" spans="1:19" s="332" customFormat="1" ht="11.25" customHeight="1">
      <c r="D64" s="372"/>
      <c r="E64" s="337" t="s">
        <v>2083</v>
      </c>
      <c r="H64" s="2069"/>
      <c r="I64" s="2070"/>
      <c r="J64" s="2160"/>
      <c r="K64" s="1265" t="s">
        <v>1890</v>
      </c>
      <c r="L64" s="2107"/>
      <c r="M64" s="2122"/>
      <c r="N64" s="339" t="s">
        <v>2082</v>
      </c>
      <c r="O64" s="2076"/>
      <c r="P64" s="2077"/>
      <c r="Q64" s="2077"/>
      <c r="R64" s="2077"/>
      <c r="S64" s="2078"/>
    </row>
    <row r="65" spans="1:19" s="332" customFormat="1" ht="6.6" customHeight="1">
      <c r="D65" s="372"/>
      <c r="E65" s="1262"/>
      <c r="F65" s="1262"/>
      <c r="G65" s="1254"/>
      <c r="H65" s="2165"/>
      <c r="I65" s="2165"/>
      <c r="J65" s="2165"/>
      <c r="K65" s="1265"/>
      <c r="L65" s="2165"/>
      <c r="M65" s="2165"/>
      <c r="N65" s="1256"/>
      <c r="O65" s="1250"/>
      <c r="P65" s="1250"/>
      <c r="Q65" s="1265"/>
      <c r="R65" s="1250"/>
      <c r="S65" s="1250"/>
    </row>
    <row r="66" spans="1:19" s="332" customFormat="1" ht="11.25" customHeight="1">
      <c r="B66" s="334" t="s">
        <v>789</v>
      </c>
      <c r="C66" s="334" t="s">
        <v>1604</v>
      </c>
      <c r="H66" s="2061"/>
      <c r="I66" s="2121"/>
      <c r="J66" s="2121"/>
      <c r="K66" s="2121"/>
      <c r="L66" s="2121"/>
      <c r="M66" s="2121"/>
      <c r="N66" s="2122"/>
      <c r="O66" s="1254" t="s">
        <v>2088</v>
      </c>
      <c r="P66" s="1254"/>
      <c r="Q66" s="2061"/>
      <c r="R66" s="2121"/>
      <c r="S66" s="2122"/>
    </row>
    <row r="67" spans="1:19" s="332" customFormat="1" ht="11.25" customHeight="1">
      <c r="D67" s="372"/>
      <c r="E67" s="337" t="s">
        <v>1071</v>
      </c>
      <c r="F67" s="344"/>
      <c r="H67" s="2061"/>
      <c r="I67" s="2121"/>
      <c r="J67" s="2121"/>
      <c r="K67" s="2121"/>
      <c r="L67" s="2121"/>
      <c r="M67" s="2121"/>
      <c r="N67" s="2122"/>
      <c r="O67" s="1254" t="s">
        <v>1835</v>
      </c>
      <c r="Q67" s="2061"/>
      <c r="R67" s="2121"/>
      <c r="S67" s="2122"/>
    </row>
    <row r="68" spans="1:19" s="332" customFormat="1" ht="11.25" customHeight="1">
      <c r="D68" s="372"/>
      <c r="E68" s="337" t="s">
        <v>649</v>
      </c>
      <c r="H68" s="2061"/>
      <c r="I68" s="2121"/>
      <c r="J68" s="2122"/>
      <c r="K68" s="1257" t="s">
        <v>2875</v>
      </c>
      <c r="L68" s="2061"/>
      <c r="M68" s="2121"/>
      <c r="N68" s="2122"/>
      <c r="O68" s="1254" t="s">
        <v>1891</v>
      </c>
      <c r="Q68" s="2069"/>
      <c r="R68" s="2074"/>
      <c r="S68" s="2070"/>
    </row>
    <row r="69" spans="1:19" s="332" customFormat="1" ht="11.25" customHeight="1">
      <c r="E69" s="337" t="s">
        <v>1887</v>
      </c>
      <c r="H69" s="2075"/>
      <c r="I69" s="359" t="s">
        <v>2336</v>
      </c>
      <c r="J69" s="2072"/>
      <c r="K69" s="2122"/>
      <c r="O69" s="1254" t="s">
        <v>2077</v>
      </c>
      <c r="Q69" s="2069"/>
      <c r="R69" s="2074"/>
      <c r="S69" s="2070"/>
    </row>
    <row r="70" spans="1:19" s="332" customFormat="1" ht="11.25" customHeight="1">
      <c r="D70" s="372"/>
      <c r="E70" s="337" t="s">
        <v>2083</v>
      </c>
      <c r="H70" s="2069"/>
      <c r="I70" s="2070"/>
      <c r="J70" s="2160"/>
      <c r="K70" s="1265" t="s">
        <v>1890</v>
      </c>
      <c r="L70" s="2107"/>
      <c r="M70" s="2122"/>
      <c r="N70" s="339" t="s">
        <v>2082</v>
      </c>
      <c r="O70" s="2076"/>
      <c r="P70" s="2077"/>
      <c r="Q70" s="2077"/>
      <c r="R70" s="2077"/>
      <c r="S70" s="2078"/>
    </row>
    <row r="71" spans="1:19" ht="6.6" customHeight="1">
      <c r="H71" s="2165"/>
      <c r="I71" s="2165"/>
      <c r="J71" s="2165"/>
      <c r="K71" s="1265"/>
      <c r="L71" s="2165"/>
      <c r="M71" s="2165"/>
      <c r="N71" s="1256"/>
      <c r="O71" s="1250"/>
      <c r="P71" s="1250"/>
      <c r="Q71" s="1265"/>
      <c r="R71" s="1250"/>
      <c r="S71" s="1250"/>
    </row>
    <row r="72" spans="1:19" s="332" customFormat="1" ht="11.25" customHeight="1">
      <c r="B72" s="334" t="s">
        <v>2216</v>
      </c>
      <c r="C72" s="334" t="s">
        <v>297</v>
      </c>
      <c r="H72" s="2061" t="s">
        <v>4415</v>
      </c>
      <c r="I72" s="2121"/>
      <c r="J72" s="2121"/>
      <c r="K72" s="2121"/>
      <c r="L72" s="2121"/>
      <c r="M72" s="2121"/>
      <c r="N72" s="2122"/>
      <c r="O72" s="1254" t="s">
        <v>2088</v>
      </c>
      <c r="P72" s="1254"/>
      <c r="Q72" s="2061" t="s">
        <v>4416</v>
      </c>
      <c r="R72" s="2121"/>
      <c r="S72" s="2122"/>
    </row>
    <row r="73" spans="1:19" s="332" customFormat="1" ht="11.25" customHeight="1">
      <c r="D73" s="372"/>
      <c r="E73" s="337" t="s">
        <v>1071</v>
      </c>
      <c r="F73" s="344"/>
      <c r="H73" s="2061" t="s">
        <v>4417</v>
      </c>
      <c r="I73" s="2121"/>
      <c r="J73" s="2121"/>
      <c r="K73" s="2121"/>
      <c r="L73" s="2121"/>
      <c r="M73" s="2121"/>
      <c r="N73" s="2122"/>
      <c r="O73" s="1254" t="s">
        <v>1835</v>
      </c>
      <c r="Q73" s="2061" t="s">
        <v>4393</v>
      </c>
      <c r="R73" s="2121"/>
      <c r="S73" s="2122"/>
    </row>
    <row r="74" spans="1:19" s="332" customFormat="1" ht="11.25" customHeight="1">
      <c r="D74" s="372"/>
      <c r="E74" s="337" t="s">
        <v>649</v>
      </c>
      <c r="H74" s="2061" t="s">
        <v>4418</v>
      </c>
      <c r="I74" s="2121"/>
      <c r="J74" s="2122"/>
      <c r="K74" s="1257" t="s">
        <v>2875</v>
      </c>
      <c r="L74" s="2061" t="s">
        <v>4504</v>
      </c>
      <c r="M74" s="2121"/>
      <c r="N74" s="2122"/>
      <c r="O74" s="1254" t="s">
        <v>1891</v>
      </c>
      <c r="Q74" s="2069">
        <v>2564174920</v>
      </c>
      <c r="R74" s="2074"/>
      <c r="S74" s="2070"/>
    </row>
    <row r="75" spans="1:19" s="332" customFormat="1" ht="11.25" customHeight="1">
      <c r="E75" s="337" t="s">
        <v>1887</v>
      </c>
      <c r="H75" s="2075" t="s">
        <v>880</v>
      </c>
      <c r="I75" s="359" t="s">
        <v>2336</v>
      </c>
      <c r="J75" s="2072">
        <v>359713484</v>
      </c>
      <c r="K75" s="2122"/>
      <c r="O75" s="1254" t="s">
        <v>2077</v>
      </c>
      <c r="Q75" s="2069">
        <v>2569976659</v>
      </c>
      <c r="R75" s="2074"/>
      <c r="S75" s="2070"/>
    </row>
    <row r="76" spans="1:19" s="332" customFormat="1" ht="11.25" customHeight="1">
      <c r="D76" s="372"/>
      <c r="E76" s="337" t="s">
        <v>2083</v>
      </c>
      <c r="H76" s="2069">
        <v>2564174920</v>
      </c>
      <c r="I76" s="2070"/>
      <c r="J76" s="2160">
        <v>224</v>
      </c>
      <c r="K76" s="1265" t="s">
        <v>1890</v>
      </c>
      <c r="L76" s="2107">
        <v>2566233944</v>
      </c>
      <c r="M76" s="2122"/>
      <c r="N76" s="339" t="s">
        <v>2082</v>
      </c>
      <c r="O76" s="2076" t="s">
        <v>4419</v>
      </c>
      <c r="P76" s="2077"/>
      <c r="Q76" s="2077"/>
      <c r="R76" s="2077"/>
      <c r="S76" s="2078"/>
    </row>
    <row r="77" spans="1:19" ht="6.75" customHeight="1"/>
    <row r="78" spans="1:19" s="337" customFormat="1" ht="13.15" customHeight="1">
      <c r="A78" s="338" t="s">
        <v>782</v>
      </c>
      <c r="B78" s="338" t="s">
        <v>298</v>
      </c>
      <c r="D78" s="338"/>
      <c r="E78" s="1254"/>
      <c r="F78" s="300"/>
      <c r="G78" s="300"/>
      <c r="H78" s="300"/>
      <c r="I78" s="300"/>
      <c r="J78" s="300"/>
      <c r="K78" s="300"/>
      <c r="L78" s="300"/>
      <c r="M78" s="300"/>
    </row>
    <row r="79" spans="1:19" s="337" customFormat="1" ht="3" customHeight="1">
      <c r="A79" s="338"/>
      <c r="B79" s="338"/>
      <c r="D79" s="338"/>
      <c r="E79" s="1254"/>
      <c r="F79" s="300"/>
      <c r="G79" s="300"/>
      <c r="H79" s="2167"/>
      <c r="I79" s="2167"/>
      <c r="J79" s="2167"/>
      <c r="K79" s="1256"/>
      <c r="L79" s="2167"/>
      <c r="M79" s="2167"/>
      <c r="N79" s="1256"/>
      <c r="O79" s="1250"/>
      <c r="P79" s="1250"/>
      <c r="Q79" s="1265"/>
      <c r="R79" s="1250"/>
      <c r="S79" s="1250"/>
    </row>
    <row r="80" spans="1:19" s="332" customFormat="1" ht="11.25" customHeight="1">
      <c r="B80" s="334" t="s">
        <v>2081</v>
      </c>
      <c r="C80" s="334" t="s">
        <v>299</v>
      </c>
      <c r="H80" s="2061"/>
      <c r="I80" s="2121"/>
      <c r="J80" s="2121"/>
      <c r="K80" s="2121"/>
      <c r="L80" s="2121"/>
      <c r="M80" s="2121"/>
      <c r="N80" s="2122"/>
      <c r="O80" s="1254" t="s">
        <v>2088</v>
      </c>
      <c r="P80" s="1254"/>
      <c r="Q80" s="2061"/>
      <c r="R80" s="2121"/>
      <c r="S80" s="2122"/>
    </row>
    <row r="81" spans="2:19" s="332" customFormat="1" ht="11.25" customHeight="1">
      <c r="D81" s="372"/>
      <c r="E81" s="337" t="s">
        <v>1071</v>
      </c>
      <c r="F81" s="344"/>
      <c r="H81" s="2061"/>
      <c r="I81" s="2121"/>
      <c r="J81" s="2121"/>
      <c r="K81" s="2121"/>
      <c r="L81" s="2121"/>
      <c r="M81" s="2121"/>
      <c r="N81" s="2122"/>
      <c r="O81" s="1254" t="s">
        <v>1835</v>
      </c>
      <c r="Q81" s="2061"/>
      <c r="R81" s="2121"/>
      <c r="S81" s="2122"/>
    </row>
    <row r="82" spans="2:19" s="332" customFormat="1" ht="11.25" customHeight="1">
      <c r="D82" s="372"/>
      <c r="E82" s="337" t="s">
        <v>649</v>
      </c>
      <c r="H82" s="2061"/>
      <c r="I82" s="2121"/>
      <c r="J82" s="2122"/>
      <c r="K82" s="1257" t="s">
        <v>2875</v>
      </c>
      <c r="L82" s="2061"/>
      <c r="M82" s="2121"/>
      <c r="N82" s="2122"/>
      <c r="O82" s="1254" t="s">
        <v>1891</v>
      </c>
      <c r="Q82" s="2069"/>
      <c r="R82" s="2074"/>
      <c r="S82" s="2070"/>
    </row>
    <row r="83" spans="2:19" s="332" customFormat="1" ht="11.25" customHeight="1">
      <c r="E83" s="337" t="s">
        <v>1887</v>
      </c>
      <c r="H83" s="2075"/>
      <c r="I83" s="359" t="s">
        <v>2336</v>
      </c>
      <c r="J83" s="2072"/>
      <c r="K83" s="2122"/>
      <c r="O83" s="1254" t="s">
        <v>2077</v>
      </c>
      <c r="Q83" s="2069"/>
      <c r="R83" s="2074"/>
      <c r="S83" s="2070"/>
    </row>
    <row r="84" spans="2:19" s="332" customFormat="1" ht="11.25" customHeight="1">
      <c r="D84" s="372"/>
      <c r="E84" s="337" t="s">
        <v>2083</v>
      </c>
      <c r="H84" s="2069"/>
      <c r="I84" s="2070"/>
      <c r="J84" s="2160"/>
      <c r="K84" s="1265" t="s">
        <v>1890</v>
      </c>
      <c r="L84" s="2107"/>
      <c r="M84" s="2122"/>
      <c r="N84" s="339" t="s">
        <v>2082</v>
      </c>
      <c r="O84" s="2076"/>
      <c r="P84" s="2077"/>
      <c r="Q84" s="2077"/>
      <c r="R84" s="2077"/>
      <c r="S84" s="2078"/>
    </row>
    <row r="85" spans="2:19" ht="6.6" customHeight="1">
      <c r="H85" s="2165"/>
      <c r="I85" s="2165"/>
      <c r="J85" s="2165"/>
      <c r="K85" s="1265"/>
      <c r="L85" s="2165"/>
      <c r="M85" s="2165"/>
      <c r="N85" s="1256"/>
      <c r="O85" s="1250"/>
      <c r="P85" s="1250"/>
      <c r="Q85" s="1265"/>
      <c r="R85" s="1250"/>
      <c r="S85" s="1250"/>
    </row>
    <row r="86" spans="2:19" s="332" customFormat="1" ht="11.25" customHeight="1">
      <c r="B86" s="334" t="s">
        <v>2084</v>
      </c>
      <c r="C86" s="334" t="s">
        <v>300</v>
      </c>
      <c r="H86" s="2061" t="s">
        <v>4420</v>
      </c>
      <c r="I86" s="2121"/>
      <c r="J86" s="2121"/>
      <c r="K86" s="2121"/>
      <c r="L86" s="2121"/>
      <c r="M86" s="2121"/>
      <c r="N86" s="2122"/>
      <c r="O86" s="1254" t="s">
        <v>2088</v>
      </c>
      <c r="P86" s="1254"/>
      <c r="Q86" s="2061" t="s">
        <v>4416</v>
      </c>
      <c r="R86" s="2121"/>
      <c r="S86" s="2122"/>
    </row>
    <row r="87" spans="2:19" s="332" customFormat="1" ht="11.25" customHeight="1">
      <c r="D87" s="372"/>
      <c r="E87" s="337" t="s">
        <v>1071</v>
      </c>
      <c r="F87" s="344"/>
      <c r="H87" s="2061" t="s">
        <v>4417</v>
      </c>
      <c r="I87" s="2121"/>
      <c r="J87" s="2121"/>
      <c r="K87" s="2121"/>
      <c r="L87" s="2121"/>
      <c r="M87" s="2121"/>
      <c r="N87" s="2122"/>
      <c r="O87" s="1254" t="s">
        <v>1835</v>
      </c>
      <c r="Q87" s="2061" t="s">
        <v>4393</v>
      </c>
      <c r="R87" s="2121"/>
      <c r="S87" s="2122"/>
    </row>
    <row r="88" spans="2:19" s="332" customFormat="1" ht="11.25" customHeight="1">
      <c r="D88" s="372"/>
      <c r="E88" s="337" t="s">
        <v>649</v>
      </c>
      <c r="H88" s="2061" t="s">
        <v>4421</v>
      </c>
      <c r="I88" s="2121"/>
      <c r="J88" s="2122"/>
      <c r="K88" s="1257" t="s">
        <v>2875</v>
      </c>
      <c r="L88" s="2061" t="s">
        <v>4539</v>
      </c>
      <c r="M88" s="2121"/>
      <c r="N88" s="2122"/>
      <c r="O88" s="1254" t="s">
        <v>1891</v>
      </c>
      <c r="Q88" s="2069">
        <v>2564174920</v>
      </c>
      <c r="R88" s="2074"/>
      <c r="S88" s="2070"/>
    </row>
    <row r="89" spans="2:19" s="332" customFormat="1" ht="11.25" customHeight="1">
      <c r="E89" s="337" t="s">
        <v>1887</v>
      </c>
      <c r="H89" s="2075" t="s">
        <v>880</v>
      </c>
      <c r="I89" s="359" t="s">
        <v>2336</v>
      </c>
      <c r="J89" s="2072">
        <v>359713484</v>
      </c>
      <c r="K89" s="2122"/>
      <c r="O89" s="1254" t="s">
        <v>2077</v>
      </c>
      <c r="Q89" s="2069">
        <v>2569976659</v>
      </c>
      <c r="R89" s="2074"/>
      <c r="S89" s="2070"/>
    </row>
    <row r="90" spans="2:19" s="332" customFormat="1" ht="11.25" customHeight="1">
      <c r="D90" s="372"/>
      <c r="E90" s="337" t="s">
        <v>2083</v>
      </c>
      <c r="H90" s="2069">
        <v>2564174922</v>
      </c>
      <c r="I90" s="2070"/>
      <c r="J90" s="2160">
        <v>239</v>
      </c>
      <c r="K90" s="1265" t="s">
        <v>1890</v>
      </c>
      <c r="L90" s="2107"/>
      <c r="M90" s="2122"/>
      <c r="N90" s="339" t="s">
        <v>2082</v>
      </c>
      <c r="O90" s="2076" t="s">
        <v>4419</v>
      </c>
      <c r="P90" s="2077"/>
      <c r="Q90" s="2077"/>
      <c r="R90" s="2077"/>
      <c r="S90" s="2078"/>
    </row>
    <row r="91" spans="2:19" ht="6.6" customHeight="1">
      <c r="H91" s="2165"/>
      <c r="I91" s="2165"/>
      <c r="J91" s="2165"/>
      <c r="K91" s="1265"/>
      <c r="L91" s="2165"/>
      <c r="M91" s="2165"/>
      <c r="N91" s="1256"/>
      <c r="O91" s="1250"/>
      <c r="P91" s="1250"/>
      <c r="Q91" s="1265"/>
      <c r="R91" s="1250"/>
      <c r="S91" s="1250"/>
    </row>
    <row r="92" spans="2:19" s="332" customFormat="1" ht="11.25" customHeight="1">
      <c r="B92" s="334" t="s">
        <v>789</v>
      </c>
      <c r="C92" s="334" t="s">
        <v>301</v>
      </c>
      <c r="F92" s="348"/>
      <c r="H92" s="2061" t="s">
        <v>4422</v>
      </c>
      <c r="I92" s="2121"/>
      <c r="J92" s="2121"/>
      <c r="K92" s="2121"/>
      <c r="L92" s="2121"/>
      <c r="M92" s="2121"/>
      <c r="N92" s="2122"/>
      <c r="O92" s="1254" t="s">
        <v>2088</v>
      </c>
      <c r="P92" s="1254"/>
      <c r="Q92" s="2061" t="s">
        <v>4416</v>
      </c>
      <c r="R92" s="2121"/>
      <c r="S92" s="2122"/>
    </row>
    <row r="93" spans="2:19" s="332" customFormat="1" ht="11.25" customHeight="1">
      <c r="D93" s="372"/>
      <c r="E93" s="337" t="s">
        <v>1071</v>
      </c>
      <c r="F93" s="344"/>
      <c r="H93" s="2061" t="s">
        <v>4417</v>
      </c>
      <c r="I93" s="2121"/>
      <c r="J93" s="2121"/>
      <c r="K93" s="2121"/>
      <c r="L93" s="2121"/>
      <c r="M93" s="2121"/>
      <c r="N93" s="2122"/>
      <c r="O93" s="1254" t="s">
        <v>1835</v>
      </c>
      <c r="Q93" s="2061" t="s">
        <v>4393</v>
      </c>
      <c r="R93" s="2121"/>
      <c r="S93" s="2122"/>
    </row>
    <row r="94" spans="2:19" s="332" customFormat="1" ht="11.25" customHeight="1">
      <c r="D94" s="372"/>
      <c r="E94" s="337" t="s">
        <v>649</v>
      </c>
      <c r="H94" s="2061" t="s">
        <v>4418</v>
      </c>
      <c r="I94" s="2121"/>
      <c r="J94" s="2122"/>
      <c r="K94" s="1257" t="s">
        <v>2875</v>
      </c>
      <c r="L94" s="2061" t="s">
        <v>4504</v>
      </c>
      <c r="M94" s="2121"/>
      <c r="N94" s="2122"/>
      <c r="O94" s="1254" t="s">
        <v>1891</v>
      </c>
      <c r="Q94" s="2069">
        <v>2564174920</v>
      </c>
      <c r="R94" s="2074"/>
      <c r="S94" s="2070"/>
    </row>
    <row r="95" spans="2:19" s="332" customFormat="1" ht="11.25" customHeight="1">
      <c r="D95" s="372"/>
      <c r="E95" s="337" t="s">
        <v>1887</v>
      </c>
      <c r="H95" s="2075" t="s">
        <v>880</v>
      </c>
      <c r="I95" s="359" t="s">
        <v>2336</v>
      </c>
      <c r="J95" s="2072">
        <v>359713484</v>
      </c>
      <c r="K95" s="2122"/>
      <c r="O95" s="1254" t="s">
        <v>2077</v>
      </c>
      <c r="Q95" s="2069">
        <v>2569976659</v>
      </c>
      <c r="R95" s="2074"/>
      <c r="S95" s="2070"/>
    </row>
    <row r="96" spans="2:19" s="332" customFormat="1" ht="11.25" customHeight="1">
      <c r="D96" s="372"/>
      <c r="E96" s="337" t="s">
        <v>2083</v>
      </c>
      <c r="H96" s="2069">
        <v>2564174921</v>
      </c>
      <c r="I96" s="2070"/>
      <c r="J96" s="2160">
        <v>208</v>
      </c>
      <c r="K96" s="1265" t="s">
        <v>1890</v>
      </c>
      <c r="L96" s="2107">
        <v>2566233944</v>
      </c>
      <c r="M96" s="2122"/>
      <c r="N96" s="339" t="s">
        <v>2082</v>
      </c>
      <c r="O96" s="2076" t="s">
        <v>4419</v>
      </c>
      <c r="P96" s="2077"/>
      <c r="Q96" s="2077"/>
      <c r="R96" s="2077"/>
      <c r="S96" s="2078"/>
    </row>
    <row r="97" spans="2:19" ht="6.6" customHeight="1">
      <c r="H97" s="2165"/>
      <c r="I97" s="2165"/>
      <c r="J97" s="2165"/>
      <c r="K97" s="1265"/>
      <c r="L97" s="2165"/>
      <c r="M97" s="2165"/>
      <c r="N97" s="1256"/>
      <c r="O97" s="1250"/>
      <c r="P97" s="1250"/>
      <c r="Q97" s="1265"/>
      <c r="R97" s="1250"/>
      <c r="S97" s="1250"/>
    </row>
    <row r="98" spans="2:19" s="332" customFormat="1" ht="11.25" customHeight="1">
      <c r="B98" s="334" t="s">
        <v>2216</v>
      </c>
      <c r="C98" s="334" t="s">
        <v>302</v>
      </c>
      <c r="H98" s="2061" t="s">
        <v>4423</v>
      </c>
      <c r="I98" s="2121"/>
      <c r="J98" s="2121"/>
      <c r="K98" s="2121"/>
      <c r="L98" s="2121"/>
      <c r="M98" s="2121"/>
      <c r="N98" s="2122"/>
      <c r="O98" s="1254" t="s">
        <v>2088</v>
      </c>
      <c r="P98" s="1254"/>
      <c r="Q98" s="2061" t="s">
        <v>4424</v>
      </c>
      <c r="R98" s="2121"/>
      <c r="S98" s="2122"/>
    </row>
    <row r="99" spans="2:19" s="332" customFormat="1" ht="11.25" customHeight="1">
      <c r="D99" s="372"/>
      <c r="E99" s="337" t="s">
        <v>1071</v>
      </c>
      <c r="F99" s="344"/>
      <c r="H99" s="2061" t="s">
        <v>4425</v>
      </c>
      <c r="I99" s="2121"/>
      <c r="J99" s="2121"/>
      <c r="K99" s="2121"/>
      <c r="L99" s="2121"/>
      <c r="M99" s="2121"/>
      <c r="N99" s="2122"/>
      <c r="O99" s="1254" t="s">
        <v>1835</v>
      </c>
      <c r="Q99" s="2061" t="s">
        <v>4426</v>
      </c>
      <c r="R99" s="2121"/>
      <c r="S99" s="2122"/>
    </row>
    <row r="100" spans="2:19" s="332" customFormat="1" ht="11.25" customHeight="1">
      <c r="D100" s="372"/>
      <c r="E100" s="337" t="s">
        <v>649</v>
      </c>
      <c r="H100" s="2061" t="s">
        <v>4427</v>
      </c>
      <c r="I100" s="2121"/>
      <c r="J100" s="2122"/>
      <c r="K100" s="1257" t="s">
        <v>2875</v>
      </c>
      <c r="L100" s="2061" t="s">
        <v>4520</v>
      </c>
      <c r="M100" s="2121"/>
      <c r="N100" s="2122"/>
      <c r="O100" s="1254" t="s">
        <v>1891</v>
      </c>
      <c r="Q100" s="2069">
        <v>2052263425</v>
      </c>
      <c r="R100" s="2074"/>
      <c r="S100" s="2070"/>
    </row>
    <row r="101" spans="2:19" s="332" customFormat="1" ht="11.25" customHeight="1">
      <c r="D101" s="372"/>
      <c r="E101" s="337" t="s">
        <v>1887</v>
      </c>
      <c r="H101" s="2075" t="s">
        <v>880</v>
      </c>
      <c r="I101" s="359" t="s">
        <v>2336</v>
      </c>
      <c r="J101" s="2072">
        <v>352034642</v>
      </c>
      <c r="K101" s="2122"/>
      <c r="O101" s="1254" t="s">
        <v>2077</v>
      </c>
      <c r="Q101" s="2069">
        <v>2052263425</v>
      </c>
      <c r="R101" s="2074"/>
      <c r="S101" s="2070"/>
    </row>
    <row r="102" spans="2:19" ht="11.25" customHeight="1">
      <c r="E102" s="337" t="s">
        <v>2083</v>
      </c>
      <c r="F102" s="332"/>
      <c r="G102" s="332"/>
      <c r="H102" s="2069">
        <v>2052263425</v>
      </c>
      <c r="I102" s="2070"/>
      <c r="J102" s="2160" t="s">
        <v>1017</v>
      </c>
      <c r="K102" s="1265" t="s">
        <v>1890</v>
      </c>
      <c r="L102" s="2107">
        <v>2054885649</v>
      </c>
      <c r="M102" s="2122"/>
      <c r="N102" s="339" t="s">
        <v>2082</v>
      </c>
      <c r="O102" s="2076" t="s">
        <v>4428</v>
      </c>
      <c r="P102" s="2077"/>
      <c r="Q102" s="2077"/>
      <c r="R102" s="2077"/>
      <c r="S102" s="2078"/>
    </row>
    <row r="103" spans="2:19" ht="6" customHeight="1">
      <c r="E103" s="337"/>
      <c r="F103" s="332"/>
      <c r="G103" s="332"/>
      <c r="H103" s="332"/>
      <c r="I103" s="332"/>
      <c r="J103" s="332"/>
      <c r="K103" s="332"/>
      <c r="L103" s="332"/>
      <c r="M103" s="332"/>
      <c r="N103" s="332"/>
      <c r="O103" s="332"/>
      <c r="P103" s="332"/>
      <c r="Q103" s="1265"/>
      <c r="R103" s="1265"/>
      <c r="S103" s="2168"/>
    </row>
    <row r="104" spans="2:19" ht="0.6" customHeight="1">
      <c r="E104" s="337"/>
      <c r="F104" s="332"/>
      <c r="G104" s="1262"/>
      <c r="H104" s="2167"/>
      <c r="I104" s="2167"/>
      <c r="J104" s="2167"/>
      <c r="K104" s="1256"/>
      <c r="L104" s="2167"/>
      <c r="M104" s="2167"/>
      <c r="N104" s="1256"/>
      <c r="O104" s="1250"/>
      <c r="P104" s="1250"/>
      <c r="Q104" s="1265"/>
      <c r="R104" s="1250"/>
      <c r="S104" s="1250"/>
    </row>
    <row r="105" spans="2:19" s="332" customFormat="1" ht="11.25" customHeight="1">
      <c r="B105" s="334" t="s">
        <v>1823</v>
      </c>
      <c r="C105" s="334" t="s">
        <v>303</v>
      </c>
      <c r="H105" s="2061" t="s">
        <v>4429</v>
      </c>
      <c r="I105" s="2121"/>
      <c r="J105" s="2121"/>
      <c r="K105" s="2121"/>
      <c r="L105" s="2121"/>
      <c r="M105" s="2121"/>
      <c r="N105" s="2122"/>
      <c r="O105" s="1254" t="s">
        <v>2088</v>
      </c>
      <c r="P105" s="1254"/>
      <c r="Q105" s="2061" t="s">
        <v>4430</v>
      </c>
      <c r="R105" s="2121"/>
      <c r="S105" s="2122"/>
    </row>
    <row r="106" spans="2:19" s="332" customFormat="1" ht="11.25" customHeight="1">
      <c r="D106" s="372"/>
      <c r="E106" s="337" t="s">
        <v>1071</v>
      </c>
      <c r="F106" s="344"/>
      <c r="H106" s="2061" t="s">
        <v>4431</v>
      </c>
      <c r="I106" s="2121"/>
      <c r="J106" s="2121"/>
      <c r="K106" s="2121"/>
      <c r="L106" s="2121"/>
      <c r="M106" s="2121"/>
      <c r="N106" s="2122"/>
      <c r="O106" s="1254" t="s">
        <v>1835</v>
      </c>
      <c r="Q106" s="2061" t="s">
        <v>4432</v>
      </c>
      <c r="R106" s="2121"/>
      <c r="S106" s="2122"/>
    </row>
    <row r="107" spans="2:19" s="332" customFormat="1" ht="11.25" customHeight="1">
      <c r="D107" s="372"/>
      <c r="E107" s="337" t="s">
        <v>649</v>
      </c>
      <c r="H107" s="2061" t="s">
        <v>4433</v>
      </c>
      <c r="I107" s="2121"/>
      <c r="J107" s="2122"/>
      <c r="K107" s="1257" t="s">
        <v>2875</v>
      </c>
      <c r="L107" s="2061" t="s">
        <v>1017</v>
      </c>
      <c r="M107" s="2121"/>
      <c r="N107" s="2122"/>
      <c r="O107" s="1254" t="s">
        <v>1891</v>
      </c>
      <c r="Q107" s="2069">
        <v>2564133057</v>
      </c>
      <c r="R107" s="2074"/>
      <c r="S107" s="2070"/>
    </row>
    <row r="108" spans="2:19" s="332" customFormat="1" ht="11.25" customHeight="1">
      <c r="D108" s="372"/>
      <c r="E108" s="337" t="s">
        <v>1887</v>
      </c>
      <c r="H108" s="2075" t="s">
        <v>880</v>
      </c>
      <c r="I108" s="359" t="s">
        <v>2336</v>
      </c>
      <c r="J108" s="2072">
        <v>359063206</v>
      </c>
      <c r="K108" s="2122"/>
      <c r="O108" s="1254" t="s">
        <v>2077</v>
      </c>
      <c r="Q108" s="2069">
        <v>2563905972</v>
      </c>
      <c r="R108" s="2074"/>
      <c r="S108" s="2070"/>
    </row>
    <row r="109" spans="2:19" ht="11.25" customHeight="1">
      <c r="E109" s="337" t="s">
        <v>2083</v>
      </c>
      <c r="F109" s="332"/>
      <c r="G109" s="332"/>
      <c r="H109" s="2069">
        <v>2564133057</v>
      </c>
      <c r="I109" s="2070"/>
      <c r="J109" s="2160"/>
      <c r="K109" s="1265" t="s">
        <v>1890</v>
      </c>
      <c r="L109" s="2107">
        <v>2564133058</v>
      </c>
      <c r="M109" s="2122"/>
      <c r="N109" s="339" t="s">
        <v>2082</v>
      </c>
      <c r="O109" s="2076" t="s">
        <v>4434</v>
      </c>
      <c r="P109" s="2077"/>
      <c r="Q109" s="2077"/>
      <c r="R109" s="2077"/>
      <c r="S109" s="2078"/>
    </row>
    <row r="110" spans="2:19" ht="6.6" customHeight="1">
      <c r="E110" s="337"/>
      <c r="F110" s="332"/>
      <c r="G110" s="1262"/>
      <c r="H110" s="2165"/>
      <c r="I110" s="2165"/>
      <c r="J110" s="2165"/>
      <c r="K110" s="1265"/>
      <c r="L110" s="2165"/>
      <c r="M110" s="2165"/>
      <c r="N110" s="1256"/>
      <c r="O110" s="1250"/>
      <c r="P110" s="1250"/>
      <c r="Q110" s="1265"/>
      <c r="R110" s="1250"/>
      <c r="S110" s="1250"/>
    </row>
    <row r="111" spans="2:19" s="332" customFormat="1" ht="11.25" customHeight="1">
      <c r="B111" s="334" t="s">
        <v>1824</v>
      </c>
      <c r="C111" s="334" t="s">
        <v>304</v>
      </c>
      <c r="H111" s="2061" t="s">
        <v>4435</v>
      </c>
      <c r="I111" s="2121"/>
      <c r="J111" s="2121"/>
      <c r="K111" s="2121"/>
      <c r="L111" s="2121"/>
      <c r="M111" s="2121"/>
      <c r="N111" s="2122"/>
      <c r="O111" s="1254" t="s">
        <v>2088</v>
      </c>
      <c r="P111" s="1254"/>
      <c r="Q111" s="2061" t="s">
        <v>4436</v>
      </c>
      <c r="R111" s="2121"/>
      <c r="S111" s="2122"/>
    </row>
    <row r="112" spans="2:19" s="332" customFormat="1" ht="11.25" customHeight="1">
      <c r="D112" s="372"/>
      <c r="E112" s="337" t="s">
        <v>1071</v>
      </c>
      <c r="F112" s="344"/>
      <c r="H112" s="2061" t="s">
        <v>4437</v>
      </c>
      <c r="I112" s="2121"/>
      <c r="J112" s="2121"/>
      <c r="K112" s="2121"/>
      <c r="L112" s="2121"/>
      <c r="M112" s="2121"/>
      <c r="N112" s="2122"/>
      <c r="O112" s="1254" t="s">
        <v>1835</v>
      </c>
      <c r="Q112" s="2061" t="s">
        <v>4438</v>
      </c>
      <c r="R112" s="2121"/>
      <c r="S112" s="2122"/>
    </row>
    <row r="113" spans="1:19" s="332" customFormat="1" ht="11.25" customHeight="1">
      <c r="D113" s="372"/>
      <c r="E113" s="337" t="s">
        <v>649</v>
      </c>
      <c r="H113" s="2061" t="s">
        <v>4439</v>
      </c>
      <c r="I113" s="2121"/>
      <c r="J113" s="2122"/>
      <c r="K113" s="1257" t="s">
        <v>2875</v>
      </c>
      <c r="L113" s="2061" t="s">
        <v>4521</v>
      </c>
      <c r="M113" s="2121"/>
      <c r="N113" s="2122"/>
      <c r="O113" s="1254" t="s">
        <v>1891</v>
      </c>
      <c r="Q113" s="2069">
        <v>6608267000</v>
      </c>
      <c r="R113" s="2074"/>
      <c r="S113" s="2070"/>
    </row>
    <row r="114" spans="1:19" s="332" customFormat="1" ht="11.25" customHeight="1">
      <c r="D114" s="376"/>
      <c r="E114" s="337" t="s">
        <v>1887</v>
      </c>
      <c r="H114" s="2075" t="s">
        <v>1407</v>
      </c>
      <c r="I114" s="359" t="s">
        <v>2336</v>
      </c>
      <c r="J114" s="2072">
        <v>653012479</v>
      </c>
      <c r="K114" s="2122"/>
      <c r="O114" s="1254" t="s">
        <v>2077</v>
      </c>
      <c r="Q114" s="2069">
        <v>6602817041</v>
      </c>
      <c r="R114" s="2074"/>
      <c r="S114" s="2070"/>
    </row>
    <row r="115" spans="1:19" s="332" customFormat="1" ht="11.25" customHeight="1">
      <c r="D115" s="376"/>
      <c r="E115" s="337" t="s">
        <v>2083</v>
      </c>
      <c r="H115" s="2069">
        <v>6608267000</v>
      </c>
      <c r="I115" s="2070"/>
      <c r="J115" s="2160" t="s">
        <v>1017</v>
      </c>
      <c r="K115" s="1265" t="s">
        <v>1890</v>
      </c>
      <c r="L115" s="2107">
        <v>6608267666</v>
      </c>
      <c r="M115" s="2122"/>
      <c r="N115" s="339" t="s">
        <v>2082</v>
      </c>
      <c r="O115" s="2076" t="s">
        <v>4440</v>
      </c>
      <c r="P115" s="2077"/>
      <c r="Q115" s="2077"/>
      <c r="R115" s="2077"/>
      <c r="S115" s="2078"/>
    </row>
    <row r="116" spans="1:19" ht="4.5" customHeight="1"/>
    <row r="117" spans="1:19" s="332" customFormat="1" ht="13.15" customHeight="1">
      <c r="A117" s="334" t="s">
        <v>1880</v>
      </c>
      <c r="B117" s="334" t="s">
        <v>2731</v>
      </c>
      <c r="F117" s="334"/>
      <c r="G117" s="1265"/>
      <c r="H117" s="1265"/>
      <c r="I117" s="1265"/>
      <c r="J117" s="1265"/>
      <c r="K117" s="1265"/>
      <c r="L117" s="1265"/>
      <c r="M117" s="1265"/>
      <c r="N117" s="1265"/>
      <c r="O117" s="1265"/>
      <c r="P117" s="1265"/>
      <c r="Q117" s="1257"/>
    </row>
    <row r="118" spans="1:19" s="332" customFormat="1" ht="3" customHeight="1">
      <c r="A118" s="334"/>
      <c r="B118" s="334"/>
      <c r="F118" s="334"/>
      <c r="G118" s="1265"/>
      <c r="H118" s="1265"/>
      <c r="I118" s="1265"/>
      <c r="J118" s="1265"/>
      <c r="K118" s="1265"/>
      <c r="L118" s="1265"/>
      <c r="M118" s="1265"/>
      <c r="N118" s="1265"/>
      <c r="O118" s="1265"/>
      <c r="P118" s="1265"/>
      <c r="Q118" s="1257"/>
    </row>
    <row r="119" spans="1:19" ht="12" customHeight="1">
      <c r="B119" s="334" t="s">
        <v>2081</v>
      </c>
      <c r="C119" s="334" t="s">
        <v>3177</v>
      </c>
      <c r="H119" s="1251"/>
      <c r="I119" s="1251"/>
      <c r="J119" s="1251"/>
      <c r="K119" s="1251"/>
      <c r="L119" s="1251"/>
      <c r="M119" s="1251"/>
      <c r="N119" s="1251"/>
      <c r="O119" s="1251"/>
      <c r="P119" s="1251"/>
      <c r="Q119" s="1251"/>
      <c r="R119" s="1251"/>
      <c r="S119" s="1251"/>
    </row>
    <row r="120" spans="1:19" ht="11.25" customHeight="1">
      <c r="A120" s="1354" t="s">
        <v>4023</v>
      </c>
      <c r="B120" s="1354"/>
      <c r="C120" s="1354"/>
      <c r="D120" s="1354"/>
      <c r="E120" s="1355"/>
      <c r="F120" s="2169" t="s">
        <v>2636</v>
      </c>
      <c r="G120" s="2170" t="s">
        <v>4219</v>
      </c>
      <c r="H120" s="2171"/>
      <c r="I120" s="2171"/>
      <c r="J120" s="2171"/>
      <c r="K120" s="2171"/>
      <c r="L120" s="2171"/>
      <c r="M120" s="2171"/>
      <c r="N120" s="2171"/>
      <c r="O120" s="2171"/>
      <c r="P120" s="2171"/>
      <c r="Q120" s="2171"/>
      <c r="R120" s="2171"/>
      <c r="S120" s="2172"/>
    </row>
    <row r="121" spans="1:19" s="332" customFormat="1" ht="35.25" customHeight="1">
      <c r="B121" s="587"/>
      <c r="C121" s="888" t="s">
        <v>2085</v>
      </c>
      <c r="D121" s="1356" t="s">
        <v>3178</v>
      </c>
      <c r="E121" s="1357"/>
      <c r="F121" s="2173" t="s">
        <v>3425</v>
      </c>
      <c r="G121" s="2174"/>
      <c r="H121" s="2175"/>
      <c r="I121" s="2175"/>
      <c r="J121" s="2175"/>
      <c r="K121" s="2175"/>
      <c r="L121" s="2175"/>
      <c r="M121" s="2175"/>
      <c r="N121" s="2175"/>
      <c r="O121" s="2175"/>
      <c r="P121" s="2175"/>
      <c r="Q121" s="2175"/>
      <c r="R121" s="2175"/>
      <c r="S121" s="2176"/>
    </row>
    <row r="122" spans="1:19" s="332" customFormat="1" ht="35.25" customHeight="1">
      <c r="B122" s="587"/>
      <c r="C122" s="888" t="s">
        <v>2087</v>
      </c>
      <c r="D122" s="1356" t="s">
        <v>3298</v>
      </c>
      <c r="E122" s="1357"/>
      <c r="F122" s="2177" t="s">
        <v>3425</v>
      </c>
      <c r="G122" s="2178"/>
      <c r="H122" s="2179"/>
      <c r="I122" s="2179"/>
      <c r="J122" s="2179"/>
      <c r="K122" s="2179"/>
      <c r="L122" s="2179"/>
      <c r="M122" s="2179"/>
      <c r="N122" s="2179"/>
      <c r="O122" s="2179"/>
      <c r="P122" s="2179"/>
      <c r="Q122" s="2179"/>
      <c r="R122" s="2179"/>
      <c r="S122" s="2180"/>
    </row>
    <row r="123" spans="1:19" s="332" customFormat="1" ht="35.25" customHeight="1">
      <c r="B123" s="587"/>
      <c r="C123" s="888" t="s">
        <v>2661</v>
      </c>
      <c r="D123" s="1356" t="s">
        <v>3264</v>
      </c>
      <c r="E123" s="1357"/>
      <c r="F123" s="2177" t="s">
        <v>3425</v>
      </c>
      <c r="G123" s="2178"/>
      <c r="H123" s="2179"/>
      <c r="I123" s="2179"/>
      <c r="J123" s="2179"/>
      <c r="K123" s="2179"/>
      <c r="L123" s="2179"/>
      <c r="M123" s="2179"/>
      <c r="N123" s="2179"/>
      <c r="O123" s="2179"/>
      <c r="P123" s="2179"/>
      <c r="Q123" s="2179"/>
      <c r="R123" s="2179"/>
      <c r="S123" s="2180"/>
    </row>
    <row r="124" spans="1:19" s="332" customFormat="1" ht="35.25" customHeight="1">
      <c r="B124" s="587"/>
      <c r="C124" s="888" t="s">
        <v>1283</v>
      </c>
      <c r="D124" s="1356" t="s">
        <v>3179</v>
      </c>
      <c r="E124" s="1357"/>
      <c r="F124" s="2177" t="s">
        <v>3425</v>
      </c>
      <c r="G124" s="2178"/>
      <c r="H124" s="2179"/>
      <c r="I124" s="2179"/>
      <c r="J124" s="2179"/>
      <c r="K124" s="2179"/>
      <c r="L124" s="2179"/>
      <c r="M124" s="2179"/>
      <c r="N124" s="2179"/>
      <c r="O124" s="2179"/>
      <c r="P124" s="2179"/>
      <c r="Q124" s="2179"/>
      <c r="R124" s="2179"/>
      <c r="S124" s="2180"/>
    </row>
    <row r="125" spans="1:19" s="332" customFormat="1" ht="35.25" customHeight="1">
      <c r="B125" s="587"/>
      <c r="C125" s="888" t="s">
        <v>1284</v>
      </c>
      <c r="D125" s="1356" t="s">
        <v>4168</v>
      </c>
      <c r="E125" s="1357"/>
      <c r="F125" s="2177" t="s">
        <v>3425</v>
      </c>
      <c r="G125" s="2178"/>
      <c r="H125" s="2179"/>
      <c r="I125" s="2179"/>
      <c r="J125" s="2179"/>
      <c r="K125" s="2179"/>
      <c r="L125" s="2179"/>
      <c r="M125" s="2179"/>
      <c r="N125" s="2179"/>
      <c r="O125" s="2179"/>
      <c r="P125" s="2179"/>
      <c r="Q125" s="2179"/>
      <c r="R125" s="2179"/>
      <c r="S125" s="2180"/>
    </row>
    <row r="126" spans="1:19" s="332" customFormat="1" ht="35.25" customHeight="1">
      <c r="B126" s="587"/>
      <c r="C126" s="888" t="s">
        <v>1978</v>
      </c>
      <c r="D126" s="1356" t="s">
        <v>4169</v>
      </c>
      <c r="E126" s="1357"/>
      <c r="F126" s="2177" t="s">
        <v>3425</v>
      </c>
      <c r="G126" s="2178"/>
      <c r="H126" s="2179"/>
      <c r="I126" s="2179"/>
      <c r="J126" s="2179"/>
      <c r="K126" s="2179"/>
      <c r="L126" s="2179"/>
      <c r="M126" s="2179"/>
      <c r="N126" s="2179"/>
      <c r="O126" s="2179"/>
      <c r="P126" s="2179"/>
      <c r="Q126" s="2179"/>
      <c r="R126" s="2179"/>
      <c r="S126" s="2180"/>
    </row>
    <row r="127" spans="1:19" s="332" customFormat="1" ht="35.25" customHeight="1">
      <c r="B127" s="587"/>
      <c r="C127" s="888" t="s">
        <v>526</v>
      </c>
      <c r="D127" s="1356" t="s">
        <v>3180</v>
      </c>
      <c r="E127" s="1357"/>
      <c r="F127" s="2177" t="s">
        <v>3425</v>
      </c>
      <c r="G127" s="2178"/>
      <c r="H127" s="2179"/>
      <c r="I127" s="2179"/>
      <c r="J127" s="2179"/>
      <c r="K127" s="2179"/>
      <c r="L127" s="2179"/>
      <c r="M127" s="2179"/>
      <c r="N127" s="2179"/>
      <c r="O127" s="2179"/>
      <c r="P127" s="2179"/>
      <c r="Q127" s="2179"/>
      <c r="R127" s="2179"/>
      <c r="S127" s="2180"/>
    </row>
    <row r="128" spans="1:19" s="332" customFormat="1" ht="39" customHeight="1">
      <c r="B128" s="587"/>
      <c r="C128" s="888" t="s">
        <v>527</v>
      </c>
      <c r="D128" s="1356" t="s">
        <v>1679</v>
      </c>
      <c r="E128" s="1357"/>
      <c r="F128" s="2181" t="s">
        <v>3422</v>
      </c>
      <c r="G128" s="2182" t="s">
        <v>4522</v>
      </c>
      <c r="H128" s="2183"/>
      <c r="I128" s="2183"/>
      <c r="J128" s="2183"/>
      <c r="K128" s="2183"/>
      <c r="L128" s="2183"/>
      <c r="M128" s="2183"/>
      <c r="N128" s="2183"/>
      <c r="O128" s="2183"/>
      <c r="P128" s="2183"/>
      <c r="Q128" s="2183"/>
      <c r="R128" s="2183"/>
      <c r="S128" s="2184"/>
    </row>
    <row r="129" spans="1:19" s="332" customFormat="1" ht="13.15" customHeight="1">
      <c r="A129" s="334" t="s">
        <v>1880</v>
      </c>
      <c r="B129" s="334" t="s">
        <v>3190</v>
      </c>
      <c r="F129" s="334"/>
      <c r="G129" s="1265"/>
      <c r="H129" s="1265"/>
      <c r="I129" s="1265"/>
      <c r="J129" s="1265"/>
      <c r="K129" s="1265"/>
      <c r="L129" s="1265"/>
      <c r="M129" s="1265"/>
      <c r="N129" s="1265"/>
      <c r="O129" s="1265"/>
      <c r="P129" s="1265"/>
      <c r="Q129" s="1257"/>
    </row>
    <row r="130" spans="1:19" s="332" customFormat="1" ht="2.25" customHeight="1">
      <c r="A130" s="334"/>
      <c r="B130" s="334"/>
      <c r="F130" s="334"/>
      <c r="G130" s="1265"/>
      <c r="H130" s="1265"/>
      <c r="I130" s="1265"/>
      <c r="J130" s="1265"/>
      <c r="K130" s="1265"/>
      <c r="L130" s="1265"/>
      <c r="M130" s="1265"/>
      <c r="N130" s="1265"/>
      <c r="O130" s="1265"/>
      <c r="P130" s="1265"/>
      <c r="Q130" s="1257"/>
    </row>
    <row r="131" spans="1:19" ht="13.15" customHeight="1">
      <c r="B131" s="334" t="s">
        <v>2084</v>
      </c>
      <c r="C131" s="334" t="s">
        <v>3181</v>
      </c>
    </row>
    <row r="132" spans="1:19" s="332" customFormat="1" ht="13.5" customHeight="1">
      <c r="A132" s="1367" t="s">
        <v>671</v>
      </c>
      <c r="B132" s="1368"/>
      <c r="C132" s="1368"/>
      <c r="D132" s="1368"/>
      <c r="E132" s="1373" t="s">
        <v>4029</v>
      </c>
      <c r="F132" s="1374"/>
      <c r="G132" s="1374"/>
      <c r="H132" s="1374"/>
      <c r="I132" s="1375"/>
      <c r="J132" s="1390" t="s">
        <v>4030</v>
      </c>
      <c r="K132" s="1385" t="s">
        <v>3333</v>
      </c>
      <c r="L132" s="1385" t="s">
        <v>3334</v>
      </c>
      <c r="M132" s="1389" t="s">
        <v>4060</v>
      </c>
      <c r="N132" s="1374"/>
      <c r="O132" s="1374"/>
      <c r="P132" s="1374"/>
      <c r="Q132" s="1374"/>
      <c r="R132" s="1374"/>
      <c r="S132" s="1375"/>
    </row>
    <row r="133" spans="1:19" s="332" customFormat="1" ht="13.5" customHeight="1">
      <c r="A133" s="1369"/>
      <c r="B133" s="1370"/>
      <c r="C133" s="1370"/>
      <c r="D133" s="1370"/>
      <c r="E133" s="1376"/>
      <c r="F133" s="1377"/>
      <c r="G133" s="1377"/>
      <c r="H133" s="1377"/>
      <c r="I133" s="1378"/>
      <c r="J133" s="1391"/>
      <c r="K133" s="1386"/>
      <c r="L133" s="1386"/>
      <c r="M133" s="1376"/>
      <c r="N133" s="1377"/>
      <c r="O133" s="1377"/>
      <c r="P133" s="1377"/>
      <c r="Q133" s="1377"/>
      <c r="R133" s="1377"/>
      <c r="S133" s="1378"/>
    </row>
    <row r="134" spans="1:19" s="332" customFormat="1" ht="13.5" customHeight="1">
      <c r="A134" s="1369"/>
      <c r="B134" s="1370"/>
      <c r="C134" s="1370"/>
      <c r="D134" s="1370"/>
      <c r="E134" s="890"/>
      <c r="F134" s="891"/>
      <c r="G134" s="891"/>
      <c r="H134" s="891"/>
      <c r="I134" s="892"/>
      <c r="J134" s="1391"/>
      <c r="K134" s="1386"/>
      <c r="L134" s="1386"/>
      <c r="M134" s="1376"/>
      <c r="N134" s="1377"/>
      <c r="O134" s="1377"/>
      <c r="P134" s="1377"/>
      <c r="Q134" s="1377"/>
      <c r="R134" s="1377"/>
      <c r="S134" s="1378"/>
    </row>
    <row r="135" spans="1:19" s="332" customFormat="1" ht="13.5" customHeight="1">
      <c r="A135" s="1369"/>
      <c r="B135" s="1370"/>
      <c r="C135" s="1370"/>
      <c r="D135" s="1370"/>
      <c r="E135" s="1379" t="s">
        <v>4122</v>
      </c>
      <c r="F135" s="1380"/>
      <c r="G135" s="1380"/>
      <c r="H135" s="1381"/>
      <c r="I135" s="889"/>
      <c r="J135" s="1391"/>
      <c r="K135" s="1386"/>
      <c r="L135" s="1386"/>
      <c r="M135" s="1376"/>
      <c r="N135" s="1377"/>
      <c r="O135" s="1377"/>
      <c r="P135" s="1377"/>
      <c r="Q135" s="1377"/>
      <c r="R135" s="1377"/>
      <c r="S135" s="1378"/>
    </row>
    <row r="136" spans="1:19" s="332" customFormat="1" ht="13.5" customHeight="1">
      <c r="A136" s="1371"/>
      <c r="B136" s="1372"/>
      <c r="C136" s="1372"/>
      <c r="D136" s="1372"/>
      <c r="E136" s="1382"/>
      <c r="F136" s="1383"/>
      <c r="G136" s="1383"/>
      <c r="H136" s="1384"/>
      <c r="I136" s="1218" t="s">
        <v>2636</v>
      </c>
      <c r="J136" s="1392"/>
      <c r="K136" s="1387"/>
      <c r="L136" s="1386"/>
      <c r="M136" s="403" t="s">
        <v>2636</v>
      </c>
      <c r="N136" s="1342" t="s">
        <v>3332</v>
      </c>
      <c r="O136" s="1342"/>
      <c r="P136" s="1342"/>
      <c r="Q136" s="1342"/>
      <c r="R136" s="1342"/>
      <c r="S136" s="1388"/>
    </row>
    <row r="137" spans="1:19" s="332" customFormat="1" ht="25.5" customHeight="1">
      <c r="A137" s="1364" t="s">
        <v>4024</v>
      </c>
      <c r="B137" s="1365"/>
      <c r="C137" s="1365"/>
      <c r="D137" s="1366"/>
      <c r="E137" s="2174"/>
      <c r="F137" s="2175"/>
      <c r="G137" s="2175"/>
      <c r="H137" s="2175"/>
      <c r="I137" s="2185" t="s">
        <v>3425</v>
      </c>
      <c r="J137" s="2173" t="s">
        <v>3425</v>
      </c>
      <c r="K137" s="2186" t="s">
        <v>4441</v>
      </c>
      <c r="L137" s="2187">
        <v>1E-4</v>
      </c>
      <c r="M137" s="2188" t="s">
        <v>3425</v>
      </c>
      <c r="N137" s="2189"/>
      <c r="O137" s="2190"/>
      <c r="P137" s="2190"/>
      <c r="Q137" s="2190"/>
      <c r="R137" s="2190"/>
      <c r="S137" s="2191"/>
    </row>
    <row r="138" spans="1:19" s="332" customFormat="1" ht="25.5" customHeight="1">
      <c r="A138" s="1361" t="s">
        <v>4025</v>
      </c>
      <c r="B138" s="1362"/>
      <c r="C138" s="1362"/>
      <c r="D138" s="1363"/>
      <c r="E138" s="2178"/>
      <c r="F138" s="2179"/>
      <c r="G138" s="2179"/>
      <c r="H138" s="2179"/>
      <c r="I138" s="2192"/>
      <c r="J138" s="2177"/>
      <c r="K138" s="2193"/>
      <c r="L138" s="2194"/>
      <c r="M138" s="2195"/>
      <c r="N138" s="2196"/>
      <c r="O138" s="2197"/>
      <c r="P138" s="2197"/>
      <c r="Q138" s="2197"/>
      <c r="R138" s="2197"/>
      <c r="S138" s="2198"/>
    </row>
    <row r="139" spans="1:19" s="332" customFormat="1" ht="25.5" customHeight="1">
      <c r="A139" s="1361" t="s">
        <v>4026</v>
      </c>
      <c r="B139" s="1362"/>
      <c r="C139" s="1362"/>
      <c r="D139" s="1363"/>
      <c r="E139" s="2178"/>
      <c r="F139" s="2179"/>
      <c r="G139" s="2179"/>
      <c r="H139" s="2179"/>
      <c r="I139" s="2192"/>
      <c r="J139" s="2177"/>
      <c r="K139" s="2193"/>
      <c r="L139" s="2194"/>
      <c r="M139" s="2195"/>
      <c r="N139" s="2196"/>
      <c r="O139" s="2197"/>
      <c r="P139" s="2197"/>
      <c r="Q139" s="2197"/>
      <c r="R139" s="2197"/>
      <c r="S139" s="2198"/>
    </row>
    <row r="140" spans="1:19" s="332" customFormat="1" ht="25.5" customHeight="1">
      <c r="A140" s="1361" t="s">
        <v>4027</v>
      </c>
      <c r="B140" s="1362"/>
      <c r="C140" s="1362"/>
      <c r="D140" s="1363"/>
      <c r="E140" s="2178"/>
      <c r="F140" s="2179"/>
      <c r="G140" s="2179"/>
      <c r="H140" s="2179"/>
      <c r="I140" s="2192" t="s">
        <v>3425</v>
      </c>
      <c r="J140" s="2177" t="s">
        <v>3425</v>
      </c>
      <c r="K140" s="2193" t="s">
        <v>4441</v>
      </c>
      <c r="L140" s="2194">
        <v>0.9899</v>
      </c>
      <c r="M140" s="2195" t="s">
        <v>3425</v>
      </c>
      <c r="N140" s="2196"/>
      <c r="O140" s="2197"/>
      <c r="P140" s="2197"/>
      <c r="Q140" s="2197"/>
      <c r="R140" s="2197"/>
      <c r="S140" s="2198"/>
    </row>
    <row r="141" spans="1:19" s="332" customFormat="1" ht="25.5" customHeight="1">
      <c r="A141" s="1361" t="s">
        <v>4028</v>
      </c>
      <c r="B141" s="1362"/>
      <c r="C141" s="1362"/>
      <c r="D141" s="1363"/>
      <c r="E141" s="2178"/>
      <c r="F141" s="2179"/>
      <c r="G141" s="2179"/>
      <c r="H141" s="2179"/>
      <c r="I141" s="2192" t="s">
        <v>3425</v>
      </c>
      <c r="J141" s="2177" t="s">
        <v>3425</v>
      </c>
      <c r="K141" s="2193" t="s">
        <v>4441</v>
      </c>
      <c r="L141" s="2194">
        <v>0.01</v>
      </c>
      <c r="M141" s="2195" t="s">
        <v>3425</v>
      </c>
      <c r="N141" s="2196"/>
      <c r="O141" s="2197"/>
      <c r="P141" s="2197"/>
      <c r="Q141" s="2197"/>
      <c r="R141" s="2197"/>
      <c r="S141" s="2198"/>
    </row>
    <row r="142" spans="1:19" s="332" customFormat="1" ht="25.5" customHeight="1">
      <c r="A142" s="1361" t="s">
        <v>3291</v>
      </c>
      <c r="B142" s="1362"/>
      <c r="C142" s="1362"/>
      <c r="D142" s="1363"/>
      <c r="E142" s="2178"/>
      <c r="F142" s="2179"/>
      <c r="G142" s="2179"/>
      <c r="H142" s="2179"/>
      <c r="I142" s="2192" t="s">
        <v>3425</v>
      </c>
      <c r="J142" s="2177" t="s">
        <v>3425</v>
      </c>
      <c r="K142" s="2193" t="s">
        <v>2728</v>
      </c>
      <c r="L142" s="2194">
        <v>0</v>
      </c>
      <c r="M142" s="2195" t="s">
        <v>3425</v>
      </c>
      <c r="N142" s="2196"/>
      <c r="O142" s="2197"/>
      <c r="P142" s="2197"/>
      <c r="Q142" s="2197"/>
      <c r="R142" s="2197"/>
      <c r="S142" s="2198"/>
    </row>
    <row r="143" spans="1:19" s="332" customFormat="1" ht="25.5" customHeight="1">
      <c r="A143" s="1361" t="s">
        <v>688</v>
      </c>
      <c r="B143" s="1362"/>
      <c r="C143" s="1362"/>
      <c r="D143" s="1363"/>
      <c r="E143" s="2178"/>
      <c r="F143" s="2179"/>
      <c r="G143" s="2179"/>
      <c r="H143" s="2179"/>
      <c r="I143" s="2192" t="s">
        <v>3425</v>
      </c>
      <c r="J143" s="2177" t="s">
        <v>3425</v>
      </c>
      <c r="K143" s="2193" t="s">
        <v>4441</v>
      </c>
      <c r="L143" s="2194">
        <v>0</v>
      </c>
      <c r="M143" s="2195" t="s">
        <v>3425</v>
      </c>
      <c r="N143" s="2196"/>
      <c r="O143" s="2197"/>
      <c r="P143" s="2197"/>
      <c r="Q143" s="2197"/>
      <c r="R143" s="2197"/>
      <c r="S143" s="2198"/>
    </row>
    <row r="144" spans="1:19" s="332" customFormat="1" ht="25.5" customHeight="1">
      <c r="A144" s="1361" t="s">
        <v>3292</v>
      </c>
      <c r="B144" s="1362"/>
      <c r="C144" s="1362"/>
      <c r="D144" s="1363"/>
      <c r="E144" s="2178"/>
      <c r="F144" s="2179"/>
      <c r="G144" s="2179"/>
      <c r="H144" s="2179"/>
      <c r="I144" s="2192"/>
      <c r="J144" s="2177"/>
      <c r="K144" s="2193"/>
      <c r="L144" s="2194"/>
      <c r="M144" s="2195"/>
      <c r="N144" s="2196"/>
      <c r="O144" s="2197"/>
      <c r="P144" s="2197"/>
      <c r="Q144" s="2197"/>
      <c r="R144" s="2197"/>
      <c r="S144" s="2198"/>
    </row>
    <row r="145" spans="1:24" s="332" customFormat="1" ht="25.5" customHeight="1">
      <c r="A145" s="1361" t="s">
        <v>3293</v>
      </c>
      <c r="B145" s="1362"/>
      <c r="C145" s="1362"/>
      <c r="D145" s="1363"/>
      <c r="E145" s="2178"/>
      <c r="F145" s="2179"/>
      <c r="G145" s="2179"/>
      <c r="H145" s="2179"/>
      <c r="I145" s="2192"/>
      <c r="J145" s="2177"/>
      <c r="K145" s="2193"/>
      <c r="L145" s="2194"/>
      <c r="M145" s="2195"/>
      <c r="N145" s="2196"/>
      <c r="O145" s="2197"/>
      <c r="P145" s="2197"/>
      <c r="Q145" s="2197"/>
      <c r="R145" s="2197"/>
      <c r="S145" s="2198"/>
    </row>
    <row r="146" spans="1:24" s="332" customFormat="1" ht="25.5" customHeight="1">
      <c r="A146" s="1361" t="s">
        <v>3295</v>
      </c>
      <c r="B146" s="1362"/>
      <c r="C146" s="1362"/>
      <c r="D146" s="1363"/>
      <c r="E146" s="2178"/>
      <c r="F146" s="2179"/>
      <c r="G146" s="2179"/>
      <c r="H146" s="2179"/>
      <c r="I146" s="2192"/>
      <c r="J146" s="2177"/>
      <c r="K146" s="2193"/>
      <c r="L146" s="2194"/>
      <c r="M146" s="2195"/>
      <c r="N146" s="2196"/>
      <c r="O146" s="2197"/>
      <c r="P146" s="2197"/>
      <c r="Q146" s="2197"/>
      <c r="R146" s="2197"/>
      <c r="S146" s="2198"/>
    </row>
    <row r="147" spans="1:24" s="332" customFormat="1" ht="25.5" customHeight="1">
      <c r="A147" s="1361" t="s">
        <v>3294</v>
      </c>
      <c r="B147" s="1362"/>
      <c r="C147" s="1362"/>
      <c r="D147" s="1363"/>
      <c r="E147" s="2178"/>
      <c r="F147" s="2179"/>
      <c r="G147" s="2179"/>
      <c r="H147" s="2179"/>
      <c r="I147" s="2192"/>
      <c r="J147" s="2177"/>
      <c r="K147" s="2193"/>
      <c r="L147" s="2194"/>
      <c r="M147" s="2195"/>
      <c r="N147" s="2196"/>
      <c r="O147" s="2197"/>
      <c r="P147" s="2197"/>
      <c r="Q147" s="2197"/>
      <c r="R147" s="2197"/>
      <c r="S147" s="2198"/>
    </row>
    <row r="148" spans="1:24" s="332" customFormat="1" ht="25.5" customHeight="1">
      <c r="A148" s="1361" t="s">
        <v>1605</v>
      </c>
      <c r="B148" s="1362"/>
      <c r="C148" s="1362"/>
      <c r="D148" s="1363"/>
      <c r="E148" s="2178"/>
      <c r="F148" s="2179"/>
      <c r="G148" s="2179"/>
      <c r="H148" s="2179"/>
      <c r="I148" s="2192" t="s">
        <v>3425</v>
      </c>
      <c r="J148" s="2177" t="s">
        <v>3425</v>
      </c>
      <c r="K148" s="2193" t="s">
        <v>4441</v>
      </c>
      <c r="L148" s="2194">
        <v>0</v>
      </c>
      <c r="M148" s="2195" t="s">
        <v>3425</v>
      </c>
      <c r="N148" s="2196"/>
      <c r="O148" s="2197"/>
      <c r="P148" s="2197"/>
      <c r="Q148" s="2197"/>
      <c r="R148" s="2197"/>
      <c r="S148" s="2198"/>
    </row>
    <row r="149" spans="1:24" s="332" customFormat="1" ht="25.5" customHeight="1">
      <c r="A149" s="1358" t="s">
        <v>3296</v>
      </c>
      <c r="B149" s="1359"/>
      <c r="C149" s="1359"/>
      <c r="D149" s="1360"/>
      <c r="E149" s="2182"/>
      <c r="F149" s="2183"/>
      <c r="G149" s="2183"/>
      <c r="H149" s="2183"/>
      <c r="I149" s="2199" t="s">
        <v>3425</v>
      </c>
      <c r="J149" s="2181" t="s">
        <v>3425</v>
      </c>
      <c r="K149" s="2200" t="s">
        <v>4441</v>
      </c>
      <c r="L149" s="2201">
        <v>0</v>
      </c>
      <c r="M149" s="2202" t="s">
        <v>3425</v>
      </c>
      <c r="N149" s="2203"/>
      <c r="O149" s="2204"/>
      <c r="P149" s="2204"/>
      <c r="Q149" s="2204"/>
      <c r="R149" s="2204"/>
      <c r="S149" s="2205"/>
    </row>
    <row r="150" spans="1:24" s="1262" customFormat="1" ht="12" customHeight="1">
      <c r="G150" s="342"/>
      <c r="H150" s="342"/>
      <c r="I150" s="342"/>
      <c r="J150" s="1265"/>
      <c r="K150" s="355" t="s">
        <v>563</v>
      </c>
      <c r="L150" s="670">
        <f>SUM(L137:S149)</f>
        <v>1</v>
      </c>
      <c r="M150" s="1265"/>
      <c r="P150" s="1321"/>
    </row>
    <row r="151" spans="1:24" ht="11.25" customHeight="1">
      <c r="A151" s="357" t="s">
        <v>1882</v>
      </c>
      <c r="B151" s="371"/>
      <c r="C151" s="357" t="s">
        <v>599</v>
      </c>
      <c r="N151" s="357" t="s">
        <v>554</v>
      </c>
      <c r="O151" s="357" t="s">
        <v>81</v>
      </c>
    </row>
    <row r="152" spans="1:24" ht="60" customHeight="1">
      <c r="A152" s="2147" t="s">
        <v>4442</v>
      </c>
      <c r="B152" s="2148"/>
      <c r="C152" s="2148"/>
      <c r="D152" s="2148"/>
      <c r="E152" s="2148"/>
      <c r="F152" s="2148"/>
      <c r="G152" s="2148"/>
      <c r="H152" s="2148"/>
      <c r="I152" s="2148"/>
      <c r="J152" s="2148"/>
      <c r="K152" s="2148"/>
      <c r="L152" s="2148"/>
      <c r="M152" s="2149"/>
      <c r="N152" s="2150"/>
      <c r="O152" s="2151"/>
      <c r="P152" s="2151"/>
      <c r="Q152" s="2151"/>
      <c r="R152" s="2151"/>
      <c r="S152" s="2152"/>
      <c r="T152" s="1328" t="s">
        <v>2854</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06" t="s">
        <v>1887</v>
      </c>
    </row>
    <row r="158" spans="1:24" s="332" customFormat="1" ht="12" customHeight="1">
      <c r="A158" s="372"/>
      <c r="B158" s="348"/>
      <c r="C158" s="348"/>
      <c r="D158" s="348"/>
      <c r="E158" s="348"/>
      <c r="F158" s="348"/>
      <c r="G158" s="348"/>
      <c r="H158" s="348"/>
      <c r="I158" s="348"/>
      <c r="J158" s="348"/>
      <c r="K158" s="348"/>
      <c r="L158" s="348"/>
      <c r="M158" s="348"/>
      <c r="N158" s="348"/>
      <c r="O158" s="348"/>
      <c r="P158" s="2207" t="s">
        <v>880</v>
      </c>
    </row>
    <row r="159" spans="1:24" s="332" customFormat="1" ht="12" customHeight="1">
      <c r="A159" s="372"/>
      <c r="B159" s="348"/>
      <c r="C159" s="348"/>
      <c r="D159" s="348"/>
      <c r="E159" s="348"/>
      <c r="F159" s="348"/>
      <c r="G159" s="348"/>
      <c r="H159" s="348"/>
      <c r="I159" s="348"/>
      <c r="J159" s="348"/>
      <c r="K159" s="348"/>
      <c r="L159" s="348"/>
      <c r="M159" s="348"/>
      <c r="N159" s="348"/>
      <c r="O159" s="348"/>
      <c r="P159" s="2207" t="s">
        <v>881</v>
      </c>
    </row>
    <row r="160" spans="1:24" s="332" customFormat="1" ht="12" customHeight="1">
      <c r="A160" s="372"/>
      <c r="B160" s="348"/>
      <c r="C160" s="348"/>
      <c r="D160" s="348"/>
      <c r="E160" s="348"/>
      <c r="F160" s="348"/>
      <c r="G160" s="348"/>
      <c r="H160" s="348"/>
      <c r="I160" s="348"/>
      <c r="J160" s="348"/>
      <c r="K160" s="348"/>
      <c r="L160" s="348"/>
      <c r="M160" s="348"/>
      <c r="N160" s="348"/>
      <c r="O160" s="348"/>
      <c r="P160" s="2207" t="s">
        <v>882</v>
      </c>
    </row>
    <row r="161" spans="1:16" s="332" customFormat="1" ht="12" customHeight="1">
      <c r="A161" s="555"/>
      <c r="B161" s="348"/>
      <c r="C161" s="348"/>
      <c r="D161" s="348"/>
      <c r="E161" s="348"/>
      <c r="F161" s="348"/>
      <c r="G161" s="348"/>
      <c r="H161" s="348"/>
      <c r="I161" s="348"/>
      <c r="J161" s="348"/>
      <c r="K161" s="348"/>
      <c r="L161" s="348"/>
      <c r="M161" s="348"/>
      <c r="N161" s="348"/>
      <c r="O161" s="348"/>
      <c r="P161" s="2207" t="s">
        <v>883</v>
      </c>
    </row>
    <row r="162" spans="1:16" s="332" customFormat="1" ht="12" customHeight="1">
      <c r="B162" s="348"/>
      <c r="C162" s="348"/>
      <c r="D162" s="348"/>
      <c r="E162" s="348"/>
      <c r="F162" s="348"/>
      <c r="G162" s="348"/>
      <c r="H162" s="348"/>
      <c r="I162" s="348"/>
      <c r="J162" s="348"/>
      <c r="K162" s="348"/>
      <c r="L162" s="348"/>
      <c r="M162" s="348"/>
      <c r="N162" s="348"/>
      <c r="O162" s="348"/>
      <c r="P162" s="2207" t="s">
        <v>884</v>
      </c>
    </row>
    <row r="163" spans="1:16" s="332" customFormat="1" ht="12" customHeight="1">
      <c r="B163" s="348"/>
      <c r="C163" s="348"/>
      <c r="D163" s="348"/>
      <c r="E163" s="348"/>
      <c r="F163" s="348"/>
      <c r="G163" s="348"/>
      <c r="H163" s="348"/>
      <c r="I163" s="348"/>
      <c r="J163" s="348"/>
      <c r="K163" s="348"/>
      <c r="L163" s="348"/>
      <c r="M163" s="348"/>
      <c r="N163" s="348"/>
      <c r="O163" s="348"/>
      <c r="P163" s="2207" t="s">
        <v>885</v>
      </c>
    </row>
    <row r="164" spans="1:16" s="332" customFormat="1" ht="12" customHeight="1">
      <c r="B164" s="348"/>
      <c r="C164" s="348"/>
      <c r="D164" s="348"/>
      <c r="E164" s="348"/>
      <c r="F164" s="348"/>
      <c r="G164" s="348"/>
      <c r="H164" s="348"/>
      <c r="I164" s="348"/>
      <c r="J164" s="348"/>
      <c r="K164" s="348"/>
      <c r="L164" s="348"/>
      <c r="M164" s="348"/>
      <c r="N164" s="348"/>
      <c r="O164" s="348"/>
      <c r="P164" s="2207" t="s">
        <v>886</v>
      </c>
    </row>
    <row r="165" spans="1:16" s="332" customFormat="1" ht="12" customHeight="1">
      <c r="B165" s="348"/>
      <c r="C165" s="348"/>
      <c r="D165" s="348"/>
      <c r="E165" s="348"/>
      <c r="F165" s="348"/>
      <c r="G165" s="348"/>
      <c r="H165" s="348"/>
      <c r="I165" s="348"/>
      <c r="J165" s="348"/>
      <c r="K165" s="348"/>
      <c r="L165" s="348"/>
      <c r="M165" s="348"/>
      <c r="N165" s="348"/>
      <c r="O165" s="348"/>
      <c r="P165" s="2207" t="s">
        <v>887</v>
      </c>
    </row>
    <row r="166" spans="1:16" ht="12" customHeight="1">
      <c r="P166" s="2207" t="s">
        <v>888</v>
      </c>
    </row>
    <row r="167" spans="1:16" ht="12" customHeight="1">
      <c r="A167" s="357"/>
      <c r="P167" s="2207" t="s">
        <v>889</v>
      </c>
    </row>
    <row r="168" spans="1:16" ht="12" customHeight="1">
      <c r="P168" s="2207" t="s">
        <v>890</v>
      </c>
    </row>
    <row r="169" spans="1:16" ht="12" customHeight="1">
      <c r="P169" s="2207" t="s">
        <v>891</v>
      </c>
    </row>
    <row r="170" spans="1:16" ht="12" customHeight="1">
      <c r="P170" s="2207" t="s">
        <v>892</v>
      </c>
    </row>
    <row r="171" spans="1:16" ht="12" customHeight="1">
      <c r="P171" s="2207" t="s">
        <v>893</v>
      </c>
    </row>
    <row r="172" spans="1:16" ht="12" customHeight="1">
      <c r="P172" s="2207" t="s">
        <v>894</v>
      </c>
    </row>
    <row r="173" spans="1:16" ht="12" customHeight="1">
      <c r="P173" s="2207" t="s">
        <v>895</v>
      </c>
    </row>
    <row r="174" spans="1:16" ht="12" customHeight="1">
      <c r="P174" s="2207" t="s">
        <v>896</v>
      </c>
    </row>
    <row r="175" spans="1:16" ht="12" customHeight="1">
      <c r="P175" s="2207" t="s">
        <v>897</v>
      </c>
    </row>
    <row r="176" spans="1:16" ht="12" customHeight="1">
      <c r="P176" s="2207" t="s">
        <v>898</v>
      </c>
    </row>
    <row r="177" spans="16:16" ht="12" customHeight="1">
      <c r="P177" s="2207" t="s">
        <v>899</v>
      </c>
    </row>
    <row r="178" spans="16:16" ht="12" customHeight="1">
      <c r="P178" s="2207" t="s">
        <v>900</v>
      </c>
    </row>
    <row r="179" spans="16:16" ht="12" customHeight="1">
      <c r="P179" s="2207" t="s">
        <v>901</v>
      </c>
    </row>
    <row r="180" spans="16:16" ht="12" customHeight="1">
      <c r="P180" s="2207" t="s">
        <v>902</v>
      </c>
    </row>
    <row r="181" spans="16:16" ht="12" customHeight="1">
      <c r="P181" s="2207" t="s">
        <v>903</v>
      </c>
    </row>
    <row r="182" spans="16:16" ht="12" customHeight="1">
      <c r="P182" s="2207" t="s">
        <v>904</v>
      </c>
    </row>
    <row r="183" spans="16:16" ht="12" customHeight="1">
      <c r="P183" s="2207" t="s">
        <v>1407</v>
      </c>
    </row>
    <row r="184" spans="16:16" ht="12" customHeight="1">
      <c r="P184" s="2207" t="s">
        <v>1408</v>
      </c>
    </row>
    <row r="185" spans="16:16" ht="12" customHeight="1">
      <c r="P185" s="2207" t="s">
        <v>1409</v>
      </c>
    </row>
    <row r="186" spans="16:16" ht="12" customHeight="1">
      <c r="P186" s="2207" t="s">
        <v>1410</v>
      </c>
    </row>
    <row r="187" spans="16:16" ht="12" customHeight="1">
      <c r="P187" s="2207" t="s">
        <v>1411</v>
      </c>
    </row>
    <row r="188" spans="16:16" ht="13.5">
      <c r="P188" s="2207" t="s">
        <v>1412</v>
      </c>
    </row>
    <row r="189" spans="16:16" ht="12" customHeight="1">
      <c r="P189" s="2207" t="s">
        <v>1413</v>
      </c>
    </row>
    <row r="190" spans="16:16" ht="12" customHeight="1">
      <c r="P190" s="2207" t="s">
        <v>1414</v>
      </c>
    </row>
    <row r="191" spans="16:16" ht="12" customHeight="1">
      <c r="P191" s="2207" t="s">
        <v>1415</v>
      </c>
    </row>
    <row r="192" spans="16:16" ht="12" customHeight="1">
      <c r="P192" s="2207" t="s">
        <v>1416</v>
      </c>
    </row>
    <row r="193" spans="16:16" ht="12" customHeight="1">
      <c r="P193" s="2207" t="s">
        <v>1417</v>
      </c>
    </row>
    <row r="194" spans="16:16" ht="12" customHeight="1">
      <c r="P194" s="2207" t="s">
        <v>1418</v>
      </c>
    </row>
    <row r="195" spans="16:16" ht="12" customHeight="1">
      <c r="P195" s="2207" t="s">
        <v>1419</v>
      </c>
    </row>
    <row r="196" spans="16:16" ht="12" customHeight="1">
      <c r="P196" s="2207" t="s">
        <v>1420</v>
      </c>
    </row>
    <row r="197" spans="16:16" ht="12" customHeight="1">
      <c r="P197" s="2207" t="s">
        <v>1421</v>
      </c>
    </row>
    <row r="198" spans="16:16" ht="12" customHeight="1">
      <c r="P198" s="2207" t="s">
        <v>1422</v>
      </c>
    </row>
    <row r="199" spans="16:16" ht="12" customHeight="1">
      <c r="P199" s="2207" t="s">
        <v>1423</v>
      </c>
    </row>
    <row r="200" spans="16:16" ht="12" customHeight="1">
      <c r="P200" s="2207" t="s">
        <v>1424</v>
      </c>
    </row>
    <row r="201" spans="16:16" ht="12" customHeight="1">
      <c r="P201" s="2207" t="s">
        <v>1425</v>
      </c>
    </row>
    <row r="202" spans="16:16" ht="12" customHeight="1">
      <c r="P202" s="2207" t="s">
        <v>1426</v>
      </c>
    </row>
    <row r="203" spans="16:16" ht="12" customHeight="1">
      <c r="P203" s="2207" t="s">
        <v>1427</v>
      </c>
    </row>
    <row r="204" spans="16:16" ht="12" customHeight="1">
      <c r="P204" s="2207" t="s">
        <v>1428</v>
      </c>
    </row>
    <row r="205" spans="16:16" ht="12" customHeight="1">
      <c r="P205" s="2207" t="s">
        <v>1429</v>
      </c>
    </row>
    <row r="206" spans="16:16" ht="12" customHeight="1">
      <c r="P206" s="2207" t="s">
        <v>1430</v>
      </c>
    </row>
    <row r="207" spans="16:16" ht="12" customHeight="1">
      <c r="P207" s="2207" t="s">
        <v>1431</v>
      </c>
    </row>
    <row r="208" spans="16:16" ht="12" customHeight="1">
      <c r="P208" s="2207" t="s">
        <v>1432</v>
      </c>
    </row>
  </sheetData>
  <sheetProtection algorithmName="SHA-512" hashValue="sSd06VXAky6BvnOYRZxbt2ZkKx2qMZTtfBoUDOxG4MML9NHvvquK2RqjEY8RTgL+mrx/HdjvfoDdcKS4oR0zzA==" saltValue="QbkI2+KEDG7x6y0JDdB45A==" spinCount="100000" sheet="1" objects="1" scenarios="1" formatColumns="0" formatRows="0"/>
  <mergeCells count="274">
    <mergeCell ref="H34:N3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Q33:S33"/>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35:J35"/>
    <mergeCell ref="H33:N33"/>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9"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93" t="str">
        <f>CONCATENATE("PART THREE - SOURCES OF FUNDS","  -  ",'Part I-Project Information'!$O$4," ",'Part I-Project Information'!$F$24,", ",'Part I-Project Information'!$F$28,", ",'Part I-Project Information'!$J$29," County")</f>
        <v>PART THREE - SOURCES OF FUNDS  -  2015-009 The Cove at York, Centerville, Houston County</v>
      </c>
      <c r="B1" s="1394"/>
      <c r="C1" s="1394"/>
      <c r="D1" s="1394"/>
      <c r="E1" s="1394"/>
      <c r="F1" s="1394"/>
      <c r="G1" s="1394"/>
      <c r="H1" s="1394"/>
      <c r="I1" s="1394"/>
      <c r="J1" s="1394"/>
      <c r="K1" s="1394"/>
      <c r="L1" s="1394"/>
      <c r="M1" s="1394"/>
      <c r="N1" s="1394"/>
      <c r="O1" s="1394"/>
      <c r="P1" s="1394"/>
      <c r="Q1" s="1395"/>
      <c r="S1" s="1396" t="str">
        <f>$A$1</f>
        <v>PART THREE - SOURCES OF FUNDS  -  2015-009 The Cove at York, Centerville, Houston County</v>
      </c>
      <c r="T1" s="1396"/>
    </row>
    <row r="2" spans="1:20" ht="17.45" customHeight="1">
      <c r="A2" s="348"/>
      <c r="B2" s="348"/>
      <c r="C2" s="348"/>
      <c r="D2" s="348"/>
      <c r="E2" s="348"/>
      <c r="F2" s="348"/>
      <c r="G2" s="348"/>
      <c r="H2" s="2049" t="s">
        <v>4387</v>
      </c>
      <c r="I2" s="2050"/>
      <c r="J2" s="2051"/>
      <c r="K2" s="348"/>
      <c r="L2" s="348"/>
      <c r="M2" s="348"/>
      <c r="N2" s="348"/>
      <c r="O2" s="348"/>
      <c r="P2" s="348"/>
      <c r="Q2" s="348"/>
    </row>
    <row r="3" spans="1:20" s="301" customFormat="1" ht="13.15" customHeight="1">
      <c r="A3" s="334" t="s">
        <v>647</v>
      </c>
      <c r="B3" s="351" t="s">
        <v>2614</v>
      </c>
      <c r="C3" s="332"/>
      <c r="D3" s="1262"/>
      <c r="E3" s="1262"/>
      <c r="F3" s="1262"/>
      <c r="G3" s="1262"/>
      <c r="J3" s="1262"/>
      <c r="M3" s="1262"/>
      <c r="N3" s="1262"/>
      <c r="S3" s="379" t="str">
        <f>B3</f>
        <v>GOVERNMENT FUNDING SOURCES  (check all that apply)</v>
      </c>
    </row>
    <row r="4" spans="1:20" s="301" customFormat="1" ht="15.75" customHeight="1">
      <c r="A4" s="357"/>
      <c r="B4" s="555"/>
      <c r="C4" s="351"/>
      <c r="D4" s="1262"/>
      <c r="E4" s="1262"/>
      <c r="F4" s="1262"/>
      <c r="G4" s="1262"/>
      <c r="S4" s="1397" t="s">
        <v>2826</v>
      </c>
      <c r="T4" s="1397"/>
    </row>
    <row r="5" spans="1:20" s="301" customFormat="1" ht="15.75" customHeight="1">
      <c r="A5" s="555"/>
      <c r="B5" s="2208" t="s">
        <v>3422</v>
      </c>
      <c r="C5" s="1254" t="s">
        <v>2530</v>
      </c>
      <c r="D5" s="332"/>
      <c r="H5" s="2208" t="s">
        <v>3425</v>
      </c>
      <c r="I5" s="337" t="s">
        <v>2737</v>
      </c>
      <c r="N5" s="2208" t="s">
        <v>3425</v>
      </c>
      <c r="O5" s="337" t="s">
        <v>3104</v>
      </c>
      <c r="S5" s="2209"/>
      <c r="T5" s="2210"/>
    </row>
    <row r="6" spans="1:20" s="301" customFormat="1" ht="15.75" customHeight="1">
      <c r="A6" s="555"/>
      <c r="B6" s="2211" t="s">
        <v>3425</v>
      </c>
      <c r="C6" s="1254" t="s">
        <v>574</v>
      </c>
      <c r="D6" s="332"/>
      <c r="H6" s="2211" t="s">
        <v>3425</v>
      </c>
      <c r="I6" s="337" t="s">
        <v>4204</v>
      </c>
      <c r="K6" s="325"/>
      <c r="L6" s="325"/>
      <c r="N6" s="2211" t="s">
        <v>3425</v>
      </c>
      <c r="O6" s="1254" t="s">
        <v>1613</v>
      </c>
      <c r="Q6" s="587"/>
      <c r="S6" s="2212"/>
      <c r="T6" s="2213"/>
    </row>
    <row r="7" spans="1:20" s="301" customFormat="1" ht="15.75" customHeight="1">
      <c r="A7" s="332"/>
      <c r="B7" s="2211" t="s">
        <v>3425</v>
      </c>
      <c r="C7" s="1254" t="s">
        <v>1892</v>
      </c>
      <c r="H7" s="2211" t="s">
        <v>3425</v>
      </c>
      <c r="I7" s="1262" t="s">
        <v>2729</v>
      </c>
      <c r="N7" s="2211" t="s">
        <v>3425</v>
      </c>
      <c r="O7" s="1254" t="s">
        <v>573</v>
      </c>
      <c r="S7" s="2212"/>
      <c r="T7" s="2213"/>
    </row>
    <row r="8" spans="1:20" s="301" customFormat="1" ht="15.75" customHeight="1">
      <c r="A8" s="555"/>
      <c r="B8" s="2211" t="s">
        <v>3425</v>
      </c>
      <c r="C8" s="1254" t="s">
        <v>1893</v>
      </c>
      <c r="D8" s="332"/>
      <c r="H8" s="2211" t="s">
        <v>3425</v>
      </c>
      <c r="I8" s="353" t="s">
        <v>2730</v>
      </c>
      <c r="K8" s="337"/>
      <c r="L8" s="1254"/>
      <c r="N8" s="2214" t="s">
        <v>3425</v>
      </c>
      <c r="O8" s="332" t="s">
        <v>2738</v>
      </c>
      <c r="S8" s="2215"/>
      <c r="T8" s="2216"/>
    </row>
    <row r="9" spans="1:20" s="301" customFormat="1" ht="17.45" customHeight="1">
      <c r="A9" s="555"/>
      <c r="B9" s="2211" t="s">
        <v>3425</v>
      </c>
      <c r="C9" s="1254" t="s">
        <v>575</v>
      </c>
      <c r="H9" s="2214" t="s">
        <v>3425</v>
      </c>
      <c r="I9" s="332" t="s">
        <v>2736</v>
      </c>
      <c r="L9" s="332"/>
      <c r="P9" s="332"/>
      <c r="Q9" s="332"/>
    </row>
    <row r="10" spans="1:20" s="301" customFormat="1" ht="17.45" customHeight="1">
      <c r="A10" s="555"/>
      <c r="B10" s="2211" t="s">
        <v>3425</v>
      </c>
      <c r="C10" s="1254" t="s">
        <v>4035</v>
      </c>
      <c r="D10" s="332"/>
      <c r="G10" s="893" t="s">
        <v>4034</v>
      </c>
      <c r="H10" s="2217"/>
      <c r="I10" s="2218"/>
      <c r="N10" s="332"/>
      <c r="O10" s="332"/>
      <c r="Q10" s="332"/>
    </row>
    <row r="11" spans="1:20" s="301" customFormat="1" ht="17.45" customHeight="1">
      <c r="A11" s="555"/>
      <c r="B11" s="2211" t="s">
        <v>3425</v>
      </c>
      <c r="C11" s="1254" t="s">
        <v>2304</v>
      </c>
      <c r="H11" s="2219" t="s">
        <v>4033</v>
      </c>
      <c r="I11" s="2220"/>
      <c r="J11" s="2220"/>
      <c r="K11" s="2220"/>
      <c r="L11" s="2220"/>
      <c r="M11" s="2221"/>
      <c r="N11" s="332"/>
      <c r="O11" s="332"/>
      <c r="P11" s="332"/>
      <c r="Q11" s="332"/>
    </row>
    <row r="12" spans="1:20" s="301" customFormat="1" ht="17.45" customHeight="1">
      <c r="A12" s="555"/>
      <c r="B12" s="2214" t="s">
        <v>3425</v>
      </c>
      <c r="C12" s="2085" t="s">
        <v>4031</v>
      </c>
      <c r="D12" s="2086"/>
      <c r="E12" s="2086"/>
      <c r="F12" s="2086"/>
      <c r="G12" s="2087"/>
      <c r="H12" s="2219" t="s">
        <v>4032</v>
      </c>
      <c r="I12" s="2220"/>
      <c r="J12" s="2220"/>
      <c r="K12" s="2220"/>
      <c r="L12" s="2220"/>
      <c r="M12" s="2221"/>
      <c r="N12" s="332"/>
      <c r="O12" s="332"/>
      <c r="Q12" s="332"/>
    </row>
    <row r="13" spans="1:20" s="301" customFormat="1" ht="16.899999999999999" customHeight="1">
      <c r="A13" s="555"/>
      <c r="B13" s="301" t="s">
        <v>3029</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2455</v>
      </c>
      <c r="C15" s="332"/>
      <c r="D15" s="1262"/>
      <c r="E15" s="332"/>
      <c r="F15" s="332"/>
      <c r="G15" s="332"/>
      <c r="H15" s="301"/>
      <c r="I15" s="301"/>
      <c r="J15" s="334"/>
      <c r="K15" s="332"/>
      <c r="L15" s="332"/>
      <c r="M15" s="1262"/>
      <c r="N15" s="1330"/>
      <c r="O15" s="1330"/>
      <c r="P15" s="332"/>
      <c r="Q15" s="332"/>
      <c r="S15" s="379" t="str">
        <f>B15</f>
        <v>CONSTRUCTION FINANCING</v>
      </c>
    </row>
    <row r="16" spans="1:20" s="379" customFormat="1" ht="13.9" customHeight="1">
      <c r="A16" s="334"/>
      <c r="B16" s="300"/>
      <c r="C16" s="332"/>
      <c r="K16" s="332"/>
      <c r="L16" s="332"/>
      <c r="M16" s="1262"/>
      <c r="N16" s="1257"/>
      <c r="O16" s="1257"/>
      <c r="P16" s="332"/>
      <c r="Q16" s="332"/>
    </row>
    <row r="17" spans="1:20" s="301" customFormat="1" ht="16.899999999999999" customHeight="1">
      <c r="A17" s="332"/>
      <c r="B17" s="1254" t="s">
        <v>1965</v>
      </c>
      <c r="C17" s="332"/>
      <c r="D17" s="332"/>
      <c r="E17" s="332"/>
      <c r="F17" s="332"/>
      <c r="G17" s="332"/>
      <c r="H17" s="1409" t="s">
        <v>1362</v>
      </c>
      <c r="I17" s="1409"/>
      <c r="J17" s="1409"/>
      <c r="K17" s="1409"/>
      <c r="L17" s="1341" t="s">
        <v>2089</v>
      </c>
      <c r="M17" s="1341"/>
      <c r="N17" s="1341" t="s">
        <v>1583</v>
      </c>
      <c r="O17" s="1341"/>
      <c r="P17" s="1341" t="s">
        <v>1709</v>
      </c>
      <c r="Q17" s="1341"/>
      <c r="S17" s="1397" t="s">
        <v>2826</v>
      </c>
      <c r="T17" s="1397"/>
    </row>
    <row r="18" spans="1:20" s="301" customFormat="1" ht="16.899999999999999" customHeight="1">
      <c r="A18" s="332"/>
      <c r="B18" s="1400" t="s">
        <v>1668</v>
      </c>
      <c r="C18" s="1401"/>
      <c r="D18" s="1401"/>
      <c r="E18" s="1263"/>
      <c r="F18" s="1263"/>
      <c r="G18" s="1263"/>
      <c r="H18" s="2222" t="s">
        <v>4523</v>
      </c>
      <c r="I18" s="2223"/>
      <c r="J18" s="2223"/>
      <c r="K18" s="2224"/>
      <c r="L18" s="2225">
        <v>9078110</v>
      </c>
      <c r="M18" s="2226"/>
      <c r="N18" s="2227">
        <v>4.4999999999999998E-2</v>
      </c>
      <c r="O18" s="2228"/>
      <c r="P18" s="2229">
        <v>24</v>
      </c>
      <c r="Q18" s="2230"/>
      <c r="S18" s="2209"/>
      <c r="T18" s="2210"/>
    </row>
    <row r="19" spans="1:20" s="301" customFormat="1" ht="16.899999999999999" customHeight="1">
      <c r="A19" s="332"/>
      <c r="B19" s="1398" t="s">
        <v>1669</v>
      </c>
      <c r="C19" s="1399"/>
      <c r="D19" s="1399"/>
      <c r="E19" s="1262"/>
      <c r="F19" s="1262"/>
      <c r="G19" s="1262"/>
      <c r="H19" s="2231"/>
      <c r="I19" s="2232"/>
      <c r="J19" s="2232"/>
      <c r="K19" s="2233"/>
      <c r="L19" s="2234"/>
      <c r="M19" s="2235"/>
      <c r="N19" s="2236"/>
      <c r="O19" s="2237"/>
      <c r="P19" s="2238"/>
      <c r="Q19" s="2239"/>
      <c r="S19" s="2212"/>
      <c r="T19" s="2213"/>
    </row>
    <row r="20" spans="1:20" s="301" customFormat="1" ht="16.899999999999999" customHeight="1">
      <c r="A20" s="332"/>
      <c r="B20" s="1405" t="s">
        <v>1670</v>
      </c>
      <c r="C20" s="1406"/>
      <c r="D20" s="1406"/>
      <c r="E20" s="1269"/>
      <c r="F20" s="1269"/>
      <c r="G20" s="1269"/>
      <c r="H20" s="2240"/>
      <c r="I20" s="2241"/>
      <c r="J20" s="2241"/>
      <c r="K20" s="2242"/>
      <c r="L20" s="2243"/>
      <c r="M20" s="2244"/>
      <c r="N20" s="2245"/>
      <c r="O20" s="2246"/>
      <c r="P20" s="2247"/>
      <c r="Q20" s="2248"/>
      <c r="S20" s="2212"/>
      <c r="T20" s="2213"/>
    </row>
    <row r="21" spans="1:20" s="301" customFormat="1" ht="16.899999999999999" customHeight="1">
      <c r="A21" s="332"/>
      <c r="B21" s="1400" t="s">
        <v>2321</v>
      </c>
      <c r="C21" s="1401"/>
      <c r="D21" s="1401"/>
      <c r="E21" s="1262"/>
      <c r="F21" s="1262"/>
      <c r="G21" s="1262"/>
      <c r="H21" s="2249"/>
      <c r="I21" s="2250"/>
      <c r="J21" s="2250"/>
      <c r="K21" s="2251"/>
      <c r="L21" s="2252"/>
      <c r="M21" s="2253"/>
      <c r="N21" s="1402"/>
      <c r="O21" s="1403"/>
      <c r="P21" s="1404"/>
      <c r="Q21" s="1404"/>
      <c r="S21" s="2212"/>
      <c r="T21" s="2213"/>
    </row>
    <row r="22" spans="1:20" s="301" customFormat="1" ht="16.899999999999999" customHeight="1">
      <c r="A22" s="332"/>
      <c r="B22" s="1398" t="s">
        <v>843</v>
      </c>
      <c r="C22" s="1399"/>
      <c r="D22" s="1399"/>
      <c r="E22" s="1262"/>
      <c r="H22" s="2231"/>
      <c r="I22" s="2232"/>
      <c r="J22" s="2232"/>
      <c r="K22" s="2233"/>
      <c r="L22" s="2234"/>
      <c r="M22" s="2235"/>
      <c r="N22" s="1402"/>
      <c r="O22" s="1403"/>
      <c r="P22" s="1404"/>
      <c r="Q22" s="1404"/>
      <c r="S22" s="2212"/>
      <c r="T22" s="2213"/>
    </row>
    <row r="23" spans="1:20" s="301" customFormat="1" ht="16.899999999999999" customHeight="1">
      <c r="A23" s="332"/>
      <c r="B23" s="1398" t="s">
        <v>672</v>
      </c>
      <c r="C23" s="1399"/>
      <c r="D23" s="1399"/>
      <c r="E23" s="1262"/>
      <c r="H23" s="2231"/>
      <c r="I23" s="2232"/>
      <c r="J23" s="2232"/>
      <c r="K23" s="2233"/>
      <c r="L23" s="2234"/>
      <c r="M23" s="2235"/>
      <c r="N23" s="1402"/>
      <c r="O23" s="1403"/>
      <c r="P23" s="1404"/>
      <c r="Q23" s="1404"/>
      <c r="S23" s="2212"/>
      <c r="T23" s="2213"/>
    </row>
    <row r="24" spans="1:20" s="301" customFormat="1" ht="16.899999999999999" customHeight="1">
      <c r="A24" s="332"/>
      <c r="B24" s="1398" t="s">
        <v>844</v>
      </c>
      <c r="C24" s="1399"/>
      <c r="D24" s="1399"/>
      <c r="E24" s="1262"/>
      <c r="H24" s="2231" t="s">
        <v>4474</v>
      </c>
      <c r="I24" s="2232"/>
      <c r="J24" s="2232"/>
      <c r="K24" s="2233"/>
      <c r="L24" s="2234">
        <v>3598040</v>
      </c>
      <c r="M24" s="2235"/>
      <c r="N24" s="332"/>
      <c r="O24" s="332"/>
      <c r="P24" s="332"/>
      <c r="Q24" s="332"/>
      <c r="S24" s="2215"/>
      <c r="T24" s="2216"/>
    </row>
    <row r="25" spans="1:20" s="301" customFormat="1" ht="16.899999999999999" customHeight="1">
      <c r="A25" s="332"/>
      <c r="B25" s="1398" t="s">
        <v>845</v>
      </c>
      <c r="C25" s="1399"/>
      <c r="D25" s="1399"/>
      <c r="E25" s="1262"/>
      <c r="H25" s="2231" t="s">
        <v>4534</v>
      </c>
      <c r="I25" s="2232"/>
      <c r="J25" s="2232"/>
      <c r="K25" s="2233"/>
      <c r="L25" s="2234">
        <v>1834408</v>
      </c>
      <c r="M25" s="2235"/>
      <c r="N25" s="332"/>
      <c r="Q25" s="332"/>
      <c r="S25" s="2209"/>
      <c r="T25" s="2210"/>
    </row>
    <row r="26" spans="1:20" s="301" customFormat="1" ht="16.899999999999999" customHeight="1">
      <c r="A26" s="332"/>
      <c r="B26" s="1261" t="s">
        <v>253</v>
      </c>
      <c r="C26" s="1262"/>
      <c r="D26" s="2254"/>
      <c r="E26" s="2254"/>
      <c r="F26" s="2254"/>
      <c r="G26" s="2254"/>
      <c r="H26" s="2231"/>
      <c r="I26" s="2232"/>
      <c r="J26" s="2232"/>
      <c r="K26" s="2233"/>
      <c r="L26" s="2234"/>
      <c r="M26" s="2235"/>
      <c r="N26" s="332"/>
      <c r="Q26" s="332"/>
      <c r="S26" s="2212"/>
      <c r="T26" s="2213"/>
    </row>
    <row r="27" spans="1:20" s="301" customFormat="1" ht="16.899999999999999" customHeight="1">
      <c r="A27" s="332"/>
      <c r="B27" s="1261" t="s">
        <v>253</v>
      </c>
      <c r="C27" s="1262"/>
      <c r="D27" s="2255"/>
      <c r="E27" s="2255"/>
      <c r="F27" s="2255"/>
      <c r="G27" s="2255"/>
      <c r="H27" s="2231"/>
      <c r="I27" s="2232"/>
      <c r="J27" s="2232"/>
      <c r="K27" s="2233"/>
      <c r="L27" s="2234"/>
      <c r="M27" s="2235"/>
      <c r="N27" s="332"/>
      <c r="S27" s="2212"/>
      <c r="T27" s="2213"/>
    </row>
    <row r="28" spans="1:20" s="301" customFormat="1" ht="16.899999999999999" customHeight="1">
      <c r="A28" s="332"/>
      <c r="B28" s="1268" t="s">
        <v>253</v>
      </c>
      <c r="C28" s="1269"/>
      <c r="D28" s="2256"/>
      <c r="E28" s="2256"/>
      <c r="F28" s="2256"/>
      <c r="G28" s="2256"/>
      <c r="H28" s="2240"/>
      <c r="I28" s="2241"/>
      <c r="J28" s="2241"/>
      <c r="K28" s="2242"/>
      <c r="L28" s="2243"/>
      <c r="M28" s="2244"/>
      <c r="N28" s="332"/>
      <c r="S28" s="2212"/>
      <c r="T28" s="2213"/>
    </row>
    <row r="29" spans="1:20" s="301" customFormat="1" ht="16.899999999999999" customHeight="1">
      <c r="A29" s="332"/>
      <c r="B29" s="300" t="s">
        <v>1363</v>
      </c>
      <c r="C29" s="332"/>
      <c r="D29" s="332"/>
      <c r="E29" s="332"/>
      <c r="F29" s="332"/>
      <c r="G29" s="332"/>
      <c r="H29" s="332"/>
      <c r="I29" s="332"/>
      <c r="L29" s="1410">
        <f>SUM(L18:L28)</f>
        <v>14510558</v>
      </c>
      <c r="M29" s="1411"/>
      <c r="N29" s="348"/>
      <c r="S29" s="2212"/>
      <c r="T29" s="2213"/>
    </row>
    <row r="30" spans="1:20" s="301" customFormat="1" ht="16.899999999999999" customHeight="1">
      <c r="A30" s="332"/>
      <c r="B30" s="1254" t="s">
        <v>1364</v>
      </c>
      <c r="C30" s="332"/>
      <c r="D30" s="332"/>
      <c r="E30" s="332"/>
      <c r="F30" s="332"/>
      <c r="G30" s="332"/>
      <c r="H30" s="332"/>
      <c r="I30" s="332"/>
      <c r="L30" s="225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11653951</v>
      </c>
      <c r="M30" s="2258"/>
      <c r="N30" s="1219"/>
      <c r="S30" s="2212"/>
      <c r="T30" s="2213"/>
    </row>
    <row r="31" spans="1:20" s="301" customFormat="1" ht="16.899999999999999" customHeight="1">
      <c r="A31" s="332"/>
      <c r="B31" s="337" t="s">
        <v>2258</v>
      </c>
      <c r="C31" s="332"/>
      <c r="D31" s="332"/>
      <c r="E31" s="332"/>
      <c r="F31" s="332"/>
      <c r="G31" s="332"/>
      <c r="H31" s="332"/>
      <c r="I31" s="332"/>
      <c r="L31" s="1412">
        <f>L29-L30</f>
        <v>2856607</v>
      </c>
      <c r="M31" s="1413"/>
      <c r="N31" s="1219"/>
      <c r="S31" s="2215"/>
      <c r="T31" s="2216"/>
    </row>
    <row r="32" spans="1:20" ht="9.6" customHeight="1">
      <c r="A32" s="357"/>
      <c r="B32" s="300"/>
      <c r="C32" s="348"/>
      <c r="D32" s="348"/>
      <c r="E32" s="348"/>
      <c r="F32" s="348"/>
      <c r="G32" s="348"/>
      <c r="H32" s="348"/>
      <c r="I32" s="348"/>
      <c r="J32" s="348"/>
      <c r="K32" s="348"/>
      <c r="L32" s="348"/>
      <c r="M32" s="1265"/>
      <c r="N32" s="1265"/>
    </row>
    <row r="33" spans="1:20" ht="9.6" customHeight="1">
      <c r="A33" s="334" t="s">
        <v>782</v>
      </c>
      <c r="B33" s="300" t="s">
        <v>842</v>
      </c>
      <c r="C33" s="348"/>
      <c r="D33" s="348"/>
      <c r="E33" s="348"/>
      <c r="F33" s="348"/>
      <c r="G33" s="348"/>
      <c r="H33" s="348"/>
      <c r="I33" s="348"/>
      <c r="J33" s="348"/>
      <c r="K33" s="348"/>
      <c r="L33" s="348"/>
      <c r="M33" s="1265"/>
      <c r="N33" s="1265"/>
      <c r="O33" s="348"/>
      <c r="S33" s="379" t="str">
        <f>B33</f>
        <v>PERMANENT FINANCING</v>
      </c>
    </row>
    <row r="34" spans="1:20" s="301" customFormat="1" ht="13.15" customHeight="1">
      <c r="A34" s="332"/>
      <c r="B34" s="332"/>
      <c r="C34" s="332"/>
      <c r="D34" s="332"/>
      <c r="E34" s="332"/>
      <c r="F34" s="1265"/>
      <c r="G34" s="1265"/>
      <c r="H34" s="1404"/>
      <c r="I34" s="1404"/>
      <c r="K34" s="403" t="s">
        <v>2200</v>
      </c>
      <c r="L34" s="1265" t="s">
        <v>1360</v>
      </c>
      <c r="M34" s="1265" t="s">
        <v>1365</v>
      </c>
      <c r="N34" s="1421" t="s">
        <v>36</v>
      </c>
      <c r="O34" s="1421"/>
      <c r="P34" s="1265"/>
      <c r="Q34" s="334"/>
      <c r="S34" s="379"/>
    </row>
    <row r="35" spans="1:20" s="301" customFormat="1" ht="13.15" customHeight="1">
      <c r="A35" s="332"/>
      <c r="B35" s="1266" t="s">
        <v>1965</v>
      </c>
      <c r="C35" s="1269"/>
      <c r="D35" s="1269"/>
      <c r="E35" s="1335" t="s">
        <v>1362</v>
      </c>
      <c r="F35" s="1335"/>
      <c r="G35" s="1335"/>
      <c r="H35" s="1335"/>
      <c r="I35" s="1341" t="s">
        <v>510</v>
      </c>
      <c r="J35" s="1341"/>
      <c r="K35" s="1256" t="s">
        <v>1897</v>
      </c>
      <c r="L35" s="1256" t="s">
        <v>2320</v>
      </c>
      <c r="M35" s="1256" t="s">
        <v>2320</v>
      </c>
      <c r="N35" s="2259"/>
      <c r="O35" s="2259"/>
      <c r="P35" s="1341" t="s">
        <v>76</v>
      </c>
      <c r="Q35" s="1341"/>
      <c r="S35" s="1397" t="s">
        <v>2826</v>
      </c>
      <c r="T35" s="1397"/>
    </row>
    <row r="36" spans="1:20" s="301" customFormat="1" ht="13.15" customHeight="1">
      <c r="A36" s="332"/>
      <c r="B36" s="1400" t="s">
        <v>2742</v>
      </c>
      <c r="C36" s="1401"/>
      <c r="D36" s="1401"/>
      <c r="E36" s="2222" t="s">
        <v>4523</v>
      </c>
      <c r="F36" s="2223"/>
      <c r="G36" s="2223"/>
      <c r="H36" s="2224"/>
      <c r="I36" s="2260">
        <v>787492</v>
      </c>
      <c r="J36" s="2261"/>
      <c r="K36" s="2262">
        <v>0.06</v>
      </c>
      <c r="L36" s="2208">
        <v>10</v>
      </c>
      <c r="M36" s="2208">
        <v>10</v>
      </c>
      <c r="N36" s="2263">
        <f t="shared" ref="N36:N41" si="0">IF(OR(I36&lt;=0,I36=""),"",IF(P36="Amortizing",-PMT(K36/12,M36*12,I36,0,0)*12,""))</f>
        <v>104913.30853804009</v>
      </c>
      <c r="O36" s="2263"/>
      <c r="P36" s="2264" t="s">
        <v>4475</v>
      </c>
      <c r="Q36" s="2264"/>
      <c r="S36" s="2209"/>
      <c r="T36" s="2210"/>
    </row>
    <row r="37" spans="1:20" s="301" customFormat="1" ht="13.15" customHeight="1">
      <c r="A37" s="332"/>
      <c r="B37" s="1398" t="s">
        <v>2743</v>
      </c>
      <c r="C37" s="1399"/>
      <c r="D37" s="1399"/>
      <c r="E37" s="2231"/>
      <c r="F37" s="2232"/>
      <c r="G37" s="2232"/>
      <c r="H37" s="2233"/>
      <c r="I37" s="2265"/>
      <c r="J37" s="2266"/>
      <c r="K37" s="2267"/>
      <c r="L37" s="2211"/>
      <c r="M37" s="2211"/>
      <c r="N37" s="2268" t="str">
        <f t="shared" si="0"/>
        <v/>
      </c>
      <c r="O37" s="2268"/>
      <c r="P37" s="2269"/>
      <c r="Q37" s="2269"/>
      <c r="S37" s="2212"/>
      <c r="T37" s="2213"/>
    </row>
    <row r="38" spans="1:20" s="301" customFormat="1" ht="13.15" customHeight="1">
      <c r="A38" s="332"/>
      <c r="B38" s="1398" t="s">
        <v>2744</v>
      </c>
      <c r="C38" s="1399"/>
      <c r="D38" s="1399"/>
      <c r="E38" s="2231"/>
      <c r="F38" s="2232"/>
      <c r="G38" s="2232"/>
      <c r="H38" s="2233"/>
      <c r="I38" s="2265"/>
      <c r="J38" s="2266"/>
      <c r="K38" s="2267"/>
      <c r="L38" s="2211"/>
      <c r="M38" s="2211"/>
      <c r="N38" s="2268" t="str">
        <f t="shared" si="0"/>
        <v/>
      </c>
      <c r="O38" s="2268"/>
      <c r="P38" s="2269"/>
      <c r="Q38" s="2269"/>
      <c r="S38" s="2212"/>
      <c r="T38" s="2213"/>
    </row>
    <row r="39" spans="1:20" s="301" customFormat="1" ht="13.15" customHeight="1">
      <c r="A39" s="332"/>
      <c r="B39" s="1261" t="s">
        <v>781</v>
      </c>
      <c r="C39" s="2085"/>
      <c r="D39" s="2087"/>
      <c r="E39" s="2231"/>
      <c r="F39" s="2232"/>
      <c r="G39" s="2232"/>
      <c r="H39" s="2233"/>
      <c r="I39" s="2265"/>
      <c r="J39" s="2266"/>
      <c r="K39" s="2270"/>
      <c r="L39" s="2214"/>
      <c r="M39" s="2214"/>
      <c r="N39" s="2271" t="str">
        <f t="shared" si="0"/>
        <v/>
      </c>
      <c r="O39" s="2271"/>
      <c r="P39" s="2272"/>
      <c r="Q39" s="2272"/>
      <c r="S39" s="2212"/>
      <c r="T39" s="2213"/>
    </row>
    <row r="40" spans="1:20" s="301" customFormat="1" ht="13.15" customHeight="1">
      <c r="A40" s="332"/>
      <c r="B40" s="1261" t="s">
        <v>2938</v>
      </c>
      <c r="C40" s="1262"/>
      <c r="D40" s="1264"/>
      <c r="E40" s="2231"/>
      <c r="F40" s="2232"/>
      <c r="G40" s="2232"/>
      <c r="H40" s="2233"/>
      <c r="I40" s="2265"/>
      <c r="J40" s="2266"/>
      <c r="K40" s="529"/>
      <c r="L40" s="1260"/>
      <c r="M40" s="1260"/>
      <c r="N40" s="1427" t="str">
        <f t="shared" si="0"/>
        <v/>
      </c>
      <c r="O40" s="1427"/>
      <c r="P40" s="1426"/>
      <c r="Q40" s="1426"/>
      <c r="S40" s="2212"/>
      <c r="T40" s="2213"/>
    </row>
    <row r="41" spans="1:20" s="301" customFormat="1" ht="13.15" customHeight="1">
      <c r="A41" s="332"/>
      <c r="B41" s="1268" t="s">
        <v>237</v>
      </c>
      <c r="C41" s="1269"/>
      <c r="D41" s="404" t="str">
        <f>IF(OR(I41="",I41=0,'Part IV-Uses of Funds'!$G$116="",'Part IV-Uses of Funds'!$G$116=0),"",I41/'Part IV-Uses of Funds'!$G$116)</f>
        <v/>
      </c>
      <c r="E41" s="2240"/>
      <c r="F41" s="2241"/>
      <c r="G41" s="2241"/>
      <c r="H41" s="2242"/>
      <c r="I41" s="2273"/>
      <c r="J41" s="2274"/>
      <c r="K41" s="2275"/>
      <c r="L41" s="2276"/>
      <c r="M41" s="2276"/>
      <c r="N41" s="2277" t="str">
        <f t="shared" si="0"/>
        <v/>
      </c>
      <c r="O41" s="2278"/>
      <c r="P41" s="2279"/>
      <c r="Q41" s="2280"/>
      <c r="S41" s="2212"/>
      <c r="T41" s="2213"/>
    </row>
    <row r="42" spans="1:20" s="301" customFormat="1" ht="13.15" customHeight="1">
      <c r="A42" s="332"/>
      <c r="B42" s="1400" t="s">
        <v>2321</v>
      </c>
      <c r="C42" s="1401"/>
      <c r="D42" s="1414"/>
      <c r="E42" s="2249"/>
      <c r="F42" s="2250"/>
      <c r="G42" s="2250"/>
      <c r="H42" s="2251"/>
      <c r="I42" s="2281"/>
      <c r="J42" s="2282"/>
      <c r="K42" s="405"/>
      <c r="L42" s="405"/>
      <c r="M42" s="405"/>
      <c r="N42" s="405"/>
      <c r="O42" s="405"/>
      <c r="P42" s="405"/>
      <c r="Q42" s="405"/>
      <c r="S42" s="2209"/>
      <c r="T42" s="2210"/>
    </row>
    <row r="43" spans="1:20" s="301" customFormat="1" ht="13.15" customHeight="1">
      <c r="A43" s="332"/>
      <c r="B43" s="1398" t="s">
        <v>843</v>
      </c>
      <c r="C43" s="1399"/>
      <c r="D43" s="1415"/>
      <c r="E43" s="2231"/>
      <c r="F43" s="2232"/>
      <c r="G43" s="2232"/>
      <c r="H43" s="2233"/>
      <c r="I43" s="2265"/>
      <c r="J43" s="2266"/>
      <c r="L43" s="1420" t="s">
        <v>541</v>
      </c>
      <c r="M43" s="1420"/>
      <c r="N43" s="1419" t="s">
        <v>542</v>
      </c>
      <c r="O43" s="1419"/>
      <c r="P43" s="447" t="s">
        <v>540</v>
      </c>
      <c r="Q43" s="405"/>
      <c r="S43" s="2212"/>
      <c r="T43" s="2213"/>
    </row>
    <row r="44" spans="1:20" s="301" customFormat="1" ht="13.15" customHeight="1">
      <c r="A44" s="332"/>
      <c r="B44" s="1398" t="s">
        <v>844</v>
      </c>
      <c r="C44" s="1399"/>
      <c r="D44" s="1415"/>
      <c r="E44" s="2231" t="s">
        <v>4474</v>
      </c>
      <c r="F44" s="2232"/>
      <c r="G44" s="2232"/>
      <c r="H44" s="2233"/>
      <c r="I44" s="2265">
        <f>8994193+908</f>
        <v>8995101</v>
      </c>
      <c r="J44" s="2265"/>
      <c r="L44" s="1408">
        <f>'Part IV-Uses of Funds'!$J$173*10*'Part IV-Uses of Funds'!$N$166</f>
        <v>9085956.75</v>
      </c>
      <c r="M44" s="1408"/>
      <c r="N44" s="1418">
        <f>I44-L44</f>
        <v>-90855.75</v>
      </c>
      <c r="O44" s="1418"/>
      <c r="P44" s="448" t="s">
        <v>2688</v>
      </c>
      <c r="Q44" s="405"/>
      <c r="S44" s="2212"/>
      <c r="T44" s="2213"/>
    </row>
    <row r="45" spans="1:20" s="301" customFormat="1" ht="13.15" customHeight="1">
      <c r="A45" s="332"/>
      <c r="B45" s="1398" t="s">
        <v>845</v>
      </c>
      <c r="C45" s="1399"/>
      <c r="D45" s="1415"/>
      <c r="E45" s="2231" t="s">
        <v>4534</v>
      </c>
      <c r="F45" s="2232"/>
      <c r="G45" s="2232"/>
      <c r="H45" s="2233"/>
      <c r="I45" s="2265">
        <v>4586020</v>
      </c>
      <c r="J45" s="2265"/>
      <c r="L45" s="1408">
        <f>'Part IV-Uses of Funds'!$J$173*10*'Part IV-Uses of Funds'!$Q$166</f>
        <v>4495157.55</v>
      </c>
      <c r="M45" s="1408"/>
      <c r="N45" s="1418">
        <f>I45-L45</f>
        <v>90862.450000000186</v>
      </c>
      <c r="O45" s="1418"/>
      <c r="P45" s="449">
        <f>I44/I54</f>
        <v>0.6260243072870012</v>
      </c>
      <c r="Q45" s="405"/>
      <c r="S45" s="2212"/>
      <c r="T45" s="2213"/>
    </row>
    <row r="46" spans="1:20" s="301" customFormat="1" ht="13.15" customHeight="1">
      <c r="A46" s="332"/>
      <c r="B46" s="1398" t="s">
        <v>1481</v>
      </c>
      <c r="C46" s="1399"/>
      <c r="D46" s="1415"/>
      <c r="E46" s="2231"/>
      <c r="F46" s="2232"/>
      <c r="G46" s="2232"/>
      <c r="H46" s="2233"/>
      <c r="I46" s="2265"/>
      <c r="J46" s="2265"/>
      <c r="P46" s="449">
        <f>I45/I54</f>
        <v>0.31916928933920063</v>
      </c>
      <c r="Q46" s="405"/>
      <c r="S46" s="2215"/>
      <c r="T46" s="2216"/>
    </row>
    <row r="47" spans="1:20" s="301" customFormat="1" ht="13.15" customHeight="1">
      <c r="A47" s="332"/>
      <c r="B47" s="1261" t="s">
        <v>555</v>
      </c>
      <c r="C47" s="1262"/>
      <c r="D47" s="1264"/>
      <c r="E47" s="2231"/>
      <c r="F47" s="2232"/>
      <c r="G47" s="2232"/>
      <c r="H47" s="2233"/>
      <c r="I47" s="2265"/>
      <c r="J47" s="2265"/>
      <c r="K47" s="332"/>
      <c r="P47" s="450">
        <f>SUM(P45:P46)</f>
        <v>0.94519359662620184</v>
      </c>
      <c r="Q47" s="405"/>
      <c r="S47" s="2212"/>
      <c r="T47" s="2213"/>
    </row>
    <row r="48" spans="1:20" s="301" customFormat="1" ht="13.15" customHeight="1">
      <c r="A48" s="332"/>
      <c r="B48" s="1261" t="s">
        <v>1963</v>
      </c>
      <c r="C48" s="1262"/>
      <c r="D48" s="1264"/>
      <c r="E48" s="2231"/>
      <c r="F48" s="2232"/>
      <c r="G48" s="2232"/>
      <c r="H48" s="2233"/>
      <c r="I48" s="2265"/>
      <c r="J48" s="2265"/>
      <c r="N48" s="406"/>
      <c r="O48" s="406"/>
      <c r="P48" s="406"/>
      <c r="Q48" s="405"/>
      <c r="S48" s="2212"/>
      <c r="T48" s="2213"/>
    </row>
    <row r="49" spans="1:23" s="301" customFormat="1" ht="13.15" customHeight="1">
      <c r="A49" s="332"/>
      <c r="B49" s="1261" t="s">
        <v>1964</v>
      </c>
      <c r="C49" s="1262"/>
      <c r="D49" s="1264"/>
      <c r="E49" s="2231"/>
      <c r="F49" s="2232"/>
      <c r="G49" s="2232"/>
      <c r="H49" s="2233"/>
      <c r="I49" s="2265"/>
      <c r="J49" s="2265"/>
      <c r="M49" s="406"/>
      <c r="N49" s="406"/>
      <c r="O49" s="406"/>
      <c r="P49" s="406"/>
      <c r="Q49" s="405"/>
      <c r="S49" s="2212"/>
      <c r="T49" s="2213"/>
    </row>
    <row r="50" spans="1:23" s="301" customFormat="1" ht="13.15" customHeight="1">
      <c r="A50" s="332"/>
      <c r="B50" s="1261" t="s">
        <v>781</v>
      </c>
      <c r="C50" s="2254"/>
      <c r="D50" s="2254"/>
      <c r="E50" s="2231"/>
      <c r="F50" s="2232"/>
      <c r="G50" s="2232"/>
      <c r="H50" s="2233"/>
      <c r="I50" s="2265"/>
      <c r="J50" s="2265"/>
      <c r="M50" s="406"/>
      <c r="N50" s="406"/>
      <c r="O50" s="406"/>
      <c r="P50" s="406"/>
      <c r="Q50" s="405"/>
      <c r="S50" s="2212"/>
      <c r="T50" s="2213"/>
    </row>
    <row r="51" spans="1:23" s="301" customFormat="1" ht="13.15" customHeight="1">
      <c r="A51" s="332"/>
      <c r="B51" s="1261" t="s">
        <v>781</v>
      </c>
      <c r="C51" s="2255"/>
      <c r="D51" s="2255"/>
      <c r="E51" s="2231"/>
      <c r="F51" s="2232"/>
      <c r="G51" s="2232"/>
      <c r="H51" s="2233"/>
      <c r="I51" s="2265"/>
      <c r="J51" s="2265"/>
      <c r="K51" s="332"/>
      <c r="L51" s="407"/>
      <c r="M51" s="406"/>
      <c r="N51" s="406"/>
      <c r="O51" s="406"/>
      <c r="P51" s="406"/>
      <c r="Q51" s="405"/>
      <c r="S51" s="2212"/>
      <c r="T51" s="2213"/>
    </row>
    <row r="52" spans="1:23" s="301" customFormat="1" ht="13.15" customHeight="1">
      <c r="A52" s="332"/>
      <c r="B52" s="1268" t="s">
        <v>781</v>
      </c>
      <c r="C52" s="2256"/>
      <c r="D52" s="2256"/>
      <c r="E52" s="2240"/>
      <c r="F52" s="2241"/>
      <c r="G52" s="2241"/>
      <c r="H52" s="2242"/>
      <c r="I52" s="2273"/>
      <c r="J52" s="2273"/>
      <c r="K52" s="332"/>
      <c r="L52" s="407"/>
      <c r="M52" s="406"/>
      <c r="N52" s="406"/>
      <c r="O52" s="406"/>
      <c r="P52" s="406"/>
      <c r="Q52" s="405"/>
      <c r="S52" s="2212"/>
      <c r="T52" s="2213"/>
    </row>
    <row r="53" spans="1:23" s="301" customFormat="1" ht="13.15" customHeight="1">
      <c r="A53" s="332"/>
      <c r="B53" s="1254" t="s">
        <v>2322</v>
      </c>
      <c r="C53" s="332"/>
      <c r="D53" s="332"/>
      <c r="E53" s="332"/>
      <c r="F53" s="332"/>
      <c r="G53" s="332"/>
      <c r="I53" s="1424">
        <f>SUM(I36:J52)</f>
        <v>14368613</v>
      </c>
      <c r="J53" s="1425"/>
      <c r="K53" s="332"/>
      <c r="L53" s="407"/>
      <c r="M53" s="406"/>
      <c r="N53" s="406"/>
      <c r="O53" s="406"/>
      <c r="P53" s="406"/>
      <c r="Q53" s="405"/>
      <c r="S53" s="2212"/>
      <c r="T53" s="2213"/>
    </row>
    <row r="54" spans="1:23" s="301" customFormat="1" ht="13.15" customHeight="1" thickBot="1">
      <c r="A54" s="332"/>
      <c r="B54" s="1254" t="s">
        <v>2323</v>
      </c>
      <c r="C54" s="332"/>
      <c r="D54" s="332"/>
      <c r="E54" s="332"/>
      <c r="F54" s="332"/>
      <c r="G54" s="332"/>
      <c r="I54" s="1422">
        <f>'Part IV-Uses of Funds'!$G$130</f>
        <v>14368613</v>
      </c>
      <c r="J54" s="1423"/>
      <c r="K54" s="332"/>
      <c r="L54" s="407"/>
      <c r="M54" s="406"/>
      <c r="N54" s="406"/>
      <c r="O54" s="406"/>
      <c r="P54" s="406"/>
      <c r="Q54" s="405"/>
      <c r="S54" s="2212"/>
      <c r="T54" s="2213"/>
    </row>
    <row r="55" spans="1:23" s="301" customFormat="1" ht="13.15" customHeight="1" thickBot="1">
      <c r="A55" s="332"/>
      <c r="B55" s="337" t="s">
        <v>1601</v>
      </c>
      <c r="C55" s="332"/>
      <c r="D55" s="332"/>
      <c r="E55" s="332"/>
      <c r="F55" s="332"/>
      <c r="G55" s="332"/>
      <c r="I55" s="1416">
        <f>I53-I54</f>
        <v>0</v>
      </c>
      <c r="J55" s="1417"/>
      <c r="K55" s="332"/>
      <c r="L55" s="407"/>
      <c r="M55" s="406"/>
      <c r="N55" s="406"/>
      <c r="O55" s="406"/>
      <c r="P55" s="406"/>
      <c r="Q55" s="405"/>
      <c r="S55" s="2215"/>
      <c r="T55" s="2216"/>
    </row>
    <row r="56" spans="1:23" s="301" customFormat="1" ht="13.15" customHeight="1">
      <c r="A56" s="332" t="s">
        <v>4170</v>
      </c>
      <c r="B56" s="337"/>
      <c r="C56" s="332"/>
      <c r="D56" s="332"/>
      <c r="E56" s="332"/>
      <c r="F56" s="332"/>
      <c r="G56" s="332"/>
      <c r="H56" s="1319"/>
      <c r="I56" s="131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7" t="s">
        <v>4540</v>
      </c>
      <c r="B60" s="2283"/>
      <c r="C60" s="2283"/>
      <c r="D60" s="2283"/>
      <c r="E60" s="2283"/>
      <c r="F60" s="2283"/>
      <c r="G60" s="2283"/>
      <c r="H60" s="2283"/>
      <c r="I60" s="2283"/>
      <c r="J60" s="2284"/>
      <c r="K60" s="2150"/>
      <c r="L60" s="2283"/>
      <c r="M60" s="2283"/>
      <c r="N60" s="2283"/>
      <c r="O60" s="2283"/>
      <c r="P60" s="2283"/>
      <c r="Q60" s="2284"/>
      <c r="S60" s="1407" t="s">
        <v>2854</v>
      </c>
      <c r="T60" s="1407"/>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iO2CRBeOQHQMWfRLnzo9GtOMFYio+gQFNsliCxCaSxRRepMoDj3KyXKLCZMsARQPisr4NUgnsydWueANODQw1Q==" saltValue="CpVpolcO1yZ0/IdStZC4U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9"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36" t="str">
        <f>CONCATENATE("PART III B: USD 538 LOAN","  -  ",'Part I-Project Information'!$O$4," ",'Part I-Project Information'!$F$24,", ",'Part I-Project Information'!$F$28,", ",'Part I-Project Information'!$J$29," County")</f>
        <v>PART III B: USD 538 LOAN  -  2015-009 The Cove at York, Centerville, Houston County</v>
      </c>
      <c r="B1" s="1437"/>
      <c r="C1" s="1437"/>
      <c r="D1" s="1437"/>
      <c r="E1" s="1437"/>
      <c r="F1" s="1438"/>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29" t="s">
        <v>224</v>
      </c>
      <c r="B3" s="1429"/>
      <c r="C3" s="1429"/>
      <c r="D3" s="1429"/>
      <c r="E3" s="1429"/>
      <c r="F3" s="142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0" t="s">
        <v>130</v>
      </c>
      <c r="B14" s="1430"/>
      <c r="C14" s="1430"/>
      <c r="D14" s="1430"/>
      <c r="E14" s="1430"/>
      <c r="F14" s="1430"/>
      <c r="G14" s="215"/>
      <c r="H14" s="215"/>
    </row>
    <row r="15" spans="1:17" ht="5.45" customHeight="1">
      <c r="A15" s="29"/>
      <c r="E15" s="226"/>
      <c r="F15" s="215"/>
      <c r="G15" s="215"/>
      <c r="H15" s="215"/>
    </row>
    <row r="16" spans="1:17" ht="13.15" customHeight="1">
      <c r="A16" s="228" t="s">
        <v>2603</v>
      </c>
      <c r="B16" s="229" t="s">
        <v>2600</v>
      </c>
      <c r="C16" s="229" t="s">
        <v>2601</v>
      </c>
      <c r="D16" s="1439" t="s">
        <v>2363</v>
      </c>
      <c r="E16" s="1439"/>
      <c r="F16" s="215"/>
      <c r="G16" s="215"/>
      <c r="H16" s="215"/>
    </row>
    <row r="17" spans="1:8" ht="12.6" customHeight="1">
      <c r="A17" s="84">
        <v>1</v>
      </c>
      <c r="B17" s="204">
        <f>IF(A17&gt;$C$9,0,SUM(C64:C75)*($C$6/$C$7))</f>
        <v>0</v>
      </c>
      <c r="C17" s="227">
        <f>IF(A17&gt;C9,0,(E63+K63)*$C$8)</f>
        <v>0</v>
      </c>
      <c r="D17" s="1434">
        <f t="shared" ref="D17:D56" si="0">IF(A17&gt;$C$9,0,$C$11+C17)</f>
        <v>0</v>
      </c>
      <c r="E17" s="1434"/>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5">
        <f t="shared" si="0"/>
        <v>0</v>
      </c>
      <c r="E37" s="1435"/>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5">
        <f t="shared" si="0"/>
        <v>0</v>
      </c>
      <c r="E42" s="1435"/>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5">
        <f t="shared" si="0"/>
        <v>0</v>
      </c>
      <c r="E47" s="1435"/>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5">
        <f t="shared" si="0"/>
        <v>0</v>
      </c>
      <c r="E52" s="1435"/>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1" t="str">
        <f>CONCATENATE('Part I-Project Information'!$O$4," ",'Part I-Project Information'!$F$24,", ",'Part I-Project Information'!$F$28,", ",'Part I-Project Information'!$J$29," County")</f>
        <v>2015-009 The Cove at York, Centerville, Houston County</v>
      </c>
      <c r="B58" s="1431"/>
      <c r="C58" s="1431"/>
      <c r="D58" s="1431"/>
      <c r="E58" s="1431"/>
      <c r="F58" s="1431"/>
      <c r="G58" s="1431" t="str">
        <f>CONCATENATE('Part I-Project Information'!$O$4," ",'Part I-Project Information'!$F$24,", ",'Part I-Project Information'!$F$28,", ",'Part I-Project Information'!$J$29," County")</f>
        <v>2015-009 The Cove at York, Centerville, Houston County</v>
      </c>
      <c r="H58" s="1431"/>
      <c r="I58" s="1431"/>
      <c r="J58" s="1431"/>
      <c r="K58" s="1431"/>
      <c r="L58" s="1431"/>
    </row>
    <row r="59" spans="1:12" ht="15">
      <c r="A59" s="1428" t="s">
        <v>2594</v>
      </c>
      <c r="B59" s="1428"/>
      <c r="C59" s="1428"/>
      <c r="D59" s="1428"/>
      <c r="E59" s="1428"/>
      <c r="F59" s="1428"/>
      <c r="G59" s="1428" t="s">
        <v>2594</v>
      </c>
      <c r="H59" s="1428"/>
      <c r="I59" s="1428"/>
      <c r="J59" s="1428"/>
      <c r="K59" s="1428"/>
      <c r="L59" s="142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36" t="str">
        <f>CONCATENATE("PART III C  - HUD INSURED LOAN","  -  ",'Part I-Project Information'!$O$4," ",'Part I-Project Information'!$F$24,", ",'Part I-Project Information'!$F$28,", ",'Part I-Project Information'!$J$29," County")</f>
        <v>PART III C  - HUD INSURED LOAN  -  2015-009 The Cove at York, Centerville, Houston County</v>
      </c>
      <c r="B1" s="1437"/>
      <c r="C1" s="1437"/>
      <c r="D1" s="1437"/>
      <c r="E1" s="1437"/>
      <c r="F1" s="1438"/>
      <c r="G1" s="180"/>
      <c r="H1" s="180"/>
      <c r="I1" s="180"/>
      <c r="J1" s="180"/>
      <c r="K1" s="180"/>
      <c r="L1" s="180"/>
      <c r="M1" s="180"/>
      <c r="N1" s="180"/>
      <c r="O1" s="180"/>
      <c r="P1" s="180"/>
      <c r="Q1" s="180"/>
    </row>
    <row r="2" spans="1:17">
      <c r="A2" s="14"/>
      <c r="B2" s="203"/>
      <c r="C2" s="203"/>
      <c r="D2" s="203"/>
    </row>
    <row r="3" spans="1:17" ht="15.6" customHeight="1">
      <c r="A3" s="1429" t="s">
        <v>224</v>
      </c>
      <c r="B3" s="1429"/>
      <c r="C3" s="1429"/>
      <c r="D3" s="1429"/>
      <c r="E3" s="1429"/>
      <c r="F3" s="1429"/>
      <c r="G3" s="248"/>
      <c r="H3" s="248"/>
    </row>
    <row r="4" spans="1:17">
      <c r="A4" s="14"/>
      <c r="B4" s="203"/>
      <c r="C4" s="203"/>
      <c r="D4" s="203"/>
    </row>
    <row r="5" spans="1:17" ht="13.15" customHeight="1">
      <c r="A5" s="28" t="s">
        <v>2364</v>
      </c>
      <c r="D5" s="243"/>
      <c r="E5" s="1440" t="s">
        <v>1001</v>
      </c>
      <c r="F5" s="1441"/>
      <c r="G5" s="175"/>
    </row>
    <row r="6" spans="1:17">
      <c r="E6" s="1441"/>
      <c r="F6" s="1441"/>
      <c r="G6" s="175"/>
    </row>
    <row r="7" spans="1:17">
      <c r="A7" s="28" t="s">
        <v>2586</v>
      </c>
      <c r="C7" s="28" t="s">
        <v>2587</v>
      </c>
      <c r="D7" s="244"/>
      <c r="E7" s="1441"/>
      <c r="F7" s="1441"/>
      <c r="G7" s="175"/>
    </row>
    <row r="8" spans="1:17">
      <c r="C8" s="28" t="s">
        <v>2588</v>
      </c>
      <c r="D8" s="244"/>
      <c r="E8" s="1441"/>
      <c r="F8" s="1441"/>
      <c r="G8" s="175"/>
    </row>
    <row r="9" spans="1:17">
      <c r="C9" s="28" t="s">
        <v>2589</v>
      </c>
      <c r="D9" s="244"/>
      <c r="E9" s="1441"/>
      <c r="F9" s="1441"/>
      <c r="G9" s="175"/>
    </row>
    <row r="10" spans="1:17">
      <c r="C10" s="28" t="s">
        <v>2602</v>
      </c>
      <c r="D10" s="249">
        <f>D7+D8+D9</f>
        <v>0</v>
      </c>
      <c r="E10" s="1441"/>
      <c r="F10" s="1441"/>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0" t="s">
        <v>1804</v>
      </c>
      <c r="B24" s="1430"/>
      <c r="C24" s="1430"/>
      <c r="D24" s="1430"/>
      <c r="E24" s="1430"/>
      <c r="F24" s="1430"/>
      <c r="J24" s="252"/>
    </row>
    <row r="25" spans="1:10">
      <c r="C25" s="213"/>
      <c r="J25" s="252"/>
    </row>
    <row r="26" spans="1:10">
      <c r="A26" s="110"/>
      <c r="B26" s="84"/>
      <c r="C26" s="1442" t="s">
        <v>2363</v>
      </c>
      <c r="D26" s="247"/>
      <c r="E26" s="84"/>
      <c r="F26" s="1442" t="s">
        <v>2363</v>
      </c>
      <c r="J26" s="252"/>
    </row>
    <row r="27" spans="1:10">
      <c r="A27" s="253" t="s">
        <v>2603</v>
      </c>
      <c r="B27" s="75" t="s">
        <v>1076</v>
      </c>
      <c r="C27" s="1443"/>
      <c r="D27" s="254" t="s">
        <v>2603</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1" t="str">
        <f>CONCATENATE('Part I-Project Information'!$O$4," ",'Part I-Project Information'!$F$24,", ",'Part I-Project Information'!$F$28,", ",'Part I-Project Information'!$J$29," County")</f>
        <v>2015-009 The Cove at York, Centerville, Houston County</v>
      </c>
      <c r="B50" s="1431"/>
      <c r="C50" s="1431"/>
      <c r="D50" s="1431"/>
      <c r="E50" s="1431"/>
      <c r="F50" s="1431"/>
      <c r="G50" s="238"/>
      <c r="H50" s="238"/>
    </row>
    <row r="51" spans="1:10" ht="15">
      <c r="A51" s="1428" t="s">
        <v>2594</v>
      </c>
      <c r="B51" s="1428"/>
      <c r="C51" s="1428"/>
      <c r="D51" s="1428"/>
      <c r="E51" s="1428"/>
      <c r="F51" s="142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1" t="str">
        <f>CONCATENATE("PART FOUR -  USES OF FUNDS","  -  ",'Part I-Project Information'!$O$4," ",'Part I-Project Information'!$F$24,", ",'Part I-Project Information'!F28,", ",'Part I-Project Information'!J29," County")</f>
        <v>PART FOUR -  USES OF FUNDS  -  2015-009 The Cove at York, Centerville, Houston County</v>
      </c>
      <c r="B1" s="1502"/>
      <c r="C1" s="1502"/>
      <c r="D1" s="1502"/>
      <c r="E1" s="1502"/>
      <c r="F1" s="1502"/>
      <c r="G1" s="1502"/>
      <c r="H1" s="1502"/>
      <c r="I1" s="1502"/>
      <c r="J1" s="1502"/>
      <c r="K1" s="1502"/>
      <c r="L1" s="1502"/>
      <c r="M1" s="1502"/>
      <c r="N1" s="1502"/>
      <c r="O1" s="1502"/>
      <c r="P1" s="1502"/>
      <c r="Q1" s="1502"/>
      <c r="R1" s="1502"/>
      <c r="S1" s="1502"/>
      <c r="T1" s="1502"/>
      <c r="W1" s="1500" t="str">
        <f>A1</f>
        <v>PART FOUR -  USES OF FUNDS  -  2015-009 The Cove at York, Centerville, Houston County</v>
      </c>
      <c r="X1" s="1500"/>
    </row>
    <row r="2" spans="1:24" ht="2.25" customHeight="1"/>
    <row r="3" spans="1:24" s="332" customFormat="1" ht="9.75" customHeight="1">
      <c r="A3" s="334"/>
      <c r="B3" s="334"/>
      <c r="C3" s="334"/>
      <c r="D3" s="2049" t="s">
        <v>4387</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2" t="s">
        <v>283</v>
      </c>
      <c r="K5" s="1453"/>
      <c r="L5" s="384"/>
      <c r="M5" s="1445" t="s">
        <v>511</v>
      </c>
      <c r="N5" s="1446"/>
      <c r="P5" s="1452" t="s">
        <v>284</v>
      </c>
      <c r="Q5" s="1453"/>
      <c r="S5" s="1452" t="s">
        <v>285</v>
      </c>
      <c r="T5" s="1453"/>
      <c r="W5" s="476" t="str">
        <f>B5</f>
        <v>DEVELOPMENT BUDGET</v>
      </c>
    </row>
    <row r="6" spans="1:24" s="332" customFormat="1" ht="19.5" customHeight="1" thickBot="1">
      <c r="G6" s="1503" t="s">
        <v>103</v>
      </c>
      <c r="H6" s="1504"/>
      <c r="J6" s="1454"/>
      <c r="K6" s="1455"/>
      <c r="L6" s="384"/>
      <c r="M6" s="1447"/>
      <c r="N6" s="1448"/>
      <c r="P6" s="1454"/>
      <c r="Q6" s="1455"/>
      <c r="S6" s="1454"/>
      <c r="T6" s="1455"/>
      <c r="W6" s="1518" t="s">
        <v>2826</v>
      </c>
      <c r="X6" s="1518"/>
    </row>
    <row r="7" spans="1:24" s="332" customFormat="1" ht="12" customHeight="1">
      <c r="B7" s="334" t="s">
        <v>104</v>
      </c>
      <c r="O7" s="555" t="str">
        <f>B7</f>
        <v>PRE-DEVELOPMENT COSTS</v>
      </c>
      <c r="W7" s="332" t="str">
        <f>B7</f>
        <v>PRE-DEVELOPMENT COSTS</v>
      </c>
    </row>
    <row r="8" spans="1:24" s="332" customFormat="1" ht="12.6" customHeight="1">
      <c r="B8" s="332" t="s">
        <v>2099</v>
      </c>
      <c r="G8" s="2285">
        <v>8000</v>
      </c>
      <c r="H8" s="2286"/>
      <c r="J8" s="2285">
        <v>8000</v>
      </c>
      <c r="K8" s="2286"/>
      <c r="L8" s="1270"/>
      <c r="M8" s="2285"/>
      <c r="N8" s="2286"/>
      <c r="P8" s="2285"/>
      <c r="Q8" s="2286"/>
      <c r="S8" s="2285"/>
      <c r="T8" s="2286"/>
      <c r="V8" s="2287"/>
      <c r="W8" s="2288"/>
      <c r="X8" s="2289"/>
    </row>
    <row r="9" spans="1:24" s="332" customFormat="1" ht="12.6" customHeight="1">
      <c r="B9" s="332" t="s">
        <v>476</v>
      </c>
      <c r="G9" s="2285">
        <v>7500</v>
      </c>
      <c r="H9" s="2286"/>
      <c r="J9" s="2285">
        <v>7500</v>
      </c>
      <c r="K9" s="2286"/>
      <c r="L9" s="1270"/>
      <c r="M9" s="2285"/>
      <c r="N9" s="2286"/>
      <c r="P9" s="2285"/>
      <c r="Q9" s="2286"/>
      <c r="S9" s="2285"/>
      <c r="T9" s="2286"/>
      <c r="V9" s="2287"/>
      <c r="W9" s="2290"/>
      <c r="X9" s="2291"/>
    </row>
    <row r="10" spans="1:24" s="332" customFormat="1" ht="12.6" customHeight="1">
      <c r="B10" s="332" t="s">
        <v>508</v>
      </c>
      <c r="G10" s="2285">
        <v>10500</v>
      </c>
      <c r="H10" s="2286"/>
      <c r="J10" s="2285">
        <v>10500</v>
      </c>
      <c r="K10" s="2286"/>
      <c r="L10" s="1270"/>
      <c r="M10" s="2285"/>
      <c r="N10" s="2286"/>
      <c r="P10" s="2285"/>
      <c r="Q10" s="2286"/>
      <c r="S10" s="2285"/>
      <c r="T10" s="2286"/>
      <c r="V10" s="2287"/>
      <c r="W10" s="2290"/>
      <c r="X10" s="2291"/>
    </row>
    <row r="11" spans="1:24" s="332" customFormat="1" ht="12.6" customHeight="1">
      <c r="B11" s="332" t="s">
        <v>509</v>
      </c>
      <c r="G11" s="2285">
        <v>10000</v>
      </c>
      <c r="H11" s="2286"/>
      <c r="J11" s="2285">
        <v>10000</v>
      </c>
      <c r="K11" s="2286"/>
      <c r="L11" s="1270"/>
      <c r="M11" s="2285"/>
      <c r="N11" s="2286"/>
      <c r="P11" s="2285"/>
      <c r="Q11" s="2286"/>
      <c r="S11" s="2285"/>
      <c r="T11" s="2286"/>
      <c r="V11" s="2287"/>
      <c r="W11" s="2290"/>
      <c r="X11" s="2291"/>
    </row>
    <row r="12" spans="1:24" s="332" customFormat="1" ht="12.6" customHeight="1">
      <c r="B12" s="332" t="s">
        <v>2623</v>
      </c>
      <c r="G12" s="2285">
        <v>12000</v>
      </c>
      <c r="H12" s="2286"/>
      <c r="J12" s="2285">
        <v>12000</v>
      </c>
      <c r="K12" s="2286"/>
      <c r="L12" s="1270"/>
      <c r="M12" s="2285"/>
      <c r="N12" s="2286"/>
      <c r="P12" s="2285"/>
      <c r="Q12" s="2286"/>
      <c r="S12" s="2285"/>
      <c r="T12" s="2286"/>
      <c r="V12" s="2287"/>
      <c r="W12" s="2290"/>
      <c r="X12" s="2291"/>
    </row>
    <row r="13" spans="1:24" s="332" customFormat="1" ht="12.6" customHeight="1">
      <c r="B13" s="332" t="s">
        <v>196</v>
      </c>
      <c r="G13" s="2285">
        <v>500</v>
      </c>
      <c r="H13" s="2286"/>
      <c r="J13" s="2285">
        <v>500</v>
      </c>
      <c r="K13" s="2286"/>
      <c r="L13" s="1270"/>
      <c r="M13" s="2285"/>
      <c r="N13" s="2286"/>
      <c r="P13" s="2285"/>
      <c r="Q13" s="2286"/>
      <c r="S13" s="2285"/>
      <c r="T13" s="2286"/>
      <c r="V13" s="2287"/>
      <c r="W13" s="2290"/>
      <c r="X13" s="2291"/>
    </row>
    <row r="14" spans="1:24" s="332" customFormat="1" ht="12.6" customHeight="1">
      <c r="A14" s="409" t="str">
        <f>IF(AND(G14&gt;0,OR(C14="",C14="&lt;Enter detailed description here; use Comments section if needed&gt;")),"X","")</f>
        <v/>
      </c>
      <c r="B14" s="332" t="s">
        <v>781</v>
      </c>
      <c r="C14" s="2067" t="s">
        <v>4443</v>
      </c>
      <c r="D14" s="2067"/>
      <c r="E14" s="2067"/>
      <c r="F14" s="2068"/>
      <c r="G14" s="2285">
        <v>2500</v>
      </c>
      <c r="H14" s="2286"/>
      <c r="J14" s="2285">
        <v>2500</v>
      </c>
      <c r="K14" s="2286"/>
      <c r="L14" s="1270"/>
      <c r="M14" s="2285"/>
      <c r="N14" s="2286"/>
      <c r="P14" s="2285"/>
      <c r="Q14" s="2286"/>
      <c r="S14" s="2285"/>
      <c r="T14" s="2286"/>
      <c r="U14" s="408" t="str">
        <f>IF(AND(G14&gt;0,OR(C14="",C14="&lt;Enter detailed description here; use Comments section if needed&gt;")),"NO DESCRIPTION PROVIDED - please enter detailed description in Other box at left; use Comments section below if needed.","")</f>
        <v/>
      </c>
      <c r="V14" s="2292"/>
      <c r="W14" s="2290"/>
      <c r="X14" s="2291"/>
    </row>
    <row r="15" spans="1:24" s="332" customFormat="1" ht="12.6" customHeight="1">
      <c r="A15" s="409" t="str">
        <f>IF(AND(G15&gt;0,OR(C15="",C15="&lt;Enter detailed description here; use Comments section if needed&gt;")),"X","")</f>
        <v/>
      </c>
      <c r="B15" s="332" t="s">
        <v>781</v>
      </c>
      <c r="C15" s="2067" t="s">
        <v>2535</v>
      </c>
      <c r="D15" s="2067"/>
      <c r="E15" s="2067"/>
      <c r="F15" s="2068"/>
      <c r="G15" s="2285"/>
      <c r="H15" s="2286"/>
      <c r="J15" s="2285"/>
      <c r="K15" s="2286"/>
      <c r="L15" s="1270"/>
      <c r="M15" s="2285"/>
      <c r="N15" s="2286"/>
      <c r="P15" s="2285"/>
      <c r="Q15" s="2286"/>
      <c r="S15" s="2285"/>
      <c r="T15" s="2286"/>
      <c r="U15" s="408" t="str">
        <f>IF(AND(G15&gt;0,OR(C15="",C15="&lt;Enter detailed description here; use Comments section if needed&gt;")),"NO DESCRIPTION PROVIDED - please enter detailed description in Other box at left; use Comments section below if needed.","")</f>
        <v/>
      </c>
      <c r="V15" s="2292"/>
      <c r="W15" s="2290"/>
      <c r="X15" s="2291"/>
    </row>
    <row r="16" spans="1:24" s="332" customFormat="1" ht="12.6" customHeight="1" thickBot="1">
      <c r="A16" s="409" t="str">
        <f>IF(AND(G16&gt;0,OR(C16="",C16="&lt;Enter detailed description here; use Comments section if needed&gt;")),"X","")</f>
        <v/>
      </c>
      <c r="B16" s="332" t="s">
        <v>781</v>
      </c>
      <c r="C16" s="2067" t="s">
        <v>2535</v>
      </c>
      <c r="D16" s="2067"/>
      <c r="E16" s="2067"/>
      <c r="F16" s="2068"/>
      <c r="G16" s="2285"/>
      <c r="H16" s="2286"/>
      <c r="J16" s="2293"/>
      <c r="K16" s="2294"/>
      <c r="L16" s="1270"/>
      <c r="M16" s="2285"/>
      <c r="N16" s="2286"/>
      <c r="P16" s="2285"/>
      <c r="Q16" s="2286"/>
      <c r="S16" s="2293"/>
      <c r="T16" s="2294"/>
      <c r="U16" s="408" t="str">
        <f>IF(AND(G16&gt;0,OR(C16="",C16="&lt;Enter detailed description here; use Comments section if needed&gt;")),"NO DESCRIPTION PROVIDED - please enter detailed description in Other box at left; use Comments section below if needed.","")</f>
        <v/>
      </c>
      <c r="V16" s="2292"/>
      <c r="W16" s="2290"/>
      <c r="X16" s="2291"/>
    </row>
    <row r="17" spans="2:24" s="332" customFormat="1" ht="12.6" customHeight="1" thickTop="1">
      <c r="F17" s="385" t="s">
        <v>197</v>
      </c>
      <c r="G17" s="1449">
        <f>SUM(G8:H16)</f>
        <v>51000</v>
      </c>
      <c r="H17" s="1450"/>
      <c r="J17" s="1449">
        <f>SUM(J8:K16)</f>
        <v>51000</v>
      </c>
      <c r="K17" s="1519"/>
      <c r="L17" s="1270"/>
      <c r="M17" s="1449">
        <f>SUM(M8:N16)</f>
        <v>0</v>
      </c>
      <c r="N17" s="1450"/>
      <c r="P17" s="1449">
        <f>SUM(P8:Q16)</f>
        <v>0</v>
      </c>
      <c r="Q17" s="1450"/>
      <c r="S17" s="1449">
        <f>SUM(S8:T16)</f>
        <v>0</v>
      </c>
      <c r="T17" s="1450"/>
      <c r="V17" s="2295">
        <f>SUM(V8:V16)</f>
        <v>0</v>
      </c>
      <c r="W17" s="2296"/>
      <c r="X17" s="2297"/>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285">
        <v>796455</v>
      </c>
      <c r="H19" s="2286"/>
      <c r="J19" s="387"/>
      <c r="K19" s="384"/>
      <c r="L19" s="387"/>
      <c r="M19" s="387"/>
      <c r="N19" s="384"/>
      <c r="P19" s="387"/>
      <c r="Q19" s="384"/>
      <c r="S19" s="2285"/>
      <c r="T19" s="2286"/>
      <c r="V19" s="2287"/>
      <c r="W19" s="2288"/>
      <c r="X19" s="2289"/>
    </row>
    <row r="20" spans="2:24" s="332" customFormat="1" ht="12.6" customHeight="1">
      <c r="B20" s="332" t="s">
        <v>1170</v>
      </c>
      <c r="G20" s="2285"/>
      <c r="H20" s="2286"/>
      <c r="J20" s="387"/>
      <c r="K20" s="384"/>
      <c r="L20" s="387"/>
      <c r="M20" s="387"/>
      <c r="N20" s="384"/>
      <c r="P20" s="387"/>
      <c r="Q20" s="384"/>
      <c r="S20" s="2285"/>
      <c r="T20" s="2286"/>
      <c r="V20" s="2287"/>
      <c r="W20" s="2290"/>
      <c r="X20" s="2291"/>
    </row>
    <row r="21" spans="2:24" s="332" customFormat="1" ht="12.6" customHeight="1">
      <c r="B21" s="332" t="s">
        <v>477</v>
      </c>
      <c r="G21" s="2285"/>
      <c r="H21" s="2286"/>
      <c r="J21" s="387"/>
      <c r="K21" s="384"/>
      <c r="L21" s="387"/>
      <c r="M21" s="2285"/>
      <c r="N21" s="2286"/>
      <c r="P21" s="387"/>
      <c r="Q21" s="384"/>
      <c r="S21" s="2285"/>
      <c r="T21" s="2286"/>
      <c r="V21" s="2287"/>
      <c r="W21" s="2290"/>
      <c r="X21" s="2291"/>
    </row>
    <row r="22" spans="2:24" s="332" customFormat="1" ht="12.6" customHeight="1" thickBot="1">
      <c r="B22" s="332" t="s">
        <v>446</v>
      </c>
      <c r="G22" s="2298"/>
      <c r="H22" s="2299"/>
      <c r="J22" s="387"/>
      <c r="K22" s="384"/>
      <c r="L22" s="387"/>
      <c r="M22" s="2298"/>
      <c r="N22" s="2299"/>
      <c r="P22" s="387"/>
      <c r="Q22" s="384"/>
      <c r="S22" s="2285"/>
      <c r="T22" s="2286"/>
      <c r="V22" s="2287"/>
      <c r="W22" s="2290"/>
      <c r="X22" s="2291"/>
    </row>
    <row r="23" spans="2:24" s="332" customFormat="1" ht="12.6" customHeight="1" thickTop="1">
      <c r="F23" s="385" t="s">
        <v>197</v>
      </c>
      <c r="G23" s="1449">
        <f>SUM(G19:H22)</f>
        <v>796455</v>
      </c>
      <c r="H23" s="1450"/>
      <c r="J23" s="387"/>
      <c r="K23" s="384"/>
      <c r="L23" s="387"/>
      <c r="M23" s="1449">
        <f>SUM(M21:N22)</f>
        <v>0</v>
      </c>
      <c r="N23" s="1450"/>
      <c r="P23" s="387"/>
      <c r="Q23" s="384"/>
      <c r="S23" s="1449">
        <f>SUM(S19:T22)</f>
        <v>0</v>
      </c>
      <c r="T23" s="1450"/>
      <c r="V23" s="2295">
        <f>SUM(V19:V22)</f>
        <v>0</v>
      </c>
      <c r="W23" s="2296"/>
      <c r="X23" s="2297"/>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85">
        <v>2198400</v>
      </c>
      <c r="H25" s="2286"/>
      <c r="J25" s="2293">
        <v>2198400</v>
      </c>
      <c r="K25" s="2294"/>
      <c r="L25" s="1270"/>
      <c r="M25" s="2293"/>
      <c r="N25" s="2294"/>
      <c r="P25" s="2293"/>
      <c r="Q25" s="2294"/>
      <c r="S25" s="2285"/>
      <c r="T25" s="2286"/>
      <c r="V25" s="2287"/>
      <c r="W25" s="2288"/>
      <c r="X25" s="2289"/>
    </row>
    <row r="26" spans="2:24" s="332" customFormat="1" ht="12.6" customHeight="1" thickBot="1">
      <c r="B26" s="332" t="s">
        <v>1173</v>
      </c>
      <c r="G26" s="2285"/>
      <c r="H26" s="2286"/>
      <c r="J26" s="2293"/>
      <c r="K26" s="2294"/>
      <c r="L26" s="388"/>
      <c r="M26" s="1499"/>
      <c r="N26" s="1499"/>
      <c r="P26" s="1499"/>
      <c r="Q26" s="1499"/>
      <c r="S26" s="2285"/>
      <c r="T26" s="2286"/>
      <c r="V26" s="2287"/>
      <c r="W26" s="2290"/>
      <c r="X26" s="2291"/>
    </row>
    <row r="27" spans="2:24" s="332" customFormat="1" ht="12.6" customHeight="1" thickTop="1">
      <c r="F27" s="385" t="s">
        <v>197</v>
      </c>
      <c r="G27" s="1449">
        <f>SUM(G25:H26)</f>
        <v>2198400</v>
      </c>
      <c r="H27" s="1450"/>
      <c r="J27" s="1449">
        <f>SUM(J25:K26)</f>
        <v>2198400</v>
      </c>
      <c r="K27" s="1450"/>
      <c r="L27" s="387"/>
      <c r="M27" s="1449">
        <f>M25</f>
        <v>0</v>
      </c>
      <c r="N27" s="1450"/>
      <c r="P27" s="1449">
        <f>P25</f>
        <v>0</v>
      </c>
      <c r="Q27" s="1450"/>
      <c r="S27" s="1449">
        <f>SUM(S25:T26)</f>
        <v>0</v>
      </c>
      <c r="T27" s="1450"/>
      <c r="V27" s="2295">
        <f>SUM(V25:V26)</f>
        <v>0</v>
      </c>
      <c r="W27" s="2296"/>
      <c r="X27" s="2297"/>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85">
        <v>6344380</v>
      </c>
      <c r="H29" s="2286"/>
      <c r="J29" s="2285">
        <v>6344380</v>
      </c>
      <c r="K29" s="2286"/>
      <c r="L29" s="1270"/>
      <c r="M29" s="2285"/>
      <c r="N29" s="2286"/>
      <c r="P29" s="2285"/>
      <c r="Q29" s="2286"/>
      <c r="S29" s="2285"/>
      <c r="T29" s="2286"/>
      <c r="V29" s="2287"/>
      <c r="W29" s="2288"/>
      <c r="X29" s="2289"/>
    </row>
    <row r="30" spans="2:24" s="332" customFormat="1" ht="12.6" customHeight="1">
      <c r="B30" s="332" t="s">
        <v>1176</v>
      </c>
      <c r="G30" s="2285"/>
      <c r="H30" s="2286"/>
      <c r="J30" s="2285"/>
      <c r="K30" s="2286"/>
      <c r="L30" s="1270"/>
      <c r="M30" s="2285"/>
      <c r="N30" s="2286"/>
      <c r="P30" s="2285"/>
      <c r="Q30" s="2286"/>
      <c r="S30" s="2285"/>
      <c r="T30" s="2286"/>
      <c r="V30" s="2287"/>
      <c r="W30" s="2290"/>
      <c r="X30" s="2291"/>
    </row>
    <row r="31" spans="2:24" s="332" customFormat="1" ht="12.6" customHeight="1">
      <c r="B31" s="332" t="s">
        <v>3087</v>
      </c>
      <c r="G31" s="2285">
        <v>152530</v>
      </c>
      <c r="H31" s="2286"/>
      <c r="J31" s="2285">
        <v>152530</v>
      </c>
      <c r="K31" s="2286"/>
      <c r="L31" s="1270"/>
      <c r="M31" s="2285"/>
      <c r="N31" s="2286"/>
      <c r="P31" s="2285"/>
      <c r="Q31" s="2286"/>
      <c r="S31" s="2285"/>
      <c r="T31" s="2286"/>
      <c r="V31" s="2287"/>
      <c r="W31" s="2290"/>
      <c r="X31" s="2291"/>
    </row>
    <row r="32" spans="2:24" ht="12.6" customHeight="1" thickBot="1">
      <c r="B32" s="332" t="s">
        <v>3086</v>
      </c>
      <c r="G32" s="2285"/>
      <c r="H32" s="2286"/>
      <c r="I32" s="332"/>
      <c r="J32" s="2285"/>
      <c r="K32" s="2286"/>
      <c r="L32" s="1270"/>
      <c r="M32" s="2285"/>
      <c r="N32" s="2286"/>
      <c r="O32" s="332"/>
      <c r="P32" s="2285"/>
      <c r="Q32" s="2286"/>
      <c r="R32" s="332"/>
      <c r="S32" s="2285"/>
      <c r="T32" s="2286"/>
      <c r="V32" s="2287"/>
      <c r="W32" s="2290"/>
      <c r="X32" s="2291"/>
    </row>
    <row r="33" spans="1:24" s="332" customFormat="1" ht="12.6" customHeight="1" thickTop="1">
      <c r="C33" s="1451"/>
      <c r="D33" s="1451"/>
      <c r="E33" s="1274"/>
      <c r="F33" s="385" t="s">
        <v>197</v>
      </c>
      <c r="G33" s="1449">
        <f>SUM(G29:H32)</f>
        <v>6496910</v>
      </c>
      <c r="H33" s="1450"/>
      <c r="J33" s="1449">
        <f>SUM(J29:K32)</f>
        <v>6496910</v>
      </c>
      <c r="K33" s="1450"/>
      <c r="L33" s="1270"/>
      <c r="M33" s="1449">
        <f>SUM(M29:N32)</f>
        <v>0</v>
      </c>
      <c r="N33" s="1450"/>
      <c r="P33" s="1449">
        <f>SUM(P29:Q32)</f>
        <v>0</v>
      </c>
      <c r="Q33" s="1450"/>
      <c r="S33" s="1449">
        <f>SUM(S29:T32)</f>
        <v>0</v>
      </c>
      <c r="T33" s="1450"/>
      <c r="V33" s="2295">
        <f>SUM(V29:V32)</f>
        <v>0</v>
      </c>
      <c r="W33" s="2296"/>
      <c r="X33" s="2297"/>
    </row>
    <row r="34" spans="1:24" s="332" customFormat="1" ht="12" customHeight="1">
      <c r="B34" s="334" t="s">
        <v>2453</v>
      </c>
      <c r="E34" s="570">
        <f>SUM(E35:E37)</f>
        <v>0.14000000000000001</v>
      </c>
      <c r="F34" s="1262"/>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521718.6</v>
      </c>
      <c r="G35" s="2285">
        <v>521710</v>
      </c>
      <c r="H35" s="2286"/>
      <c r="I35" s="348"/>
      <c r="J35" s="2285">
        <v>521710</v>
      </c>
      <c r="K35" s="2286"/>
      <c r="L35" s="1270"/>
      <c r="M35" s="2285"/>
      <c r="N35" s="2286"/>
      <c r="P35" s="2285"/>
      <c r="Q35" s="2286"/>
      <c r="S35" s="2285"/>
      <c r="T35" s="2286"/>
      <c r="V35" s="2287"/>
      <c r="W35" s="2288"/>
      <c r="X35" s="2289"/>
    </row>
    <row r="36" spans="1:24" s="332" customFormat="1" ht="12.6" customHeight="1">
      <c r="B36" s="332" t="s">
        <v>2924</v>
      </c>
      <c r="E36" s="442">
        <f>'DCA Underwriting Assumptions'!$R$72</f>
        <v>0.02</v>
      </c>
      <c r="F36" s="443">
        <f>E36*(G27+G33)</f>
        <v>173906.2</v>
      </c>
      <c r="G36" s="2285">
        <v>173900</v>
      </c>
      <c r="H36" s="2286"/>
      <c r="I36" s="348"/>
      <c r="J36" s="2285">
        <v>173900</v>
      </c>
      <c r="K36" s="2286"/>
      <c r="L36" s="1270"/>
      <c r="M36" s="2285"/>
      <c r="N36" s="2286"/>
      <c r="P36" s="2285"/>
      <c r="Q36" s="2286"/>
      <c r="S36" s="2285"/>
      <c r="T36" s="2286"/>
      <c r="V36" s="2287"/>
      <c r="W36" s="2290"/>
      <c r="X36" s="2291"/>
    </row>
    <row r="37" spans="1:24" s="332" customFormat="1" ht="12.6" customHeight="1" thickBot="1">
      <c r="B37" s="332" t="s">
        <v>2925</v>
      </c>
      <c r="E37" s="442">
        <f>'DCA Underwriting Assumptions'!$R$73</f>
        <v>0.06</v>
      </c>
      <c r="F37" s="443">
        <f>E37*(G27+G33)</f>
        <v>521718.6</v>
      </c>
      <c r="G37" s="2285">
        <v>521710</v>
      </c>
      <c r="H37" s="2286"/>
      <c r="I37" s="348"/>
      <c r="J37" s="2285">
        <v>521710</v>
      </c>
      <c r="K37" s="2286"/>
      <c r="L37" s="1270"/>
      <c r="M37" s="2285"/>
      <c r="N37" s="2286"/>
      <c r="P37" s="2285"/>
      <c r="Q37" s="2286"/>
      <c r="S37" s="2285"/>
      <c r="T37" s="2286"/>
      <c r="V37" s="2287"/>
      <c r="W37" s="2290"/>
      <c r="X37" s="2291"/>
    </row>
    <row r="38" spans="1:24" s="332" customFormat="1" ht="12.6" customHeight="1" thickTop="1">
      <c r="B38" s="332" t="s">
        <v>2140</v>
      </c>
      <c r="D38" s="392"/>
      <c r="E38" s="1262"/>
      <c r="F38" s="444" t="s">
        <v>197</v>
      </c>
      <c r="G38" s="1449">
        <f>SUM(G35:H37)</f>
        <v>1217320</v>
      </c>
      <c r="H38" s="1450"/>
      <c r="J38" s="1449">
        <f>SUM(J35:K37)</f>
        <v>1217320</v>
      </c>
      <c r="K38" s="1450"/>
      <c r="L38" s="387"/>
      <c r="M38" s="1449">
        <f>SUM(M35:N37)</f>
        <v>0</v>
      </c>
      <c r="N38" s="1450"/>
      <c r="P38" s="1449">
        <f>SUM(P35:Q37)</f>
        <v>0</v>
      </c>
      <c r="Q38" s="1450"/>
      <c r="S38" s="1449">
        <f>SUM(S35:T37)</f>
        <v>0</v>
      </c>
      <c r="T38" s="1450"/>
      <c r="V38" s="2295">
        <f>SUM(V35:V37)</f>
        <v>0</v>
      </c>
      <c r="W38" s="2296"/>
      <c r="X38" s="2297"/>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2535</v>
      </c>
      <c r="D41" s="2300"/>
      <c r="E41" s="2300"/>
      <c r="F41" s="2301"/>
      <c r="G41" s="2285"/>
      <c r="H41" s="2286"/>
      <c r="I41" s="332"/>
      <c r="J41" s="2285"/>
      <c r="K41" s="2286"/>
      <c r="L41" s="1270"/>
      <c r="M41" s="2285"/>
      <c r="N41" s="2286"/>
      <c r="O41" s="332"/>
      <c r="P41" s="2285"/>
      <c r="Q41" s="2286"/>
      <c r="R41" s="332"/>
      <c r="S41" s="2285"/>
      <c r="T41" s="2286"/>
      <c r="V41" s="2287"/>
      <c r="W41" s="2288"/>
      <c r="X41" s="2289"/>
    </row>
    <row r="42" spans="1:24" s="332" customFormat="1" ht="6" customHeight="1">
      <c r="A42" s="555"/>
      <c r="B42" s="555"/>
      <c r="C42" s="555"/>
      <c r="D42" s="1320"/>
      <c r="E42" s="1320"/>
      <c r="F42" s="1320"/>
      <c r="G42" s="555"/>
      <c r="H42" s="555"/>
      <c r="I42" s="555"/>
      <c r="J42" s="555"/>
      <c r="K42" s="555"/>
      <c r="L42" s="555"/>
      <c r="M42" s="555"/>
      <c r="N42" s="555"/>
      <c r="O42" s="555"/>
      <c r="P42" s="555"/>
      <c r="Q42" s="555"/>
      <c r="R42" s="555"/>
      <c r="S42" s="555"/>
      <c r="T42" s="555"/>
      <c r="W42" s="2290"/>
      <c r="X42" s="2291"/>
    </row>
    <row r="43" spans="1:24" s="332" customFormat="1" ht="12.6" customHeight="1">
      <c r="B43" s="596" t="s">
        <v>2934</v>
      </c>
      <c r="C43" s="597"/>
      <c r="E43" s="1509" t="s">
        <v>2933</v>
      </c>
      <c r="F43" s="1272">
        <f>B44/'Part VI-Revenues &amp; Expenses'!$M$60</f>
        <v>103256.5625</v>
      </c>
      <c r="G43" s="594" t="s">
        <v>3078</v>
      </c>
      <c r="H43" s="556"/>
      <c r="I43" s="556"/>
      <c r="J43" s="1506">
        <f>B44/'Part VI-Revenues &amp; Expenses'!$M$62</f>
        <v>103256.5625</v>
      </c>
      <c r="K43" s="1506"/>
      <c r="L43" s="556"/>
      <c r="M43" s="1508" t="s">
        <v>1471</v>
      </c>
      <c r="N43" s="1508"/>
      <c r="O43" s="556"/>
      <c r="P43" s="1506">
        <f>B44/'Part I-Project Information'!$P$60</f>
        <v>93.126180209126005</v>
      </c>
      <c r="Q43" s="1506"/>
      <c r="R43" s="556"/>
      <c r="S43" s="1516" t="s">
        <v>3085</v>
      </c>
      <c r="T43" s="1517"/>
      <c r="W43" s="2290"/>
      <c r="X43" s="2291"/>
    </row>
    <row r="44" spans="1:24" s="332" customFormat="1" ht="12.6" customHeight="1">
      <c r="B44" s="1511">
        <f>G27+G33+G38+G41</f>
        <v>9912630</v>
      </c>
      <c r="C44" s="1512"/>
      <c r="E44" s="1510"/>
      <c r="F44" s="1271">
        <f>B44/'Part VI-Revenues &amp; Expenses'!$M$118</f>
        <v>95.365100438697766</v>
      </c>
      <c r="G44" s="595" t="s">
        <v>3079</v>
      </c>
      <c r="H44" s="1269"/>
      <c r="I44" s="1269"/>
      <c r="J44" s="1507">
        <f>B44/'Part VI-Revenues &amp; Expenses'!$M$120</f>
        <v>95.365100438697766</v>
      </c>
      <c r="K44" s="1507"/>
      <c r="L44" s="1269"/>
      <c r="M44" s="1505" t="s">
        <v>3084</v>
      </c>
      <c r="N44" s="1505"/>
      <c r="O44" s="1269"/>
      <c r="P44" s="1269"/>
      <c r="Q44" s="1269"/>
      <c r="R44" s="1269"/>
      <c r="S44" s="1269"/>
      <c r="T44" s="377"/>
      <c r="W44" s="2296"/>
      <c r="X44" s="2297"/>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4.9999848677898799E-2</v>
      </c>
      <c r="G47" s="2285">
        <v>495630</v>
      </c>
      <c r="H47" s="2286"/>
      <c r="I47" s="332"/>
      <c r="J47" s="2285">
        <v>495630</v>
      </c>
      <c r="K47" s="2286"/>
      <c r="L47" s="1270"/>
      <c r="M47" s="2285"/>
      <c r="N47" s="2286"/>
      <c r="O47" s="332"/>
      <c r="P47" s="2285"/>
      <c r="Q47" s="2286"/>
      <c r="R47" s="332"/>
      <c r="S47" s="2285"/>
      <c r="T47" s="2286"/>
      <c r="V47" s="2287"/>
      <c r="W47" s="2302"/>
      <c r="X47" s="2303"/>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3186</v>
      </c>
      <c r="H50" s="1262"/>
      <c r="I50" s="1262"/>
      <c r="J50" s="1452" t="s">
        <v>283</v>
      </c>
      <c r="K50" s="1453"/>
      <c r="L50" s="384"/>
      <c r="M50" s="1445" t="s">
        <v>511</v>
      </c>
      <c r="N50" s="1446"/>
      <c r="P50" s="1452" t="s">
        <v>284</v>
      </c>
      <c r="Q50" s="1453"/>
      <c r="S50" s="1452" t="s">
        <v>285</v>
      </c>
      <c r="T50" s="1453"/>
      <c r="W50" s="476" t="str">
        <f>B50</f>
        <v>DEVELOPMENT BUDGET (cont'd)</v>
      </c>
    </row>
    <row r="51" spans="1:24" s="332" customFormat="1" ht="18.75" customHeight="1" thickBot="1">
      <c r="G51" s="1503" t="s">
        <v>103</v>
      </c>
      <c r="H51" s="1504"/>
      <c r="J51" s="1454"/>
      <c r="K51" s="1455"/>
      <c r="L51" s="384"/>
      <c r="M51" s="1447"/>
      <c r="N51" s="1448"/>
      <c r="P51" s="1454"/>
      <c r="Q51" s="1455"/>
      <c r="S51" s="1454"/>
      <c r="T51" s="1455"/>
      <c r="W51" s="1518" t="s">
        <v>2826</v>
      </c>
      <c r="X51" s="1518"/>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85"/>
      <c r="H53" s="2286"/>
      <c r="J53" s="2285"/>
      <c r="K53" s="2286"/>
      <c r="L53" s="1270"/>
      <c r="M53" s="2285"/>
      <c r="N53" s="2286"/>
      <c r="P53" s="2285"/>
      <c r="Q53" s="2286"/>
      <c r="S53" s="2285"/>
      <c r="T53" s="2286"/>
    </row>
    <row r="54" spans="1:24" s="332" customFormat="1" ht="12" customHeight="1">
      <c r="B54" s="332" t="s">
        <v>2456</v>
      </c>
      <c r="G54" s="2285">
        <v>89136</v>
      </c>
      <c r="H54" s="2286"/>
      <c r="J54" s="2285">
        <v>89136</v>
      </c>
      <c r="K54" s="2286"/>
      <c r="L54" s="1270"/>
      <c r="M54" s="2285"/>
      <c r="N54" s="2286"/>
      <c r="P54" s="2285"/>
      <c r="Q54" s="2286"/>
      <c r="S54" s="2285"/>
      <c r="T54" s="2286"/>
      <c r="V54" s="2287"/>
      <c r="W54" s="2288"/>
      <c r="X54" s="2289"/>
    </row>
    <row r="55" spans="1:24" s="332" customFormat="1" ht="12" customHeight="1">
      <c r="B55" s="332" t="s">
        <v>2457</v>
      </c>
      <c r="G55" s="2285">
        <v>149033</v>
      </c>
      <c r="H55" s="2286"/>
      <c r="J55" s="2285">
        <v>149033</v>
      </c>
      <c r="K55" s="2286"/>
      <c r="L55" s="1270"/>
      <c r="M55" s="2285"/>
      <c r="N55" s="2286"/>
      <c r="P55" s="2285"/>
      <c r="Q55" s="2286"/>
      <c r="S55" s="2285"/>
      <c r="T55" s="2286"/>
      <c r="V55" s="2287"/>
      <c r="W55" s="2290"/>
      <c r="X55" s="2291"/>
    </row>
    <row r="56" spans="1:24" s="332" customFormat="1" ht="12" customHeight="1">
      <c r="B56" s="332" t="s">
        <v>2458</v>
      </c>
      <c r="G56" s="2285">
        <v>25000</v>
      </c>
      <c r="H56" s="2286"/>
      <c r="J56" s="2285">
        <v>25000</v>
      </c>
      <c r="K56" s="2286"/>
      <c r="L56" s="1270"/>
      <c r="M56" s="2285"/>
      <c r="N56" s="2286"/>
      <c r="P56" s="2285"/>
      <c r="Q56" s="2286"/>
      <c r="S56" s="2285"/>
      <c r="T56" s="2286"/>
      <c r="V56" s="2287"/>
      <c r="W56" s="2290"/>
      <c r="X56" s="2291"/>
    </row>
    <row r="57" spans="1:24" s="332" customFormat="1" ht="12" customHeight="1">
      <c r="B57" s="332" t="s">
        <v>2844</v>
      </c>
      <c r="G57" s="2285">
        <v>12000</v>
      </c>
      <c r="H57" s="2286"/>
      <c r="J57" s="2285">
        <v>12000</v>
      </c>
      <c r="K57" s="2286"/>
      <c r="L57" s="1270"/>
      <c r="M57" s="2285"/>
      <c r="N57" s="2286"/>
      <c r="P57" s="2285"/>
      <c r="Q57" s="2286"/>
      <c r="S57" s="2285"/>
      <c r="T57" s="2286"/>
      <c r="V57" s="2287"/>
      <c r="W57" s="2290"/>
      <c r="X57" s="2291"/>
    </row>
    <row r="58" spans="1:24" s="332" customFormat="1" ht="12" customHeight="1">
      <c r="B58" s="332" t="s">
        <v>763</v>
      </c>
      <c r="G58" s="2285">
        <v>5000</v>
      </c>
      <c r="H58" s="2286"/>
      <c r="J58" s="2285"/>
      <c r="K58" s="2286"/>
      <c r="L58" s="1270"/>
      <c r="M58" s="2285"/>
      <c r="N58" s="2286"/>
      <c r="P58" s="2285"/>
      <c r="Q58" s="2286"/>
      <c r="S58" s="2285"/>
      <c r="T58" s="2286"/>
      <c r="V58" s="2287"/>
      <c r="W58" s="2290"/>
      <c r="X58" s="2291"/>
    </row>
    <row r="59" spans="1:24" s="332" customFormat="1" ht="12" customHeight="1">
      <c r="B59" s="332" t="s">
        <v>2459</v>
      </c>
      <c r="G59" s="2285">
        <v>32500</v>
      </c>
      <c r="H59" s="2286"/>
      <c r="J59" s="2285">
        <v>32500</v>
      </c>
      <c r="K59" s="2286"/>
      <c r="L59" s="1270"/>
      <c r="M59" s="2285"/>
      <c r="N59" s="2286"/>
      <c r="P59" s="2285"/>
      <c r="Q59" s="2286"/>
      <c r="S59" s="2285"/>
      <c r="T59" s="2286"/>
      <c r="V59" s="2287"/>
      <c r="W59" s="2290"/>
      <c r="X59" s="2291"/>
    </row>
    <row r="60" spans="1:24" s="332" customFormat="1" ht="12" customHeight="1">
      <c r="B60" s="332" t="s">
        <v>1336</v>
      </c>
      <c r="G60" s="2285">
        <v>25000</v>
      </c>
      <c r="H60" s="2286"/>
      <c r="J60" s="2285">
        <v>25000</v>
      </c>
      <c r="K60" s="2286"/>
      <c r="L60" s="1270"/>
      <c r="M60" s="2285"/>
      <c r="N60" s="2286"/>
      <c r="P60" s="2285"/>
      <c r="Q60" s="2286"/>
      <c r="S60" s="2285"/>
      <c r="T60" s="2286"/>
      <c r="V60" s="2287"/>
      <c r="W60" s="2290"/>
      <c r="X60" s="2291"/>
    </row>
    <row r="61" spans="1:24" s="332" customFormat="1" ht="12" customHeight="1">
      <c r="B61" s="391" t="s">
        <v>1208</v>
      </c>
      <c r="D61" s="389"/>
      <c r="E61" s="389"/>
      <c r="F61" s="390"/>
      <c r="G61" s="2285">
        <v>78812</v>
      </c>
      <c r="H61" s="2286"/>
      <c r="I61" s="348"/>
      <c r="J61" s="2285">
        <v>78812</v>
      </c>
      <c r="K61" s="2286"/>
      <c r="L61" s="1270"/>
      <c r="M61" s="2285"/>
      <c r="N61" s="2286"/>
      <c r="P61" s="2285"/>
      <c r="Q61" s="2286"/>
      <c r="S61" s="2285"/>
      <c r="T61" s="2286"/>
      <c r="V61" s="2287"/>
      <c r="W61" s="2290"/>
      <c r="X61" s="2291"/>
    </row>
    <row r="62" spans="1:24" s="332" customFormat="1" ht="12" customHeight="1">
      <c r="A62" s="409" t="str">
        <f>IF(AND(G62&gt;0,OR(C62="",C62="&lt;Enter detailed description here; use Comments section if needed&gt;")),"X","")</f>
        <v/>
      </c>
      <c r="B62" s="332" t="s">
        <v>781</v>
      </c>
      <c r="C62" s="2067" t="s">
        <v>2535</v>
      </c>
      <c r="D62" s="2067"/>
      <c r="E62" s="2067"/>
      <c r="F62" s="2068"/>
      <c r="G62" s="2285"/>
      <c r="H62" s="2286"/>
      <c r="J62" s="2285"/>
      <c r="K62" s="2286"/>
      <c r="L62" s="1270"/>
      <c r="M62" s="2285"/>
      <c r="N62" s="2286"/>
      <c r="P62" s="2285"/>
      <c r="Q62" s="2286"/>
      <c r="S62" s="2285"/>
      <c r="T62" s="2286"/>
      <c r="U62" s="408" t="str">
        <f>IF(AND(G62&gt;0,OR(C62="",C62="&lt;Enter detailed description here; use Comments section if needed&gt;")),"NO DESCRIPTION PROVIDED - please enter detailed description in Other box at left; use Comments section below if needed.","")</f>
        <v/>
      </c>
      <c r="V62" s="2287"/>
      <c r="W62" s="2290"/>
      <c r="X62" s="2291"/>
    </row>
    <row r="63" spans="1:24" s="332" customFormat="1" ht="12" customHeight="1" thickBot="1">
      <c r="A63" s="409" t="str">
        <f>IF(AND(G63&gt;0,OR(C63="",C63="&lt;Enter detailed description here; use Comments section if needed&gt;")),"X","")</f>
        <v/>
      </c>
      <c r="B63" s="332" t="s">
        <v>781</v>
      </c>
      <c r="C63" s="2067" t="s">
        <v>2535</v>
      </c>
      <c r="D63" s="2067"/>
      <c r="E63" s="2067"/>
      <c r="F63" s="2068"/>
      <c r="G63" s="2285"/>
      <c r="H63" s="2286"/>
      <c r="J63" s="2285"/>
      <c r="K63" s="2286"/>
      <c r="L63" s="1270"/>
      <c r="M63" s="2285"/>
      <c r="N63" s="2286"/>
      <c r="P63" s="2285"/>
      <c r="Q63" s="2286"/>
      <c r="S63" s="2285"/>
      <c r="T63" s="2286"/>
      <c r="U63" s="408" t="str">
        <f>IF(AND(G63&gt;0,OR(C63="",C63="&lt;Enter detailed description here; use Comments section if needed&gt;")),"NO DESCRIPTION PROVIDED - please enter detailed description in Other box at left; use Comments section below if needed.","")</f>
        <v/>
      </c>
      <c r="V63" s="2287"/>
      <c r="W63" s="2290"/>
      <c r="X63" s="2291"/>
    </row>
    <row r="64" spans="1:24" s="332" customFormat="1" ht="12" customHeight="1" thickTop="1">
      <c r="F64" s="385" t="s">
        <v>197</v>
      </c>
      <c r="G64" s="1449">
        <f>SUM(G53:H63)</f>
        <v>416481</v>
      </c>
      <c r="H64" s="1450"/>
      <c r="J64" s="1449">
        <f>SUM(J53:K63)</f>
        <v>411481</v>
      </c>
      <c r="K64" s="1450"/>
      <c r="L64" s="387"/>
      <c r="M64" s="1449">
        <f>SUM(M53:N63)</f>
        <v>0</v>
      </c>
      <c r="N64" s="1450"/>
      <c r="P64" s="1449">
        <f>SUM(P53:Q63)</f>
        <v>0</v>
      </c>
      <c r="Q64" s="1450"/>
      <c r="S64" s="1449">
        <f>SUM(S53:T63)</f>
        <v>0</v>
      </c>
      <c r="T64" s="1450"/>
      <c r="V64" s="2295">
        <f>SUM(V54:V63)</f>
        <v>0</v>
      </c>
      <c r="W64" s="2296"/>
      <c r="X64" s="2297"/>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85">
        <v>153600</v>
      </c>
      <c r="H66" s="2286"/>
      <c r="J66" s="2285">
        <v>153600</v>
      </c>
      <c r="K66" s="2286"/>
      <c r="L66" s="1270"/>
      <c r="M66" s="2285"/>
      <c r="N66" s="2286"/>
      <c r="P66" s="2285"/>
      <c r="Q66" s="2286"/>
      <c r="S66" s="2285"/>
      <c r="T66" s="2286"/>
      <c r="V66" s="2287"/>
      <c r="W66" s="2288"/>
      <c r="X66" s="2289"/>
    </row>
    <row r="67" spans="1:24" s="332" customFormat="1" ht="12" customHeight="1">
      <c r="B67" s="332" t="s">
        <v>499</v>
      </c>
      <c r="G67" s="2285">
        <v>9000</v>
      </c>
      <c r="H67" s="2286"/>
      <c r="J67" s="2285">
        <v>9000</v>
      </c>
      <c r="K67" s="2286"/>
      <c r="L67" s="1270"/>
      <c r="M67" s="2285"/>
      <c r="N67" s="2286"/>
      <c r="P67" s="2285"/>
      <c r="Q67" s="2286"/>
      <c r="S67" s="2285"/>
      <c r="T67" s="2286"/>
      <c r="V67" s="2287"/>
      <c r="W67" s="2290"/>
      <c r="X67" s="2291"/>
    </row>
    <row r="68" spans="1:24" s="332" customFormat="1" ht="12" customHeight="1">
      <c r="B68" s="332" t="s">
        <v>1179</v>
      </c>
      <c r="F68" s="332" t="s">
        <v>3030</v>
      </c>
      <c r="G68" s="2285"/>
      <c r="H68" s="2286"/>
      <c r="J68" s="2285"/>
      <c r="K68" s="2286"/>
      <c r="L68" s="1270"/>
      <c r="M68" s="2285"/>
      <c r="N68" s="2286"/>
      <c r="P68" s="2285"/>
      <c r="Q68" s="2286"/>
      <c r="S68" s="2285"/>
      <c r="T68" s="2286"/>
      <c r="V68" s="2287"/>
      <c r="W68" s="2290"/>
      <c r="X68" s="2291"/>
    </row>
    <row r="69" spans="1:24" s="332" customFormat="1" ht="12" customHeight="1">
      <c r="B69" s="332" t="s">
        <v>1180</v>
      </c>
      <c r="G69" s="2285">
        <v>34180</v>
      </c>
      <c r="H69" s="2286"/>
      <c r="J69" s="2285">
        <v>34180</v>
      </c>
      <c r="K69" s="2286"/>
      <c r="L69" s="1270"/>
      <c r="M69" s="2285"/>
      <c r="N69" s="2286"/>
      <c r="P69" s="2285"/>
      <c r="Q69" s="2286"/>
      <c r="S69" s="2285"/>
      <c r="T69" s="2286"/>
      <c r="V69" s="2287"/>
      <c r="W69" s="2290"/>
      <c r="X69" s="2291"/>
    </row>
    <row r="70" spans="1:24" s="332" customFormat="1" ht="12" customHeight="1">
      <c r="B70" s="332" t="s">
        <v>1181</v>
      </c>
      <c r="G70" s="2285">
        <v>10000</v>
      </c>
      <c r="H70" s="2286"/>
      <c r="J70" s="2285">
        <v>10000</v>
      </c>
      <c r="K70" s="2286"/>
      <c r="L70" s="1270"/>
      <c r="M70" s="2285"/>
      <c r="N70" s="2286"/>
      <c r="P70" s="2285"/>
      <c r="Q70" s="2286"/>
      <c r="S70" s="2285"/>
      <c r="T70" s="2286"/>
      <c r="V70" s="2287"/>
      <c r="W70" s="2290"/>
      <c r="X70" s="2291"/>
    </row>
    <row r="71" spans="1:24" s="332" customFormat="1" ht="12" customHeight="1">
      <c r="B71" s="332" t="s">
        <v>1182</v>
      </c>
      <c r="G71" s="2285"/>
      <c r="H71" s="2286"/>
      <c r="J71" s="2285"/>
      <c r="K71" s="2286"/>
      <c r="L71" s="1270"/>
      <c r="M71" s="2285"/>
      <c r="N71" s="2286"/>
      <c r="P71" s="2285"/>
      <c r="Q71" s="2286"/>
      <c r="S71" s="2285"/>
      <c r="T71" s="2286"/>
      <c r="V71" s="2287"/>
      <c r="W71" s="2290"/>
      <c r="X71" s="2291"/>
    </row>
    <row r="72" spans="1:24" s="332" customFormat="1" ht="12" customHeight="1">
      <c r="B72" s="332" t="s">
        <v>500</v>
      </c>
      <c r="G72" s="2285">
        <v>45000</v>
      </c>
      <c r="H72" s="2286"/>
      <c r="J72" s="2285">
        <v>45000</v>
      </c>
      <c r="K72" s="2286"/>
      <c r="L72" s="1270"/>
      <c r="M72" s="2285"/>
      <c r="N72" s="2286"/>
      <c r="P72" s="2285"/>
      <c r="Q72" s="2286"/>
      <c r="S72" s="2285"/>
      <c r="T72" s="2286"/>
      <c r="V72" s="2287"/>
      <c r="W72" s="2290"/>
      <c r="X72" s="2291"/>
    </row>
    <row r="73" spans="1:24" s="332" customFormat="1" ht="12" customHeight="1">
      <c r="B73" s="332" t="s">
        <v>501</v>
      </c>
      <c r="G73" s="2285">
        <v>40000</v>
      </c>
      <c r="H73" s="2286"/>
      <c r="J73" s="2285">
        <v>36000</v>
      </c>
      <c r="K73" s="2286"/>
      <c r="L73" s="1270"/>
      <c r="M73" s="2285"/>
      <c r="N73" s="2286"/>
      <c r="P73" s="2285"/>
      <c r="Q73" s="2286"/>
      <c r="S73" s="2285"/>
      <c r="T73" s="2286"/>
      <c r="V73" s="2287"/>
      <c r="W73" s="2290"/>
      <c r="X73" s="2291"/>
    </row>
    <row r="74" spans="1:24" s="332" customFormat="1" ht="12" customHeight="1">
      <c r="B74" s="332" t="s">
        <v>2150</v>
      </c>
      <c r="G74" s="2285">
        <v>20000</v>
      </c>
      <c r="H74" s="2286"/>
      <c r="J74" s="2285">
        <v>18000</v>
      </c>
      <c r="K74" s="2286"/>
      <c r="L74" s="1270"/>
      <c r="M74" s="2285"/>
      <c r="N74" s="2286"/>
      <c r="P74" s="2285"/>
      <c r="Q74" s="2286"/>
      <c r="S74" s="2285"/>
      <c r="T74" s="2286"/>
      <c r="V74" s="2287"/>
      <c r="W74" s="2290"/>
      <c r="X74" s="2291"/>
    </row>
    <row r="75" spans="1:24" s="332" customFormat="1" ht="12" customHeight="1">
      <c r="B75" s="332" t="s">
        <v>1337</v>
      </c>
      <c r="G75" s="2285">
        <v>8000</v>
      </c>
      <c r="H75" s="2286"/>
      <c r="J75" s="2285">
        <v>8000</v>
      </c>
      <c r="K75" s="2286"/>
      <c r="L75" s="1270"/>
      <c r="M75" s="2285"/>
      <c r="N75" s="2286"/>
      <c r="P75" s="2285"/>
      <c r="Q75" s="2286"/>
      <c r="S75" s="2285"/>
      <c r="T75" s="2286"/>
      <c r="V75" s="2287"/>
      <c r="W75" s="2290"/>
      <c r="X75" s="2291"/>
    </row>
    <row r="76" spans="1:24" s="332" customFormat="1" ht="12" customHeight="1" thickBot="1">
      <c r="A76" s="409" t="str">
        <f>IF(AND(G76&gt;0,OR(C76="",C76="&lt;Enter detailed description here; use Comments section if needed&gt;")),"X","")</f>
        <v/>
      </c>
      <c r="B76" s="332" t="s">
        <v>781</v>
      </c>
      <c r="C76" s="2067" t="s">
        <v>2535</v>
      </c>
      <c r="D76" s="2067"/>
      <c r="E76" s="2067"/>
      <c r="F76" s="2068"/>
      <c r="G76" s="2285"/>
      <c r="H76" s="2286"/>
      <c r="J76" s="2285"/>
      <c r="K76" s="2286"/>
      <c r="L76" s="1270"/>
      <c r="M76" s="2285"/>
      <c r="N76" s="2286"/>
      <c r="P76" s="2285"/>
      <c r="Q76" s="2286"/>
      <c r="S76" s="2285"/>
      <c r="T76" s="2286"/>
      <c r="U76" s="408" t="str">
        <f>IF(AND(G76&gt;0,OR(C76="",C76="&lt;Enter detailed description here; use Comments section if needed&gt;")),"NO DESCRIPTION PROVIDED - please enter detailed description in Other box at left; use Comments section below if needed.","")</f>
        <v/>
      </c>
      <c r="V76" s="2287"/>
      <c r="W76" s="2290"/>
      <c r="X76" s="2291"/>
    </row>
    <row r="77" spans="1:24" s="332" customFormat="1" ht="12" customHeight="1" thickTop="1">
      <c r="F77" s="385" t="s">
        <v>197</v>
      </c>
      <c r="G77" s="1449">
        <f>SUM(G66:H76)</f>
        <v>319780</v>
      </c>
      <c r="H77" s="1450"/>
      <c r="J77" s="1449">
        <f>SUM(J66:K76)</f>
        <v>313780</v>
      </c>
      <c r="K77" s="1450"/>
      <c r="L77" s="387"/>
      <c r="M77" s="1449">
        <f>SUM(M66:N76)</f>
        <v>0</v>
      </c>
      <c r="N77" s="1450"/>
      <c r="P77" s="1449">
        <f>SUM(P66:Q76)</f>
        <v>0</v>
      </c>
      <c r="Q77" s="1450"/>
      <c r="S77" s="1449">
        <f>SUM(S66:T76)</f>
        <v>0</v>
      </c>
      <c r="T77" s="1450"/>
      <c r="V77" s="2295">
        <f>SUM(V66:V76)</f>
        <v>0</v>
      </c>
      <c r="W77" s="2296"/>
      <c r="X77" s="2297"/>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85">
        <v>8667</v>
      </c>
      <c r="H79" s="2286"/>
      <c r="J79" s="2285">
        <v>8667</v>
      </c>
      <c r="K79" s="2286"/>
      <c r="L79" s="1270"/>
      <c r="M79" s="2285"/>
      <c r="N79" s="2286"/>
      <c r="P79" s="2285"/>
      <c r="Q79" s="2286"/>
      <c r="S79" s="2285"/>
      <c r="T79" s="2286"/>
      <c r="V79" s="2287"/>
      <c r="W79" s="2304"/>
      <c r="X79" s="2305"/>
    </row>
    <row r="80" spans="1:24" s="332" customFormat="1" ht="12" customHeight="1">
      <c r="B80" s="332" t="s">
        <v>1331</v>
      </c>
      <c r="G80" s="2285">
        <v>0</v>
      </c>
      <c r="H80" s="2286"/>
      <c r="J80" s="2285"/>
      <c r="K80" s="2286"/>
      <c r="L80" s="1270"/>
      <c r="M80" s="2285"/>
      <c r="N80" s="2286"/>
      <c r="P80" s="2285"/>
      <c r="Q80" s="2286"/>
      <c r="S80" s="2285"/>
      <c r="T80" s="2286"/>
      <c r="V80" s="2287"/>
      <c r="W80" s="2306"/>
      <c r="X80" s="2307"/>
    </row>
    <row r="81" spans="1:24" s="332" customFormat="1" ht="12" customHeight="1">
      <c r="B81" s="332" t="s">
        <v>1332</v>
      </c>
      <c r="D81" s="394" t="s">
        <v>1472</v>
      </c>
      <c r="E81" s="2308" t="s">
        <v>3425</v>
      </c>
      <c r="G81" s="2285">
        <v>12300</v>
      </c>
      <c r="H81" s="2286"/>
      <c r="I81" s="348"/>
      <c r="J81" s="2285">
        <v>12300</v>
      </c>
      <c r="K81" s="2286"/>
      <c r="L81" s="1270"/>
      <c r="M81" s="2285"/>
      <c r="N81" s="2286"/>
      <c r="P81" s="2285"/>
      <c r="Q81" s="2286"/>
      <c r="S81" s="2285"/>
      <c r="T81" s="2286"/>
      <c r="V81" s="2287"/>
      <c r="W81" s="2306"/>
      <c r="X81" s="2307"/>
    </row>
    <row r="82" spans="1:24" s="332" customFormat="1" ht="12" customHeight="1" thickBot="1">
      <c r="B82" s="332" t="s">
        <v>1333</v>
      </c>
      <c r="D82" s="394" t="s">
        <v>1472</v>
      </c>
      <c r="E82" s="2308" t="s">
        <v>3425</v>
      </c>
      <c r="G82" s="2285">
        <v>3625</v>
      </c>
      <c r="H82" s="2286"/>
      <c r="I82" s="348"/>
      <c r="J82" s="2285">
        <v>3625</v>
      </c>
      <c r="K82" s="2286"/>
      <c r="L82" s="1270"/>
      <c r="M82" s="2285"/>
      <c r="N82" s="2286"/>
      <c r="P82" s="2285"/>
      <c r="Q82" s="2286"/>
      <c r="S82" s="2285"/>
      <c r="T82" s="2286"/>
      <c r="V82" s="2287"/>
      <c r="W82" s="2306"/>
      <c r="X82" s="2307"/>
    </row>
    <row r="83" spans="1:24" s="332" customFormat="1" ht="12" customHeight="1" thickTop="1">
      <c r="F83" s="385" t="s">
        <v>197</v>
      </c>
      <c r="G83" s="1449">
        <f>SUM(G79:H82)</f>
        <v>24592</v>
      </c>
      <c r="H83" s="1450"/>
      <c r="J83" s="1449">
        <f>SUM(J79:K82)</f>
        <v>24592</v>
      </c>
      <c r="K83" s="1450"/>
      <c r="L83" s="387"/>
      <c r="M83" s="1449">
        <f>SUM(M79:N82)</f>
        <v>0</v>
      </c>
      <c r="N83" s="1450"/>
      <c r="P83" s="1449">
        <f>SUM(P79:Q82)</f>
        <v>0</v>
      </c>
      <c r="Q83" s="1450"/>
      <c r="S83" s="1449">
        <f>SUM(S79:T82)</f>
        <v>0</v>
      </c>
      <c r="T83" s="1450"/>
      <c r="V83" s="2295">
        <f>SUM(V79:V82)</f>
        <v>0</v>
      </c>
      <c r="W83" s="2309"/>
      <c r="X83" s="2310"/>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85">
        <v>11813</v>
      </c>
      <c r="H85" s="2286"/>
      <c r="J85" s="1444"/>
      <c r="K85" s="1444"/>
      <c r="L85" s="1270"/>
      <c r="M85" s="1444"/>
      <c r="N85" s="1444"/>
      <c r="P85" s="1444"/>
      <c r="Q85" s="1444"/>
      <c r="S85" s="2285"/>
      <c r="T85" s="2286"/>
      <c r="V85" s="2287"/>
      <c r="W85" s="2304"/>
      <c r="X85" s="2305"/>
    </row>
    <row r="86" spans="1:24" s="332" customFormat="1" ht="12" customHeight="1">
      <c r="B86" s="332" t="s">
        <v>1335</v>
      </c>
      <c r="G86" s="2285">
        <v>5000</v>
      </c>
      <c r="H86" s="2286"/>
      <c r="J86" s="1444"/>
      <c r="K86" s="1444"/>
      <c r="L86" s="1270"/>
      <c r="M86" s="1444"/>
      <c r="N86" s="1444"/>
      <c r="P86" s="1444"/>
      <c r="Q86" s="1444"/>
      <c r="S86" s="2285"/>
      <c r="T86" s="2286"/>
      <c r="V86" s="2287"/>
      <c r="W86" s="2306"/>
      <c r="X86" s="2307"/>
    </row>
    <row r="87" spans="1:24" s="332" customFormat="1" ht="12" customHeight="1">
      <c r="B87" s="332" t="s">
        <v>1336</v>
      </c>
      <c r="G87" s="2285">
        <v>5000</v>
      </c>
      <c r="H87" s="2286"/>
      <c r="J87" s="1444"/>
      <c r="K87" s="1444"/>
      <c r="L87" s="1270"/>
      <c r="M87" s="1444"/>
      <c r="N87" s="1444"/>
      <c r="P87" s="1444"/>
      <c r="Q87" s="1444"/>
      <c r="S87" s="2285"/>
      <c r="T87" s="2286"/>
      <c r="V87" s="2287"/>
      <c r="W87" s="2306"/>
      <c r="X87" s="2307"/>
    </row>
    <row r="88" spans="1:24" s="332" customFormat="1" ht="12" customHeight="1">
      <c r="B88" s="332" t="s">
        <v>1338</v>
      </c>
      <c r="G88" s="2285"/>
      <c r="H88" s="2286"/>
      <c r="J88" s="1444"/>
      <c r="K88" s="1444"/>
      <c r="L88" s="1270"/>
      <c r="M88" s="1444"/>
      <c r="N88" s="1444"/>
      <c r="P88" s="1444"/>
      <c r="Q88" s="1444"/>
      <c r="S88" s="2285"/>
      <c r="T88" s="2286"/>
      <c r="V88" s="2287"/>
      <c r="W88" s="2306"/>
      <c r="X88" s="2307"/>
    </row>
    <row r="89" spans="1:24" s="332" customFormat="1" ht="12" customHeight="1">
      <c r="B89" s="332" t="s">
        <v>2407</v>
      </c>
      <c r="G89" s="2285"/>
      <c r="H89" s="2286"/>
      <c r="J89" s="1444"/>
      <c r="K89" s="1444"/>
      <c r="L89" s="1270"/>
      <c r="M89" s="1444"/>
      <c r="N89" s="1444"/>
      <c r="P89" s="1444"/>
      <c r="Q89" s="1444"/>
      <c r="S89" s="2285"/>
      <c r="T89" s="2286"/>
      <c r="V89" s="2287"/>
      <c r="W89" s="2306"/>
      <c r="X89" s="2307"/>
    </row>
    <row r="90" spans="1:24" s="332" customFormat="1" ht="12" customHeight="1" thickBot="1">
      <c r="A90" s="409" t="str">
        <f>IF(AND(G90&gt;0,OR(C90="",C90="&lt;Enter detailed description here; use Comments section if needed&gt;")),"X","")</f>
        <v/>
      </c>
      <c r="B90" s="332" t="s">
        <v>781</v>
      </c>
      <c r="C90" s="2067" t="s">
        <v>4478</v>
      </c>
      <c r="D90" s="2067"/>
      <c r="E90" s="2067"/>
      <c r="F90" s="2068"/>
      <c r="G90" s="2285">
        <v>22500</v>
      </c>
      <c r="H90" s="2286"/>
      <c r="J90" s="1444"/>
      <c r="K90" s="1444"/>
      <c r="L90" s="1270"/>
      <c r="M90" s="1444"/>
      <c r="N90" s="1444"/>
      <c r="P90" s="1444"/>
      <c r="Q90" s="1444"/>
      <c r="S90" s="2285"/>
      <c r="T90" s="2286"/>
      <c r="U90" s="408" t="str">
        <f>IF(AND(G90&gt;0,OR(C90="",C90="&lt;Enter detailed description here; use Comments section if needed&gt;")),"NO DESCRIPTION PROVIDED - please enter detailed description in Other box at left; use Comments section below if needed.","")</f>
        <v/>
      </c>
      <c r="V90" s="2287"/>
      <c r="W90" s="2306"/>
      <c r="X90" s="2307"/>
    </row>
    <row r="91" spans="1:24" s="332" customFormat="1" ht="12" customHeight="1" thickTop="1">
      <c r="F91" s="385" t="s">
        <v>197</v>
      </c>
      <c r="G91" s="1449">
        <f>SUM(G85:H90)</f>
        <v>44313</v>
      </c>
      <c r="H91" s="1450"/>
      <c r="J91" s="1444"/>
      <c r="K91" s="1444"/>
      <c r="L91" s="387"/>
      <c r="M91" s="1444"/>
      <c r="N91" s="1444"/>
      <c r="P91" s="1444"/>
      <c r="Q91" s="1444"/>
      <c r="S91" s="1449">
        <f>SUM(S85:T90)</f>
        <v>0</v>
      </c>
      <c r="T91" s="1450"/>
      <c r="V91" s="2295">
        <f>SUM(V85:V90)</f>
        <v>0</v>
      </c>
      <c r="W91" s="2309"/>
      <c r="X91" s="2310"/>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3185</v>
      </c>
      <c r="H93" s="1262"/>
      <c r="I93" s="1262"/>
      <c r="J93" s="1452" t="s">
        <v>283</v>
      </c>
      <c r="K93" s="1453"/>
      <c r="L93" s="384"/>
      <c r="M93" s="1445" t="s">
        <v>511</v>
      </c>
      <c r="N93" s="1446"/>
      <c r="P93" s="1452" t="s">
        <v>284</v>
      </c>
      <c r="Q93" s="1453"/>
      <c r="S93" s="1452" t="s">
        <v>285</v>
      </c>
      <c r="T93" s="1453"/>
      <c r="W93" s="476" t="str">
        <f>B93</f>
        <v>DEVELOPMENT BUDGET  (cont'd)</v>
      </c>
    </row>
    <row r="94" spans="1:24" s="332" customFormat="1" ht="18" customHeight="1" thickBot="1">
      <c r="G94" s="1503" t="s">
        <v>103</v>
      </c>
      <c r="H94" s="1504"/>
      <c r="J94" s="1454"/>
      <c r="K94" s="1455"/>
      <c r="L94" s="384"/>
      <c r="M94" s="1447"/>
      <c r="N94" s="1448"/>
      <c r="P94" s="1454"/>
      <c r="Q94" s="1455"/>
      <c r="S94" s="1454"/>
      <c r="T94" s="1455"/>
      <c r="W94" s="1518" t="s">
        <v>2826</v>
      </c>
      <c r="X94" s="1518"/>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85"/>
      <c r="H96" s="2286"/>
      <c r="J96" s="387"/>
      <c r="K96" s="387"/>
      <c r="L96" s="1270"/>
      <c r="M96" s="387"/>
      <c r="N96" s="387"/>
      <c r="P96" s="387"/>
      <c r="Q96" s="387"/>
      <c r="S96" s="2285"/>
      <c r="T96" s="2286"/>
      <c r="V96" s="2287"/>
      <c r="W96" s="2304"/>
      <c r="X96" s="2305"/>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85">
        <v>5500</v>
      </c>
      <c r="H97" s="2286"/>
      <c r="J97" s="387"/>
      <c r="K97" s="387"/>
      <c r="L97" s="395"/>
      <c r="M97" s="387"/>
      <c r="N97" s="387"/>
      <c r="P97" s="387"/>
      <c r="Q97" s="387"/>
      <c r="S97" s="2285"/>
      <c r="T97" s="2286"/>
      <c r="V97" s="2287"/>
      <c r="W97" s="2306"/>
      <c r="X97" s="2307"/>
    </row>
    <row r="98" spans="1:24" s="332" customFormat="1" ht="12.6" customHeight="1">
      <c r="B98" s="332" t="s">
        <v>2848</v>
      </c>
      <c r="G98" s="2285"/>
      <c r="H98" s="2286"/>
      <c r="J98" s="387"/>
      <c r="K98" s="387"/>
      <c r="L98" s="395"/>
      <c r="M98" s="387"/>
      <c r="N98" s="387"/>
      <c r="O98" s="1262"/>
      <c r="P98" s="387"/>
      <c r="Q98" s="387"/>
      <c r="S98" s="2285"/>
      <c r="T98" s="2286"/>
      <c r="V98" s="2287"/>
      <c r="W98" s="2306"/>
      <c r="X98" s="2307"/>
    </row>
    <row r="99" spans="1:24" s="332" customFormat="1" ht="12.6" customHeight="1">
      <c r="B99" s="332" t="s">
        <v>543</v>
      </c>
      <c r="E99" s="1513">
        <f>'DCA Underwriting Assumptions'!$Q$74*J173</f>
        <v>76513.320000000007</v>
      </c>
      <c r="F99" s="1514"/>
      <c r="G99" s="2285">
        <v>76513</v>
      </c>
      <c r="H99" s="2286"/>
      <c r="J99" s="387"/>
      <c r="K99" s="387"/>
      <c r="L99" s="1270"/>
      <c r="M99" s="387"/>
      <c r="N99" s="387"/>
      <c r="O99" s="1262"/>
      <c r="P99" s="387"/>
      <c r="Q99" s="387"/>
      <c r="S99" s="2285"/>
      <c r="T99" s="2286"/>
      <c r="V99" s="2287"/>
      <c r="W99" s="2306"/>
      <c r="X99" s="2307"/>
    </row>
    <row r="100" spans="1:24" s="332" customFormat="1" ht="12.6" customHeight="1">
      <c r="B100" s="332" t="s">
        <v>793</v>
      </c>
      <c r="E100" s="151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76800</v>
      </c>
      <c r="F100" s="1514"/>
      <c r="G100" s="2285">
        <v>76800</v>
      </c>
      <c r="H100" s="2286"/>
      <c r="J100" s="302"/>
      <c r="K100" s="302"/>
      <c r="L100" s="302"/>
      <c r="M100" s="302"/>
      <c r="N100" s="302"/>
      <c r="O100" s="302"/>
      <c r="P100" s="302"/>
      <c r="Q100" s="302"/>
      <c r="S100" s="2285"/>
      <c r="T100" s="2286"/>
      <c r="V100" s="2287"/>
      <c r="W100" s="2306"/>
      <c r="X100" s="2307"/>
    </row>
    <row r="101" spans="1:24" s="332" customFormat="1" ht="12.6" customHeight="1">
      <c r="B101" s="332" t="str">
        <f>CONCATENATE("DCA HOME Front End Analysis Fee (when ID of Interest; $",'DCA Underwriting Assumptions'!$Q$76,")")</f>
        <v>DCA HOME Front End Analysis Fee (when ID of Interest; $2700)</v>
      </c>
      <c r="G101" s="2285"/>
      <c r="H101" s="2286"/>
      <c r="J101" s="302"/>
      <c r="K101" s="302"/>
      <c r="L101" s="302"/>
      <c r="M101" s="302"/>
      <c r="N101" s="302"/>
      <c r="O101" s="302"/>
      <c r="P101" s="302"/>
      <c r="Q101" s="302"/>
      <c r="S101" s="2285"/>
      <c r="T101" s="2286"/>
      <c r="V101" s="2287"/>
      <c r="W101" s="2306"/>
      <c r="X101" s="2307"/>
    </row>
    <row r="102" spans="1:24" s="332" customFormat="1" ht="12.6" customHeight="1">
      <c r="B102" s="332" t="str">
        <f>CONCATENATE("DCA Final Inspection Fee (Tax Credit only - no HOME; $",'DCA Underwriting Assumptions'!$Q$97,")")</f>
        <v>DCA Final Inspection Fee (Tax Credit only - no HOME; $3000)</v>
      </c>
      <c r="G102" s="2285">
        <v>3000</v>
      </c>
      <c r="H102" s="2286"/>
      <c r="J102" s="302"/>
      <c r="K102" s="302"/>
      <c r="L102" s="302"/>
      <c r="M102" s="302"/>
      <c r="N102" s="302"/>
      <c r="O102" s="302"/>
      <c r="P102" s="302"/>
      <c r="Q102" s="302"/>
      <c r="S102" s="2285"/>
      <c r="T102" s="2286"/>
      <c r="V102" s="2287"/>
      <c r="W102" s="2306"/>
      <c r="X102" s="2307"/>
    </row>
    <row r="103" spans="1:24" s="332" customFormat="1" ht="12.6" customHeight="1">
      <c r="A103" s="409" t="str">
        <f>IF(AND(G103&gt;0,OR(C103="",C103="&lt;Enter detailed description here; use Comments section if needed&gt;")),"X","")</f>
        <v/>
      </c>
      <c r="B103" s="332" t="s">
        <v>781</v>
      </c>
      <c r="C103" s="2067" t="s">
        <v>2535</v>
      </c>
      <c r="D103" s="2067"/>
      <c r="E103" s="2067"/>
      <c r="F103" s="2068"/>
      <c r="G103" s="2285"/>
      <c r="H103" s="2286"/>
      <c r="J103" s="302"/>
      <c r="K103" s="302"/>
      <c r="L103" s="302"/>
      <c r="M103" s="302"/>
      <c r="N103" s="302"/>
      <c r="O103" s="302"/>
      <c r="P103" s="302"/>
      <c r="Q103" s="302"/>
      <c r="S103" s="2285"/>
      <c r="T103" s="2286"/>
      <c r="U103" s="408" t="str">
        <f>IF(AND(G103&gt;0,OR(C103="",C103="&lt;Enter detailed description here; use Comments section if needed&gt;")),"NO DESCRIPTION PROVIDED - please enter detailed description in Other box at left; use Comments section below if needed.","")</f>
        <v/>
      </c>
      <c r="V103" s="2287"/>
      <c r="W103" s="2306"/>
      <c r="X103" s="2307"/>
    </row>
    <row r="104" spans="1:24" s="332" customFormat="1" ht="12.6" customHeight="1" thickBot="1">
      <c r="A104" s="409" t="str">
        <f>IF(AND(G104&gt;0,OR(C104="",C104="&lt;Enter detailed description here; use Comments section if needed&gt;")),"X","")</f>
        <v/>
      </c>
      <c r="B104" s="332" t="s">
        <v>781</v>
      </c>
      <c r="C104" s="2067" t="s">
        <v>2535</v>
      </c>
      <c r="D104" s="2067"/>
      <c r="E104" s="2067"/>
      <c r="F104" s="2068"/>
      <c r="G104" s="2285"/>
      <c r="H104" s="2286"/>
      <c r="J104" s="302"/>
      <c r="K104" s="302"/>
      <c r="L104" s="302"/>
      <c r="M104" s="302"/>
      <c r="N104" s="302"/>
      <c r="O104" s="302"/>
      <c r="P104" s="302"/>
      <c r="Q104" s="302"/>
      <c r="S104" s="2285"/>
      <c r="T104" s="2286"/>
      <c r="U104" s="408" t="str">
        <f>IF(AND(G104&gt;0,OR(C104="",C104="&lt;Enter detailed description here; use Comments section if needed&gt;")),"NO DESCRIPTION PROVIDED - please enter detailed description in Other box at left; use Comments section below if needed.","")</f>
        <v/>
      </c>
      <c r="V104" s="2287"/>
      <c r="W104" s="2306"/>
      <c r="X104" s="2307"/>
    </row>
    <row r="105" spans="1:24" s="332" customFormat="1" ht="12.6" customHeight="1" thickTop="1">
      <c r="F105" s="385" t="s">
        <v>197</v>
      </c>
      <c r="G105" s="1449">
        <f>SUM(G96:H104)</f>
        <v>161813</v>
      </c>
      <c r="H105" s="1450"/>
      <c r="J105" s="387"/>
      <c r="K105" s="387"/>
      <c r="L105" s="1270"/>
      <c r="M105" s="387"/>
      <c r="N105" s="387"/>
      <c r="P105" s="387"/>
      <c r="Q105" s="387"/>
      <c r="S105" s="1449">
        <f>SUM(S96:T104)</f>
        <v>0</v>
      </c>
      <c r="T105" s="1450"/>
      <c r="V105" s="2295">
        <f>SUM(V96:V104)</f>
        <v>0</v>
      </c>
      <c r="W105" s="2309"/>
      <c r="X105" s="2310"/>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85">
        <v>2500</v>
      </c>
      <c r="H107" s="2286"/>
      <c r="J107" s="1444"/>
      <c r="K107" s="1444"/>
      <c r="L107" s="1270"/>
      <c r="M107" s="1444"/>
      <c r="N107" s="1444"/>
      <c r="O107" s="1262"/>
      <c r="P107" s="1444"/>
      <c r="Q107" s="1444"/>
      <c r="S107" s="2285"/>
      <c r="T107" s="2286"/>
      <c r="V107" s="2287"/>
      <c r="W107" s="2304"/>
      <c r="X107" s="2305"/>
    </row>
    <row r="108" spans="1:24" s="332" customFormat="1" ht="12.6" customHeight="1">
      <c r="B108" s="332" t="s">
        <v>293</v>
      </c>
      <c r="G108" s="2285">
        <v>2500</v>
      </c>
      <c r="H108" s="2286"/>
      <c r="J108" s="1444"/>
      <c r="K108" s="1444"/>
      <c r="L108" s="1270"/>
      <c r="M108" s="1444"/>
      <c r="N108" s="1444"/>
      <c r="O108" s="1262"/>
      <c r="P108" s="1444"/>
      <c r="Q108" s="1444"/>
      <c r="S108" s="2285"/>
      <c r="T108" s="2286"/>
      <c r="V108" s="2287"/>
      <c r="W108" s="2306"/>
      <c r="X108" s="2307"/>
    </row>
    <row r="109" spans="1:24" s="332" customFormat="1" ht="12.6" customHeight="1">
      <c r="B109" s="332" t="s">
        <v>2500</v>
      </c>
      <c r="G109" s="2285"/>
      <c r="H109" s="2286"/>
      <c r="J109" s="1444"/>
      <c r="K109" s="1444"/>
      <c r="L109" s="1270"/>
      <c r="M109" s="1444"/>
      <c r="N109" s="1444"/>
      <c r="O109" s="1262"/>
      <c r="P109" s="1444"/>
      <c r="Q109" s="1444"/>
      <c r="S109" s="2285"/>
      <c r="T109" s="2286"/>
      <c r="V109" s="2287"/>
      <c r="W109" s="2306"/>
      <c r="X109" s="2307"/>
    </row>
    <row r="110" spans="1:24" s="332" customFormat="1" ht="12.6" customHeight="1" thickBot="1">
      <c r="A110" s="409" t="str">
        <f>IF(AND(G110&gt;0,OR(C110="",C110="&lt;Enter detailed description here; use Comments section if needed&gt;")),"X","")</f>
        <v/>
      </c>
      <c r="B110" s="332" t="s">
        <v>781</v>
      </c>
      <c r="C110" s="2067" t="s">
        <v>2535</v>
      </c>
      <c r="D110" s="2067"/>
      <c r="E110" s="2067"/>
      <c r="F110" s="2068"/>
      <c r="G110" s="2285"/>
      <c r="H110" s="2286"/>
      <c r="J110" s="1444"/>
      <c r="K110" s="1444"/>
      <c r="L110" s="1270"/>
      <c r="M110" s="1444"/>
      <c r="N110" s="1444"/>
      <c r="O110" s="1262"/>
      <c r="P110" s="1444"/>
      <c r="Q110" s="1444"/>
      <c r="S110" s="2285"/>
      <c r="T110" s="2286"/>
      <c r="U110" s="408" t="str">
        <f>IF(AND(G110&gt;0,OR(C110="",C110="&lt;Enter detailed description here; use Comments section if needed&gt;")),"NO DESCRIPTION PROVIDED - please enter detailed description in Other box at left; use Comments section below if needed.","")</f>
        <v/>
      </c>
      <c r="V110" s="2287"/>
      <c r="W110" s="2306"/>
      <c r="X110" s="2307"/>
    </row>
    <row r="111" spans="1:24" s="332" customFormat="1" ht="12.6" customHeight="1" thickTop="1">
      <c r="F111" s="385" t="s">
        <v>197</v>
      </c>
      <c r="G111" s="1449">
        <f>SUM(G107:H110)</f>
        <v>5000</v>
      </c>
      <c r="H111" s="1450"/>
      <c r="J111" s="1444"/>
      <c r="K111" s="1444"/>
      <c r="L111" s="1270"/>
      <c r="M111" s="1444"/>
      <c r="N111" s="1444"/>
      <c r="O111" s="1262"/>
      <c r="P111" s="1444"/>
      <c r="Q111" s="1444"/>
      <c r="S111" s="1449">
        <f>SUM(S107:T110)</f>
        <v>0</v>
      </c>
      <c r="T111" s="1450"/>
      <c r="V111" s="2295">
        <f>SUM(V107:V110)</f>
        <v>0</v>
      </c>
      <c r="W111" s="2309"/>
      <c r="X111" s="2310"/>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285"/>
      <c r="H113" s="2286"/>
      <c r="J113" s="2285"/>
      <c r="K113" s="2286"/>
      <c r="L113" s="386"/>
      <c r="M113" s="2285"/>
      <c r="N113" s="2286"/>
      <c r="P113" s="2285"/>
      <c r="Q113" s="2286"/>
      <c r="S113" s="2285"/>
      <c r="T113" s="2286"/>
      <c r="V113" s="2287"/>
      <c r="W113" s="2304"/>
      <c r="X113" s="2305"/>
    </row>
    <row r="114" spans="1:24" s="332" customFormat="1" ht="12.6" customHeight="1">
      <c r="B114" s="332" t="s">
        <v>1954</v>
      </c>
      <c r="F114" s="446">
        <f>G114/G116</f>
        <v>0</v>
      </c>
      <c r="G114" s="2285"/>
      <c r="H114" s="2286"/>
      <c r="J114" s="2285"/>
      <c r="K114" s="2286"/>
      <c r="L114" s="1270"/>
      <c r="M114" s="2285"/>
      <c r="N114" s="2286"/>
      <c r="P114" s="2285"/>
      <c r="Q114" s="2286"/>
      <c r="S114" s="2285"/>
      <c r="T114" s="2286"/>
      <c r="V114" s="2287"/>
      <c r="W114" s="2306"/>
      <c r="X114" s="2307"/>
    </row>
    <row r="115" spans="1:24" s="332" customFormat="1" ht="12.6" customHeight="1" thickBot="1">
      <c r="B115" s="332" t="s">
        <v>1946</v>
      </c>
      <c r="F115" s="446">
        <f>G115/G116</f>
        <v>1</v>
      </c>
      <c r="G115" s="2285">
        <v>1702220</v>
      </c>
      <c r="H115" s="2286"/>
      <c r="J115" s="2285">
        <v>1702220</v>
      </c>
      <c r="K115" s="2286"/>
      <c r="L115" s="1270"/>
      <c r="M115" s="2285"/>
      <c r="N115" s="2286"/>
      <c r="P115" s="2285"/>
      <c r="Q115" s="2286"/>
      <c r="S115" s="2285"/>
      <c r="T115" s="2286"/>
      <c r="V115" s="2287"/>
      <c r="W115" s="2306"/>
      <c r="X115" s="2307"/>
    </row>
    <row r="116" spans="1:24" s="332" customFormat="1" ht="12.6" customHeight="1" thickTop="1">
      <c r="C116" s="408" t="str">
        <f>IF(G116&lt;='DCA Underwriting Assumptions'!$Q$83,"","Developer Fee exceeds DCA Program Maximum !!!")</f>
        <v/>
      </c>
      <c r="F116" s="385" t="s">
        <v>197</v>
      </c>
      <c r="G116" s="1449">
        <f>SUM(G113:H115)</f>
        <v>1702220</v>
      </c>
      <c r="H116" s="1450"/>
      <c r="J116" s="1449">
        <f>SUM(J113:K115)</f>
        <v>1702220</v>
      </c>
      <c r="K116" s="1450"/>
      <c r="L116" s="1270"/>
      <c r="M116" s="1449">
        <f>SUM(M113:N115)</f>
        <v>0</v>
      </c>
      <c r="N116" s="1450"/>
      <c r="P116" s="1449">
        <f>SUM(P113:Q115)</f>
        <v>0</v>
      </c>
      <c r="Q116" s="1450"/>
      <c r="S116" s="1449">
        <f>SUM(S113:T115)</f>
        <v>0</v>
      </c>
      <c r="T116" s="1450"/>
      <c r="V116" s="2295">
        <f>SUM(V113:V115)</f>
        <v>0</v>
      </c>
      <c r="W116" s="2309"/>
      <c r="X116" s="2310"/>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85">
        <v>48000</v>
      </c>
      <c r="H118" s="2286"/>
      <c r="J118" s="396"/>
      <c r="K118" s="396"/>
      <c r="L118" s="396"/>
      <c r="M118" s="396"/>
      <c r="N118" s="396"/>
      <c r="P118" s="396"/>
      <c r="Q118" s="396"/>
      <c r="S118" s="2285"/>
      <c r="T118" s="2286"/>
      <c r="V118" s="2287"/>
      <c r="W118" s="2304"/>
      <c r="X118" s="2305"/>
    </row>
    <row r="119" spans="1:24" s="332" customFormat="1" ht="12.6" customHeight="1">
      <c r="B119" s="332" t="s">
        <v>1612</v>
      </c>
      <c r="F119" s="579">
        <f>+'Part VI-Revenues &amp; Expenses'!$P$178*('DCA Underwriting Assumptions'!$Q$96/12)</f>
        <v>106080.75</v>
      </c>
      <c r="G119" s="2285">
        <v>106081</v>
      </c>
      <c r="H119" s="2286"/>
      <c r="J119" s="1444"/>
      <c r="K119" s="1444"/>
      <c r="L119" s="1270"/>
      <c r="M119" s="1444"/>
      <c r="N119" s="1444"/>
      <c r="O119" s="1262"/>
      <c r="P119" s="1444"/>
      <c r="Q119" s="1444"/>
      <c r="R119" s="1262"/>
      <c r="S119" s="2285"/>
      <c r="T119" s="2286"/>
      <c r="V119" s="2287"/>
      <c r="W119" s="2306"/>
      <c r="X119" s="2307"/>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264618.15426902007</v>
      </c>
      <c r="G120" s="2285">
        <v>264618</v>
      </c>
      <c r="H120" s="2286"/>
      <c r="J120" s="395"/>
      <c r="K120" s="395"/>
      <c r="L120" s="395"/>
      <c r="M120" s="395"/>
      <c r="N120" s="395"/>
      <c r="O120" s="1262"/>
      <c r="P120" s="395"/>
      <c r="Q120" s="395"/>
      <c r="R120" s="1262"/>
      <c r="S120" s="2285"/>
      <c r="T120" s="2286"/>
      <c r="V120" s="2287"/>
      <c r="W120" s="2306"/>
      <c r="X120" s="2307"/>
    </row>
    <row r="121" spans="1:24" s="332" customFormat="1" ht="12.6" customHeight="1">
      <c r="B121" s="332" t="s">
        <v>1304</v>
      </c>
      <c r="G121" s="2285"/>
      <c r="H121" s="2286"/>
      <c r="J121" s="396"/>
      <c r="K121" s="396"/>
      <c r="L121" s="396"/>
      <c r="M121" s="396"/>
      <c r="N121" s="396"/>
      <c r="P121" s="396"/>
      <c r="Q121" s="396"/>
      <c r="S121" s="2285"/>
      <c r="T121" s="2286"/>
      <c r="V121" s="2287"/>
      <c r="W121" s="2306"/>
      <c r="X121" s="2307"/>
    </row>
    <row r="122" spans="1:24" s="332" customFormat="1" ht="12.6" customHeight="1">
      <c r="B122" s="332" t="s">
        <v>1305</v>
      </c>
      <c r="E122" s="1220" t="s">
        <v>4365</v>
      </c>
      <c r="F122" s="530">
        <f>G122/'Part VI-Revenues &amp; Expenses'!$M$62</f>
        <v>208.33333333333334</v>
      </c>
      <c r="G122" s="2285">
        <v>20000</v>
      </c>
      <c r="H122" s="2286"/>
      <c r="J122" s="2285">
        <v>20000</v>
      </c>
      <c r="K122" s="2286"/>
      <c r="L122" s="1270"/>
      <c r="M122" s="2285"/>
      <c r="N122" s="2286"/>
      <c r="P122" s="2285"/>
      <c r="Q122" s="2286"/>
      <c r="S122" s="2285"/>
      <c r="T122" s="2286"/>
      <c r="V122" s="2287"/>
      <c r="W122" s="2306"/>
      <c r="X122" s="2307"/>
    </row>
    <row r="123" spans="1:24" s="332" customFormat="1" ht="12.6" customHeight="1" thickBot="1">
      <c r="A123" s="409" t="str">
        <f>IF(AND(G123&gt;0,OR(C123="",C123="&lt;Enter detailed description here; use Comments section if needed&gt;")),"X","")</f>
        <v/>
      </c>
      <c r="B123" s="332" t="s">
        <v>781</v>
      </c>
      <c r="C123" s="2067" t="s">
        <v>2535</v>
      </c>
      <c r="D123" s="2067"/>
      <c r="E123" s="2067"/>
      <c r="F123" s="2068"/>
      <c r="G123" s="2285"/>
      <c r="H123" s="2286"/>
      <c r="J123" s="2285"/>
      <c r="K123" s="2286"/>
      <c r="L123" s="1270"/>
      <c r="M123" s="2285"/>
      <c r="N123" s="2286"/>
      <c r="P123" s="2285"/>
      <c r="Q123" s="2286"/>
      <c r="S123" s="2285"/>
      <c r="T123" s="2286"/>
      <c r="U123" s="408" t="str">
        <f>IF(AND(G123&gt;0,OR(C123="",C123="&lt;Enter detailed description here; use Comments section if needed&gt;")),"NO DESCRIPTION PROVIDED - please enter detailed description in Other box at left; use Comments section below if needed.","")</f>
        <v/>
      </c>
      <c r="V123" s="2287"/>
      <c r="W123" s="2306"/>
      <c r="X123" s="2307"/>
    </row>
    <row r="124" spans="1:24" s="332" customFormat="1" ht="12.6" customHeight="1" thickTop="1">
      <c r="B124" s="397"/>
      <c r="F124" s="385" t="s">
        <v>197</v>
      </c>
      <c r="G124" s="1449">
        <f>SUM(G118:H123)</f>
        <v>438699</v>
      </c>
      <c r="H124" s="1450"/>
      <c r="J124" s="1449">
        <f>SUM(J122:K123)</f>
        <v>20000</v>
      </c>
      <c r="K124" s="1450"/>
      <c r="L124" s="1270"/>
      <c r="M124" s="1449">
        <f>SUM(M122:N123)</f>
        <v>0</v>
      </c>
      <c r="N124" s="1450"/>
      <c r="P124" s="1449">
        <f>SUM(P122:Q123)</f>
        <v>0</v>
      </c>
      <c r="Q124" s="1450"/>
      <c r="S124" s="1449">
        <f>SUM(S118:T123)</f>
        <v>0</v>
      </c>
      <c r="T124" s="1450"/>
      <c r="V124" s="2295">
        <f>SUM(V118:V123)</f>
        <v>0</v>
      </c>
      <c r="W124" s="2309"/>
      <c r="X124" s="2310"/>
    </row>
    <row r="125" spans="1:24" s="332" customFormat="1" ht="13.15" customHeight="1">
      <c r="B125" s="334" t="s">
        <v>641</v>
      </c>
      <c r="C125" s="125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4"/>
      <c r="G126" s="2285"/>
      <c r="H126" s="2286"/>
      <c r="J126" s="2285"/>
      <c r="K126" s="2286"/>
      <c r="L126" s="386"/>
      <c r="M126" s="2285"/>
      <c r="N126" s="2286"/>
      <c r="P126" s="2285"/>
      <c r="Q126" s="2286"/>
      <c r="S126" s="2285"/>
      <c r="T126" s="2286"/>
      <c r="V126" s="2287"/>
      <c r="W126" s="2304"/>
      <c r="X126" s="2305"/>
    </row>
    <row r="127" spans="1:24" s="332" customFormat="1" ht="12.6" customHeight="1" thickBot="1">
      <c r="A127" s="409" t="str">
        <f>IF(AND(G127&gt;0,OR(C127="",C127="&lt;Enter detailed description here; use Comments section if needed&gt;")),"X","")</f>
        <v/>
      </c>
      <c r="B127" s="332" t="s">
        <v>781</v>
      </c>
      <c r="C127" s="2067" t="s">
        <v>2535</v>
      </c>
      <c r="D127" s="2067"/>
      <c r="E127" s="2067"/>
      <c r="F127" s="2068"/>
      <c r="G127" s="2285"/>
      <c r="H127" s="2286"/>
      <c r="J127" s="2285"/>
      <c r="K127" s="2286"/>
      <c r="L127" s="1270"/>
      <c r="M127" s="2285"/>
      <c r="N127" s="2286"/>
      <c r="P127" s="2285"/>
      <c r="Q127" s="2286"/>
      <c r="S127" s="2285"/>
      <c r="T127" s="2286"/>
      <c r="U127" s="408" t="str">
        <f>IF(AND(G127&gt;0,OR(C127="",C127="&lt;Enter detailed description here; use Comments section if needed&gt;")),"NO DESCRIPTION PROVIDED - please enter detailed description in Other box at left; use Comments section below if needed.","")</f>
        <v/>
      </c>
      <c r="V127" s="2287"/>
      <c r="W127" s="2306"/>
      <c r="X127" s="2307"/>
    </row>
    <row r="128" spans="1:24" s="332" customFormat="1" ht="12.6" customHeight="1" thickTop="1">
      <c r="C128" s="1254"/>
      <c r="F128" s="385" t="s">
        <v>197</v>
      </c>
      <c r="G128" s="1449">
        <f>SUM(G126:H127)</f>
        <v>0</v>
      </c>
      <c r="H128" s="1450"/>
      <c r="J128" s="1449">
        <f>SUM(J126:K127)</f>
        <v>0</v>
      </c>
      <c r="K128" s="1450"/>
      <c r="L128" s="1270"/>
      <c r="M128" s="1449">
        <f>SUM(M126:N127)</f>
        <v>0</v>
      </c>
      <c r="N128" s="1450"/>
      <c r="P128" s="1449">
        <f>SUM(P126:Q127)</f>
        <v>0</v>
      </c>
      <c r="Q128" s="1450"/>
      <c r="S128" s="1449">
        <f>SUM(S126:T127)</f>
        <v>0</v>
      </c>
      <c r="T128" s="1450"/>
      <c r="V128" s="2295">
        <f>SUM(V126:V127)</f>
        <v>0</v>
      </c>
      <c r="W128" s="2306"/>
      <c r="X128" s="2307"/>
    </row>
    <row r="129" spans="1:24" s="332" customFormat="1" ht="3" customHeight="1" thickBot="1">
      <c r="C129" s="1254"/>
      <c r="H129" s="393"/>
      <c r="I129" s="393"/>
      <c r="L129" s="1262"/>
      <c r="W129" s="2306"/>
      <c r="X129" s="2307"/>
    </row>
    <row r="130" spans="1:24" s="332" customFormat="1" ht="13.9" customHeight="1" thickBot="1">
      <c r="B130" s="338" t="s">
        <v>3071</v>
      </c>
      <c r="G130" s="1496">
        <f>G17+G23+G27+G33+G38+G41+G47+G64+G77+G83+G91+G105+G111+G116+G124+G128</f>
        <v>14368613</v>
      </c>
      <c r="H130" s="1497"/>
      <c r="J130" s="1496">
        <f>J17+J23+J27+J33+J38+J41+J47+J64+J77+J83+J91+J105+J111+J116+J124+J128</f>
        <v>12931333</v>
      </c>
      <c r="K130" s="1497"/>
      <c r="M130" s="1496">
        <f>M17+M23+M27+M33+M38+M41+M47+M64+M77+M83+M91+M105+M111+M116+M124+M128</f>
        <v>0</v>
      </c>
      <c r="N130" s="1497"/>
      <c r="P130" s="1496">
        <f>P17+P23+P27+P33+P38+P41+P47+P64+P77+P83+P91+P105+P111+P116+P124+P128</f>
        <v>0</v>
      </c>
      <c r="Q130" s="1497"/>
      <c r="S130" s="1496">
        <f>S17+S23+S27+S33+S38+S41+S47+S64+S77+S83+S91+S105+S111+S116+S124+S128</f>
        <v>0</v>
      </c>
      <c r="T130" s="1497"/>
      <c r="V130" s="2311">
        <f>V17+V23+V27+V33+V38+V41+V47+V64+V77+V83+V91+V105+V111+V116+V124+V128</f>
        <v>0</v>
      </c>
      <c r="W130" s="2312"/>
      <c r="X130" s="2310"/>
    </row>
    <row r="131" spans="1:24" s="332" customFormat="1" ht="3" customHeight="1">
      <c r="C131" s="1254"/>
      <c r="H131" s="393"/>
      <c r="I131" s="393"/>
      <c r="L131" s="1262"/>
    </row>
    <row r="132" spans="1:24" s="332" customFormat="1" ht="13.9" customHeight="1">
      <c r="B132" s="590" t="s">
        <v>3037</v>
      </c>
      <c r="C132" s="588"/>
      <c r="D132" s="1498">
        <f>G130/'Part VI-Revenues &amp; Expenses'!$M$62</f>
        <v>149673.05208333334</v>
      </c>
      <c r="E132" s="1498"/>
      <c r="F132" s="589" t="s">
        <v>3036</v>
      </c>
      <c r="G132" s="1498">
        <f>G130/'Part VI-Revenues &amp; Expenses'!$M$120</f>
        <v>138.23417417070729</v>
      </c>
      <c r="H132" s="1515"/>
      <c r="I132" s="1327"/>
    </row>
    <row r="133" spans="1:24" s="332" customFormat="1" ht="3" customHeight="1">
      <c r="I133" s="1327"/>
      <c r="L133" s="1327"/>
    </row>
    <row r="134" spans="1:24" s="332" customFormat="1" ht="3.6" customHeight="1" thickBot="1">
      <c r="D134" s="1254"/>
      <c r="E134" s="1254"/>
      <c r="I134" s="393"/>
      <c r="J134" s="393"/>
      <c r="K134" s="398"/>
      <c r="L134" s="337"/>
      <c r="P134" s="1262"/>
    </row>
    <row r="135" spans="1:24" s="332" customFormat="1" ht="25.9" customHeight="1">
      <c r="A135" s="475" t="s">
        <v>780</v>
      </c>
      <c r="B135" s="477" t="s">
        <v>1498</v>
      </c>
      <c r="C135" s="1320"/>
      <c r="D135" s="1270"/>
      <c r="E135" s="1270"/>
      <c r="F135" s="1270"/>
      <c r="G135" s="1262"/>
      <c r="H135" s="1262"/>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2145</v>
      </c>
      <c r="D136" s="1270"/>
      <c r="E136" s="1270"/>
      <c r="I136" s="399"/>
      <c r="J136" s="1454"/>
      <c r="K136" s="1455"/>
      <c r="L136" s="1320"/>
      <c r="M136" s="1454"/>
      <c r="N136" s="1455"/>
      <c r="P136" s="1454"/>
      <c r="Q136" s="1455"/>
      <c r="W136" s="332" t="str">
        <f>B136</f>
        <v>Subtractions From Eligible Basis</v>
      </c>
      <c r="X136" s="371"/>
    </row>
    <row r="137" spans="1:24" s="332" customFormat="1" ht="6" customHeight="1">
      <c r="D137" s="1254"/>
      <c r="E137" s="1254"/>
      <c r="I137" s="393"/>
      <c r="J137" s="393"/>
      <c r="K137" s="398"/>
      <c r="L137" s="337"/>
      <c r="P137" s="1262"/>
    </row>
    <row r="138" spans="1:24" s="332" customFormat="1" ht="13.9" customHeight="1">
      <c r="B138" s="1254" t="s">
        <v>146</v>
      </c>
      <c r="D138" s="1262"/>
      <c r="E138" s="1262"/>
      <c r="F138" s="1262"/>
      <c r="G138" s="1262"/>
      <c r="H138" s="1262"/>
      <c r="I138" s="399"/>
      <c r="J138" s="2313"/>
      <c r="K138" s="2314"/>
      <c r="P138" s="2313"/>
      <c r="Q138" s="2314"/>
      <c r="V138" s="2287"/>
      <c r="W138" s="2304"/>
      <c r="X138" s="2305"/>
    </row>
    <row r="139" spans="1:24" s="332" customFormat="1" ht="13.9" customHeight="1">
      <c r="B139" s="1262" t="s">
        <v>2253</v>
      </c>
      <c r="D139" s="1262"/>
      <c r="E139" s="1262"/>
      <c r="F139" s="1262"/>
      <c r="G139" s="1262"/>
      <c r="H139" s="1262"/>
      <c r="I139" s="399"/>
      <c r="J139" s="2313"/>
      <c r="K139" s="2314"/>
      <c r="P139" s="2313"/>
      <c r="Q139" s="2314"/>
      <c r="V139" s="2287"/>
      <c r="W139" s="2306"/>
      <c r="X139" s="2307"/>
    </row>
    <row r="140" spans="1:24" s="332" customFormat="1" ht="13.9" customHeight="1">
      <c r="B140" s="1262" t="s">
        <v>1956</v>
      </c>
      <c r="D140" s="1262"/>
      <c r="E140" s="1262"/>
      <c r="I140" s="399"/>
      <c r="J140" s="2313"/>
      <c r="K140" s="2314"/>
      <c r="P140" s="2313"/>
      <c r="Q140" s="2314"/>
      <c r="V140" s="2287"/>
      <c r="W140" s="2306"/>
      <c r="X140" s="2307"/>
    </row>
    <row r="141" spans="1:24" s="332" customFormat="1" ht="13.9" customHeight="1">
      <c r="B141" s="1262" t="s">
        <v>1957</v>
      </c>
      <c r="D141" s="1262"/>
      <c r="E141" s="1262"/>
      <c r="I141" s="399"/>
      <c r="J141" s="2313"/>
      <c r="K141" s="2314"/>
      <c r="P141" s="2313"/>
      <c r="Q141" s="2314"/>
      <c r="V141" s="2287"/>
      <c r="W141" s="2306"/>
      <c r="X141" s="2307"/>
    </row>
    <row r="142" spans="1:24" s="332" customFormat="1" ht="13.9" customHeight="1">
      <c r="B142" s="1262" t="s">
        <v>265</v>
      </c>
      <c r="D142" s="1262"/>
      <c r="E142" s="1262"/>
      <c r="I142" s="399"/>
      <c r="J142" s="2313"/>
      <c r="K142" s="2314"/>
      <c r="P142" s="2313"/>
      <c r="Q142" s="2314"/>
      <c r="V142" s="2287"/>
      <c r="W142" s="2306"/>
      <c r="X142" s="2307"/>
    </row>
    <row r="143" spans="1:24" s="332" customFormat="1" ht="13.9" customHeight="1" thickBot="1">
      <c r="B143" s="1262" t="s">
        <v>1679</v>
      </c>
      <c r="C143" s="2067" t="s">
        <v>2535</v>
      </c>
      <c r="D143" s="2067"/>
      <c r="E143" s="2067"/>
      <c r="F143" s="2067"/>
      <c r="G143" s="2067"/>
      <c r="H143" s="2067"/>
      <c r="I143" s="2068"/>
      <c r="J143" s="2313"/>
      <c r="K143" s="2314"/>
      <c r="P143" s="2313"/>
      <c r="Q143" s="2314"/>
      <c r="V143" s="2287"/>
      <c r="W143" s="2306"/>
      <c r="X143" s="2307"/>
    </row>
    <row r="144" spans="1:24" s="332" customFormat="1" ht="13.9" customHeight="1" thickBot="1">
      <c r="B144" s="342" t="s">
        <v>1958</v>
      </c>
      <c r="C144" s="345"/>
      <c r="J144" s="1416">
        <f>SUM(J138:K143)</f>
        <v>0</v>
      </c>
      <c r="K144" s="1417"/>
      <c r="P144" s="1416">
        <f>SUM(P138:Q143)</f>
        <v>0</v>
      </c>
      <c r="Q144" s="1417"/>
      <c r="V144" s="2295">
        <f>SUM(V138:V143)</f>
        <v>0</v>
      </c>
      <c r="W144" s="2309"/>
      <c r="X144" s="2310"/>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471">
        <f>J130</f>
        <v>12931333</v>
      </c>
      <c r="K147" s="1472"/>
      <c r="M147" s="1473">
        <f>M130</f>
        <v>0</v>
      </c>
      <c r="N147" s="1474"/>
      <c r="P147" s="1471">
        <f>P130</f>
        <v>0</v>
      </c>
      <c r="Q147" s="1472"/>
      <c r="V147" s="2287"/>
      <c r="W147" s="2304"/>
      <c r="X147" s="2305"/>
    </row>
    <row r="148" spans="1:24" s="332" customFormat="1" ht="13.9" customHeight="1">
      <c r="B148" s="332" t="s">
        <v>2327</v>
      </c>
      <c r="J148" s="1456">
        <f>J144</f>
        <v>0</v>
      </c>
      <c r="K148" s="1463"/>
      <c r="M148" s="1457"/>
      <c r="N148" s="1457"/>
      <c r="P148" s="1456">
        <f>P144</f>
        <v>0</v>
      </c>
      <c r="Q148" s="1463"/>
      <c r="V148" s="2287"/>
      <c r="W148" s="2306"/>
      <c r="X148" s="2307"/>
    </row>
    <row r="149" spans="1:24" s="332" customFormat="1" ht="13.9" customHeight="1">
      <c r="B149" s="332" t="s">
        <v>2328</v>
      </c>
      <c r="J149" s="1456">
        <f>J147-J148</f>
        <v>12931333</v>
      </c>
      <c r="K149" s="1463"/>
      <c r="M149" s="1456">
        <f>M147</f>
        <v>0</v>
      </c>
      <c r="N149" s="1463"/>
      <c r="P149" s="1456">
        <f>P147-P148</f>
        <v>0</v>
      </c>
      <c r="Q149" s="1463"/>
      <c r="V149" s="2287"/>
      <c r="W149" s="2306"/>
      <c r="X149" s="2307"/>
    </row>
    <row r="150" spans="1:24" s="332" customFormat="1" ht="13.9" customHeight="1">
      <c r="B150" s="332" t="s">
        <v>1561</v>
      </c>
      <c r="G150" s="1257" t="s">
        <v>1799</v>
      </c>
      <c r="H150" s="2057" t="s">
        <v>4479</v>
      </c>
      <c r="I150" s="2058"/>
      <c r="J150" s="2315">
        <v>1.3</v>
      </c>
      <c r="K150" s="2316"/>
      <c r="M150" s="1470"/>
      <c r="N150" s="1470"/>
      <c r="P150" s="2315"/>
      <c r="Q150" s="2316"/>
      <c r="V150" s="2287"/>
      <c r="W150" s="2306"/>
      <c r="X150" s="2307"/>
    </row>
    <row r="151" spans="1:24" s="332" customFormat="1" ht="13.9" customHeight="1">
      <c r="B151" s="332" t="s">
        <v>2155</v>
      </c>
      <c r="J151" s="1456">
        <f>J149*J150</f>
        <v>16810732.900000002</v>
      </c>
      <c r="K151" s="1463"/>
      <c r="M151" s="1456">
        <f>+M149</f>
        <v>0</v>
      </c>
      <c r="N151" s="1463"/>
      <c r="P151" s="1456">
        <f>P149*P150</f>
        <v>0</v>
      </c>
      <c r="Q151" s="1463"/>
      <c r="V151" s="2287"/>
      <c r="W151" s="2306"/>
      <c r="X151" s="2307"/>
    </row>
    <row r="152" spans="1:24" s="332" customFormat="1" ht="13.9" customHeight="1">
      <c r="B152" s="332" t="s">
        <v>2669</v>
      </c>
      <c r="J152" s="1468">
        <f>MIN('Part VI-Revenues &amp; Expenses'!$M$58/'Part VI-Revenues &amp; Expenses'!$M$60,'Part VI-Revenues &amp; Expenses'!$M$116/'Part VI-Revenues &amp; Expenses'!$M$118)</f>
        <v>1</v>
      </c>
      <c r="K152" s="1469"/>
      <c r="M152" s="1468">
        <f>MIN('Part VI-Revenues &amp; Expenses'!$M$58/'Part VI-Revenues &amp; Expenses'!$M$60,'Part VI-Revenues &amp; Expenses'!$M$116/'Part VI-Revenues &amp; Expenses'!$M$118)</f>
        <v>1</v>
      </c>
      <c r="N152" s="1469"/>
      <c r="P152" s="1468">
        <f>MIN('Part VI-Revenues &amp; Expenses'!$M$58/'Part VI-Revenues &amp; Expenses'!$M$60,'Part VI-Revenues &amp; Expenses'!$M$116/'Part VI-Revenues &amp; Expenses'!$M$118)</f>
        <v>1</v>
      </c>
      <c r="Q152" s="1469"/>
      <c r="V152" s="2287"/>
      <c r="W152" s="2306"/>
      <c r="X152" s="2307"/>
    </row>
    <row r="153" spans="1:24" s="332" customFormat="1" ht="13.9" customHeight="1">
      <c r="B153" s="332" t="s">
        <v>2146</v>
      </c>
      <c r="J153" s="1456">
        <f>J151*J152</f>
        <v>16810732.900000002</v>
      </c>
      <c r="K153" s="1463"/>
      <c r="M153" s="1456">
        <f>M151*M152</f>
        <v>0</v>
      </c>
      <c r="N153" s="1463"/>
      <c r="P153" s="1456">
        <f>P151*P152</f>
        <v>0</v>
      </c>
      <c r="Q153" s="1463"/>
      <c r="V153" s="2287"/>
      <c r="W153" s="2306"/>
      <c r="X153" s="2307"/>
    </row>
    <row r="154" spans="1:24" s="332" customFormat="1" ht="13.9" customHeight="1">
      <c r="B154" s="332" t="s">
        <v>2147</v>
      </c>
      <c r="J154" s="2315">
        <v>7.4399999999999994E-2</v>
      </c>
      <c r="K154" s="2316"/>
      <c r="M154" s="2315"/>
      <c r="N154" s="2316"/>
      <c r="P154" s="2315"/>
      <c r="Q154" s="2316"/>
      <c r="V154" s="2287"/>
      <c r="W154" s="2306"/>
      <c r="X154" s="2307"/>
    </row>
    <row r="155" spans="1:24" s="332" customFormat="1" ht="13.9" customHeight="1" thickBot="1">
      <c r="B155" s="332" t="s">
        <v>2670</v>
      </c>
      <c r="J155" s="1466">
        <f>J153*J154</f>
        <v>1250718.52776</v>
      </c>
      <c r="K155" s="1467"/>
      <c r="M155" s="1466">
        <f>M153*M154</f>
        <v>0</v>
      </c>
      <c r="N155" s="1467"/>
      <c r="P155" s="1466">
        <f>P153*P154</f>
        <v>0</v>
      </c>
      <c r="Q155" s="1467"/>
      <c r="V155" s="2317"/>
      <c r="W155" s="2306"/>
      <c r="X155" s="2307"/>
    </row>
    <row r="156" spans="1:24" s="332" customFormat="1" ht="13.9" customHeight="1" thickBot="1">
      <c r="B156" s="334" t="s">
        <v>1496</v>
      </c>
      <c r="J156" s="1416">
        <f>J155+M155+P155</f>
        <v>1250718.52776</v>
      </c>
      <c r="K156" s="1490"/>
      <c r="L156" s="1490"/>
      <c r="M156" s="1490"/>
      <c r="N156" s="1490"/>
      <c r="O156" s="1490"/>
      <c r="P156" s="1490"/>
      <c r="Q156" s="1417"/>
      <c r="V156" s="2295">
        <f>SUM(V147:V155)</f>
        <v>0</v>
      </c>
      <c r="W156" s="2309"/>
      <c r="X156" s="2310"/>
    </row>
    <row r="157" spans="1:24" s="332" customFormat="1" ht="6" customHeight="1">
      <c r="B157" s="400"/>
      <c r="L157" s="1319"/>
      <c r="M157" s="1319"/>
      <c r="N157" s="1319"/>
      <c r="O157" s="1319"/>
    </row>
    <row r="158" spans="1:24" s="332" customFormat="1" ht="13.9" customHeight="1">
      <c r="A158" s="476" t="s">
        <v>782</v>
      </c>
      <c r="B158" s="476" t="s">
        <v>1499</v>
      </c>
      <c r="H158" s="393"/>
      <c r="I158" s="393"/>
      <c r="L158" s="1262"/>
      <c r="M158" s="550"/>
      <c r="N158" s="1262"/>
      <c r="O158" s="1262"/>
      <c r="P158" s="1262"/>
      <c r="Q158" s="1262"/>
      <c r="R158" s="1262"/>
      <c r="S158" s="1262"/>
      <c r="T158" s="1262"/>
    </row>
    <row r="159" spans="1:24" s="332" customFormat="1" ht="15" customHeight="1" thickBot="1">
      <c r="B159" s="334" t="s">
        <v>179</v>
      </c>
      <c r="H159" s="301"/>
      <c r="M159" s="550"/>
      <c r="N159" s="1262"/>
      <c r="O159" s="1262"/>
      <c r="P159" s="1262"/>
      <c r="Q159" s="1262"/>
      <c r="R159" s="1262"/>
      <c r="S159" s="1262"/>
      <c r="T159" s="1262"/>
      <c r="W159" s="476" t="str">
        <f>B158</f>
        <v>TAX CREDIT CALCULATION - GAP METHOD</v>
      </c>
    </row>
    <row r="160" spans="1:24" s="332" customFormat="1" ht="15" customHeight="1">
      <c r="B160" s="325" t="s">
        <v>3072</v>
      </c>
      <c r="G160" s="1485" t="str">
        <f>IF(J161&gt;J160,"TDC exceeds QAP PUCL!","")</f>
        <v/>
      </c>
      <c r="H160" s="1485"/>
      <c r="I160" s="1486"/>
      <c r="J160" s="1487">
        <f>'Part VIII-Threshold Criteria'!$P$60</f>
        <v>17206590</v>
      </c>
      <c r="K160" s="1488"/>
      <c r="L160" s="1489"/>
      <c r="M160" s="1475" t="s">
        <v>2935</v>
      </c>
      <c r="N160" s="1476"/>
      <c r="O160" s="1476"/>
      <c r="P160" s="1476"/>
      <c r="Q160" s="1476"/>
      <c r="R160" s="1477"/>
      <c r="S160" s="1481" t="s">
        <v>2896</v>
      </c>
      <c r="T160" s="1482"/>
      <c r="V160" s="2287"/>
      <c r="W160" s="2304"/>
      <c r="X160" s="2305"/>
    </row>
    <row r="161" spans="1:24" s="332" customFormat="1" ht="13.9" customHeight="1">
      <c r="B161" s="332" t="s">
        <v>2937</v>
      </c>
      <c r="J161" s="2318">
        <f>MIN(G130,J160,(G130-O163))</f>
        <v>14368613</v>
      </c>
      <c r="K161" s="2319"/>
      <c r="L161" s="2320"/>
      <c r="M161" s="1478"/>
      <c r="N161" s="1479"/>
      <c r="O161" s="1479"/>
      <c r="P161" s="1479"/>
      <c r="Q161" s="1479"/>
      <c r="R161" s="1480"/>
      <c r="S161" s="1483"/>
      <c r="T161" s="1484"/>
      <c r="V161" s="2287"/>
      <c r="W161" s="2306"/>
      <c r="X161" s="2307"/>
    </row>
    <row r="162" spans="1:24" s="332" customFormat="1" ht="13.9" customHeight="1">
      <c r="B162" s="332" t="s">
        <v>275</v>
      </c>
      <c r="J162" s="1456">
        <f>'Part III-Sources of Funds'!$I$53-'Part III-Sources of Funds'!$I$40-'Part III-Sources of Funds'!$I$41-'Part III-Sources of Funds'!$I$44-'Part III-Sources of Funds'!$I$45</f>
        <v>787492</v>
      </c>
      <c r="K162" s="1457"/>
      <c r="L162" s="1458"/>
      <c r="M162" s="1478"/>
      <c r="N162" s="1479"/>
      <c r="O162" s="1479"/>
      <c r="P162" s="1479"/>
      <c r="Q162" s="1479"/>
      <c r="R162" s="1480"/>
      <c r="S162" s="1483"/>
      <c r="T162" s="1484"/>
      <c r="V162" s="2287"/>
      <c r="W162" s="2306"/>
      <c r="X162" s="2307"/>
    </row>
    <row r="163" spans="1:24" s="332" customFormat="1" ht="13.9" customHeight="1" thickBot="1">
      <c r="B163" s="332" t="s">
        <v>2339</v>
      </c>
      <c r="J163" s="1456">
        <f>+J161-J162</f>
        <v>13581121</v>
      </c>
      <c r="K163" s="1457"/>
      <c r="L163" s="1458"/>
      <c r="M163" s="1464" t="s">
        <v>2936</v>
      </c>
      <c r="N163" s="1465"/>
      <c r="O163" s="1491">
        <f>'Part III-Sources of Funds'!$I$40</f>
        <v>0</v>
      </c>
      <c r="P163" s="1491"/>
      <c r="Q163" s="1491"/>
      <c r="R163" s="1492"/>
      <c r="S163" s="458" t="s">
        <v>1742</v>
      </c>
      <c r="T163" s="2321" t="s">
        <v>3425</v>
      </c>
      <c r="V163" s="2287"/>
      <c r="W163" s="2306"/>
      <c r="X163" s="2307"/>
    </row>
    <row r="164" spans="1:24" s="332" customFormat="1" ht="13.9" customHeight="1">
      <c r="B164" s="332" t="s">
        <v>1351</v>
      </c>
      <c r="J164" s="1459" t="str">
        <f>"/ 10"</f>
        <v>/ 10</v>
      </c>
      <c r="K164" s="1459"/>
      <c r="L164" s="1459"/>
      <c r="M164" s="1262"/>
      <c r="N164" s="548"/>
      <c r="O164" s="548"/>
      <c r="P164" s="548"/>
      <c r="Q164" s="548"/>
      <c r="R164" s="548"/>
      <c r="W164" s="2306"/>
      <c r="X164" s="2307"/>
    </row>
    <row r="165" spans="1:24" s="332" customFormat="1" ht="13.9" customHeight="1">
      <c r="B165" s="332" t="s">
        <v>1352</v>
      </c>
      <c r="J165" s="1456">
        <f>J163/10</f>
        <v>1358112.1</v>
      </c>
      <c r="K165" s="1457"/>
      <c r="L165" s="1463"/>
      <c r="M165" s="348"/>
      <c r="N165" s="1341" t="s">
        <v>1353</v>
      </c>
      <c r="O165" s="1341"/>
      <c r="Q165" s="1341" t="s">
        <v>1887</v>
      </c>
      <c r="R165" s="1341"/>
      <c r="V165" s="2287"/>
      <c r="W165" s="2306"/>
      <c r="X165" s="2307"/>
    </row>
    <row r="166" spans="1:24" s="332" customFormat="1" ht="13.9" customHeight="1" thickBot="1">
      <c r="B166" s="332" t="s">
        <v>1560</v>
      </c>
      <c r="J166" s="1493">
        <f>N166+Q166</f>
        <v>1.42</v>
      </c>
      <c r="K166" s="1494"/>
      <c r="L166" s="1495"/>
      <c r="M166" s="1257" t="s">
        <v>1354</v>
      </c>
      <c r="N166" s="2322">
        <v>0.95</v>
      </c>
      <c r="O166" s="2323"/>
      <c r="P166" s="1257" t="s">
        <v>643</v>
      </c>
      <c r="Q166" s="2322">
        <v>0.47</v>
      </c>
      <c r="R166" s="2323"/>
      <c r="V166" s="2287"/>
      <c r="W166" s="2306"/>
      <c r="X166" s="2307"/>
    </row>
    <row r="167" spans="1:24" s="332" customFormat="1" ht="13.9" customHeight="1" thickBot="1">
      <c r="B167" s="334" t="s">
        <v>1497</v>
      </c>
      <c r="J167" s="1416">
        <f>IF(J166=0,"",J165/J166)</f>
        <v>956416.97183098597</v>
      </c>
      <c r="K167" s="1490"/>
      <c r="L167" s="1417"/>
      <c r="M167" s="348"/>
      <c r="N167" s="1262"/>
      <c r="O167" s="1262"/>
      <c r="V167" s="2287"/>
      <c r="W167" s="2306"/>
      <c r="X167" s="2307"/>
    </row>
    <row r="168" spans="1:24" s="332" customFormat="1" ht="6" customHeight="1">
      <c r="J168" s="1318"/>
      <c r="K168" s="1318"/>
      <c r="L168" s="1318"/>
      <c r="M168" s="348"/>
      <c r="N168" s="1265"/>
      <c r="O168" s="1265"/>
      <c r="W168" s="2306"/>
      <c r="X168" s="2307"/>
    </row>
    <row r="169" spans="1:24" s="332" customFormat="1" ht="16.149999999999999" customHeight="1">
      <c r="B169" s="334" t="s">
        <v>3297</v>
      </c>
      <c r="J169" s="1460">
        <f>IF('Part I-Project Information'!$I$166 = "Yes",+MIN(J156,J167,'Part I-Project Information'!$O$166,'DCA Underwriting Assumptions'!$R$7),+MIN(J156,J167,'DCA Underwriting Assumptions'!$R$6))</f>
        <v>956416.97183098597</v>
      </c>
      <c r="K169" s="1461"/>
      <c r="L169" s="1462"/>
      <c r="M169" s="348"/>
      <c r="N169" s="1265"/>
      <c r="O169" s="1265"/>
      <c r="V169" s="2287"/>
      <c r="W169" s="2306"/>
      <c r="X169" s="2307"/>
    </row>
    <row r="170" spans="1:24" s="332" customFormat="1" ht="3" customHeight="1">
      <c r="J170" s="1318"/>
      <c r="K170" s="1318"/>
      <c r="L170" s="1318"/>
      <c r="M170" s="348"/>
      <c r="N170" s="1265"/>
      <c r="O170" s="1265"/>
      <c r="W170" s="2306"/>
      <c r="X170" s="2307"/>
    </row>
    <row r="171" spans="1:24" s="332" customFormat="1" ht="16.149999999999999" customHeight="1">
      <c r="B171" s="334" t="s">
        <v>362</v>
      </c>
      <c r="J171" s="2324">
        <v>956416.5</v>
      </c>
      <c r="K171" s="2325"/>
      <c r="L171" s="2326"/>
      <c r="M171" s="401" t="str">
        <f>IF(J169=0,"",IF(J171&gt;J169,"ALLOCATION CANNOT EXCEED MAXIMUM - REVISE REQUEST!",""))</f>
        <v/>
      </c>
      <c r="N171" s="1265"/>
      <c r="O171" s="1265"/>
      <c r="V171" s="2287"/>
      <c r="W171" s="2306"/>
      <c r="X171" s="2307"/>
    </row>
    <row r="172" spans="1:24" s="332" customFormat="1" ht="3" customHeight="1">
      <c r="J172" s="1318"/>
      <c r="K172" s="1318"/>
      <c r="L172" s="1318"/>
      <c r="M172" s="348"/>
      <c r="N172" s="1265"/>
      <c r="O172" s="1265"/>
      <c r="W172" s="2306"/>
      <c r="X172" s="2307"/>
    </row>
    <row r="173" spans="1:24" s="332" customFormat="1" ht="16.149999999999999" customHeight="1">
      <c r="A173" s="476" t="s">
        <v>1880</v>
      </c>
      <c r="B173" s="476" t="s">
        <v>2748</v>
      </c>
      <c r="D173" s="348"/>
      <c r="E173" s="348"/>
      <c r="F173" s="337"/>
      <c r="J173" s="1460">
        <f>IF(J171="",0,+MIN(J169,J171))</f>
        <v>956416.5</v>
      </c>
      <c r="K173" s="1461"/>
      <c r="L173" s="1462"/>
      <c r="N173" s="2327"/>
      <c r="O173" s="2327"/>
      <c r="P173" s="2327"/>
      <c r="Q173" s="2327"/>
      <c r="R173" s="2327"/>
      <c r="S173" s="2327"/>
      <c r="T173" s="2327"/>
      <c r="V173" s="2287"/>
      <c r="W173" s="2309"/>
      <c r="X173" s="2310"/>
    </row>
    <row r="174" spans="1:24" ht="3" customHeight="1"/>
    <row r="175" spans="1:24" ht="6" customHeight="1"/>
    <row r="176" spans="1:24" ht="12" customHeight="1">
      <c r="A176" s="334" t="s">
        <v>1882</v>
      </c>
      <c r="B176" s="357" t="s">
        <v>599</v>
      </c>
      <c r="K176" s="334" t="s">
        <v>554</v>
      </c>
      <c r="L176" s="334" t="s">
        <v>81</v>
      </c>
    </row>
    <row r="177" spans="1:24" ht="201" customHeight="1">
      <c r="A177" s="2328" t="s">
        <v>4524</v>
      </c>
      <c r="B177" s="2329"/>
      <c r="C177" s="2329"/>
      <c r="D177" s="2329"/>
      <c r="E177" s="2329"/>
      <c r="F177" s="2329"/>
      <c r="G177" s="2329"/>
      <c r="H177" s="2329"/>
      <c r="I177" s="2329"/>
      <c r="J177" s="2330"/>
      <c r="K177" s="2331"/>
      <c r="L177" s="2332"/>
      <c r="M177" s="2332"/>
      <c r="N177" s="2332"/>
      <c r="O177" s="2332"/>
      <c r="P177" s="2332"/>
      <c r="Q177" s="2332"/>
      <c r="R177" s="2332"/>
      <c r="S177" s="2332"/>
      <c r="T177" s="2333"/>
      <c r="W177" s="1407" t="s">
        <v>2854</v>
      </c>
      <c r="X177" s="140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QH7hWDtXov13G2qLKs8av6L1rFibMU6nTlh209b6MQOTvXcv92Es/BQhGV9mEVUNE25CRjCWW+A/MllN6zfBHQ==" saltValue="WgTCUYPlIWlJDTPsBaEjuw=="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9"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9"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2" t="str">
        <f>CONCATENATE("PART FIVE - UTILITY ALLOWANCES","  -  ",'Part I-Project Information'!$O$4," ",'Part I-Project Information'!$F$24,", ",'Part I-Project Information'!F28,", ",'Part I-Project Information'!J29," County")</f>
        <v>PART FIVE - UTILITY ALLOWANCES  -  2015-009 The Cove at York, Centerville, Houston County</v>
      </c>
      <c r="B1" s="1523"/>
      <c r="C1" s="1523"/>
      <c r="D1" s="1523"/>
      <c r="E1" s="1523"/>
      <c r="F1" s="1523"/>
      <c r="G1" s="1523"/>
      <c r="H1" s="1523"/>
      <c r="I1" s="1523"/>
      <c r="J1" s="1523"/>
      <c r="K1" s="1523"/>
      <c r="L1" s="1523"/>
      <c r="M1" s="1523"/>
      <c r="N1" s="10"/>
      <c r="O1" s="10"/>
      <c r="P1" s="10"/>
      <c r="Q1" s="10"/>
      <c r="R1" s="17"/>
      <c r="S1" s="17"/>
      <c r="T1" s="17"/>
    </row>
    <row r="2" spans="1:20" s="8" customFormat="1">
      <c r="F2" s="2049" t="s">
        <v>4387</v>
      </c>
      <c r="G2" s="2050"/>
      <c r="H2" s="2051"/>
    </row>
    <row r="3" spans="1:20" s="8" customFormat="1">
      <c r="F3" s="4" t="s">
        <v>539</v>
      </c>
      <c r="I3" s="1287" t="str">
        <f>VLOOKUP('Part I-Project Information'!$J$29,'DCA Underwriting Assumptions'!$G$127:$H$286,2)</f>
        <v>Middle</v>
      </c>
    </row>
    <row r="4" spans="1:20" s="8" customFormat="1"/>
    <row r="5" spans="1:20" s="8" customFormat="1">
      <c r="A5" s="14" t="s">
        <v>647</v>
      </c>
      <c r="B5" s="14" t="s">
        <v>2334</v>
      </c>
      <c r="F5" s="8" t="s">
        <v>2645</v>
      </c>
      <c r="I5" s="2334" t="s">
        <v>4444</v>
      </c>
      <c r="J5" s="2335"/>
      <c r="K5" s="2335"/>
      <c r="L5" s="2335"/>
      <c r="M5" s="2336"/>
    </row>
    <row r="6" spans="1:20" s="8" customFormat="1" ht="13.15" customHeight="1">
      <c r="A6" s="14"/>
      <c r="F6" s="8" t="s">
        <v>667</v>
      </c>
      <c r="H6" s="28"/>
      <c r="I6" s="2337">
        <v>41821</v>
      </c>
      <c r="J6" s="2338"/>
      <c r="K6" s="64" t="s">
        <v>564</v>
      </c>
      <c r="L6" s="2339" t="s">
        <v>4445</v>
      </c>
      <c r="M6" s="2336"/>
    </row>
    <row r="7" spans="1:20" s="8" customFormat="1" ht="6" customHeight="1">
      <c r="A7" s="14"/>
    </row>
    <row r="8" spans="1:20" s="14" customFormat="1">
      <c r="B8" s="269"/>
      <c r="C8" s="269"/>
      <c r="D8" s="269"/>
      <c r="E8" s="269"/>
      <c r="F8" s="1521" t="s">
        <v>640</v>
      </c>
      <c r="G8" s="1521"/>
      <c r="I8" s="1520" t="s">
        <v>206</v>
      </c>
      <c r="J8" s="1520"/>
      <c r="K8" s="1520"/>
      <c r="L8" s="1520"/>
      <c r="M8" s="1520"/>
    </row>
    <row r="9" spans="1:20" s="14" customFormat="1">
      <c r="B9" s="269" t="s">
        <v>840</v>
      </c>
      <c r="D9" s="269" t="s">
        <v>1677</v>
      </c>
      <c r="F9" s="1275" t="s">
        <v>673</v>
      </c>
      <c r="G9" s="1275" t="s">
        <v>1943</v>
      </c>
      <c r="I9" s="270" t="s">
        <v>592</v>
      </c>
      <c r="J9" s="271">
        <v>1</v>
      </c>
      <c r="K9" s="271">
        <v>2</v>
      </c>
      <c r="L9" s="271">
        <v>3</v>
      </c>
      <c r="M9" s="271">
        <v>4</v>
      </c>
    </row>
    <row r="10" spans="1:20" s="8" customFormat="1">
      <c r="B10" s="272" t="s">
        <v>1945</v>
      </c>
      <c r="C10" s="273"/>
      <c r="D10" s="2340" t="s">
        <v>4446</v>
      </c>
      <c r="E10" s="2341"/>
      <c r="F10" s="2342" t="s">
        <v>458</v>
      </c>
      <c r="G10" s="2342"/>
      <c r="H10" s="274"/>
      <c r="I10" s="2343"/>
      <c r="J10" s="2343">
        <v>7</v>
      </c>
      <c r="K10" s="2343">
        <v>9</v>
      </c>
      <c r="L10" s="2343">
        <v>13</v>
      </c>
      <c r="M10" s="2343"/>
    </row>
    <row r="11" spans="1:20" s="8" customFormat="1">
      <c r="B11" s="275" t="s">
        <v>486</v>
      </c>
      <c r="C11" s="276"/>
      <c r="D11" s="275" t="s">
        <v>1673</v>
      </c>
      <c r="E11" s="276"/>
      <c r="F11" s="2344" t="s">
        <v>458</v>
      </c>
      <c r="G11" s="2344"/>
      <c r="H11" s="277"/>
      <c r="I11" s="2345"/>
      <c r="J11" s="2345">
        <v>30</v>
      </c>
      <c r="K11" s="2345">
        <v>39</v>
      </c>
      <c r="L11" s="2346">
        <v>48</v>
      </c>
      <c r="M11" s="2346"/>
    </row>
    <row r="12" spans="1:20" s="8" customFormat="1">
      <c r="B12" s="275" t="s">
        <v>1674</v>
      </c>
      <c r="C12" s="276"/>
      <c r="D12" s="2347" t="s">
        <v>1673</v>
      </c>
      <c r="E12" s="2348"/>
      <c r="F12" s="2344" t="s">
        <v>458</v>
      </c>
      <c r="G12" s="2344"/>
      <c r="H12" s="277"/>
      <c r="I12" s="2345"/>
      <c r="J12" s="2345">
        <v>9</v>
      </c>
      <c r="K12" s="2345">
        <v>11</v>
      </c>
      <c r="L12" s="2346">
        <v>14</v>
      </c>
      <c r="M12" s="2346"/>
    </row>
    <row r="13" spans="1:20" s="8" customFormat="1">
      <c r="B13" s="275" t="s">
        <v>1675</v>
      </c>
      <c r="C13" s="276"/>
      <c r="D13" s="2347" t="s">
        <v>1673</v>
      </c>
      <c r="E13" s="2348"/>
      <c r="F13" s="2344" t="s">
        <v>458</v>
      </c>
      <c r="G13" s="2344"/>
      <c r="H13" s="277"/>
      <c r="I13" s="2345"/>
      <c r="J13" s="2345">
        <v>27</v>
      </c>
      <c r="K13" s="2345">
        <v>34</v>
      </c>
      <c r="L13" s="2346">
        <v>42</v>
      </c>
      <c r="M13" s="2346"/>
    </row>
    <row r="14" spans="1:20" s="8" customFormat="1">
      <c r="B14" s="275" t="s">
        <v>1676</v>
      </c>
      <c r="C14" s="276"/>
      <c r="D14" s="275" t="s">
        <v>1673</v>
      </c>
      <c r="E14" s="278"/>
      <c r="F14" s="2344" t="s">
        <v>458</v>
      </c>
      <c r="G14" s="2344"/>
      <c r="H14" s="277"/>
      <c r="I14" s="2345"/>
      <c r="J14" s="2345">
        <v>25</v>
      </c>
      <c r="K14" s="2345">
        <v>32</v>
      </c>
      <c r="L14" s="2346">
        <v>39</v>
      </c>
      <c r="M14" s="2346"/>
    </row>
    <row r="15" spans="1:20" s="8" customFormat="1">
      <c r="B15" s="275" t="s">
        <v>1436</v>
      </c>
      <c r="C15" s="276"/>
      <c r="D15" s="930" t="s">
        <v>4171</v>
      </c>
      <c r="E15" s="2349" t="s">
        <v>3422</v>
      </c>
      <c r="F15" s="2344" t="s">
        <v>458</v>
      </c>
      <c r="G15" s="2344"/>
      <c r="H15" s="277"/>
      <c r="I15" s="2345"/>
      <c r="J15" s="2345">
        <v>63</v>
      </c>
      <c r="K15" s="2345">
        <v>80</v>
      </c>
      <c r="L15" s="2346">
        <v>99</v>
      </c>
      <c r="M15" s="2346"/>
    </row>
    <row r="16" spans="1:20" s="8" customFormat="1">
      <c r="B16" s="279" t="s">
        <v>1944</v>
      </c>
      <c r="C16" s="280"/>
      <c r="D16" s="279"/>
      <c r="E16" s="246"/>
      <c r="F16" s="2350"/>
      <c r="G16" s="2350" t="s">
        <v>458</v>
      </c>
      <c r="H16" s="281"/>
      <c r="I16" s="2351"/>
      <c r="J16" s="2351"/>
      <c r="K16" s="2351"/>
      <c r="L16" s="2352"/>
      <c r="M16" s="2352"/>
    </row>
    <row r="17" spans="1:19" s="8" customFormat="1">
      <c r="B17" s="269" t="s">
        <v>1070</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161</v>
      </c>
      <c r="K17" s="1275">
        <f>IF(SUM(K10:K16)=0,0,IF(OR($D10="&lt;&lt;Select Fuel &gt;&gt;",$D12="&lt;&lt;Select Fuel &gt;&gt;",$D13="&lt;&lt;Select Fuel &gt;&gt;"),"Select Fuel",IF($E15="&lt;Select&gt;","Submeter?",SUM(K10:K16))))</f>
        <v>205</v>
      </c>
      <c r="L17" s="1275">
        <f>IF(SUM(L10:L16)=0,0,IF(OR($D10="&lt;&lt;Select Fuel &gt;&gt;",$D12="&lt;&lt;Select Fuel &gt;&gt;",$D13="&lt;&lt;Select Fuel &gt;&gt;"),"Select Fuel",IF($E15="&lt;Select&gt;","Submeter?",SUM(L10:L16))))</f>
        <v>255</v>
      </c>
      <c r="M17" s="1275">
        <f>IF(SUM(M10:M16)=0,0,IF(OR($D10="&lt;&lt;Select Fuel &gt;&gt;",$D12="&lt;&lt;Select Fuel &gt;&gt;",$D13="&lt;&lt;Select Fuel &gt;&gt;"),"Select Fuel",IF($E15="&lt;Select&gt;","Submeter?",SUM(M10:M16))))</f>
        <v>0</v>
      </c>
    </row>
    <row r="18" spans="1:19" s="8" customFormat="1">
      <c r="B18" s="486" t="s">
        <v>4172</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780</v>
      </c>
      <c r="B20" s="14" t="s">
        <v>2335</v>
      </c>
      <c r="F20" s="8" t="s">
        <v>2645</v>
      </c>
      <c r="I20" s="2339"/>
      <c r="J20" s="2335"/>
      <c r="K20" s="2335"/>
      <c r="L20" s="2335"/>
      <c r="M20" s="2336"/>
    </row>
    <row r="21" spans="1:19" s="8" customFormat="1" ht="13.15" customHeight="1">
      <c r="A21" s="14"/>
      <c r="B21" s="14"/>
      <c r="F21" s="8" t="s">
        <v>667</v>
      </c>
      <c r="H21" s="28"/>
      <c r="I21" s="2337"/>
      <c r="J21" s="2338"/>
      <c r="K21" s="64" t="s">
        <v>564</v>
      </c>
      <c r="L21" s="2339"/>
      <c r="M21" s="2336"/>
    </row>
    <row r="22" spans="1:19" s="8" customFormat="1" ht="6" customHeight="1">
      <c r="A22" s="14"/>
    </row>
    <row r="23" spans="1:19" s="14" customFormat="1">
      <c r="B23" s="269"/>
      <c r="C23" s="269"/>
      <c r="D23" s="269"/>
      <c r="E23" s="269"/>
      <c r="F23" s="1521" t="s">
        <v>640</v>
      </c>
      <c r="G23" s="1521"/>
      <c r="I23" s="1520" t="s">
        <v>206</v>
      </c>
      <c r="J23" s="1520"/>
      <c r="K23" s="1520"/>
      <c r="L23" s="1520"/>
      <c r="M23" s="1520"/>
    </row>
    <row r="24" spans="1:19" s="14" customFormat="1">
      <c r="B24" s="269" t="s">
        <v>840</v>
      </c>
      <c r="D24" s="269" t="s">
        <v>1677</v>
      </c>
      <c r="F24" s="1275" t="s">
        <v>673</v>
      </c>
      <c r="G24" s="1275" t="s">
        <v>1943</v>
      </c>
      <c r="I24" s="270" t="s">
        <v>592</v>
      </c>
      <c r="J24" s="271">
        <v>1</v>
      </c>
      <c r="K24" s="271">
        <v>2</v>
      </c>
      <c r="L24" s="271">
        <v>3</v>
      </c>
      <c r="M24" s="271">
        <v>4</v>
      </c>
    </row>
    <row r="25" spans="1:19" s="8" customFormat="1">
      <c r="B25" s="272" t="s">
        <v>1945</v>
      </c>
      <c r="C25" s="273"/>
      <c r="D25" s="2340" t="s">
        <v>1911</v>
      </c>
      <c r="E25" s="2341"/>
      <c r="F25" s="2342"/>
      <c r="G25" s="2342"/>
      <c r="H25" s="274"/>
      <c r="I25" s="2343"/>
      <c r="J25" s="2343"/>
      <c r="K25" s="2343"/>
      <c r="L25" s="2343"/>
      <c r="M25" s="2343"/>
    </row>
    <row r="26" spans="1:19" s="8" customFormat="1">
      <c r="B26" s="275" t="s">
        <v>486</v>
      </c>
      <c r="C26" s="276"/>
      <c r="D26" s="275" t="s">
        <v>1673</v>
      </c>
      <c r="E26" s="276"/>
      <c r="F26" s="2344"/>
      <c r="G26" s="2344"/>
      <c r="H26" s="277"/>
      <c r="I26" s="2345"/>
      <c r="J26" s="2345"/>
      <c r="K26" s="2345"/>
      <c r="L26" s="2346"/>
      <c r="M26" s="2346"/>
    </row>
    <row r="27" spans="1:19" s="8" customFormat="1">
      <c r="B27" s="275" t="s">
        <v>1674</v>
      </c>
      <c r="C27" s="276"/>
      <c r="D27" s="2347" t="s">
        <v>1911</v>
      </c>
      <c r="E27" s="2348"/>
      <c r="F27" s="2344"/>
      <c r="G27" s="2344"/>
      <c r="H27" s="277"/>
      <c r="I27" s="2345"/>
      <c r="J27" s="2345"/>
      <c r="K27" s="2345"/>
      <c r="L27" s="2346"/>
      <c r="M27" s="2346"/>
    </row>
    <row r="28" spans="1:19" s="8" customFormat="1">
      <c r="B28" s="275" t="s">
        <v>1675</v>
      </c>
      <c r="C28" s="276"/>
      <c r="D28" s="2347" t="s">
        <v>1911</v>
      </c>
      <c r="E28" s="2348"/>
      <c r="F28" s="2344"/>
      <c r="G28" s="2344"/>
      <c r="H28" s="277"/>
      <c r="I28" s="2345"/>
      <c r="J28" s="2345"/>
      <c r="K28" s="2345"/>
      <c r="L28" s="2346"/>
      <c r="M28" s="2346"/>
    </row>
    <row r="29" spans="1:19" s="8" customFormat="1">
      <c r="B29" s="275" t="s">
        <v>1676</v>
      </c>
      <c r="C29" s="276"/>
      <c r="D29" s="275" t="s">
        <v>1673</v>
      </c>
      <c r="E29" s="278"/>
      <c r="F29" s="2344"/>
      <c r="G29" s="2344"/>
      <c r="H29" s="277"/>
      <c r="I29" s="2345"/>
      <c r="J29" s="2345"/>
      <c r="K29" s="2345"/>
      <c r="L29" s="2346"/>
      <c r="M29" s="2346"/>
    </row>
    <row r="30" spans="1:19" s="8" customFormat="1">
      <c r="B30" s="275" t="s">
        <v>1436</v>
      </c>
      <c r="C30" s="276"/>
      <c r="D30" s="930" t="s">
        <v>4171</v>
      </c>
      <c r="E30" s="2349" t="s">
        <v>207</v>
      </c>
      <c r="F30" s="2344"/>
      <c r="G30" s="2344"/>
      <c r="H30" s="277"/>
      <c r="I30" s="2345"/>
      <c r="J30" s="2345"/>
      <c r="K30" s="2345"/>
      <c r="L30" s="2346"/>
      <c r="M30" s="2346"/>
    </row>
    <row r="31" spans="1:19" s="8" customFormat="1">
      <c r="B31" s="279" t="s">
        <v>1944</v>
      </c>
      <c r="C31" s="280"/>
      <c r="D31" s="279"/>
      <c r="E31" s="246"/>
      <c r="F31" s="2350"/>
      <c r="G31" s="2350"/>
      <c r="H31" s="281"/>
      <c r="I31" s="2351"/>
      <c r="J31" s="2351"/>
      <c r="K31" s="2351"/>
      <c r="L31" s="2352"/>
      <c r="M31" s="2352"/>
    </row>
    <row r="32" spans="1:19" s="8" customFormat="1">
      <c r="B32" s="269" t="s">
        <v>1070</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0</v>
      </c>
      <c r="K32" s="1275">
        <f>IF(SUM(K25:K31)=0,0,IF(OR($D25="&lt;&lt;Select Fuel &gt;&gt;",$D27="&lt;&lt;Select Fuel &gt;&gt;",$D28="&lt;&lt;Select Fuel &gt;&gt;"),"Select Fuel",IF($E30="&lt;Select&gt;","Submeter?",SUM(K25:K31))))</f>
        <v>0</v>
      </c>
      <c r="L32" s="1275">
        <f>IF(SUM(L25:L31)=0,0,IF(OR($D25="&lt;&lt;Select Fuel &gt;&gt;",$D27="&lt;&lt;Select Fuel &gt;&gt;",$D28="&lt;&lt;Select Fuel &gt;&gt;"),"Select Fuel",IF($E30="&lt;Select&gt;","Submeter?",SUM(L25:L31))))</f>
        <v>0</v>
      </c>
      <c r="M32" s="1275">
        <f>IF(SUM(M25:M31)=0,0,IF(OR($D25="&lt;&lt;Select Fuel &gt;&gt;",$D27="&lt;&lt;Select Fuel &gt;&gt;",$D28="&lt;&lt;Select Fuel &gt;&gt;"),"Select Fuel",IF($E30="&lt;Select&gt;","Submeter?",SUM(M25:M31))))</f>
        <v>0</v>
      </c>
    </row>
    <row r="33" spans="1:19" s="8" customFormat="1">
      <c r="B33" s="486" t="s">
        <v>4172</v>
      </c>
      <c r="D33" s="28"/>
      <c r="E33" s="28"/>
      <c r="F33" s="84"/>
      <c r="G33" s="84"/>
      <c r="I33" s="1275"/>
      <c r="J33" s="1275"/>
      <c r="K33" s="1275"/>
      <c r="L33" s="1275"/>
      <c r="M33" s="127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53" t="s">
        <v>4525</v>
      </c>
      <c r="C38" s="2354"/>
      <c r="D38" s="2354"/>
      <c r="E38" s="2354"/>
      <c r="F38" s="2354"/>
      <c r="G38" s="2354"/>
      <c r="H38" s="2354"/>
      <c r="I38" s="2354"/>
      <c r="J38" s="2354"/>
      <c r="K38" s="2354"/>
      <c r="L38" s="2354"/>
      <c r="M38" s="2355"/>
      <c r="N38" s="28"/>
      <c r="O38" s="1328" t="s">
        <v>2854</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1938</v>
      </c>
      <c r="M40" s="28"/>
      <c r="N40" s="28"/>
      <c r="O40" s="1328"/>
      <c r="P40" s="1328"/>
      <c r="Q40" s="1328"/>
      <c r="R40" s="1328"/>
      <c r="S40" s="1328"/>
    </row>
    <row r="41" spans="1:19" s="8" customFormat="1" ht="24.75" customHeight="1">
      <c r="B41" s="2356"/>
      <c r="C41" s="2357"/>
      <c r="D41" s="2357"/>
      <c r="E41" s="2357"/>
      <c r="F41" s="2357"/>
      <c r="G41" s="2357"/>
      <c r="H41" s="2357"/>
      <c r="I41" s="2357"/>
      <c r="J41" s="2357"/>
      <c r="K41" s="2357"/>
      <c r="L41" s="2357"/>
      <c r="M41" s="2358"/>
      <c r="N41" s="28"/>
      <c r="O41" s="1328"/>
      <c r="P41" s="1328"/>
      <c r="Q41" s="1328"/>
      <c r="R41" s="1328"/>
      <c r="S41" s="1328"/>
    </row>
  </sheetData>
  <sheetProtection algorithmName="SHA-512" hashValue="ZhubgD4h+2IV6kIK6BKD49HPscUb/uiQ/xwcvUk0l+OvcyxfLRjri4Pr3pauInhPQ143hR4nFbpWeVUg3zJc0w==" saltValue="vgP0RNWCNoAj76uFGxncTA=="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9"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2015-06-07T15:57:58Z</cp:lastPrinted>
  <dcterms:created xsi:type="dcterms:W3CDTF">2005-09-15T20:51:37Z</dcterms:created>
  <dcterms:modified xsi:type="dcterms:W3CDTF">2015-07-09T14:18:34Z</dcterms:modified>
</cp:coreProperties>
</file>